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catross/Library/CloudStorage/Box-Box/Diffusion Manuscript GCA/"/>
    </mc:Choice>
  </mc:AlternateContent>
  <xr:revisionPtr revIDLastSave="0" documentId="13_ncr:1_{CACD8B8C-C61F-4C4E-98EC-87C3414A2F0F}" xr6:coauthVersionLast="47" xr6:coauthVersionMax="47" xr10:uidLastSave="{00000000-0000-0000-0000-000000000000}"/>
  <bookViews>
    <workbookView xWindow="1560" yWindow="2420" windowWidth="25600" windowHeight="13840" firstSheet="11" activeTab="18" xr2:uid="{D2655F94-7B63-F94C-A5EE-D1B305527F43}"/>
  </bookViews>
  <sheets>
    <sheet name="18RIES01-9" sheetId="20" r:id="rId1"/>
    <sheet name="18RIES01-3" sheetId="19" r:id="rId2"/>
    <sheet name="18RIES4-7" sheetId="16" r:id="rId3"/>
    <sheet name="18RIES4-2" sheetId="15" r:id="rId4"/>
    <sheet name="18RIES4-13" sheetId="14" r:id="rId5"/>
    <sheet name="18RIES4-10" sheetId="13" r:id="rId6"/>
    <sheet name="18RIES02-6" sheetId="18" r:id="rId7"/>
    <sheet name="18RIES02-11" sheetId="11" r:id="rId8"/>
    <sheet name="18RIES02-13" sheetId="10" r:id="rId9"/>
    <sheet name="18RIES02-14" sheetId="17" r:id="rId10"/>
    <sheet name="IODP364_62-70" sheetId="8" r:id="rId11"/>
    <sheet name="IODP364_93-14" sheetId="12" r:id="rId12"/>
    <sheet name="IODP364_93-10" sheetId="9" r:id="rId13"/>
    <sheet name="IODP364_145-51" sheetId="7" r:id="rId14"/>
    <sheet name="IODP364_145-84" sheetId="6" r:id="rId15"/>
    <sheet name="Ries ZHe dating" sheetId="21" r:id="rId16"/>
    <sheet name="Sample Locations" sheetId="22" r:id="rId17"/>
    <sheet name="Total He concentration calc" sheetId="5" r:id="rId18"/>
    <sheet name="U-Th concentrations" sheetId="4" r:id="rId19"/>
    <sheet name="Regression_Ea_Do" sheetId="3" r:id="rId20"/>
    <sheet name="Closure Temperatures" sheetId="2" r:id="rId21"/>
  </sheets>
  <externalReferences>
    <externalReference r:id="rId22"/>
  </externalReferences>
  <definedNames>
    <definedName name="_xlnm._FilterDatabase" localSheetId="19" hidden="1">Regression_Ea_Do!$A$3:$AS$18</definedName>
    <definedName name="_xlnm._FilterDatabase" localSheetId="15" hidden="1">'Ries ZHe dating'!$A$1:$P$43</definedName>
    <definedName name="_Ref473625033" localSheetId="1">'18RIES01-3'!$AO$11</definedName>
    <definedName name="_Ref473625033" localSheetId="0">'18RIES01-9'!$AO$11</definedName>
    <definedName name="_Ref473625033" localSheetId="7">'18RIES02-11'!$AO$11</definedName>
    <definedName name="_Ref473625033" localSheetId="8">'18RIES02-13'!$AO$11</definedName>
    <definedName name="_Ref473625033" localSheetId="9">'18RIES02-14'!$AO$11</definedName>
    <definedName name="_Ref473625033" localSheetId="6">'18RIES02-6'!$AO$11</definedName>
    <definedName name="_Ref473625033" localSheetId="5">'18RIES4-10'!$AO$11</definedName>
    <definedName name="_Ref473625033" localSheetId="4">'18RIES4-13'!$AO$11</definedName>
    <definedName name="_Ref473625033" localSheetId="3">'18RIES4-2'!$AO$11</definedName>
    <definedName name="_Ref473625033" localSheetId="2">'18RIES4-7'!$AO$11</definedName>
    <definedName name="_Ref473625033" localSheetId="13">'IODP364_145-51'!$AO$11</definedName>
    <definedName name="_Ref473625033" localSheetId="14">'IODP364_145-84'!$AO$11</definedName>
    <definedName name="_Ref473625033" localSheetId="10">'IODP364_62-70'!$AO$11</definedName>
    <definedName name="_Ref473625033" localSheetId="12">'IODP364_93-10'!$AO$11</definedName>
    <definedName name="_Ref473625033" localSheetId="11">'IODP364_93-14'!$AO$11</definedName>
    <definedName name="_Ref474054525" localSheetId="1">'18RIES01-3'!#REF!</definedName>
    <definedName name="_Ref474054525" localSheetId="0">'18RIES01-9'!#REF!</definedName>
    <definedName name="_Ref474054525" localSheetId="7">'18RIES02-11'!#REF!</definedName>
    <definedName name="_Ref474054525" localSheetId="8">'18RIES02-13'!#REF!</definedName>
    <definedName name="_Ref474054525" localSheetId="9">'18RIES02-14'!#REF!</definedName>
    <definedName name="_Ref474054525" localSheetId="6">'18RIES02-6'!#REF!</definedName>
    <definedName name="_Ref474054525" localSheetId="5">'18RIES4-10'!#REF!</definedName>
    <definedName name="_Ref474054525" localSheetId="4">'18RIES4-13'!#REF!</definedName>
    <definedName name="_Ref474054525" localSheetId="3">'18RIES4-2'!#REF!</definedName>
    <definedName name="_Ref474054525" localSheetId="2">'18RIES4-7'!#REF!</definedName>
    <definedName name="_Ref474054525" localSheetId="13">'IODP364_145-51'!#REF!</definedName>
    <definedName name="_Ref474054525" localSheetId="14">'IODP364_145-84'!#REF!</definedName>
    <definedName name="_Ref474054525" localSheetId="10">'IODP364_62-70'!#REF!</definedName>
    <definedName name="_Ref474054525" localSheetId="12">'IODP364_93-10'!#REF!</definedName>
    <definedName name="_Ref474054525" localSheetId="11">'IODP364_93-14'!#REF!</definedName>
    <definedName name="_Ref474054563" localSheetId="1">'18RIES01-3'!$AO$8</definedName>
    <definedName name="_Ref474054563" localSheetId="0">'18RIES01-9'!$AO$8</definedName>
    <definedName name="_Ref474054563" localSheetId="7">'18RIES02-11'!$AO$8</definedName>
    <definedName name="_Ref474054563" localSheetId="8">'18RIES02-13'!$AO$8</definedName>
    <definedName name="_Ref474054563" localSheetId="9">'18RIES02-14'!$AO$8</definedName>
    <definedName name="_Ref474054563" localSheetId="6">'18RIES02-6'!$AO$8</definedName>
    <definedName name="_Ref474054563" localSheetId="5">'18RIES4-10'!$AO$8</definedName>
    <definedName name="_Ref474054563" localSheetId="4">'18RIES4-13'!$AO$8</definedName>
    <definedName name="_Ref474054563" localSheetId="3">'18RIES4-2'!$AO$8</definedName>
    <definedName name="_Ref474054563" localSheetId="2">'18RIES4-7'!$AO$8</definedName>
    <definedName name="_Ref474054563" localSheetId="13">'IODP364_145-51'!$AO$8</definedName>
    <definedName name="_Ref474054563" localSheetId="14">'IODP364_145-84'!$AO$8</definedName>
    <definedName name="_Ref474054563" localSheetId="10">'IODP364_62-70'!$AO$8</definedName>
    <definedName name="_Ref474054563" localSheetId="12">'IODP364_93-10'!$AO$8</definedName>
    <definedName name="_Ref474054563" localSheetId="11">'IODP364_93-14'!$AO$8</definedName>
    <definedName name="_Ref474054575" localSheetId="1">'18RIES01-3'!$AO$12</definedName>
    <definedName name="_Ref474054575" localSheetId="0">'18RIES01-9'!$AO$12</definedName>
    <definedName name="_Ref474054575" localSheetId="7">'18RIES02-11'!$AO$12</definedName>
    <definedName name="_Ref474054575" localSheetId="8">'18RIES02-13'!$AO$12</definedName>
    <definedName name="_Ref474054575" localSheetId="9">'18RIES02-14'!$AO$12</definedName>
    <definedName name="_Ref474054575" localSheetId="6">'18RIES02-6'!$AO$12</definedName>
    <definedName name="_Ref474054575" localSheetId="5">'18RIES4-10'!$AO$12</definedName>
    <definedName name="_Ref474054575" localSheetId="4">'18RIES4-13'!$AO$12</definedName>
    <definedName name="_Ref474054575" localSheetId="3">'18RIES4-2'!$AO$12</definedName>
    <definedName name="_Ref474054575" localSheetId="2">'18RIES4-7'!$AO$12</definedName>
    <definedName name="_Ref474054575" localSheetId="13">'IODP364_145-51'!$AO$12</definedName>
    <definedName name="_Ref474054575" localSheetId="14">'IODP364_145-84'!$AO$12</definedName>
    <definedName name="_Ref474054575" localSheetId="10">'IODP364_62-70'!$AO$12</definedName>
    <definedName name="_Ref474054575" localSheetId="12">'IODP364_93-10'!$AO$12</definedName>
    <definedName name="_Ref474054575" localSheetId="11">'IODP364_93-14'!$AO$12</definedName>
    <definedName name="_Ref474056061" localSheetId="1">'18RIES01-3'!$AO$3</definedName>
    <definedName name="_Ref474056061" localSheetId="0">'18RIES01-9'!$AO$3</definedName>
    <definedName name="_Ref474056061" localSheetId="7">'18RIES02-11'!$AO$3</definedName>
    <definedName name="_Ref474056061" localSheetId="8">'18RIES02-13'!$AO$3</definedName>
    <definedName name="_Ref474056061" localSheetId="9">'18RIES02-14'!$AO$3</definedName>
    <definedName name="_Ref474056061" localSheetId="6">'18RIES02-6'!$AO$3</definedName>
    <definedName name="_Ref474056061" localSheetId="5">'18RIES4-10'!$AO$3</definedName>
    <definedName name="_Ref474056061" localSheetId="4">'18RIES4-13'!$AO$3</definedName>
    <definedName name="_Ref474056061" localSheetId="3">'18RIES4-2'!$AO$3</definedName>
    <definedName name="_Ref474056061" localSheetId="2">'18RIES4-7'!$AO$3</definedName>
    <definedName name="_Ref474056061" localSheetId="13">'IODP364_145-51'!$AO$3</definedName>
    <definedName name="_Ref474056061" localSheetId="14">'IODP364_145-84'!$AO$3</definedName>
    <definedName name="_Ref474056061" localSheetId="10">'IODP364_62-70'!$AO$3</definedName>
    <definedName name="_Ref474056061" localSheetId="12">'IODP364_93-10'!$AO$3</definedName>
    <definedName name="_Ref474056061" localSheetId="11">'IODP364_93-14'!$AO$3</definedName>
    <definedName name="_Ref474056112" localSheetId="1">'18RIES01-3'!$AO$15</definedName>
    <definedName name="_Ref474056112" localSheetId="0">'18RIES01-9'!$AO$15</definedName>
    <definedName name="_Ref474056112" localSheetId="7">'18RIES02-11'!$AO$15</definedName>
    <definedName name="_Ref474056112" localSheetId="8">'18RIES02-13'!$AO$15</definedName>
    <definedName name="_Ref474056112" localSheetId="9">'18RIES02-14'!$AO$15</definedName>
    <definedName name="_Ref474056112" localSheetId="6">'18RIES02-6'!$AO$15</definedName>
    <definedName name="_Ref474056112" localSheetId="5">'18RIES4-10'!$AO$15</definedName>
    <definedName name="_Ref474056112" localSheetId="4">'18RIES4-13'!$AO$15</definedName>
    <definedName name="_Ref474056112" localSheetId="3">'18RIES4-2'!$AO$15</definedName>
    <definedName name="_Ref474056112" localSheetId="2">'18RIES4-7'!$AO$15</definedName>
    <definedName name="_Ref474056112" localSheetId="13">'IODP364_145-51'!$AO$15</definedName>
    <definedName name="_Ref474056112" localSheetId="14">'IODP364_145-84'!$AO$15</definedName>
    <definedName name="_Ref474056112" localSheetId="10">'IODP364_62-70'!$AO$15</definedName>
    <definedName name="_Ref474056112" localSheetId="12">'IODP364_93-10'!$AO$15</definedName>
    <definedName name="_Ref474056112" localSheetId="11">'IODP364_93-14'!$AO$15</definedName>
    <definedName name="_Ref474169057" localSheetId="1">'18RIES01-3'!$AO$4</definedName>
    <definedName name="_Ref474169057" localSheetId="0">'18RIES01-9'!$AO$4</definedName>
    <definedName name="_Ref474169057" localSheetId="7">'18RIES02-11'!$AO$4</definedName>
    <definedName name="_Ref474169057" localSheetId="8">'18RIES02-13'!$AO$4</definedName>
    <definedName name="_Ref474169057" localSheetId="9">'18RIES02-14'!$AO$4</definedName>
    <definedName name="_Ref474169057" localSheetId="6">'18RIES02-6'!$AO$4</definedName>
    <definedName name="_Ref474169057" localSheetId="5">'18RIES4-10'!$AO$4</definedName>
    <definedName name="_Ref474169057" localSheetId="4">'18RIES4-13'!$AO$4</definedName>
    <definedName name="_Ref474169057" localSheetId="3">'18RIES4-2'!$AO$4</definedName>
    <definedName name="_Ref474169057" localSheetId="2">'18RIES4-7'!$AO$4</definedName>
    <definedName name="_Ref474169057" localSheetId="13">'IODP364_145-51'!$AO$4</definedName>
    <definedName name="_Ref474169057" localSheetId="14">'IODP364_145-84'!$AO$4</definedName>
    <definedName name="_Ref474169057" localSheetId="10">'IODP364_62-70'!$AO$4</definedName>
    <definedName name="_Ref474169057" localSheetId="12">'IODP364_93-10'!$AO$4</definedName>
    <definedName name="_Ref474169057" localSheetId="11">'IODP364_93-14'!$AO$4</definedName>
    <definedName name="_Ref474169171" localSheetId="1">'18RIES01-3'!$AO$7</definedName>
    <definedName name="_Ref474169171" localSheetId="0">'18RIES01-9'!$AO$7</definedName>
    <definedName name="_Ref474169171" localSheetId="7">'18RIES02-11'!$AO$7</definedName>
    <definedName name="_Ref474169171" localSheetId="8">'18RIES02-13'!$AO$7</definedName>
    <definedName name="_Ref474169171" localSheetId="9">'18RIES02-14'!$AO$7</definedName>
    <definedName name="_Ref474169171" localSheetId="6">'18RIES02-6'!$AO$7</definedName>
    <definedName name="_Ref474169171" localSheetId="5">'18RIES4-10'!$AO$7</definedName>
    <definedName name="_Ref474169171" localSheetId="4">'18RIES4-13'!$AO$7</definedName>
    <definedName name="_Ref474169171" localSheetId="3">'18RIES4-2'!$AO$7</definedName>
    <definedName name="_Ref474169171" localSheetId="2">'18RIES4-7'!$AO$7</definedName>
    <definedName name="_Ref474169171" localSheetId="13">'IODP364_145-51'!$AO$7</definedName>
    <definedName name="_Ref474169171" localSheetId="14">'IODP364_145-84'!$AO$7</definedName>
    <definedName name="_Ref474169171" localSheetId="10">'IODP364_62-70'!$AO$7</definedName>
    <definedName name="_Ref474169171" localSheetId="12">'IODP364_93-10'!$AO$7</definedName>
    <definedName name="_Ref474169171" localSheetId="11">'IODP364_93-14'!$AO$7</definedName>
    <definedName name="slvmv" localSheetId="17">'Total He concentration calc'!$AF$5</definedName>
    <definedName name="slvmv">#REF!</definedName>
    <definedName name="Solver" localSheetId="17">'Total He concentration calc'!$AA$5</definedName>
    <definedName name="Solver">#REF!</definedName>
    <definedName name="solver_eng" localSheetId="17" hidden="1">1</definedName>
    <definedName name="solver_lin" localSheetId="17" hidden="1">2</definedName>
    <definedName name="solver_neg" localSheetId="17" hidden="1">1</definedName>
    <definedName name="solver_num" localSheetId="17" hidden="1">0</definedName>
    <definedName name="solver_typ" localSheetId="17" hidden="1">3</definedName>
    <definedName name="solver_ver" localSheetId="17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21" l="1"/>
  <c r="M3" i="21"/>
  <c r="M24" i="21"/>
  <c r="M4" i="21"/>
  <c r="M21" i="21"/>
  <c r="M6" i="21"/>
  <c r="M9" i="21"/>
  <c r="M17" i="21"/>
  <c r="M14" i="21"/>
  <c r="M11" i="21"/>
  <c r="M27" i="21"/>
  <c r="M8" i="21"/>
  <c r="M28" i="21"/>
  <c r="M25" i="21"/>
  <c r="M2" i="21"/>
  <c r="M23" i="21"/>
  <c r="M32" i="21"/>
  <c r="M31" i="21"/>
  <c r="M13" i="21"/>
  <c r="M15" i="21"/>
  <c r="M20" i="21"/>
  <c r="M5" i="21"/>
  <c r="M22" i="21"/>
  <c r="M10" i="21"/>
  <c r="M26" i="21"/>
  <c r="M29" i="21"/>
  <c r="M18" i="21"/>
  <c r="M30" i="21"/>
  <c r="M16" i="21"/>
  <c r="M7" i="21"/>
  <c r="M19" i="21"/>
  <c r="M38" i="21"/>
  <c r="M33" i="21"/>
  <c r="M37" i="21"/>
  <c r="I37" i="21"/>
  <c r="M36" i="21"/>
  <c r="M35" i="21"/>
  <c r="M34" i="21"/>
  <c r="K68" i="20"/>
  <c r="K69" i="20"/>
  <c r="L69" i="20"/>
  <c r="J69" i="20"/>
  <c r="M65" i="20"/>
  <c r="M67" i="20"/>
  <c r="M66" i="20"/>
  <c r="M63" i="20"/>
  <c r="M62" i="20"/>
  <c r="M59" i="20"/>
  <c r="M58" i="20"/>
  <c r="M55" i="20"/>
  <c r="M54" i="20"/>
  <c r="M51" i="20"/>
  <c r="M50" i="20"/>
  <c r="M47" i="20"/>
  <c r="M46" i="20"/>
  <c r="M43" i="20"/>
  <c r="M42" i="20"/>
  <c r="M39" i="20"/>
  <c r="M38" i="20"/>
  <c r="M35" i="20"/>
  <c r="M34" i="20"/>
  <c r="M31" i="20"/>
  <c r="M30" i="20"/>
  <c r="M27" i="20"/>
  <c r="M26" i="20"/>
  <c r="M23" i="20"/>
  <c r="M22" i="20"/>
  <c r="M19" i="20"/>
  <c r="M18" i="20"/>
  <c r="M15" i="20"/>
  <c r="M14" i="20"/>
  <c r="M11" i="20"/>
  <c r="M10" i="20"/>
  <c r="L68" i="20"/>
  <c r="L67" i="20"/>
  <c r="F67" i="20"/>
  <c r="E67" i="20"/>
  <c r="L66" i="20"/>
  <c r="F66" i="20"/>
  <c r="E66" i="20"/>
  <c r="N65" i="20"/>
  <c r="O65" i="20"/>
  <c r="L65" i="20"/>
  <c r="F65" i="20"/>
  <c r="E65" i="20"/>
  <c r="N64" i="20"/>
  <c r="L64" i="20"/>
  <c r="F64" i="20"/>
  <c r="E64" i="20"/>
  <c r="N63" i="20"/>
  <c r="O63" i="20"/>
  <c r="L63" i="20"/>
  <c r="F63" i="20"/>
  <c r="E63" i="20"/>
  <c r="N62" i="20"/>
  <c r="O62" i="20"/>
  <c r="L62" i="20"/>
  <c r="F62" i="20"/>
  <c r="E62" i="20"/>
  <c r="N61" i="20"/>
  <c r="L61" i="20"/>
  <c r="F61" i="20"/>
  <c r="E61" i="20"/>
  <c r="N60" i="20"/>
  <c r="L60" i="20"/>
  <c r="F60" i="20"/>
  <c r="E60" i="20"/>
  <c r="N59" i="20"/>
  <c r="O59" i="20"/>
  <c r="L59" i="20"/>
  <c r="F59" i="20"/>
  <c r="E59" i="20"/>
  <c r="N58" i="20"/>
  <c r="O58" i="20"/>
  <c r="L58" i="20"/>
  <c r="F58" i="20"/>
  <c r="E58" i="20"/>
  <c r="N57" i="20"/>
  <c r="L57" i="20"/>
  <c r="F57" i="20"/>
  <c r="E57" i="20"/>
  <c r="N56" i="20"/>
  <c r="L56" i="20"/>
  <c r="F56" i="20"/>
  <c r="E56" i="20"/>
  <c r="N55" i="20"/>
  <c r="O55" i="20"/>
  <c r="L55" i="20"/>
  <c r="F55" i="20"/>
  <c r="E55" i="20"/>
  <c r="N54" i="20"/>
  <c r="O54" i="20"/>
  <c r="L54" i="20"/>
  <c r="F54" i="20"/>
  <c r="E54" i="20"/>
  <c r="N53" i="20"/>
  <c r="L53" i="20"/>
  <c r="F53" i="20"/>
  <c r="E53" i="20"/>
  <c r="N52" i="20"/>
  <c r="L52" i="20"/>
  <c r="F52" i="20"/>
  <c r="E52" i="20"/>
  <c r="N51" i="20"/>
  <c r="O51" i="20"/>
  <c r="L51" i="20"/>
  <c r="F51" i="20"/>
  <c r="E51" i="20"/>
  <c r="N50" i="20"/>
  <c r="O50" i="20"/>
  <c r="L50" i="20"/>
  <c r="F50" i="20"/>
  <c r="E50" i="20"/>
  <c r="N49" i="20"/>
  <c r="L49" i="20"/>
  <c r="F49" i="20"/>
  <c r="E49" i="20"/>
  <c r="N48" i="20"/>
  <c r="L48" i="20"/>
  <c r="F48" i="20"/>
  <c r="E48" i="20"/>
  <c r="N47" i="20"/>
  <c r="O47" i="20"/>
  <c r="L47" i="20"/>
  <c r="F47" i="20"/>
  <c r="E47" i="20"/>
  <c r="N46" i="20"/>
  <c r="O46" i="20"/>
  <c r="L46" i="20"/>
  <c r="F46" i="20"/>
  <c r="E46" i="20"/>
  <c r="N45" i="20"/>
  <c r="L45" i="20"/>
  <c r="F45" i="20"/>
  <c r="E45" i="20"/>
  <c r="N44" i="20"/>
  <c r="L44" i="20"/>
  <c r="F44" i="20"/>
  <c r="E44" i="20"/>
  <c r="N43" i="20"/>
  <c r="O43" i="20"/>
  <c r="L43" i="20"/>
  <c r="F43" i="20"/>
  <c r="E43" i="20"/>
  <c r="N42" i="20"/>
  <c r="O42" i="20"/>
  <c r="L42" i="20"/>
  <c r="F42" i="20"/>
  <c r="E42" i="20"/>
  <c r="N41" i="20"/>
  <c r="L41" i="20"/>
  <c r="F41" i="20"/>
  <c r="E41" i="20"/>
  <c r="N40" i="20"/>
  <c r="L40" i="20"/>
  <c r="F40" i="20"/>
  <c r="E40" i="20"/>
  <c r="N39" i="20"/>
  <c r="O39" i="20"/>
  <c r="L39" i="20"/>
  <c r="F39" i="20"/>
  <c r="E39" i="20"/>
  <c r="N38" i="20"/>
  <c r="O38" i="20"/>
  <c r="L38" i="20"/>
  <c r="F38" i="20"/>
  <c r="E38" i="20"/>
  <c r="N37" i="20"/>
  <c r="L37" i="20"/>
  <c r="F37" i="20"/>
  <c r="E37" i="20"/>
  <c r="N36" i="20"/>
  <c r="L36" i="20"/>
  <c r="F36" i="20"/>
  <c r="E36" i="20"/>
  <c r="N35" i="20"/>
  <c r="O35" i="20"/>
  <c r="L35" i="20"/>
  <c r="F35" i="20"/>
  <c r="E35" i="20"/>
  <c r="N34" i="20"/>
  <c r="O34" i="20"/>
  <c r="L34" i="20"/>
  <c r="F34" i="20"/>
  <c r="E34" i="20"/>
  <c r="N33" i="20"/>
  <c r="L33" i="20"/>
  <c r="F33" i="20"/>
  <c r="E33" i="20"/>
  <c r="N32" i="20"/>
  <c r="L32" i="20"/>
  <c r="F32" i="20"/>
  <c r="E32" i="20"/>
  <c r="N31" i="20"/>
  <c r="O31" i="20"/>
  <c r="L31" i="20"/>
  <c r="F31" i="20"/>
  <c r="E31" i="20"/>
  <c r="N30" i="20"/>
  <c r="O30" i="20"/>
  <c r="L30" i="20"/>
  <c r="F30" i="20"/>
  <c r="E30" i="20"/>
  <c r="N29" i="20"/>
  <c r="L29" i="20"/>
  <c r="F29" i="20"/>
  <c r="E29" i="20"/>
  <c r="N28" i="20"/>
  <c r="L28" i="20"/>
  <c r="F28" i="20"/>
  <c r="E28" i="20"/>
  <c r="N27" i="20"/>
  <c r="O27" i="20"/>
  <c r="L27" i="20"/>
  <c r="F27" i="20"/>
  <c r="E27" i="20"/>
  <c r="N26" i="20"/>
  <c r="O26" i="20"/>
  <c r="L26" i="20"/>
  <c r="F26" i="20"/>
  <c r="E26" i="20"/>
  <c r="N25" i="20"/>
  <c r="L25" i="20"/>
  <c r="F25" i="20"/>
  <c r="E25" i="20"/>
  <c r="N24" i="20"/>
  <c r="L24" i="20"/>
  <c r="F24" i="20"/>
  <c r="E24" i="20"/>
  <c r="N23" i="20"/>
  <c r="O23" i="20"/>
  <c r="L23" i="20"/>
  <c r="F23" i="20"/>
  <c r="E23" i="20"/>
  <c r="N22" i="20"/>
  <c r="O22" i="20"/>
  <c r="L22" i="20"/>
  <c r="F22" i="20"/>
  <c r="E22" i="20"/>
  <c r="N21" i="20"/>
  <c r="L21" i="20"/>
  <c r="F21" i="20"/>
  <c r="E21" i="20"/>
  <c r="N20" i="20"/>
  <c r="L20" i="20"/>
  <c r="F20" i="20"/>
  <c r="E20" i="20"/>
  <c r="N19" i="20"/>
  <c r="O19" i="20"/>
  <c r="L19" i="20"/>
  <c r="F19" i="20"/>
  <c r="E19" i="20"/>
  <c r="N18" i="20"/>
  <c r="O18" i="20"/>
  <c r="L18" i="20"/>
  <c r="F18" i="20"/>
  <c r="E18" i="20"/>
  <c r="N17" i="20"/>
  <c r="L17" i="20"/>
  <c r="F17" i="20"/>
  <c r="E17" i="20"/>
  <c r="N16" i="20"/>
  <c r="L16" i="20"/>
  <c r="F16" i="20"/>
  <c r="E16" i="20"/>
  <c r="N15" i="20"/>
  <c r="O15" i="20"/>
  <c r="L15" i="20"/>
  <c r="F15" i="20"/>
  <c r="E15" i="20"/>
  <c r="N14" i="20"/>
  <c r="O14" i="20"/>
  <c r="L14" i="20"/>
  <c r="F14" i="20"/>
  <c r="E14" i="20"/>
  <c r="N13" i="20"/>
  <c r="L13" i="20"/>
  <c r="F13" i="20"/>
  <c r="E13" i="20"/>
  <c r="N12" i="20"/>
  <c r="L12" i="20"/>
  <c r="F12" i="20"/>
  <c r="E12" i="20"/>
  <c r="N11" i="20"/>
  <c r="O11" i="20"/>
  <c r="L11" i="20"/>
  <c r="F11" i="20"/>
  <c r="E11" i="20"/>
  <c r="N10" i="20"/>
  <c r="O10" i="20"/>
  <c r="L10" i="20"/>
  <c r="F10" i="20"/>
  <c r="E10" i="20"/>
  <c r="N9" i="20"/>
  <c r="L9" i="20"/>
  <c r="F9" i="20"/>
  <c r="E9" i="20"/>
  <c r="N8" i="20"/>
  <c r="L8" i="20"/>
  <c r="F8" i="20"/>
  <c r="E8" i="20"/>
  <c r="AE3" i="20"/>
  <c r="K64" i="19"/>
  <c r="K65" i="19"/>
  <c r="J65" i="19"/>
  <c r="M58" i="19"/>
  <c r="M50" i="19"/>
  <c r="M42" i="19"/>
  <c r="M34" i="19"/>
  <c r="M26" i="19"/>
  <c r="M18" i="19"/>
  <c r="M10" i="19"/>
  <c r="L64" i="19"/>
  <c r="L63" i="19"/>
  <c r="G63" i="19"/>
  <c r="F63" i="19"/>
  <c r="E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B8" i="19"/>
  <c r="B9" i="19"/>
  <c r="B10" i="19"/>
  <c r="L62" i="19"/>
  <c r="F62" i="19"/>
  <c r="E62" i="19"/>
  <c r="L61" i="19"/>
  <c r="F61" i="19"/>
  <c r="E61" i="19"/>
  <c r="L60" i="19"/>
  <c r="F60" i="19"/>
  <c r="E60" i="19"/>
  <c r="L59" i="19"/>
  <c r="F59" i="19"/>
  <c r="E59" i="19"/>
  <c r="L58" i="19"/>
  <c r="F58" i="19"/>
  <c r="E58" i="19"/>
  <c r="L57" i="19"/>
  <c r="F57" i="19"/>
  <c r="E57" i="19"/>
  <c r="L56" i="19"/>
  <c r="F56" i="19"/>
  <c r="E56" i="19"/>
  <c r="L55" i="19"/>
  <c r="F55" i="19"/>
  <c r="E55" i="19"/>
  <c r="L54" i="19"/>
  <c r="F54" i="19"/>
  <c r="E54" i="19"/>
  <c r="L53" i="19"/>
  <c r="F53" i="19"/>
  <c r="E53" i="19"/>
  <c r="L52" i="19"/>
  <c r="F52" i="19"/>
  <c r="E52" i="19"/>
  <c r="L51" i="19"/>
  <c r="F51" i="19"/>
  <c r="E51" i="19"/>
  <c r="N50" i="19"/>
  <c r="O50" i="19"/>
  <c r="L50" i="19"/>
  <c r="F50" i="19"/>
  <c r="E50" i="19"/>
  <c r="N49" i="19"/>
  <c r="L49" i="19"/>
  <c r="F49" i="19"/>
  <c r="E49" i="19"/>
  <c r="N48" i="19"/>
  <c r="L48" i="19"/>
  <c r="F48" i="19"/>
  <c r="E48" i="19"/>
  <c r="N47" i="19"/>
  <c r="L47" i="19"/>
  <c r="F47" i="19"/>
  <c r="E47" i="19"/>
  <c r="N46" i="19"/>
  <c r="L46" i="19"/>
  <c r="F46" i="19"/>
  <c r="E46" i="19"/>
  <c r="N45" i="19"/>
  <c r="L45" i="19"/>
  <c r="F45" i="19"/>
  <c r="E45" i="19"/>
  <c r="N44" i="19"/>
  <c r="L44" i="19"/>
  <c r="F44" i="19"/>
  <c r="E44" i="19"/>
  <c r="N43" i="19"/>
  <c r="L43" i="19"/>
  <c r="F43" i="19"/>
  <c r="E43" i="19"/>
  <c r="N42" i="19"/>
  <c r="O42" i="19"/>
  <c r="L42" i="19"/>
  <c r="F42" i="19"/>
  <c r="E42" i="19"/>
  <c r="N41" i="19"/>
  <c r="L41" i="19"/>
  <c r="F41" i="19"/>
  <c r="E41" i="19"/>
  <c r="N40" i="19"/>
  <c r="L40" i="19"/>
  <c r="F40" i="19"/>
  <c r="E40" i="19"/>
  <c r="N39" i="19"/>
  <c r="L39" i="19"/>
  <c r="F39" i="19"/>
  <c r="E39" i="19"/>
  <c r="N38" i="19"/>
  <c r="L38" i="19"/>
  <c r="F38" i="19"/>
  <c r="E38" i="19"/>
  <c r="N37" i="19"/>
  <c r="L37" i="19"/>
  <c r="F37" i="19"/>
  <c r="E37" i="19"/>
  <c r="N36" i="19"/>
  <c r="L36" i="19"/>
  <c r="F36" i="19"/>
  <c r="E36" i="19"/>
  <c r="N35" i="19"/>
  <c r="L35" i="19"/>
  <c r="F35" i="19"/>
  <c r="E35" i="19"/>
  <c r="N34" i="19"/>
  <c r="O34" i="19"/>
  <c r="L34" i="19"/>
  <c r="F34" i="19"/>
  <c r="E34" i="19"/>
  <c r="N33" i="19"/>
  <c r="L33" i="19"/>
  <c r="F33" i="19"/>
  <c r="E33" i="19"/>
  <c r="N32" i="19"/>
  <c r="L32" i="19"/>
  <c r="F32" i="19"/>
  <c r="E32" i="19"/>
  <c r="N31" i="19"/>
  <c r="L31" i="19"/>
  <c r="F31" i="19"/>
  <c r="E31" i="19"/>
  <c r="N30" i="19"/>
  <c r="L30" i="19"/>
  <c r="F30" i="19"/>
  <c r="E30" i="19"/>
  <c r="N29" i="19"/>
  <c r="L29" i="19"/>
  <c r="F29" i="19"/>
  <c r="E29" i="19"/>
  <c r="N28" i="19"/>
  <c r="L28" i="19"/>
  <c r="F28" i="19"/>
  <c r="E28" i="19"/>
  <c r="N27" i="19"/>
  <c r="L27" i="19"/>
  <c r="F27" i="19"/>
  <c r="E27" i="19"/>
  <c r="N26" i="19"/>
  <c r="O26" i="19"/>
  <c r="L26" i="19"/>
  <c r="F26" i="19"/>
  <c r="E26" i="19"/>
  <c r="N25" i="19"/>
  <c r="L25" i="19"/>
  <c r="F25" i="19"/>
  <c r="E25" i="19"/>
  <c r="N24" i="19"/>
  <c r="L24" i="19"/>
  <c r="F24" i="19"/>
  <c r="E24" i="19"/>
  <c r="N23" i="19"/>
  <c r="L23" i="19"/>
  <c r="F23" i="19"/>
  <c r="E23" i="19"/>
  <c r="N22" i="19"/>
  <c r="L22" i="19"/>
  <c r="F22" i="19"/>
  <c r="E22" i="19"/>
  <c r="N21" i="19"/>
  <c r="L21" i="19"/>
  <c r="F21" i="19"/>
  <c r="E21" i="19"/>
  <c r="N20" i="19"/>
  <c r="L20" i="19"/>
  <c r="F20" i="19"/>
  <c r="E20" i="19"/>
  <c r="N19" i="19"/>
  <c r="L19" i="19"/>
  <c r="F19" i="19"/>
  <c r="E19" i="19"/>
  <c r="N18" i="19"/>
  <c r="O18" i="19"/>
  <c r="L18" i="19"/>
  <c r="F18" i="19"/>
  <c r="E18" i="19"/>
  <c r="N17" i="19"/>
  <c r="L17" i="19"/>
  <c r="F17" i="19"/>
  <c r="E17" i="19"/>
  <c r="N16" i="19"/>
  <c r="L16" i="19"/>
  <c r="F16" i="19"/>
  <c r="E16" i="19"/>
  <c r="N15" i="19"/>
  <c r="L15" i="19"/>
  <c r="F15" i="19"/>
  <c r="E15" i="19"/>
  <c r="N14" i="19"/>
  <c r="L14" i="19"/>
  <c r="F14" i="19"/>
  <c r="E14" i="19"/>
  <c r="N13" i="19"/>
  <c r="L13" i="19"/>
  <c r="F13" i="19"/>
  <c r="E13" i="19"/>
  <c r="N12" i="19"/>
  <c r="L12" i="19"/>
  <c r="F12" i="19"/>
  <c r="E12" i="19"/>
  <c r="N11" i="19"/>
  <c r="L11" i="19"/>
  <c r="F11" i="19"/>
  <c r="E11" i="19"/>
  <c r="N10" i="19"/>
  <c r="O10" i="19"/>
  <c r="L10" i="19"/>
  <c r="F10" i="19"/>
  <c r="E10" i="19"/>
  <c r="N9" i="19"/>
  <c r="L9" i="19"/>
  <c r="F9" i="19"/>
  <c r="E9" i="19"/>
  <c r="N8" i="19"/>
  <c r="L8" i="19"/>
  <c r="F8" i="19"/>
  <c r="E8" i="19"/>
  <c r="AE3" i="19"/>
  <c r="K47" i="18"/>
  <c r="K48" i="18"/>
  <c r="J48" i="18"/>
  <c r="M33" i="18"/>
  <c r="L47" i="18"/>
  <c r="M38" i="18"/>
  <c r="M22" i="18"/>
  <c r="L46" i="18"/>
  <c r="G46" i="18"/>
  <c r="F46" i="18"/>
  <c r="E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B8" i="18"/>
  <c r="B9" i="18"/>
  <c r="L45" i="18"/>
  <c r="F45" i="18"/>
  <c r="E45" i="18"/>
  <c r="N44" i="18"/>
  <c r="L44" i="18"/>
  <c r="F44" i="18"/>
  <c r="E44" i="18"/>
  <c r="N43" i="18"/>
  <c r="L43" i="18"/>
  <c r="F43" i="18"/>
  <c r="E43" i="18"/>
  <c r="L42" i="18"/>
  <c r="F42" i="18"/>
  <c r="E42" i="18"/>
  <c r="L41" i="18"/>
  <c r="F41" i="18"/>
  <c r="E41" i="18"/>
  <c r="N40" i="18"/>
  <c r="L40" i="18"/>
  <c r="F40" i="18"/>
  <c r="E40" i="18"/>
  <c r="N39" i="18"/>
  <c r="L39" i="18"/>
  <c r="F39" i="18"/>
  <c r="E39" i="18"/>
  <c r="L38" i="18"/>
  <c r="F38" i="18"/>
  <c r="E38" i="18"/>
  <c r="L37" i="18"/>
  <c r="F37" i="18"/>
  <c r="E37" i="18"/>
  <c r="N36" i="18"/>
  <c r="L36" i="18"/>
  <c r="F36" i="18"/>
  <c r="E36" i="18"/>
  <c r="N35" i="18"/>
  <c r="L35" i="18"/>
  <c r="F35" i="18"/>
  <c r="E35" i="18"/>
  <c r="L34" i="18"/>
  <c r="F34" i="18"/>
  <c r="E34" i="18"/>
  <c r="L33" i="18"/>
  <c r="F33" i="18"/>
  <c r="E33" i="18"/>
  <c r="N32" i="18"/>
  <c r="L32" i="18"/>
  <c r="F32" i="18"/>
  <c r="E32" i="18"/>
  <c r="N31" i="18"/>
  <c r="L31" i="18"/>
  <c r="F31" i="18"/>
  <c r="E31" i="18"/>
  <c r="L30" i="18"/>
  <c r="F30" i="18"/>
  <c r="E30" i="18"/>
  <c r="L29" i="18"/>
  <c r="F29" i="18"/>
  <c r="E29" i="18"/>
  <c r="N28" i="18"/>
  <c r="L28" i="18"/>
  <c r="F28" i="18"/>
  <c r="E28" i="18"/>
  <c r="N27" i="18"/>
  <c r="L27" i="18"/>
  <c r="F27" i="18"/>
  <c r="E27" i="18"/>
  <c r="L26" i="18"/>
  <c r="F26" i="18"/>
  <c r="E26" i="18"/>
  <c r="L25" i="18"/>
  <c r="F25" i="18"/>
  <c r="E25" i="18"/>
  <c r="N24" i="18"/>
  <c r="L24" i="18"/>
  <c r="F24" i="18"/>
  <c r="E24" i="18"/>
  <c r="N23" i="18"/>
  <c r="L23" i="18"/>
  <c r="F23" i="18"/>
  <c r="E23" i="18"/>
  <c r="L22" i="18"/>
  <c r="F22" i="18"/>
  <c r="E22" i="18"/>
  <c r="L21" i="18"/>
  <c r="F21" i="18"/>
  <c r="E21" i="18"/>
  <c r="N20" i="18"/>
  <c r="L20" i="18"/>
  <c r="F20" i="18"/>
  <c r="E20" i="18"/>
  <c r="N19" i="18"/>
  <c r="L19" i="18"/>
  <c r="F19" i="18"/>
  <c r="E19" i="18"/>
  <c r="L18" i="18"/>
  <c r="F18" i="18"/>
  <c r="E18" i="18"/>
  <c r="L17" i="18"/>
  <c r="F17" i="18"/>
  <c r="E17" i="18"/>
  <c r="N16" i="18"/>
  <c r="L16" i="18"/>
  <c r="F16" i="18"/>
  <c r="E16" i="18"/>
  <c r="N15" i="18"/>
  <c r="L15" i="18"/>
  <c r="F15" i="18"/>
  <c r="E15" i="18"/>
  <c r="L14" i="18"/>
  <c r="F14" i="18"/>
  <c r="E14" i="18"/>
  <c r="L13" i="18"/>
  <c r="F13" i="18"/>
  <c r="E13" i="18"/>
  <c r="N12" i="18"/>
  <c r="L12" i="18"/>
  <c r="F12" i="18"/>
  <c r="E12" i="18"/>
  <c r="N11" i="18"/>
  <c r="L11" i="18"/>
  <c r="F11" i="18"/>
  <c r="E11" i="18"/>
  <c r="L10" i="18"/>
  <c r="F10" i="18"/>
  <c r="E10" i="18"/>
  <c r="L9" i="18"/>
  <c r="F9" i="18"/>
  <c r="E9" i="18"/>
  <c r="N8" i="18"/>
  <c r="L8" i="18"/>
  <c r="F8" i="18"/>
  <c r="E8" i="18"/>
  <c r="AE3" i="18"/>
  <c r="K43" i="17"/>
  <c r="K44" i="17"/>
  <c r="J44" i="17"/>
  <c r="L43" i="17"/>
  <c r="M41" i="17"/>
  <c r="M33" i="17"/>
  <c r="M25" i="17"/>
  <c r="M17" i="17"/>
  <c r="M9" i="17"/>
  <c r="L42" i="17"/>
  <c r="G42" i="17"/>
  <c r="F42" i="17"/>
  <c r="E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B9" i="17"/>
  <c r="G8" i="17"/>
  <c r="B8" i="17"/>
  <c r="B10" i="17"/>
  <c r="B11" i="17"/>
  <c r="L41" i="17"/>
  <c r="F41" i="17"/>
  <c r="E41" i="17"/>
  <c r="L40" i="17"/>
  <c r="F40" i="17"/>
  <c r="E40" i="17"/>
  <c r="N39" i="17"/>
  <c r="L39" i="17"/>
  <c r="F39" i="17"/>
  <c r="E39" i="17"/>
  <c r="L38" i="17"/>
  <c r="F38" i="17"/>
  <c r="E38" i="17"/>
  <c r="L37" i="17"/>
  <c r="F37" i="17"/>
  <c r="E37" i="17"/>
  <c r="L36" i="17"/>
  <c r="F36" i="17"/>
  <c r="E36" i="17"/>
  <c r="N35" i="17"/>
  <c r="L35" i="17"/>
  <c r="F35" i="17"/>
  <c r="E35" i="17"/>
  <c r="L34" i="17"/>
  <c r="F34" i="17"/>
  <c r="E34" i="17"/>
  <c r="L33" i="17"/>
  <c r="F33" i="17"/>
  <c r="E33" i="17"/>
  <c r="L32" i="17"/>
  <c r="F32" i="17"/>
  <c r="E32" i="17"/>
  <c r="N31" i="17"/>
  <c r="L31" i="17"/>
  <c r="F31" i="17"/>
  <c r="E31" i="17"/>
  <c r="L30" i="17"/>
  <c r="F30" i="17"/>
  <c r="E30" i="17"/>
  <c r="L29" i="17"/>
  <c r="F29" i="17"/>
  <c r="E29" i="17"/>
  <c r="N28" i="17"/>
  <c r="L28" i="17"/>
  <c r="F28" i="17"/>
  <c r="E28" i="17"/>
  <c r="N27" i="17"/>
  <c r="L27" i="17"/>
  <c r="F27" i="17"/>
  <c r="E27" i="17"/>
  <c r="L26" i="17"/>
  <c r="F26" i="17"/>
  <c r="E26" i="17"/>
  <c r="L25" i="17"/>
  <c r="F25" i="17"/>
  <c r="E25" i="17"/>
  <c r="N24" i="17"/>
  <c r="L24" i="17"/>
  <c r="F24" i="17"/>
  <c r="E24" i="17"/>
  <c r="N23" i="17"/>
  <c r="L23" i="17"/>
  <c r="F23" i="17"/>
  <c r="E23" i="17"/>
  <c r="L22" i="17"/>
  <c r="F22" i="17"/>
  <c r="E22" i="17"/>
  <c r="L21" i="17"/>
  <c r="F21" i="17"/>
  <c r="E21" i="17"/>
  <c r="N20" i="17"/>
  <c r="L20" i="17"/>
  <c r="F20" i="17"/>
  <c r="E20" i="17"/>
  <c r="N19" i="17"/>
  <c r="L19" i="17"/>
  <c r="F19" i="17"/>
  <c r="E19" i="17"/>
  <c r="L18" i="17"/>
  <c r="F18" i="17"/>
  <c r="E18" i="17"/>
  <c r="L17" i="17"/>
  <c r="F17" i="17"/>
  <c r="E17" i="17"/>
  <c r="N16" i="17"/>
  <c r="L16" i="17"/>
  <c r="F16" i="17"/>
  <c r="E16" i="17"/>
  <c r="N15" i="17"/>
  <c r="L15" i="17"/>
  <c r="F15" i="17"/>
  <c r="E15" i="17"/>
  <c r="L14" i="17"/>
  <c r="F14" i="17"/>
  <c r="E14" i="17"/>
  <c r="L13" i="17"/>
  <c r="F13" i="17"/>
  <c r="E13" i="17"/>
  <c r="N12" i="17"/>
  <c r="L12" i="17"/>
  <c r="F12" i="17"/>
  <c r="E12" i="17"/>
  <c r="N11" i="17"/>
  <c r="L11" i="17"/>
  <c r="F11" i="17"/>
  <c r="E11" i="17"/>
  <c r="N10" i="17"/>
  <c r="L10" i="17"/>
  <c r="F10" i="17"/>
  <c r="E10" i="17"/>
  <c r="N9" i="17"/>
  <c r="O9" i="17"/>
  <c r="L9" i="17"/>
  <c r="F9" i="17"/>
  <c r="E9" i="17"/>
  <c r="N8" i="17"/>
  <c r="L8" i="17"/>
  <c r="F8" i="17"/>
  <c r="E8" i="17"/>
  <c r="AE3" i="17"/>
  <c r="K26" i="16"/>
  <c r="K27" i="16"/>
  <c r="L27" i="16"/>
  <c r="J27" i="16"/>
  <c r="M22" i="16"/>
  <c r="M25" i="16"/>
  <c r="M21" i="16"/>
  <c r="M17" i="16"/>
  <c r="M13" i="16"/>
  <c r="M9" i="16"/>
  <c r="N25" i="16"/>
  <c r="O25" i="16"/>
  <c r="L25" i="16"/>
  <c r="G25" i="16"/>
  <c r="F25" i="16"/>
  <c r="E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B10" i="16"/>
  <c r="B11" i="16"/>
  <c r="B12" i="16"/>
  <c r="B13" i="16"/>
  <c r="G9" i="16"/>
  <c r="G8" i="16"/>
  <c r="B8" i="16"/>
  <c r="B9" i="16"/>
  <c r="N24" i="16"/>
  <c r="L24" i="16"/>
  <c r="F24" i="16"/>
  <c r="E24" i="16"/>
  <c r="N23" i="16"/>
  <c r="L23" i="16"/>
  <c r="F23" i="16"/>
  <c r="E23" i="16"/>
  <c r="N22" i="16"/>
  <c r="L22" i="16"/>
  <c r="F22" i="16"/>
  <c r="E22" i="16"/>
  <c r="N21" i="16"/>
  <c r="O21" i="16"/>
  <c r="L21" i="16"/>
  <c r="F21" i="16"/>
  <c r="E21" i="16"/>
  <c r="N20" i="16"/>
  <c r="L20" i="16"/>
  <c r="F20" i="16"/>
  <c r="E20" i="16"/>
  <c r="N19" i="16"/>
  <c r="L19" i="16"/>
  <c r="F19" i="16"/>
  <c r="E19" i="16"/>
  <c r="N18" i="16"/>
  <c r="L18" i="16"/>
  <c r="F18" i="16"/>
  <c r="E18" i="16"/>
  <c r="N17" i="16"/>
  <c r="O17" i="16"/>
  <c r="L17" i="16"/>
  <c r="F17" i="16"/>
  <c r="E17" i="16"/>
  <c r="N16" i="16"/>
  <c r="L16" i="16"/>
  <c r="F16" i="16"/>
  <c r="E16" i="16"/>
  <c r="N15" i="16"/>
  <c r="L15" i="16"/>
  <c r="F15" i="16"/>
  <c r="E15" i="16"/>
  <c r="N14" i="16"/>
  <c r="L14" i="16"/>
  <c r="F14" i="16"/>
  <c r="E14" i="16"/>
  <c r="N13" i="16"/>
  <c r="O13" i="16"/>
  <c r="L13" i="16"/>
  <c r="F13" i="16"/>
  <c r="E13" i="16"/>
  <c r="N12" i="16"/>
  <c r="L12" i="16"/>
  <c r="F12" i="16"/>
  <c r="E12" i="16"/>
  <c r="N11" i="16"/>
  <c r="L11" i="16"/>
  <c r="F11" i="16"/>
  <c r="E11" i="16"/>
  <c r="N10" i="16"/>
  <c r="L10" i="16"/>
  <c r="F10" i="16"/>
  <c r="E10" i="16"/>
  <c r="N9" i="16"/>
  <c r="O9" i="16"/>
  <c r="L9" i="16"/>
  <c r="F9" i="16"/>
  <c r="E9" i="16"/>
  <c r="N8" i="16"/>
  <c r="L8" i="16"/>
  <c r="F8" i="16"/>
  <c r="E8" i="16"/>
  <c r="AE3" i="16"/>
  <c r="J52" i="15"/>
  <c r="M50" i="15"/>
  <c r="M51" i="15"/>
  <c r="M48" i="15"/>
  <c r="M47" i="15"/>
  <c r="M44" i="15"/>
  <c r="M43" i="15"/>
  <c r="M40" i="15"/>
  <c r="M39" i="15"/>
  <c r="M36" i="15"/>
  <c r="M35" i="15"/>
  <c r="M32" i="15"/>
  <c r="M31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P8" i="15"/>
  <c r="P9" i="15"/>
  <c r="P10" i="15"/>
  <c r="N50" i="15"/>
  <c r="L50" i="15"/>
  <c r="G50" i="15"/>
  <c r="F50" i="15"/>
  <c r="E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B8" i="15"/>
  <c r="B9" i="15"/>
  <c r="N49" i="15"/>
  <c r="L49" i="15"/>
  <c r="F49" i="15"/>
  <c r="E49" i="15"/>
  <c r="N48" i="15"/>
  <c r="O48" i="15"/>
  <c r="L48" i="15"/>
  <c r="F48" i="15"/>
  <c r="E48" i="15"/>
  <c r="N47" i="15"/>
  <c r="O47" i="15"/>
  <c r="L47" i="15"/>
  <c r="F47" i="15"/>
  <c r="E47" i="15"/>
  <c r="N46" i="15"/>
  <c r="L46" i="15"/>
  <c r="F46" i="15"/>
  <c r="E46" i="15"/>
  <c r="N45" i="15"/>
  <c r="L45" i="15"/>
  <c r="F45" i="15"/>
  <c r="E45" i="15"/>
  <c r="N44" i="15"/>
  <c r="O44" i="15"/>
  <c r="L44" i="15"/>
  <c r="F44" i="15"/>
  <c r="E44" i="15"/>
  <c r="N43" i="15"/>
  <c r="O43" i="15"/>
  <c r="L43" i="15"/>
  <c r="F43" i="15"/>
  <c r="E43" i="15"/>
  <c r="N42" i="15"/>
  <c r="L42" i="15"/>
  <c r="F42" i="15"/>
  <c r="E42" i="15"/>
  <c r="N41" i="15"/>
  <c r="L41" i="15"/>
  <c r="F41" i="15"/>
  <c r="E41" i="15"/>
  <c r="N40" i="15"/>
  <c r="O40" i="15"/>
  <c r="L40" i="15"/>
  <c r="F40" i="15"/>
  <c r="E40" i="15"/>
  <c r="N39" i="15"/>
  <c r="O39" i="15"/>
  <c r="L39" i="15"/>
  <c r="F39" i="15"/>
  <c r="E39" i="15"/>
  <c r="N38" i="15"/>
  <c r="L38" i="15"/>
  <c r="F38" i="15"/>
  <c r="E38" i="15"/>
  <c r="N37" i="15"/>
  <c r="L37" i="15"/>
  <c r="F37" i="15"/>
  <c r="E37" i="15"/>
  <c r="N36" i="15"/>
  <c r="O36" i="15"/>
  <c r="L36" i="15"/>
  <c r="F36" i="15"/>
  <c r="E36" i="15"/>
  <c r="N35" i="15"/>
  <c r="O35" i="15"/>
  <c r="L35" i="15"/>
  <c r="F35" i="15"/>
  <c r="E35" i="15"/>
  <c r="N34" i="15"/>
  <c r="L34" i="15"/>
  <c r="F34" i="15"/>
  <c r="E34" i="15"/>
  <c r="N33" i="15"/>
  <c r="L33" i="15"/>
  <c r="F33" i="15"/>
  <c r="E33" i="15"/>
  <c r="N32" i="15"/>
  <c r="O32" i="15"/>
  <c r="L32" i="15"/>
  <c r="F32" i="15"/>
  <c r="E32" i="15"/>
  <c r="N31" i="15"/>
  <c r="O31" i="15"/>
  <c r="L31" i="15"/>
  <c r="F31" i="15"/>
  <c r="E31" i="15"/>
  <c r="N30" i="15"/>
  <c r="L30" i="15"/>
  <c r="F30" i="15"/>
  <c r="E30" i="15"/>
  <c r="N29" i="15"/>
  <c r="L29" i="15"/>
  <c r="F29" i="15"/>
  <c r="E29" i="15"/>
  <c r="N28" i="15"/>
  <c r="O28" i="15"/>
  <c r="L28" i="15"/>
  <c r="F28" i="15"/>
  <c r="E28" i="15"/>
  <c r="N27" i="15"/>
  <c r="O27" i="15"/>
  <c r="L27" i="15"/>
  <c r="F27" i="15"/>
  <c r="E27" i="15"/>
  <c r="N26" i="15"/>
  <c r="O26" i="15"/>
  <c r="L26" i="15"/>
  <c r="F26" i="15"/>
  <c r="E26" i="15"/>
  <c r="N25" i="15"/>
  <c r="O25" i="15"/>
  <c r="L25" i="15"/>
  <c r="F25" i="15"/>
  <c r="E25" i="15"/>
  <c r="N24" i="15"/>
  <c r="O24" i="15"/>
  <c r="L24" i="15"/>
  <c r="F24" i="15"/>
  <c r="E24" i="15"/>
  <c r="N23" i="15"/>
  <c r="O23" i="15"/>
  <c r="L23" i="15"/>
  <c r="F23" i="15"/>
  <c r="E23" i="15"/>
  <c r="N22" i="15"/>
  <c r="O22" i="15"/>
  <c r="L22" i="15"/>
  <c r="F22" i="15"/>
  <c r="E22" i="15"/>
  <c r="N21" i="15"/>
  <c r="O21" i="15"/>
  <c r="L21" i="15"/>
  <c r="F21" i="15"/>
  <c r="E21" i="15"/>
  <c r="N20" i="15"/>
  <c r="O20" i="15"/>
  <c r="L20" i="15"/>
  <c r="F20" i="15"/>
  <c r="E20" i="15"/>
  <c r="N19" i="15"/>
  <c r="O19" i="15"/>
  <c r="L19" i="15"/>
  <c r="F19" i="15"/>
  <c r="E19" i="15"/>
  <c r="N18" i="15"/>
  <c r="O18" i="15"/>
  <c r="L18" i="15"/>
  <c r="F18" i="15"/>
  <c r="E18" i="15"/>
  <c r="N17" i="15"/>
  <c r="O17" i="15"/>
  <c r="L17" i="15"/>
  <c r="F17" i="15"/>
  <c r="E17" i="15"/>
  <c r="N16" i="15"/>
  <c r="O16" i="15"/>
  <c r="L16" i="15"/>
  <c r="F16" i="15"/>
  <c r="E16" i="15"/>
  <c r="N15" i="15"/>
  <c r="O15" i="15"/>
  <c r="L15" i="15"/>
  <c r="F15" i="15"/>
  <c r="E15" i="15"/>
  <c r="N14" i="15"/>
  <c r="O14" i="15"/>
  <c r="L14" i="15"/>
  <c r="F14" i="15"/>
  <c r="E14" i="15"/>
  <c r="N13" i="15"/>
  <c r="O13" i="15"/>
  <c r="L13" i="15"/>
  <c r="F13" i="15"/>
  <c r="E13" i="15"/>
  <c r="N12" i="15"/>
  <c r="O12" i="15"/>
  <c r="L12" i="15"/>
  <c r="F12" i="15"/>
  <c r="E12" i="15"/>
  <c r="N11" i="15"/>
  <c r="O11" i="15"/>
  <c r="L11" i="15"/>
  <c r="F11" i="15"/>
  <c r="E11" i="15"/>
  <c r="S10" i="15"/>
  <c r="AC10" i="15"/>
  <c r="T10" i="15"/>
  <c r="U10" i="15"/>
  <c r="V10" i="15"/>
  <c r="Q10" i="15"/>
  <c r="R10" i="15"/>
  <c r="N10" i="15"/>
  <c r="O10" i="15"/>
  <c r="L10" i="15"/>
  <c r="F10" i="15"/>
  <c r="E10" i="15"/>
  <c r="S9" i="15"/>
  <c r="AC9" i="15"/>
  <c r="AG9" i="15"/>
  <c r="T9" i="15"/>
  <c r="V9" i="15"/>
  <c r="U9" i="15"/>
  <c r="Y9" i="15"/>
  <c r="Q9" i="15"/>
  <c r="R9" i="15"/>
  <c r="N9" i="15"/>
  <c r="O9" i="15"/>
  <c r="L9" i="15"/>
  <c r="F9" i="15"/>
  <c r="E9" i="15"/>
  <c r="S8" i="15"/>
  <c r="AC8" i="15"/>
  <c r="AG8" i="15"/>
  <c r="T8" i="15"/>
  <c r="V8" i="15"/>
  <c r="U8" i="15"/>
  <c r="Y8" i="15"/>
  <c r="Q8" i="15"/>
  <c r="R8" i="15"/>
  <c r="N8" i="15"/>
  <c r="O8" i="15"/>
  <c r="L8" i="15"/>
  <c r="F8" i="15"/>
  <c r="E8" i="15"/>
  <c r="AE3" i="15"/>
  <c r="K47" i="14"/>
  <c r="K48" i="14"/>
  <c r="J48" i="14"/>
  <c r="M47" i="14"/>
  <c r="N46" i="14"/>
  <c r="M46" i="14"/>
  <c r="L46" i="14"/>
  <c r="G46" i="14"/>
  <c r="F46" i="14"/>
  <c r="E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B8" i="14"/>
  <c r="B9" i="14"/>
  <c r="B10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P8" i="14"/>
  <c r="N45" i="14"/>
  <c r="O45" i="14"/>
  <c r="L45" i="14"/>
  <c r="F45" i="14"/>
  <c r="E45" i="14"/>
  <c r="N44" i="14"/>
  <c r="O44" i="14"/>
  <c r="L44" i="14"/>
  <c r="F44" i="14"/>
  <c r="E44" i="14"/>
  <c r="N43" i="14"/>
  <c r="O43" i="14"/>
  <c r="L43" i="14"/>
  <c r="F43" i="14"/>
  <c r="E43" i="14"/>
  <c r="N42" i="14"/>
  <c r="O42" i="14"/>
  <c r="L42" i="14"/>
  <c r="F42" i="14"/>
  <c r="E42" i="14"/>
  <c r="N41" i="14"/>
  <c r="O41" i="14"/>
  <c r="L41" i="14"/>
  <c r="F41" i="14"/>
  <c r="E41" i="14"/>
  <c r="N40" i="14"/>
  <c r="O40" i="14"/>
  <c r="L40" i="14"/>
  <c r="F40" i="14"/>
  <c r="E40" i="14"/>
  <c r="N39" i="14"/>
  <c r="O39" i="14"/>
  <c r="L39" i="14"/>
  <c r="F39" i="14"/>
  <c r="E39" i="14"/>
  <c r="N38" i="14"/>
  <c r="O38" i="14"/>
  <c r="L38" i="14"/>
  <c r="F38" i="14"/>
  <c r="E38" i="14"/>
  <c r="N37" i="14"/>
  <c r="O37" i="14"/>
  <c r="L37" i="14"/>
  <c r="F37" i="14"/>
  <c r="E37" i="14"/>
  <c r="N36" i="14"/>
  <c r="O36" i="14"/>
  <c r="L36" i="14"/>
  <c r="F36" i="14"/>
  <c r="E36" i="14"/>
  <c r="N35" i="14"/>
  <c r="O35" i="14"/>
  <c r="L35" i="14"/>
  <c r="F35" i="14"/>
  <c r="E35" i="14"/>
  <c r="N34" i="14"/>
  <c r="O34" i="14"/>
  <c r="L34" i="14"/>
  <c r="F34" i="14"/>
  <c r="E34" i="14"/>
  <c r="N33" i="14"/>
  <c r="O33" i="14"/>
  <c r="L33" i="14"/>
  <c r="F33" i="14"/>
  <c r="E33" i="14"/>
  <c r="N32" i="14"/>
  <c r="O32" i="14"/>
  <c r="L32" i="14"/>
  <c r="F32" i="14"/>
  <c r="E32" i="14"/>
  <c r="N31" i="14"/>
  <c r="O31" i="14"/>
  <c r="L31" i="14"/>
  <c r="F31" i="14"/>
  <c r="E31" i="14"/>
  <c r="N30" i="14"/>
  <c r="O30" i="14"/>
  <c r="L30" i="14"/>
  <c r="F30" i="14"/>
  <c r="E30" i="14"/>
  <c r="N29" i="14"/>
  <c r="O29" i="14"/>
  <c r="L29" i="14"/>
  <c r="F29" i="14"/>
  <c r="E29" i="14"/>
  <c r="N28" i="14"/>
  <c r="O28" i="14"/>
  <c r="L28" i="14"/>
  <c r="F28" i="14"/>
  <c r="E28" i="14"/>
  <c r="N27" i="14"/>
  <c r="O27" i="14"/>
  <c r="L27" i="14"/>
  <c r="F27" i="14"/>
  <c r="E27" i="14"/>
  <c r="N26" i="14"/>
  <c r="O26" i="14"/>
  <c r="L26" i="14"/>
  <c r="F26" i="14"/>
  <c r="E26" i="14"/>
  <c r="N25" i="14"/>
  <c r="O25" i="14"/>
  <c r="L25" i="14"/>
  <c r="F25" i="14"/>
  <c r="E25" i="14"/>
  <c r="N24" i="14"/>
  <c r="O24" i="14"/>
  <c r="L24" i="14"/>
  <c r="F24" i="14"/>
  <c r="E24" i="14"/>
  <c r="N23" i="14"/>
  <c r="O23" i="14"/>
  <c r="L23" i="14"/>
  <c r="F23" i="14"/>
  <c r="E23" i="14"/>
  <c r="N22" i="14"/>
  <c r="O22" i="14"/>
  <c r="L22" i="14"/>
  <c r="F22" i="14"/>
  <c r="E22" i="14"/>
  <c r="N21" i="14"/>
  <c r="O21" i="14"/>
  <c r="L21" i="14"/>
  <c r="F21" i="14"/>
  <c r="E21" i="14"/>
  <c r="N20" i="14"/>
  <c r="O20" i="14"/>
  <c r="L20" i="14"/>
  <c r="F20" i="14"/>
  <c r="E20" i="14"/>
  <c r="N19" i="14"/>
  <c r="O19" i="14"/>
  <c r="L19" i="14"/>
  <c r="F19" i="14"/>
  <c r="E19" i="14"/>
  <c r="N18" i="14"/>
  <c r="O18" i="14"/>
  <c r="L18" i="14"/>
  <c r="F18" i="14"/>
  <c r="E18" i="14"/>
  <c r="N17" i="14"/>
  <c r="O17" i="14"/>
  <c r="L17" i="14"/>
  <c r="F17" i="14"/>
  <c r="E17" i="14"/>
  <c r="N16" i="14"/>
  <c r="O16" i="14"/>
  <c r="L16" i="14"/>
  <c r="F16" i="14"/>
  <c r="E16" i="14"/>
  <c r="N15" i="14"/>
  <c r="O15" i="14"/>
  <c r="L15" i="14"/>
  <c r="F15" i="14"/>
  <c r="E15" i="14"/>
  <c r="N14" i="14"/>
  <c r="O14" i="14"/>
  <c r="L14" i="14"/>
  <c r="F14" i="14"/>
  <c r="E14" i="14"/>
  <c r="N13" i="14"/>
  <c r="O13" i="14"/>
  <c r="L13" i="14"/>
  <c r="F13" i="14"/>
  <c r="E13" i="14"/>
  <c r="N12" i="14"/>
  <c r="O12" i="14"/>
  <c r="L12" i="14"/>
  <c r="F12" i="14"/>
  <c r="E12" i="14"/>
  <c r="N11" i="14"/>
  <c r="O11" i="14"/>
  <c r="L11" i="14"/>
  <c r="F11" i="14"/>
  <c r="E11" i="14"/>
  <c r="N10" i="14"/>
  <c r="O10" i="14"/>
  <c r="L10" i="14"/>
  <c r="F10" i="14"/>
  <c r="E10" i="14"/>
  <c r="N9" i="14"/>
  <c r="O9" i="14"/>
  <c r="L9" i="14"/>
  <c r="F9" i="14"/>
  <c r="E9" i="14"/>
  <c r="N8" i="14"/>
  <c r="O8" i="14"/>
  <c r="L8" i="14"/>
  <c r="F8" i="14"/>
  <c r="E8" i="14"/>
  <c r="AE3" i="14"/>
  <c r="K20" i="13"/>
  <c r="K21" i="13"/>
  <c r="L21" i="13"/>
  <c r="J21" i="13"/>
  <c r="L20" i="13"/>
  <c r="M18" i="13"/>
  <c r="M15" i="13"/>
  <c r="M14" i="13"/>
  <c r="M10" i="13"/>
  <c r="N19" i="13"/>
  <c r="L19" i="13"/>
  <c r="G19" i="13"/>
  <c r="F19" i="13"/>
  <c r="E19" i="13"/>
  <c r="G18" i="13"/>
  <c r="G17" i="13"/>
  <c r="G16" i="13"/>
  <c r="G15" i="13"/>
  <c r="G14" i="13"/>
  <c r="G13" i="13"/>
  <c r="G12" i="13"/>
  <c r="G11" i="13"/>
  <c r="G10" i="13"/>
  <c r="G9" i="13"/>
  <c r="G8" i="13"/>
  <c r="B8" i="13"/>
  <c r="B9" i="13"/>
  <c r="B10" i="13"/>
  <c r="N18" i="13"/>
  <c r="O18" i="13"/>
  <c r="L18" i="13"/>
  <c r="F18" i="13"/>
  <c r="E18" i="13"/>
  <c r="L17" i="13"/>
  <c r="F17" i="13"/>
  <c r="E17" i="13"/>
  <c r="L16" i="13"/>
  <c r="F16" i="13"/>
  <c r="E16" i="13"/>
  <c r="L15" i="13"/>
  <c r="F15" i="13"/>
  <c r="E15" i="13"/>
  <c r="N14" i="13"/>
  <c r="L14" i="13"/>
  <c r="F14" i="13"/>
  <c r="E14" i="13"/>
  <c r="N13" i="13"/>
  <c r="L13" i="13"/>
  <c r="F13" i="13"/>
  <c r="E13" i="13"/>
  <c r="N12" i="13"/>
  <c r="L12" i="13"/>
  <c r="F12" i="13"/>
  <c r="E12" i="13"/>
  <c r="L11" i="13"/>
  <c r="F11" i="13"/>
  <c r="E11" i="13"/>
  <c r="N10" i="13"/>
  <c r="O10" i="13"/>
  <c r="L10" i="13"/>
  <c r="F10" i="13"/>
  <c r="E10" i="13"/>
  <c r="N9" i="13"/>
  <c r="L9" i="13"/>
  <c r="F9" i="13"/>
  <c r="E9" i="13"/>
  <c r="N8" i="13"/>
  <c r="L8" i="13"/>
  <c r="F8" i="13"/>
  <c r="E8" i="13"/>
  <c r="AE3" i="13"/>
  <c r="K78" i="12"/>
  <c r="K79" i="12"/>
  <c r="L79" i="12"/>
  <c r="J79" i="12"/>
  <c r="M64" i="12"/>
  <c r="L78" i="12"/>
  <c r="M76" i="12"/>
  <c r="M72" i="12"/>
  <c r="M68" i="12"/>
  <c r="M60" i="12"/>
  <c r="M56" i="12"/>
  <c r="M52" i="12"/>
  <c r="M44" i="12"/>
  <c r="M40" i="12"/>
  <c r="M36" i="12"/>
  <c r="M28" i="12"/>
  <c r="M24" i="12"/>
  <c r="M20" i="12"/>
  <c r="M12" i="12"/>
  <c r="M8" i="12"/>
  <c r="P8" i="12"/>
  <c r="L77" i="12"/>
  <c r="G77" i="12"/>
  <c r="F77" i="12"/>
  <c r="E77" i="12"/>
  <c r="G8" i="12"/>
  <c r="B8" i="12"/>
  <c r="G9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N76" i="12"/>
  <c r="O76" i="12"/>
  <c r="L76" i="12"/>
  <c r="F76" i="12"/>
  <c r="E76" i="12"/>
  <c r="L75" i="12"/>
  <c r="F75" i="12"/>
  <c r="E75" i="12"/>
  <c r="L74" i="12"/>
  <c r="F74" i="12"/>
  <c r="E74" i="12"/>
  <c r="L73" i="12"/>
  <c r="F73" i="12"/>
  <c r="E73" i="12"/>
  <c r="N72" i="12"/>
  <c r="O72" i="12"/>
  <c r="L72" i="12"/>
  <c r="F72" i="12"/>
  <c r="E72" i="12"/>
  <c r="L71" i="12"/>
  <c r="F71" i="12"/>
  <c r="E71" i="12"/>
  <c r="L70" i="12"/>
  <c r="F70" i="12"/>
  <c r="E70" i="12"/>
  <c r="L69" i="12"/>
  <c r="F69" i="12"/>
  <c r="E69" i="12"/>
  <c r="N68" i="12"/>
  <c r="O68" i="12"/>
  <c r="L68" i="12"/>
  <c r="F68" i="12"/>
  <c r="E68" i="12"/>
  <c r="L67" i="12"/>
  <c r="F67" i="12"/>
  <c r="E67" i="12"/>
  <c r="L66" i="12"/>
  <c r="F66" i="12"/>
  <c r="E66" i="12"/>
  <c r="L65" i="12"/>
  <c r="F65" i="12"/>
  <c r="E65" i="12"/>
  <c r="N64" i="12"/>
  <c r="L64" i="12"/>
  <c r="F64" i="12"/>
  <c r="E64" i="12"/>
  <c r="L63" i="12"/>
  <c r="F63" i="12"/>
  <c r="E63" i="12"/>
  <c r="L62" i="12"/>
  <c r="F62" i="12"/>
  <c r="E62" i="12"/>
  <c r="L61" i="12"/>
  <c r="F61" i="12"/>
  <c r="E61" i="12"/>
  <c r="N60" i="12"/>
  <c r="O60" i="12"/>
  <c r="L60" i="12"/>
  <c r="F60" i="12"/>
  <c r="E60" i="12"/>
  <c r="L59" i="12"/>
  <c r="F59" i="12"/>
  <c r="E59" i="12"/>
  <c r="L58" i="12"/>
  <c r="F58" i="12"/>
  <c r="E58" i="12"/>
  <c r="L57" i="12"/>
  <c r="F57" i="12"/>
  <c r="E57" i="12"/>
  <c r="N56" i="12"/>
  <c r="O56" i="12"/>
  <c r="L56" i="12"/>
  <c r="F56" i="12"/>
  <c r="E56" i="12"/>
  <c r="L55" i="12"/>
  <c r="F55" i="12"/>
  <c r="E55" i="12"/>
  <c r="L54" i="12"/>
  <c r="F54" i="12"/>
  <c r="E54" i="12"/>
  <c r="L53" i="12"/>
  <c r="F53" i="12"/>
  <c r="E53" i="12"/>
  <c r="N52" i="12"/>
  <c r="O52" i="12"/>
  <c r="L52" i="12"/>
  <c r="F52" i="12"/>
  <c r="E52" i="12"/>
  <c r="L51" i="12"/>
  <c r="F51" i="12"/>
  <c r="E51" i="12"/>
  <c r="L50" i="12"/>
  <c r="F50" i="12"/>
  <c r="E50" i="12"/>
  <c r="L49" i="12"/>
  <c r="F49" i="12"/>
  <c r="E49" i="12"/>
  <c r="N48" i="12"/>
  <c r="L48" i="12"/>
  <c r="F48" i="12"/>
  <c r="E48" i="12"/>
  <c r="L47" i="12"/>
  <c r="F47" i="12"/>
  <c r="E47" i="12"/>
  <c r="L46" i="12"/>
  <c r="F46" i="12"/>
  <c r="E46" i="12"/>
  <c r="L45" i="12"/>
  <c r="F45" i="12"/>
  <c r="E45" i="12"/>
  <c r="N44" i="12"/>
  <c r="O44" i="12"/>
  <c r="L44" i="12"/>
  <c r="F44" i="12"/>
  <c r="E44" i="12"/>
  <c r="L43" i="12"/>
  <c r="F43" i="12"/>
  <c r="E43" i="12"/>
  <c r="L42" i="12"/>
  <c r="F42" i="12"/>
  <c r="E42" i="12"/>
  <c r="L41" i="12"/>
  <c r="F41" i="12"/>
  <c r="E41" i="12"/>
  <c r="N40" i="12"/>
  <c r="O40" i="12"/>
  <c r="L40" i="12"/>
  <c r="F40" i="12"/>
  <c r="E40" i="12"/>
  <c r="L39" i="12"/>
  <c r="F39" i="12"/>
  <c r="E39" i="12"/>
  <c r="L38" i="12"/>
  <c r="F38" i="12"/>
  <c r="E38" i="12"/>
  <c r="L37" i="12"/>
  <c r="F37" i="12"/>
  <c r="E37" i="12"/>
  <c r="N36" i="12"/>
  <c r="O36" i="12"/>
  <c r="L36" i="12"/>
  <c r="F36" i="12"/>
  <c r="E36" i="12"/>
  <c r="L35" i="12"/>
  <c r="F35" i="12"/>
  <c r="E35" i="12"/>
  <c r="L34" i="12"/>
  <c r="F34" i="12"/>
  <c r="E34" i="12"/>
  <c r="L33" i="12"/>
  <c r="F33" i="12"/>
  <c r="E33" i="12"/>
  <c r="N32" i="12"/>
  <c r="L32" i="12"/>
  <c r="F32" i="12"/>
  <c r="E32" i="12"/>
  <c r="L31" i="12"/>
  <c r="F31" i="12"/>
  <c r="E31" i="12"/>
  <c r="L30" i="12"/>
  <c r="F30" i="12"/>
  <c r="E30" i="12"/>
  <c r="L29" i="12"/>
  <c r="F29" i="12"/>
  <c r="E29" i="12"/>
  <c r="N28" i="12"/>
  <c r="O28" i="12"/>
  <c r="L28" i="12"/>
  <c r="F28" i="12"/>
  <c r="E28" i="12"/>
  <c r="L27" i="12"/>
  <c r="F27" i="12"/>
  <c r="E27" i="12"/>
  <c r="L26" i="12"/>
  <c r="F26" i="12"/>
  <c r="E26" i="12"/>
  <c r="L25" i="12"/>
  <c r="F25" i="12"/>
  <c r="E25" i="12"/>
  <c r="N24" i="12"/>
  <c r="O24" i="12"/>
  <c r="L24" i="12"/>
  <c r="F24" i="12"/>
  <c r="E24" i="12"/>
  <c r="L23" i="12"/>
  <c r="F23" i="12"/>
  <c r="E23" i="12"/>
  <c r="L22" i="12"/>
  <c r="F22" i="12"/>
  <c r="E22" i="12"/>
  <c r="L21" i="12"/>
  <c r="F21" i="12"/>
  <c r="E21" i="12"/>
  <c r="N20" i="12"/>
  <c r="O20" i="12"/>
  <c r="L20" i="12"/>
  <c r="F20" i="12"/>
  <c r="E20" i="12"/>
  <c r="L19" i="12"/>
  <c r="F19" i="12"/>
  <c r="E19" i="12"/>
  <c r="L18" i="12"/>
  <c r="F18" i="12"/>
  <c r="E18" i="12"/>
  <c r="L17" i="12"/>
  <c r="F17" i="12"/>
  <c r="E17" i="12"/>
  <c r="N16" i="12"/>
  <c r="L16" i="12"/>
  <c r="F16" i="12"/>
  <c r="E16" i="12"/>
  <c r="L15" i="12"/>
  <c r="F15" i="12"/>
  <c r="E15" i="12"/>
  <c r="L14" i="12"/>
  <c r="F14" i="12"/>
  <c r="E14" i="12"/>
  <c r="L13" i="12"/>
  <c r="F13" i="12"/>
  <c r="E13" i="12"/>
  <c r="N12" i="12"/>
  <c r="O12" i="12"/>
  <c r="L12" i="12"/>
  <c r="F12" i="12"/>
  <c r="E12" i="12"/>
  <c r="L11" i="12"/>
  <c r="F11" i="12"/>
  <c r="E11" i="12"/>
  <c r="L10" i="12"/>
  <c r="F10" i="12"/>
  <c r="E10" i="12"/>
  <c r="L9" i="12"/>
  <c r="F9" i="12"/>
  <c r="E9" i="12"/>
  <c r="S8" i="12"/>
  <c r="N8" i="12"/>
  <c r="O8" i="12"/>
  <c r="L8" i="12"/>
  <c r="F8" i="12"/>
  <c r="E8" i="12"/>
  <c r="AE3" i="12"/>
  <c r="K45" i="11"/>
  <c r="K46" i="11"/>
  <c r="J46" i="11"/>
  <c r="M41" i="11"/>
  <c r="M37" i="11"/>
  <c r="M33" i="11"/>
  <c r="M29" i="11"/>
  <c r="M25" i="11"/>
  <c r="M21" i="11"/>
  <c r="M17" i="11"/>
  <c r="M13" i="11"/>
  <c r="M9" i="11"/>
  <c r="L44" i="11"/>
  <c r="G44" i="11"/>
  <c r="F44" i="11"/>
  <c r="E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B9" i="11"/>
  <c r="B10" i="11"/>
  <c r="G8" i="11"/>
  <c r="B8" i="11"/>
  <c r="B11" i="11"/>
  <c r="L43" i="11"/>
  <c r="F43" i="11"/>
  <c r="E43" i="11"/>
  <c r="L42" i="11"/>
  <c r="F42" i="11"/>
  <c r="E42" i="11"/>
  <c r="N41" i="11"/>
  <c r="L41" i="11"/>
  <c r="F41" i="11"/>
  <c r="E41" i="11"/>
  <c r="L40" i="11"/>
  <c r="F40" i="11"/>
  <c r="E40" i="11"/>
  <c r="L39" i="11"/>
  <c r="F39" i="11"/>
  <c r="E39" i="11"/>
  <c r="L38" i="11"/>
  <c r="F38" i="11"/>
  <c r="E38" i="11"/>
  <c r="N37" i="11"/>
  <c r="O37" i="11"/>
  <c r="L37" i="11"/>
  <c r="F37" i="11"/>
  <c r="E37" i="11"/>
  <c r="L36" i="11"/>
  <c r="F36" i="11"/>
  <c r="E36" i="11"/>
  <c r="N35" i="11"/>
  <c r="L35" i="11"/>
  <c r="F35" i="11"/>
  <c r="E35" i="11"/>
  <c r="N34" i="11"/>
  <c r="L34" i="11"/>
  <c r="F34" i="11"/>
  <c r="E34" i="11"/>
  <c r="N33" i="11"/>
  <c r="L33" i="11"/>
  <c r="F33" i="11"/>
  <c r="E33" i="11"/>
  <c r="L32" i="11"/>
  <c r="F32" i="11"/>
  <c r="E32" i="11"/>
  <c r="N31" i="11"/>
  <c r="L31" i="11"/>
  <c r="F31" i="11"/>
  <c r="E31" i="11"/>
  <c r="N30" i="11"/>
  <c r="L30" i="11"/>
  <c r="F30" i="11"/>
  <c r="E30" i="11"/>
  <c r="N29" i="11"/>
  <c r="O29" i="11"/>
  <c r="L29" i="11"/>
  <c r="F29" i="11"/>
  <c r="E29" i="11"/>
  <c r="L28" i="11"/>
  <c r="F28" i="11"/>
  <c r="E28" i="11"/>
  <c r="N27" i="11"/>
  <c r="L27" i="11"/>
  <c r="F27" i="11"/>
  <c r="E27" i="11"/>
  <c r="N26" i="11"/>
  <c r="L26" i="11"/>
  <c r="F26" i="11"/>
  <c r="E26" i="11"/>
  <c r="N25" i="11"/>
  <c r="L25" i="11"/>
  <c r="F25" i="11"/>
  <c r="E25" i="11"/>
  <c r="L24" i="11"/>
  <c r="F24" i="11"/>
  <c r="E24" i="11"/>
  <c r="N23" i="11"/>
  <c r="L23" i="11"/>
  <c r="F23" i="11"/>
  <c r="E23" i="11"/>
  <c r="N22" i="11"/>
  <c r="L22" i="11"/>
  <c r="F22" i="11"/>
  <c r="E22" i="11"/>
  <c r="N21" i="11"/>
  <c r="O21" i="11"/>
  <c r="L21" i="11"/>
  <c r="F21" i="11"/>
  <c r="E21" i="11"/>
  <c r="L20" i="11"/>
  <c r="F20" i="11"/>
  <c r="E20" i="11"/>
  <c r="N19" i="11"/>
  <c r="L19" i="11"/>
  <c r="F19" i="11"/>
  <c r="E19" i="11"/>
  <c r="N18" i="11"/>
  <c r="L18" i="11"/>
  <c r="F18" i="11"/>
  <c r="E18" i="11"/>
  <c r="N17" i="11"/>
  <c r="O17" i="11"/>
  <c r="L17" i="11"/>
  <c r="F17" i="11"/>
  <c r="E17" i="11"/>
  <c r="L16" i="11"/>
  <c r="F16" i="11"/>
  <c r="E16" i="11"/>
  <c r="N15" i="11"/>
  <c r="L15" i="11"/>
  <c r="F15" i="11"/>
  <c r="E15" i="11"/>
  <c r="N14" i="11"/>
  <c r="L14" i="11"/>
  <c r="F14" i="11"/>
  <c r="E14" i="11"/>
  <c r="N13" i="11"/>
  <c r="O13" i="11"/>
  <c r="L13" i="11"/>
  <c r="F13" i="11"/>
  <c r="E13" i="11"/>
  <c r="N12" i="11"/>
  <c r="L12" i="11"/>
  <c r="F12" i="11"/>
  <c r="E12" i="11"/>
  <c r="N11" i="11"/>
  <c r="L11" i="11"/>
  <c r="F11" i="11"/>
  <c r="E11" i="11"/>
  <c r="N10" i="11"/>
  <c r="L10" i="11"/>
  <c r="F10" i="11"/>
  <c r="E10" i="11"/>
  <c r="N9" i="11"/>
  <c r="O9" i="11"/>
  <c r="L9" i="11"/>
  <c r="F9" i="11"/>
  <c r="E9" i="11"/>
  <c r="N8" i="11"/>
  <c r="L8" i="11"/>
  <c r="F8" i="11"/>
  <c r="E8" i="11"/>
  <c r="AE3" i="11"/>
  <c r="J47" i="10"/>
  <c r="M46" i="10"/>
  <c r="K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P9" i="10"/>
  <c r="M8" i="10"/>
  <c r="P8" i="10"/>
  <c r="N45" i="10"/>
  <c r="O45" i="10"/>
  <c r="L45" i="10"/>
  <c r="G45" i="10"/>
  <c r="F45" i="10"/>
  <c r="E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B8" i="10"/>
  <c r="B9" i="10"/>
  <c r="N44" i="10"/>
  <c r="O44" i="10"/>
  <c r="L44" i="10"/>
  <c r="F44" i="10"/>
  <c r="E44" i="10"/>
  <c r="N43" i="10"/>
  <c r="O43" i="10"/>
  <c r="L43" i="10"/>
  <c r="F43" i="10"/>
  <c r="E43" i="10"/>
  <c r="N42" i="10"/>
  <c r="O42" i="10"/>
  <c r="L42" i="10"/>
  <c r="F42" i="10"/>
  <c r="E42" i="10"/>
  <c r="N41" i="10"/>
  <c r="O41" i="10"/>
  <c r="L41" i="10"/>
  <c r="F41" i="10"/>
  <c r="E41" i="10"/>
  <c r="N40" i="10"/>
  <c r="O40" i="10"/>
  <c r="L40" i="10"/>
  <c r="F40" i="10"/>
  <c r="E40" i="10"/>
  <c r="N39" i="10"/>
  <c r="O39" i="10"/>
  <c r="L39" i="10"/>
  <c r="F39" i="10"/>
  <c r="E39" i="10"/>
  <c r="N38" i="10"/>
  <c r="O38" i="10"/>
  <c r="L38" i="10"/>
  <c r="F38" i="10"/>
  <c r="E38" i="10"/>
  <c r="N37" i="10"/>
  <c r="O37" i="10"/>
  <c r="L37" i="10"/>
  <c r="F37" i="10"/>
  <c r="E37" i="10"/>
  <c r="N36" i="10"/>
  <c r="O36" i="10"/>
  <c r="L36" i="10"/>
  <c r="F36" i="10"/>
  <c r="E36" i="10"/>
  <c r="N35" i="10"/>
  <c r="O35" i="10"/>
  <c r="L35" i="10"/>
  <c r="F35" i="10"/>
  <c r="E35" i="10"/>
  <c r="N34" i="10"/>
  <c r="O34" i="10"/>
  <c r="L34" i="10"/>
  <c r="F34" i="10"/>
  <c r="E34" i="10"/>
  <c r="N33" i="10"/>
  <c r="O33" i="10"/>
  <c r="L33" i="10"/>
  <c r="F33" i="10"/>
  <c r="E33" i="10"/>
  <c r="N32" i="10"/>
  <c r="O32" i="10"/>
  <c r="L32" i="10"/>
  <c r="F32" i="10"/>
  <c r="E32" i="10"/>
  <c r="N31" i="10"/>
  <c r="O31" i="10"/>
  <c r="L31" i="10"/>
  <c r="F31" i="10"/>
  <c r="E31" i="10"/>
  <c r="N30" i="10"/>
  <c r="O30" i="10"/>
  <c r="L30" i="10"/>
  <c r="F30" i="10"/>
  <c r="E30" i="10"/>
  <c r="N29" i="10"/>
  <c r="O29" i="10"/>
  <c r="L29" i="10"/>
  <c r="F29" i="10"/>
  <c r="E29" i="10"/>
  <c r="N28" i="10"/>
  <c r="O28" i="10"/>
  <c r="L28" i="10"/>
  <c r="F28" i="10"/>
  <c r="E28" i="10"/>
  <c r="N27" i="10"/>
  <c r="O27" i="10"/>
  <c r="L27" i="10"/>
  <c r="F27" i="10"/>
  <c r="E27" i="10"/>
  <c r="N26" i="10"/>
  <c r="O26" i="10"/>
  <c r="L26" i="10"/>
  <c r="F26" i="10"/>
  <c r="E26" i="10"/>
  <c r="N25" i="10"/>
  <c r="O25" i="10"/>
  <c r="L25" i="10"/>
  <c r="F25" i="10"/>
  <c r="E25" i="10"/>
  <c r="N24" i="10"/>
  <c r="O24" i="10"/>
  <c r="L24" i="10"/>
  <c r="F24" i="10"/>
  <c r="E24" i="10"/>
  <c r="N23" i="10"/>
  <c r="O23" i="10"/>
  <c r="L23" i="10"/>
  <c r="F23" i="10"/>
  <c r="E23" i="10"/>
  <c r="N22" i="10"/>
  <c r="O22" i="10"/>
  <c r="L22" i="10"/>
  <c r="F22" i="10"/>
  <c r="E22" i="10"/>
  <c r="N21" i="10"/>
  <c r="O21" i="10"/>
  <c r="L21" i="10"/>
  <c r="F21" i="10"/>
  <c r="E21" i="10"/>
  <c r="N20" i="10"/>
  <c r="O20" i="10"/>
  <c r="L20" i="10"/>
  <c r="F20" i="10"/>
  <c r="E20" i="10"/>
  <c r="N19" i="10"/>
  <c r="O19" i="10"/>
  <c r="L19" i="10"/>
  <c r="F19" i="10"/>
  <c r="E19" i="10"/>
  <c r="N18" i="10"/>
  <c r="O18" i="10"/>
  <c r="L18" i="10"/>
  <c r="F18" i="10"/>
  <c r="E18" i="10"/>
  <c r="N17" i="10"/>
  <c r="O17" i="10"/>
  <c r="L17" i="10"/>
  <c r="F17" i="10"/>
  <c r="E17" i="10"/>
  <c r="N16" i="10"/>
  <c r="O16" i="10"/>
  <c r="L16" i="10"/>
  <c r="F16" i="10"/>
  <c r="E16" i="10"/>
  <c r="N15" i="10"/>
  <c r="O15" i="10"/>
  <c r="L15" i="10"/>
  <c r="F15" i="10"/>
  <c r="E15" i="10"/>
  <c r="N14" i="10"/>
  <c r="O14" i="10"/>
  <c r="L14" i="10"/>
  <c r="F14" i="10"/>
  <c r="E14" i="10"/>
  <c r="N13" i="10"/>
  <c r="O13" i="10"/>
  <c r="L13" i="10"/>
  <c r="F13" i="10"/>
  <c r="E13" i="10"/>
  <c r="N12" i="10"/>
  <c r="O12" i="10"/>
  <c r="L12" i="10"/>
  <c r="F12" i="10"/>
  <c r="E12" i="10"/>
  <c r="N11" i="10"/>
  <c r="O11" i="10"/>
  <c r="L11" i="10"/>
  <c r="F11" i="10"/>
  <c r="E11" i="10"/>
  <c r="N10" i="10"/>
  <c r="O10" i="10"/>
  <c r="L10" i="10"/>
  <c r="F10" i="10"/>
  <c r="E10" i="10"/>
  <c r="N9" i="10"/>
  <c r="O9" i="10"/>
  <c r="L9" i="10"/>
  <c r="F9" i="10"/>
  <c r="E9" i="10"/>
  <c r="N8" i="10"/>
  <c r="O8" i="10"/>
  <c r="L8" i="10"/>
  <c r="F8" i="10"/>
  <c r="E8" i="10"/>
  <c r="AE3" i="10"/>
  <c r="K77" i="9"/>
  <c r="K78" i="9"/>
  <c r="L78" i="9"/>
  <c r="J78" i="9"/>
  <c r="M74" i="9"/>
  <c r="L77" i="9"/>
  <c r="M76" i="9"/>
  <c r="M75" i="9"/>
  <c r="M72" i="9"/>
  <c r="M71" i="9"/>
  <c r="M68" i="9"/>
  <c r="M67" i="9"/>
  <c r="M64" i="9"/>
  <c r="M63" i="9"/>
  <c r="M60" i="9"/>
  <c r="M59" i="9"/>
  <c r="M56" i="9"/>
  <c r="M55" i="9"/>
  <c r="M52" i="9"/>
  <c r="M51" i="9"/>
  <c r="M48" i="9"/>
  <c r="M47" i="9"/>
  <c r="M44" i="9"/>
  <c r="M43" i="9"/>
  <c r="M40" i="9"/>
  <c r="M39" i="9"/>
  <c r="M36" i="9"/>
  <c r="M35" i="9"/>
  <c r="M32" i="9"/>
  <c r="M31" i="9"/>
  <c r="M28" i="9"/>
  <c r="M27" i="9"/>
  <c r="M24" i="9"/>
  <c r="M23" i="9"/>
  <c r="M20" i="9"/>
  <c r="M19" i="9"/>
  <c r="M16" i="9"/>
  <c r="M15" i="9"/>
  <c r="M12" i="9"/>
  <c r="M11" i="9"/>
  <c r="M8" i="9"/>
  <c r="P8" i="9"/>
  <c r="N76" i="9"/>
  <c r="O76" i="9"/>
  <c r="L76" i="9"/>
  <c r="G76" i="9"/>
  <c r="F76" i="9"/>
  <c r="E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B10" i="9"/>
  <c r="G9" i="9"/>
  <c r="G8" i="9"/>
  <c r="B8" i="9"/>
  <c r="B9" i="9"/>
  <c r="N75" i="9"/>
  <c r="O75" i="9"/>
  <c r="L75" i="9"/>
  <c r="F75" i="9"/>
  <c r="E75" i="9"/>
  <c r="N74" i="9"/>
  <c r="O74" i="9"/>
  <c r="L74" i="9"/>
  <c r="F74" i="9"/>
  <c r="E74" i="9"/>
  <c r="N73" i="9"/>
  <c r="L73" i="9"/>
  <c r="F73" i="9"/>
  <c r="E73" i="9"/>
  <c r="N72" i="9"/>
  <c r="O72" i="9"/>
  <c r="L72" i="9"/>
  <c r="F72" i="9"/>
  <c r="E72" i="9"/>
  <c r="N71" i="9"/>
  <c r="O71" i="9"/>
  <c r="L71" i="9"/>
  <c r="F71" i="9"/>
  <c r="E71" i="9"/>
  <c r="N70" i="9"/>
  <c r="L70" i="9"/>
  <c r="F70" i="9"/>
  <c r="E70" i="9"/>
  <c r="N69" i="9"/>
  <c r="L69" i="9"/>
  <c r="F69" i="9"/>
  <c r="E69" i="9"/>
  <c r="N68" i="9"/>
  <c r="O68" i="9"/>
  <c r="L68" i="9"/>
  <c r="F68" i="9"/>
  <c r="E68" i="9"/>
  <c r="N67" i="9"/>
  <c r="O67" i="9"/>
  <c r="L67" i="9"/>
  <c r="F67" i="9"/>
  <c r="E67" i="9"/>
  <c r="N66" i="9"/>
  <c r="L66" i="9"/>
  <c r="F66" i="9"/>
  <c r="E66" i="9"/>
  <c r="N65" i="9"/>
  <c r="L65" i="9"/>
  <c r="F65" i="9"/>
  <c r="E65" i="9"/>
  <c r="N64" i="9"/>
  <c r="O64" i="9"/>
  <c r="L64" i="9"/>
  <c r="F64" i="9"/>
  <c r="E64" i="9"/>
  <c r="N63" i="9"/>
  <c r="O63" i="9"/>
  <c r="L63" i="9"/>
  <c r="F63" i="9"/>
  <c r="E63" i="9"/>
  <c r="N62" i="9"/>
  <c r="L62" i="9"/>
  <c r="F62" i="9"/>
  <c r="E62" i="9"/>
  <c r="N61" i="9"/>
  <c r="L61" i="9"/>
  <c r="F61" i="9"/>
  <c r="E61" i="9"/>
  <c r="N60" i="9"/>
  <c r="O60" i="9"/>
  <c r="L60" i="9"/>
  <c r="F60" i="9"/>
  <c r="E60" i="9"/>
  <c r="N59" i="9"/>
  <c r="O59" i="9"/>
  <c r="L59" i="9"/>
  <c r="F59" i="9"/>
  <c r="E59" i="9"/>
  <c r="N58" i="9"/>
  <c r="L58" i="9"/>
  <c r="F58" i="9"/>
  <c r="E58" i="9"/>
  <c r="N57" i="9"/>
  <c r="L57" i="9"/>
  <c r="F57" i="9"/>
  <c r="E57" i="9"/>
  <c r="N56" i="9"/>
  <c r="O56" i="9"/>
  <c r="L56" i="9"/>
  <c r="F56" i="9"/>
  <c r="E56" i="9"/>
  <c r="N55" i="9"/>
  <c r="O55" i="9"/>
  <c r="L55" i="9"/>
  <c r="F55" i="9"/>
  <c r="E55" i="9"/>
  <c r="N54" i="9"/>
  <c r="L54" i="9"/>
  <c r="F54" i="9"/>
  <c r="E54" i="9"/>
  <c r="N53" i="9"/>
  <c r="L53" i="9"/>
  <c r="F53" i="9"/>
  <c r="E53" i="9"/>
  <c r="N52" i="9"/>
  <c r="O52" i="9"/>
  <c r="L52" i="9"/>
  <c r="F52" i="9"/>
  <c r="E52" i="9"/>
  <c r="N51" i="9"/>
  <c r="O51" i="9"/>
  <c r="L51" i="9"/>
  <c r="F51" i="9"/>
  <c r="E51" i="9"/>
  <c r="N50" i="9"/>
  <c r="L50" i="9"/>
  <c r="F50" i="9"/>
  <c r="E50" i="9"/>
  <c r="N49" i="9"/>
  <c r="L49" i="9"/>
  <c r="F49" i="9"/>
  <c r="E49" i="9"/>
  <c r="N48" i="9"/>
  <c r="O48" i="9"/>
  <c r="L48" i="9"/>
  <c r="F48" i="9"/>
  <c r="E48" i="9"/>
  <c r="N47" i="9"/>
  <c r="O47" i="9"/>
  <c r="L47" i="9"/>
  <c r="F47" i="9"/>
  <c r="E47" i="9"/>
  <c r="N46" i="9"/>
  <c r="L46" i="9"/>
  <c r="F46" i="9"/>
  <c r="E46" i="9"/>
  <c r="N45" i="9"/>
  <c r="L45" i="9"/>
  <c r="F45" i="9"/>
  <c r="E45" i="9"/>
  <c r="N44" i="9"/>
  <c r="O44" i="9"/>
  <c r="L44" i="9"/>
  <c r="F44" i="9"/>
  <c r="E44" i="9"/>
  <c r="N43" i="9"/>
  <c r="O43" i="9"/>
  <c r="L43" i="9"/>
  <c r="F43" i="9"/>
  <c r="E43" i="9"/>
  <c r="N42" i="9"/>
  <c r="L42" i="9"/>
  <c r="F42" i="9"/>
  <c r="E42" i="9"/>
  <c r="N41" i="9"/>
  <c r="L41" i="9"/>
  <c r="F41" i="9"/>
  <c r="E41" i="9"/>
  <c r="N40" i="9"/>
  <c r="O40" i="9"/>
  <c r="L40" i="9"/>
  <c r="F40" i="9"/>
  <c r="E40" i="9"/>
  <c r="N39" i="9"/>
  <c r="O39" i="9"/>
  <c r="L39" i="9"/>
  <c r="F39" i="9"/>
  <c r="E39" i="9"/>
  <c r="N38" i="9"/>
  <c r="L38" i="9"/>
  <c r="F38" i="9"/>
  <c r="E38" i="9"/>
  <c r="N37" i="9"/>
  <c r="L37" i="9"/>
  <c r="F37" i="9"/>
  <c r="E37" i="9"/>
  <c r="N36" i="9"/>
  <c r="O36" i="9"/>
  <c r="L36" i="9"/>
  <c r="F36" i="9"/>
  <c r="E36" i="9"/>
  <c r="N35" i="9"/>
  <c r="O35" i="9"/>
  <c r="L35" i="9"/>
  <c r="F35" i="9"/>
  <c r="E35" i="9"/>
  <c r="N34" i="9"/>
  <c r="L34" i="9"/>
  <c r="F34" i="9"/>
  <c r="E34" i="9"/>
  <c r="N33" i="9"/>
  <c r="L33" i="9"/>
  <c r="F33" i="9"/>
  <c r="E33" i="9"/>
  <c r="N32" i="9"/>
  <c r="O32" i="9"/>
  <c r="L32" i="9"/>
  <c r="F32" i="9"/>
  <c r="E32" i="9"/>
  <c r="N31" i="9"/>
  <c r="O31" i="9"/>
  <c r="L31" i="9"/>
  <c r="F31" i="9"/>
  <c r="E31" i="9"/>
  <c r="N30" i="9"/>
  <c r="L30" i="9"/>
  <c r="F30" i="9"/>
  <c r="E30" i="9"/>
  <c r="N29" i="9"/>
  <c r="L29" i="9"/>
  <c r="F29" i="9"/>
  <c r="E29" i="9"/>
  <c r="N28" i="9"/>
  <c r="O28" i="9"/>
  <c r="L28" i="9"/>
  <c r="F28" i="9"/>
  <c r="E28" i="9"/>
  <c r="N27" i="9"/>
  <c r="O27" i="9"/>
  <c r="L27" i="9"/>
  <c r="F27" i="9"/>
  <c r="E27" i="9"/>
  <c r="N26" i="9"/>
  <c r="L26" i="9"/>
  <c r="F26" i="9"/>
  <c r="E26" i="9"/>
  <c r="N25" i="9"/>
  <c r="L25" i="9"/>
  <c r="F25" i="9"/>
  <c r="E25" i="9"/>
  <c r="N24" i="9"/>
  <c r="O24" i="9"/>
  <c r="L24" i="9"/>
  <c r="F24" i="9"/>
  <c r="E24" i="9"/>
  <c r="N23" i="9"/>
  <c r="O23" i="9"/>
  <c r="L23" i="9"/>
  <c r="F23" i="9"/>
  <c r="E23" i="9"/>
  <c r="N22" i="9"/>
  <c r="L22" i="9"/>
  <c r="F22" i="9"/>
  <c r="E22" i="9"/>
  <c r="N21" i="9"/>
  <c r="L21" i="9"/>
  <c r="F21" i="9"/>
  <c r="E21" i="9"/>
  <c r="N20" i="9"/>
  <c r="O20" i="9"/>
  <c r="L20" i="9"/>
  <c r="F20" i="9"/>
  <c r="E20" i="9"/>
  <c r="N19" i="9"/>
  <c r="O19" i="9"/>
  <c r="L19" i="9"/>
  <c r="F19" i="9"/>
  <c r="E19" i="9"/>
  <c r="N18" i="9"/>
  <c r="L18" i="9"/>
  <c r="F18" i="9"/>
  <c r="E18" i="9"/>
  <c r="N17" i="9"/>
  <c r="L17" i="9"/>
  <c r="F17" i="9"/>
  <c r="E17" i="9"/>
  <c r="N16" i="9"/>
  <c r="O16" i="9"/>
  <c r="L16" i="9"/>
  <c r="F16" i="9"/>
  <c r="E16" i="9"/>
  <c r="N15" i="9"/>
  <c r="O15" i="9"/>
  <c r="L15" i="9"/>
  <c r="F15" i="9"/>
  <c r="E15" i="9"/>
  <c r="N14" i="9"/>
  <c r="L14" i="9"/>
  <c r="F14" i="9"/>
  <c r="E14" i="9"/>
  <c r="N13" i="9"/>
  <c r="L13" i="9"/>
  <c r="F13" i="9"/>
  <c r="E13" i="9"/>
  <c r="N12" i="9"/>
  <c r="O12" i="9"/>
  <c r="L12" i="9"/>
  <c r="F12" i="9"/>
  <c r="E12" i="9"/>
  <c r="N11" i="9"/>
  <c r="O11" i="9"/>
  <c r="L11" i="9"/>
  <c r="F11" i="9"/>
  <c r="E11" i="9"/>
  <c r="N10" i="9"/>
  <c r="L10" i="9"/>
  <c r="F10" i="9"/>
  <c r="E10" i="9"/>
  <c r="N9" i="9"/>
  <c r="L9" i="9"/>
  <c r="F9" i="9"/>
  <c r="E9" i="9"/>
  <c r="S8" i="9"/>
  <c r="Y8" i="9"/>
  <c r="T8" i="9"/>
  <c r="U8" i="9"/>
  <c r="V8" i="9"/>
  <c r="W8" i="9"/>
  <c r="Z8" i="9"/>
  <c r="AA8" i="9"/>
  <c r="X8" i="9"/>
  <c r="Q8" i="9"/>
  <c r="R8" i="9"/>
  <c r="N8" i="9"/>
  <c r="O8" i="9"/>
  <c r="L8" i="9"/>
  <c r="F8" i="9"/>
  <c r="E8" i="9"/>
  <c r="AE3" i="9"/>
  <c r="K76" i="8"/>
  <c r="K77" i="8"/>
  <c r="J77" i="8"/>
  <c r="M72" i="8"/>
  <c r="L76" i="8"/>
  <c r="M74" i="8"/>
  <c r="M70" i="8"/>
  <c r="M66" i="8"/>
  <c r="M62" i="8"/>
  <c r="M58" i="8"/>
  <c r="M54" i="8"/>
  <c r="M50" i="8"/>
  <c r="M46" i="8"/>
  <c r="M42" i="8"/>
  <c r="M38" i="8"/>
  <c r="M34" i="8"/>
  <c r="M30" i="8"/>
  <c r="M26" i="8"/>
  <c r="M22" i="8"/>
  <c r="M18" i="8"/>
  <c r="M17" i="8"/>
  <c r="M14" i="8"/>
  <c r="M13" i="8"/>
  <c r="M10" i="8"/>
  <c r="M9" i="8"/>
  <c r="L75" i="8"/>
  <c r="G75" i="8"/>
  <c r="F75" i="8"/>
  <c r="E75" i="8"/>
  <c r="G8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N74" i="8"/>
  <c r="O74" i="8"/>
  <c r="L74" i="8"/>
  <c r="F74" i="8"/>
  <c r="E74" i="8"/>
  <c r="N73" i="8"/>
  <c r="L73" i="8"/>
  <c r="F73" i="8"/>
  <c r="E73" i="8"/>
  <c r="N72" i="8"/>
  <c r="O72" i="8"/>
  <c r="L72" i="8"/>
  <c r="F72" i="8"/>
  <c r="E72" i="8"/>
  <c r="N71" i="8"/>
  <c r="L71" i="8"/>
  <c r="F71" i="8"/>
  <c r="E71" i="8"/>
  <c r="N70" i="8"/>
  <c r="O70" i="8"/>
  <c r="L70" i="8"/>
  <c r="F70" i="8"/>
  <c r="E70" i="8"/>
  <c r="N69" i="8"/>
  <c r="L69" i="8"/>
  <c r="F69" i="8"/>
  <c r="E69" i="8"/>
  <c r="N68" i="8"/>
  <c r="L68" i="8"/>
  <c r="F68" i="8"/>
  <c r="E68" i="8"/>
  <c r="N67" i="8"/>
  <c r="L67" i="8"/>
  <c r="F67" i="8"/>
  <c r="E67" i="8"/>
  <c r="N66" i="8"/>
  <c r="O66" i="8"/>
  <c r="L66" i="8"/>
  <c r="F66" i="8"/>
  <c r="E66" i="8"/>
  <c r="N65" i="8"/>
  <c r="L65" i="8"/>
  <c r="F65" i="8"/>
  <c r="E65" i="8"/>
  <c r="N64" i="8"/>
  <c r="L64" i="8"/>
  <c r="F64" i="8"/>
  <c r="E64" i="8"/>
  <c r="N63" i="8"/>
  <c r="L63" i="8"/>
  <c r="F63" i="8"/>
  <c r="E63" i="8"/>
  <c r="N62" i="8"/>
  <c r="O62" i="8"/>
  <c r="L62" i="8"/>
  <c r="F62" i="8"/>
  <c r="E62" i="8"/>
  <c r="N61" i="8"/>
  <c r="L61" i="8"/>
  <c r="F61" i="8"/>
  <c r="E61" i="8"/>
  <c r="N60" i="8"/>
  <c r="L60" i="8"/>
  <c r="F60" i="8"/>
  <c r="E60" i="8"/>
  <c r="N59" i="8"/>
  <c r="L59" i="8"/>
  <c r="F59" i="8"/>
  <c r="E59" i="8"/>
  <c r="N58" i="8"/>
  <c r="O58" i="8"/>
  <c r="L58" i="8"/>
  <c r="F58" i="8"/>
  <c r="E58" i="8"/>
  <c r="N57" i="8"/>
  <c r="L57" i="8"/>
  <c r="F57" i="8"/>
  <c r="E57" i="8"/>
  <c r="N56" i="8"/>
  <c r="L56" i="8"/>
  <c r="F56" i="8"/>
  <c r="E56" i="8"/>
  <c r="N55" i="8"/>
  <c r="L55" i="8"/>
  <c r="F55" i="8"/>
  <c r="E55" i="8"/>
  <c r="N54" i="8"/>
  <c r="O54" i="8"/>
  <c r="L54" i="8"/>
  <c r="F54" i="8"/>
  <c r="E54" i="8"/>
  <c r="N53" i="8"/>
  <c r="L53" i="8"/>
  <c r="F53" i="8"/>
  <c r="E53" i="8"/>
  <c r="N52" i="8"/>
  <c r="L52" i="8"/>
  <c r="F52" i="8"/>
  <c r="E52" i="8"/>
  <c r="N51" i="8"/>
  <c r="L51" i="8"/>
  <c r="F51" i="8"/>
  <c r="E51" i="8"/>
  <c r="N50" i="8"/>
  <c r="O50" i="8"/>
  <c r="L50" i="8"/>
  <c r="F50" i="8"/>
  <c r="E50" i="8"/>
  <c r="N49" i="8"/>
  <c r="L49" i="8"/>
  <c r="F49" i="8"/>
  <c r="E49" i="8"/>
  <c r="N48" i="8"/>
  <c r="L48" i="8"/>
  <c r="F48" i="8"/>
  <c r="E48" i="8"/>
  <c r="N47" i="8"/>
  <c r="L47" i="8"/>
  <c r="F47" i="8"/>
  <c r="E47" i="8"/>
  <c r="N46" i="8"/>
  <c r="O46" i="8"/>
  <c r="L46" i="8"/>
  <c r="F46" i="8"/>
  <c r="E46" i="8"/>
  <c r="N45" i="8"/>
  <c r="L45" i="8"/>
  <c r="F45" i="8"/>
  <c r="E45" i="8"/>
  <c r="N44" i="8"/>
  <c r="L44" i="8"/>
  <c r="F44" i="8"/>
  <c r="E44" i="8"/>
  <c r="N43" i="8"/>
  <c r="L43" i="8"/>
  <c r="F43" i="8"/>
  <c r="E43" i="8"/>
  <c r="N42" i="8"/>
  <c r="O42" i="8"/>
  <c r="L42" i="8"/>
  <c r="F42" i="8"/>
  <c r="E42" i="8"/>
  <c r="N41" i="8"/>
  <c r="L41" i="8"/>
  <c r="F41" i="8"/>
  <c r="E41" i="8"/>
  <c r="N40" i="8"/>
  <c r="L40" i="8"/>
  <c r="F40" i="8"/>
  <c r="E40" i="8"/>
  <c r="N39" i="8"/>
  <c r="L39" i="8"/>
  <c r="F39" i="8"/>
  <c r="E39" i="8"/>
  <c r="N38" i="8"/>
  <c r="O38" i="8"/>
  <c r="L38" i="8"/>
  <c r="F38" i="8"/>
  <c r="E38" i="8"/>
  <c r="N37" i="8"/>
  <c r="L37" i="8"/>
  <c r="F37" i="8"/>
  <c r="E37" i="8"/>
  <c r="N36" i="8"/>
  <c r="L36" i="8"/>
  <c r="F36" i="8"/>
  <c r="E36" i="8"/>
  <c r="N35" i="8"/>
  <c r="L35" i="8"/>
  <c r="F35" i="8"/>
  <c r="E35" i="8"/>
  <c r="N34" i="8"/>
  <c r="O34" i="8"/>
  <c r="L34" i="8"/>
  <c r="F34" i="8"/>
  <c r="E34" i="8"/>
  <c r="N33" i="8"/>
  <c r="L33" i="8"/>
  <c r="F33" i="8"/>
  <c r="E33" i="8"/>
  <c r="N32" i="8"/>
  <c r="L32" i="8"/>
  <c r="F32" i="8"/>
  <c r="E32" i="8"/>
  <c r="N31" i="8"/>
  <c r="L31" i="8"/>
  <c r="F31" i="8"/>
  <c r="E31" i="8"/>
  <c r="N30" i="8"/>
  <c r="O30" i="8"/>
  <c r="L30" i="8"/>
  <c r="F30" i="8"/>
  <c r="E30" i="8"/>
  <c r="N29" i="8"/>
  <c r="L29" i="8"/>
  <c r="F29" i="8"/>
  <c r="E29" i="8"/>
  <c r="N28" i="8"/>
  <c r="L28" i="8"/>
  <c r="F28" i="8"/>
  <c r="E28" i="8"/>
  <c r="N27" i="8"/>
  <c r="L27" i="8"/>
  <c r="F27" i="8"/>
  <c r="E27" i="8"/>
  <c r="N26" i="8"/>
  <c r="O26" i="8"/>
  <c r="L26" i="8"/>
  <c r="F26" i="8"/>
  <c r="E26" i="8"/>
  <c r="N25" i="8"/>
  <c r="L25" i="8"/>
  <c r="F25" i="8"/>
  <c r="E25" i="8"/>
  <c r="N24" i="8"/>
  <c r="L24" i="8"/>
  <c r="F24" i="8"/>
  <c r="E24" i="8"/>
  <c r="N23" i="8"/>
  <c r="L23" i="8"/>
  <c r="F23" i="8"/>
  <c r="E23" i="8"/>
  <c r="N22" i="8"/>
  <c r="O22" i="8"/>
  <c r="L22" i="8"/>
  <c r="F22" i="8"/>
  <c r="E22" i="8"/>
  <c r="N21" i="8"/>
  <c r="L21" i="8"/>
  <c r="F21" i="8"/>
  <c r="E21" i="8"/>
  <c r="N20" i="8"/>
  <c r="L20" i="8"/>
  <c r="F20" i="8"/>
  <c r="E20" i="8"/>
  <c r="N19" i="8"/>
  <c r="L19" i="8"/>
  <c r="F19" i="8"/>
  <c r="E19" i="8"/>
  <c r="N18" i="8"/>
  <c r="O18" i="8"/>
  <c r="L18" i="8"/>
  <c r="F18" i="8"/>
  <c r="E18" i="8"/>
  <c r="N17" i="8"/>
  <c r="O17" i="8"/>
  <c r="L17" i="8"/>
  <c r="F17" i="8"/>
  <c r="E17" i="8"/>
  <c r="N16" i="8"/>
  <c r="L16" i="8"/>
  <c r="F16" i="8"/>
  <c r="E16" i="8"/>
  <c r="N15" i="8"/>
  <c r="L15" i="8"/>
  <c r="F15" i="8"/>
  <c r="E15" i="8"/>
  <c r="N14" i="8"/>
  <c r="O14" i="8"/>
  <c r="L14" i="8"/>
  <c r="F14" i="8"/>
  <c r="E14" i="8"/>
  <c r="N13" i="8"/>
  <c r="O13" i="8"/>
  <c r="L13" i="8"/>
  <c r="F13" i="8"/>
  <c r="E13" i="8"/>
  <c r="N12" i="8"/>
  <c r="L12" i="8"/>
  <c r="F12" i="8"/>
  <c r="E12" i="8"/>
  <c r="N11" i="8"/>
  <c r="L11" i="8"/>
  <c r="F11" i="8"/>
  <c r="E11" i="8"/>
  <c r="N10" i="8"/>
  <c r="O10" i="8"/>
  <c r="L10" i="8"/>
  <c r="F10" i="8"/>
  <c r="E10" i="8"/>
  <c r="N9" i="8"/>
  <c r="O9" i="8"/>
  <c r="L9" i="8"/>
  <c r="F9" i="8"/>
  <c r="E9" i="8"/>
  <c r="N8" i="8"/>
  <c r="L8" i="8"/>
  <c r="F8" i="8"/>
  <c r="E8" i="8"/>
  <c r="AE3" i="8"/>
  <c r="K78" i="7"/>
  <c r="K79" i="7"/>
  <c r="L79" i="7"/>
  <c r="J79" i="7"/>
  <c r="M75" i="7"/>
  <c r="L78" i="7"/>
  <c r="M77" i="7"/>
  <c r="M76" i="7"/>
  <c r="M74" i="7"/>
  <c r="M73" i="7"/>
  <c r="M72" i="7"/>
  <c r="M70" i="7"/>
  <c r="M69" i="7"/>
  <c r="M68" i="7"/>
  <c r="M66" i="7"/>
  <c r="M65" i="7"/>
  <c r="M64" i="7"/>
  <c r="M62" i="7"/>
  <c r="M61" i="7"/>
  <c r="M60" i="7"/>
  <c r="M58" i="7"/>
  <c r="M57" i="7"/>
  <c r="M56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N77" i="7"/>
  <c r="O77" i="7"/>
  <c r="L77" i="7"/>
  <c r="G77" i="7"/>
  <c r="F77" i="7"/>
  <c r="E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B10" i="7"/>
  <c r="G9" i="7"/>
  <c r="G8" i="7"/>
  <c r="B8" i="7"/>
  <c r="B9" i="7"/>
  <c r="N76" i="7"/>
  <c r="O76" i="7"/>
  <c r="L76" i="7"/>
  <c r="F76" i="7"/>
  <c r="E76" i="7"/>
  <c r="N75" i="7"/>
  <c r="O75" i="7"/>
  <c r="L75" i="7"/>
  <c r="F75" i="7"/>
  <c r="E75" i="7"/>
  <c r="N74" i="7"/>
  <c r="O74" i="7"/>
  <c r="L74" i="7"/>
  <c r="F74" i="7"/>
  <c r="E74" i="7"/>
  <c r="N73" i="7"/>
  <c r="O73" i="7"/>
  <c r="L73" i="7"/>
  <c r="F73" i="7"/>
  <c r="E73" i="7"/>
  <c r="N72" i="7"/>
  <c r="O72" i="7"/>
  <c r="L72" i="7"/>
  <c r="F72" i="7"/>
  <c r="E72" i="7"/>
  <c r="N71" i="7"/>
  <c r="L71" i="7"/>
  <c r="F71" i="7"/>
  <c r="E71" i="7"/>
  <c r="N70" i="7"/>
  <c r="O70" i="7"/>
  <c r="L70" i="7"/>
  <c r="F70" i="7"/>
  <c r="E70" i="7"/>
  <c r="N69" i="7"/>
  <c r="O69" i="7"/>
  <c r="L69" i="7"/>
  <c r="F69" i="7"/>
  <c r="E69" i="7"/>
  <c r="N68" i="7"/>
  <c r="O68" i="7"/>
  <c r="L68" i="7"/>
  <c r="F68" i="7"/>
  <c r="E68" i="7"/>
  <c r="N67" i="7"/>
  <c r="L67" i="7"/>
  <c r="F67" i="7"/>
  <c r="E67" i="7"/>
  <c r="N66" i="7"/>
  <c r="O66" i="7"/>
  <c r="L66" i="7"/>
  <c r="F66" i="7"/>
  <c r="E66" i="7"/>
  <c r="N65" i="7"/>
  <c r="O65" i="7"/>
  <c r="L65" i="7"/>
  <c r="F65" i="7"/>
  <c r="E65" i="7"/>
  <c r="N64" i="7"/>
  <c r="O64" i="7"/>
  <c r="L64" i="7"/>
  <c r="F64" i="7"/>
  <c r="E64" i="7"/>
  <c r="N63" i="7"/>
  <c r="L63" i="7"/>
  <c r="F63" i="7"/>
  <c r="E63" i="7"/>
  <c r="N62" i="7"/>
  <c r="O62" i="7"/>
  <c r="L62" i="7"/>
  <c r="F62" i="7"/>
  <c r="E62" i="7"/>
  <c r="N61" i="7"/>
  <c r="O61" i="7"/>
  <c r="L61" i="7"/>
  <c r="F61" i="7"/>
  <c r="E61" i="7"/>
  <c r="N60" i="7"/>
  <c r="O60" i="7"/>
  <c r="L60" i="7"/>
  <c r="F60" i="7"/>
  <c r="E60" i="7"/>
  <c r="N59" i="7"/>
  <c r="L59" i="7"/>
  <c r="F59" i="7"/>
  <c r="E59" i="7"/>
  <c r="N58" i="7"/>
  <c r="O58" i="7"/>
  <c r="L58" i="7"/>
  <c r="F58" i="7"/>
  <c r="E58" i="7"/>
  <c r="N57" i="7"/>
  <c r="O57" i="7"/>
  <c r="L57" i="7"/>
  <c r="F57" i="7"/>
  <c r="E57" i="7"/>
  <c r="N56" i="7"/>
  <c r="O56" i="7"/>
  <c r="L56" i="7"/>
  <c r="F56" i="7"/>
  <c r="E56" i="7"/>
  <c r="N55" i="7"/>
  <c r="L55" i="7"/>
  <c r="F55" i="7"/>
  <c r="E55" i="7"/>
  <c r="S54" i="7"/>
  <c r="Y54" i="7"/>
  <c r="T54" i="7"/>
  <c r="U54" i="7"/>
  <c r="V54" i="7"/>
  <c r="W54" i="7"/>
  <c r="Z54" i="7"/>
  <c r="AA54" i="7"/>
  <c r="X54" i="7"/>
  <c r="Q54" i="7"/>
  <c r="R54" i="7"/>
  <c r="N54" i="7"/>
  <c r="O54" i="7"/>
  <c r="L54" i="7"/>
  <c r="F54" i="7"/>
  <c r="E54" i="7"/>
  <c r="S53" i="7"/>
  <c r="AC53" i="7"/>
  <c r="T53" i="7"/>
  <c r="V53" i="7"/>
  <c r="U53" i="7"/>
  <c r="Y53" i="7"/>
  <c r="Q53" i="7"/>
  <c r="R53" i="7"/>
  <c r="N53" i="7"/>
  <c r="O53" i="7"/>
  <c r="L53" i="7"/>
  <c r="F53" i="7"/>
  <c r="E53" i="7"/>
  <c r="S52" i="7"/>
  <c r="AC52" i="7"/>
  <c r="AG52" i="7"/>
  <c r="T52" i="7"/>
  <c r="V52" i="7"/>
  <c r="U52" i="7"/>
  <c r="Y52" i="7"/>
  <c r="Q52" i="7"/>
  <c r="R52" i="7"/>
  <c r="N52" i="7"/>
  <c r="O52" i="7"/>
  <c r="L52" i="7"/>
  <c r="F52" i="7"/>
  <c r="E52" i="7"/>
  <c r="S51" i="7"/>
  <c r="Y51" i="7"/>
  <c r="AC51" i="7"/>
  <c r="AG51" i="7"/>
  <c r="T51" i="7"/>
  <c r="U51" i="7"/>
  <c r="V51" i="7"/>
  <c r="AD51" i="7"/>
  <c r="AE51" i="7"/>
  <c r="Z51" i="7"/>
  <c r="AB51" i="7"/>
  <c r="X51" i="7"/>
  <c r="W51" i="7"/>
  <c r="Q51" i="7"/>
  <c r="R51" i="7"/>
  <c r="N51" i="7"/>
  <c r="O51" i="7"/>
  <c r="L51" i="7"/>
  <c r="F51" i="7"/>
  <c r="E51" i="7"/>
  <c r="S50" i="7"/>
  <c r="Y50" i="7"/>
  <c r="T50" i="7"/>
  <c r="U50" i="7"/>
  <c r="V50" i="7"/>
  <c r="W50" i="7"/>
  <c r="Z50" i="7"/>
  <c r="AA50" i="7"/>
  <c r="X50" i="7"/>
  <c r="Q50" i="7"/>
  <c r="R50" i="7"/>
  <c r="N50" i="7"/>
  <c r="O50" i="7"/>
  <c r="L50" i="7"/>
  <c r="F50" i="7"/>
  <c r="E50" i="7"/>
  <c r="S49" i="7"/>
  <c r="AC49" i="7"/>
  <c r="T49" i="7"/>
  <c r="V49" i="7"/>
  <c r="U49" i="7"/>
  <c r="Y49" i="7"/>
  <c r="Q49" i="7"/>
  <c r="R49" i="7"/>
  <c r="N49" i="7"/>
  <c r="O49" i="7"/>
  <c r="L49" i="7"/>
  <c r="F49" i="7"/>
  <c r="E49" i="7"/>
  <c r="S48" i="7"/>
  <c r="AC48" i="7"/>
  <c r="AG48" i="7"/>
  <c r="T48" i="7"/>
  <c r="V48" i="7"/>
  <c r="U48" i="7"/>
  <c r="Y48" i="7"/>
  <c r="Q48" i="7"/>
  <c r="R48" i="7"/>
  <c r="N48" i="7"/>
  <c r="O48" i="7"/>
  <c r="L48" i="7"/>
  <c r="F48" i="7"/>
  <c r="E48" i="7"/>
  <c r="S47" i="7"/>
  <c r="Y47" i="7"/>
  <c r="AC47" i="7"/>
  <c r="AG47" i="7"/>
  <c r="T47" i="7"/>
  <c r="U47" i="7"/>
  <c r="V47" i="7"/>
  <c r="AD47" i="7"/>
  <c r="AE47" i="7"/>
  <c r="Z47" i="7"/>
  <c r="AA47" i="7"/>
  <c r="AB47" i="7"/>
  <c r="X47" i="7"/>
  <c r="W47" i="7"/>
  <c r="Q47" i="7"/>
  <c r="R47" i="7"/>
  <c r="N47" i="7"/>
  <c r="O47" i="7"/>
  <c r="L47" i="7"/>
  <c r="F47" i="7"/>
  <c r="E47" i="7"/>
  <c r="S46" i="7"/>
  <c r="Y46" i="7"/>
  <c r="T46" i="7"/>
  <c r="U46" i="7"/>
  <c r="V46" i="7"/>
  <c r="W46" i="7"/>
  <c r="Z46" i="7"/>
  <c r="AA46" i="7"/>
  <c r="X46" i="7"/>
  <c r="Q46" i="7"/>
  <c r="R46" i="7"/>
  <c r="N46" i="7"/>
  <c r="O46" i="7"/>
  <c r="L46" i="7"/>
  <c r="F46" i="7"/>
  <c r="E46" i="7"/>
  <c r="S45" i="7"/>
  <c r="AC45" i="7"/>
  <c r="T45" i="7"/>
  <c r="V45" i="7"/>
  <c r="U45" i="7"/>
  <c r="Y45" i="7"/>
  <c r="Q45" i="7"/>
  <c r="R45" i="7"/>
  <c r="N45" i="7"/>
  <c r="O45" i="7"/>
  <c r="L45" i="7"/>
  <c r="F45" i="7"/>
  <c r="E45" i="7"/>
  <c r="S44" i="7"/>
  <c r="AC44" i="7"/>
  <c r="AG44" i="7"/>
  <c r="T44" i="7"/>
  <c r="V44" i="7"/>
  <c r="U44" i="7"/>
  <c r="Y44" i="7"/>
  <c r="Q44" i="7"/>
  <c r="R44" i="7"/>
  <c r="N44" i="7"/>
  <c r="O44" i="7"/>
  <c r="L44" i="7"/>
  <c r="F44" i="7"/>
  <c r="E44" i="7"/>
  <c r="S43" i="7"/>
  <c r="Y43" i="7"/>
  <c r="AC43" i="7"/>
  <c r="AG43" i="7"/>
  <c r="T43" i="7"/>
  <c r="U43" i="7"/>
  <c r="V43" i="7"/>
  <c r="AD43" i="7"/>
  <c r="AE43" i="7"/>
  <c r="Z43" i="7"/>
  <c r="AB43" i="7"/>
  <c r="X43" i="7"/>
  <c r="W43" i="7"/>
  <c r="Q43" i="7"/>
  <c r="R43" i="7"/>
  <c r="N43" i="7"/>
  <c r="O43" i="7"/>
  <c r="L43" i="7"/>
  <c r="F43" i="7"/>
  <c r="E43" i="7"/>
  <c r="S42" i="7"/>
  <c r="Y42" i="7"/>
  <c r="T42" i="7"/>
  <c r="U42" i="7"/>
  <c r="V42" i="7"/>
  <c r="W42" i="7"/>
  <c r="Z42" i="7"/>
  <c r="AA42" i="7"/>
  <c r="X42" i="7"/>
  <c r="Q42" i="7"/>
  <c r="R42" i="7"/>
  <c r="N42" i="7"/>
  <c r="O42" i="7"/>
  <c r="L42" i="7"/>
  <c r="F42" i="7"/>
  <c r="E42" i="7"/>
  <c r="S41" i="7"/>
  <c r="AC41" i="7"/>
  <c r="T41" i="7"/>
  <c r="V41" i="7"/>
  <c r="U41" i="7"/>
  <c r="Y41" i="7"/>
  <c r="Q41" i="7"/>
  <c r="R41" i="7"/>
  <c r="N41" i="7"/>
  <c r="O41" i="7"/>
  <c r="L41" i="7"/>
  <c r="F41" i="7"/>
  <c r="E41" i="7"/>
  <c r="S40" i="7"/>
  <c r="AC40" i="7"/>
  <c r="AG40" i="7"/>
  <c r="T40" i="7"/>
  <c r="V40" i="7"/>
  <c r="U40" i="7"/>
  <c r="Y40" i="7"/>
  <c r="Q40" i="7"/>
  <c r="R40" i="7"/>
  <c r="N40" i="7"/>
  <c r="O40" i="7"/>
  <c r="L40" i="7"/>
  <c r="F40" i="7"/>
  <c r="E40" i="7"/>
  <c r="S39" i="7"/>
  <c r="Y39" i="7"/>
  <c r="AC39" i="7"/>
  <c r="AG39" i="7"/>
  <c r="T39" i="7"/>
  <c r="U39" i="7"/>
  <c r="V39" i="7"/>
  <c r="AD39" i="7"/>
  <c r="AE39" i="7"/>
  <c r="Z39" i="7"/>
  <c r="AB39" i="7"/>
  <c r="X39" i="7"/>
  <c r="W39" i="7"/>
  <c r="Q39" i="7"/>
  <c r="R39" i="7"/>
  <c r="N39" i="7"/>
  <c r="O39" i="7"/>
  <c r="L39" i="7"/>
  <c r="F39" i="7"/>
  <c r="E39" i="7"/>
  <c r="S38" i="7"/>
  <c r="Y38" i="7"/>
  <c r="T38" i="7"/>
  <c r="U38" i="7"/>
  <c r="V38" i="7"/>
  <c r="W38" i="7"/>
  <c r="Z38" i="7"/>
  <c r="AA38" i="7"/>
  <c r="X38" i="7"/>
  <c r="Q38" i="7"/>
  <c r="R38" i="7"/>
  <c r="N38" i="7"/>
  <c r="O38" i="7"/>
  <c r="L38" i="7"/>
  <c r="F38" i="7"/>
  <c r="E38" i="7"/>
  <c r="S37" i="7"/>
  <c r="AC37" i="7"/>
  <c r="T37" i="7"/>
  <c r="V37" i="7"/>
  <c r="U37" i="7"/>
  <c r="Y37" i="7"/>
  <c r="Q37" i="7"/>
  <c r="R37" i="7"/>
  <c r="N37" i="7"/>
  <c r="O37" i="7"/>
  <c r="L37" i="7"/>
  <c r="F37" i="7"/>
  <c r="E37" i="7"/>
  <c r="S36" i="7"/>
  <c r="AC36" i="7"/>
  <c r="AG36" i="7"/>
  <c r="T36" i="7"/>
  <c r="V36" i="7"/>
  <c r="U36" i="7"/>
  <c r="Y36" i="7"/>
  <c r="Q36" i="7"/>
  <c r="R36" i="7"/>
  <c r="N36" i="7"/>
  <c r="O36" i="7"/>
  <c r="L36" i="7"/>
  <c r="F36" i="7"/>
  <c r="E36" i="7"/>
  <c r="S35" i="7"/>
  <c r="Y35" i="7"/>
  <c r="AC35" i="7"/>
  <c r="AG35" i="7"/>
  <c r="T35" i="7"/>
  <c r="U35" i="7"/>
  <c r="V35" i="7"/>
  <c r="AD35" i="7"/>
  <c r="AE35" i="7"/>
  <c r="Z35" i="7"/>
  <c r="AA35" i="7"/>
  <c r="AB35" i="7"/>
  <c r="X35" i="7"/>
  <c r="W35" i="7"/>
  <c r="Q35" i="7"/>
  <c r="R35" i="7"/>
  <c r="N35" i="7"/>
  <c r="O35" i="7"/>
  <c r="L35" i="7"/>
  <c r="F35" i="7"/>
  <c r="E35" i="7"/>
  <c r="S34" i="7"/>
  <c r="Y34" i="7"/>
  <c r="T34" i="7"/>
  <c r="U34" i="7"/>
  <c r="V34" i="7"/>
  <c r="W34" i="7"/>
  <c r="Z34" i="7"/>
  <c r="AA34" i="7"/>
  <c r="X34" i="7"/>
  <c r="Q34" i="7"/>
  <c r="R34" i="7"/>
  <c r="N34" i="7"/>
  <c r="O34" i="7"/>
  <c r="L34" i="7"/>
  <c r="F34" i="7"/>
  <c r="E34" i="7"/>
  <c r="S33" i="7"/>
  <c r="AC33" i="7"/>
  <c r="T33" i="7"/>
  <c r="V33" i="7"/>
  <c r="U33" i="7"/>
  <c r="Y33" i="7"/>
  <c r="Q33" i="7"/>
  <c r="R33" i="7"/>
  <c r="N33" i="7"/>
  <c r="O33" i="7"/>
  <c r="L33" i="7"/>
  <c r="F33" i="7"/>
  <c r="E33" i="7"/>
  <c r="S32" i="7"/>
  <c r="AC32" i="7"/>
  <c r="AG32" i="7"/>
  <c r="T32" i="7"/>
  <c r="V32" i="7"/>
  <c r="U32" i="7"/>
  <c r="Y32" i="7"/>
  <c r="Q32" i="7"/>
  <c r="R32" i="7"/>
  <c r="N32" i="7"/>
  <c r="O32" i="7"/>
  <c r="L32" i="7"/>
  <c r="F32" i="7"/>
  <c r="E32" i="7"/>
  <c r="S31" i="7"/>
  <c r="Y31" i="7"/>
  <c r="AC31" i="7"/>
  <c r="AG31" i="7"/>
  <c r="T31" i="7"/>
  <c r="U31" i="7"/>
  <c r="V31" i="7"/>
  <c r="AD31" i="7"/>
  <c r="AE31" i="7"/>
  <c r="Z31" i="7"/>
  <c r="AA31" i="7"/>
  <c r="AB31" i="7"/>
  <c r="X31" i="7"/>
  <c r="W31" i="7"/>
  <c r="Q31" i="7"/>
  <c r="R31" i="7"/>
  <c r="N31" i="7"/>
  <c r="O31" i="7"/>
  <c r="L31" i="7"/>
  <c r="F31" i="7"/>
  <c r="E31" i="7"/>
  <c r="S30" i="7"/>
  <c r="Y30" i="7"/>
  <c r="T30" i="7"/>
  <c r="U30" i="7"/>
  <c r="V30" i="7"/>
  <c r="W30" i="7"/>
  <c r="Z30" i="7"/>
  <c r="AA30" i="7"/>
  <c r="X30" i="7"/>
  <c r="Q30" i="7"/>
  <c r="R30" i="7"/>
  <c r="N30" i="7"/>
  <c r="O30" i="7"/>
  <c r="L30" i="7"/>
  <c r="F30" i="7"/>
  <c r="E30" i="7"/>
  <c r="S29" i="7"/>
  <c r="AC29" i="7"/>
  <c r="T29" i="7"/>
  <c r="V29" i="7"/>
  <c r="U29" i="7"/>
  <c r="Y29" i="7"/>
  <c r="Q29" i="7"/>
  <c r="R29" i="7"/>
  <c r="N29" i="7"/>
  <c r="O29" i="7"/>
  <c r="L29" i="7"/>
  <c r="F29" i="7"/>
  <c r="E29" i="7"/>
  <c r="S28" i="7"/>
  <c r="AC28" i="7"/>
  <c r="AG28" i="7"/>
  <c r="T28" i="7"/>
  <c r="V28" i="7"/>
  <c r="U28" i="7"/>
  <c r="Y28" i="7"/>
  <c r="Q28" i="7"/>
  <c r="R28" i="7"/>
  <c r="N28" i="7"/>
  <c r="O28" i="7"/>
  <c r="L28" i="7"/>
  <c r="F28" i="7"/>
  <c r="E28" i="7"/>
  <c r="S27" i="7"/>
  <c r="Y27" i="7"/>
  <c r="AC27" i="7"/>
  <c r="AG27" i="7"/>
  <c r="T27" i="7"/>
  <c r="U27" i="7"/>
  <c r="V27" i="7"/>
  <c r="AD27" i="7"/>
  <c r="AE27" i="7"/>
  <c r="Z27" i="7"/>
  <c r="AA27" i="7"/>
  <c r="AB27" i="7"/>
  <c r="X27" i="7"/>
  <c r="W27" i="7"/>
  <c r="Q27" i="7"/>
  <c r="R27" i="7"/>
  <c r="N27" i="7"/>
  <c r="O27" i="7"/>
  <c r="L27" i="7"/>
  <c r="F27" i="7"/>
  <c r="E27" i="7"/>
  <c r="S26" i="7"/>
  <c r="Y26" i="7"/>
  <c r="T26" i="7"/>
  <c r="U26" i="7"/>
  <c r="V26" i="7"/>
  <c r="W26" i="7"/>
  <c r="Z26" i="7"/>
  <c r="AA26" i="7"/>
  <c r="X26" i="7"/>
  <c r="Q26" i="7"/>
  <c r="R26" i="7"/>
  <c r="N26" i="7"/>
  <c r="O26" i="7"/>
  <c r="L26" i="7"/>
  <c r="F26" i="7"/>
  <c r="E26" i="7"/>
  <c r="S25" i="7"/>
  <c r="AC25" i="7"/>
  <c r="T25" i="7"/>
  <c r="V25" i="7"/>
  <c r="U25" i="7"/>
  <c r="Y25" i="7"/>
  <c r="Q25" i="7"/>
  <c r="R25" i="7"/>
  <c r="N25" i="7"/>
  <c r="O25" i="7"/>
  <c r="L25" i="7"/>
  <c r="F25" i="7"/>
  <c r="E25" i="7"/>
  <c r="S24" i="7"/>
  <c r="AC24" i="7"/>
  <c r="AG24" i="7"/>
  <c r="T24" i="7"/>
  <c r="V24" i="7"/>
  <c r="U24" i="7"/>
  <c r="Y24" i="7"/>
  <c r="Q24" i="7"/>
  <c r="R24" i="7"/>
  <c r="N24" i="7"/>
  <c r="O24" i="7"/>
  <c r="L24" i="7"/>
  <c r="F24" i="7"/>
  <c r="E24" i="7"/>
  <c r="S23" i="7"/>
  <c r="Y23" i="7"/>
  <c r="AC23" i="7"/>
  <c r="AG23" i="7"/>
  <c r="T23" i="7"/>
  <c r="U23" i="7"/>
  <c r="V23" i="7"/>
  <c r="AD23" i="7"/>
  <c r="AE23" i="7"/>
  <c r="Z23" i="7"/>
  <c r="AB23" i="7"/>
  <c r="X23" i="7"/>
  <c r="W23" i="7"/>
  <c r="Q23" i="7"/>
  <c r="R23" i="7"/>
  <c r="N23" i="7"/>
  <c r="O23" i="7"/>
  <c r="L23" i="7"/>
  <c r="F23" i="7"/>
  <c r="E23" i="7"/>
  <c r="S22" i="7"/>
  <c r="Y22" i="7"/>
  <c r="T22" i="7"/>
  <c r="U22" i="7"/>
  <c r="V22" i="7"/>
  <c r="W22" i="7"/>
  <c r="Z22" i="7"/>
  <c r="AA22" i="7"/>
  <c r="X22" i="7"/>
  <c r="Q22" i="7"/>
  <c r="R22" i="7"/>
  <c r="N22" i="7"/>
  <c r="O22" i="7"/>
  <c r="L22" i="7"/>
  <c r="F22" i="7"/>
  <c r="E22" i="7"/>
  <c r="S21" i="7"/>
  <c r="AC21" i="7"/>
  <c r="T21" i="7"/>
  <c r="V21" i="7"/>
  <c r="U21" i="7"/>
  <c r="Y21" i="7"/>
  <c r="Q21" i="7"/>
  <c r="R21" i="7"/>
  <c r="N21" i="7"/>
  <c r="O21" i="7"/>
  <c r="L21" i="7"/>
  <c r="F21" i="7"/>
  <c r="E21" i="7"/>
  <c r="S20" i="7"/>
  <c r="AC20" i="7"/>
  <c r="AG20" i="7"/>
  <c r="T20" i="7"/>
  <c r="V20" i="7"/>
  <c r="U20" i="7"/>
  <c r="Y20" i="7"/>
  <c r="Q20" i="7"/>
  <c r="R20" i="7"/>
  <c r="N20" i="7"/>
  <c r="O20" i="7"/>
  <c r="L20" i="7"/>
  <c r="F20" i="7"/>
  <c r="E20" i="7"/>
  <c r="S19" i="7"/>
  <c r="Y19" i="7"/>
  <c r="AC19" i="7"/>
  <c r="AG19" i="7"/>
  <c r="T19" i="7"/>
  <c r="U19" i="7"/>
  <c r="V19" i="7"/>
  <c r="AD19" i="7"/>
  <c r="AE19" i="7"/>
  <c r="Z19" i="7"/>
  <c r="AB19" i="7"/>
  <c r="X19" i="7"/>
  <c r="W19" i="7"/>
  <c r="Q19" i="7"/>
  <c r="R19" i="7"/>
  <c r="N19" i="7"/>
  <c r="O19" i="7"/>
  <c r="L19" i="7"/>
  <c r="F19" i="7"/>
  <c r="E19" i="7"/>
  <c r="S18" i="7"/>
  <c r="Y18" i="7"/>
  <c r="T18" i="7"/>
  <c r="U18" i="7"/>
  <c r="V18" i="7"/>
  <c r="W18" i="7"/>
  <c r="Z18" i="7"/>
  <c r="AA18" i="7"/>
  <c r="X18" i="7"/>
  <c r="Q18" i="7"/>
  <c r="R18" i="7"/>
  <c r="N18" i="7"/>
  <c r="O18" i="7"/>
  <c r="L18" i="7"/>
  <c r="F18" i="7"/>
  <c r="E18" i="7"/>
  <c r="S17" i="7"/>
  <c r="AC17" i="7"/>
  <c r="T17" i="7"/>
  <c r="V17" i="7"/>
  <c r="U17" i="7"/>
  <c r="Y17" i="7"/>
  <c r="Q17" i="7"/>
  <c r="R17" i="7"/>
  <c r="N17" i="7"/>
  <c r="O17" i="7"/>
  <c r="L17" i="7"/>
  <c r="F17" i="7"/>
  <c r="E17" i="7"/>
  <c r="S16" i="7"/>
  <c r="AC16" i="7"/>
  <c r="AG16" i="7"/>
  <c r="T16" i="7"/>
  <c r="V16" i="7"/>
  <c r="U16" i="7"/>
  <c r="Y16" i="7"/>
  <c r="Q16" i="7"/>
  <c r="R16" i="7"/>
  <c r="N16" i="7"/>
  <c r="O16" i="7"/>
  <c r="L16" i="7"/>
  <c r="F16" i="7"/>
  <c r="E16" i="7"/>
  <c r="S15" i="7"/>
  <c r="Y15" i="7"/>
  <c r="AC15" i="7"/>
  <c r="AG15" i="7"/>
  <c r="T15" i="7"/>
  <c r="U15" i="7"/>
  <c r="V15" i="7"/>
  <c r="AD15" i="7"/>
  <c r="AE15" i="7"/>
  <c r="Z15" i="7"/>
  <c r="AA15" i="7"/>
  <c r="AB15" i="7"/>
  <c r="X15" i="7"/>
  <c r="W15" i="7"/>
  <c r="Q15" i="7"/>
  <c r="R15" i="7"/>
  <c r="N15" i="7"/>
  <c r="O15" i="7"/>
  <c r="L15" i="7"/>
  <c r="F15" i="7"/>
  <c r="E15" i="7"/>
  <c r="S14" i="7"/>
  <c r="Y14" i="7"/>
  <c r="T14" i="7"/>
  <c r="U14" i="7"/>
  <c r="V14" i="7"/>
  <c r="W14" i="7"/>
  <c r="Z14" i="7"/>
  <c r="AA14" i="7"/>
  <c r="X14" i="7"/>
  <c r="Q14" i="7"/>
  <c r="R14" i="7"/>
  <c r="N14" i="7"/>
  <c r="O14" i="7"/>
  <c r="L14" i="7"/>
  <c r="F14" i="7"/>
  <c r="E14" i="7"/>
  <c r="S13" i="7"/>
  <c r="AC13" i="7"/>
  <c r="T13" i="7"/>
  <c r="V13" i="7"/>
  <c r="U13" i="7"/>
  <c r="Y13" i="7"/>
  <c r="Q13" i="7"/>
  <c r="R13" i="7"/>
  <c r="N13" i="7"/>
  <c r="O13" i="7"/>
  <c r="L13" i="7"/>
  <c r="F13" i="7"/>
  <c r="E13" i="7"/>
  <c r="S12" i="7"/>
  <c r="AC12" i="7"/>
  <c r="AG12" i="7"/>
  <c r="T12" i="7"/>
  <c r="V12" i="7"/>
  <c r="U12" i="7"/>
  <c r="Y12" i="7"/>
  <c r="Q12" i="7"/>
  <c r="R12" i="7"/>
  <c r="N12" i="7"/>
  <c r="O12" i="7"/>
  <c r="L12" i="7"/>
  <c r="F12" i="7"/>
  <c r="E12" i="7"/>
  <c r="S11" i="7"/>
  <c r="Y11" i="7"/>
  <c r="AC11" i="7"/>
  <c r="AG11" i="7"/>
  <c r="T11" i="7"/>
  <c r="U11" i="7"/>
  <c r="V11" i="7"/>
  <c r="AD11" i="7"/>
  <c r="AE11" i="7"/>
  <c r="Z11" i="7"/>
  <c r="AA11" i="7"/>
  <c r="AB11" i="7"/>
  <c r="X11" i="7"/>
  <c r="W11" i="7"/>
  <c r="Q11" i="7"/>
  <c r="R11" i="7"/>
  <c r="N11" i="7"/>
  <c r="O11" i="7"/>
  <c r="L11" i="7"/>
  <c r="F11" i="7"/>
  <c r="E11" i="7"/>
  <c r="S10" i="7"/>
  <c r="Y10" i="7"/>
  <c r="T10" i="7"/>
  <c r="U10" i="7"/>
  <c r="V10" i="7"/>
  <c r="W10" i="7"/>
  <c r="Z10" i="7"/>
  <c r="AA10" i="7"/>
  <c r="X10" i="7"/>
  <c r="Q10" i="7"/>
  <c r="R10" i="7"/>
  <c r="N10" i="7"/>
  <c r="O10" i="7"/>
  <c r="L10" i="7"/>
  <c r="F10" i="7"/>
  <c r="E10" i="7"/>
  <c r="S9" i="7"/>
  <c r="AC9" i="7"/>
  <c r="T9" i="7"/>
  <c r="V9" i="7"/>
  <c r="U9" i="7"/>
  <c r="Y9" i="7"/>
  <c r="Q9" i="7"/>
  <c r="R9" i="7"/>
  <c r="N9" i="7"/>
  <c r="O9" i="7"/>
  <c r="L9" i="7"/>
  <c r="F9" i="7"/>
  <c r="E9" i="7"/>
  <c r="S8" i="7"/>
  <c r="AC8" i="7"/>
  <c r="AG8" i="7"/>
  <c r="T8" i="7"/>
  <c r="V8" i="7"/>
  <c r="U8" i="7"/>
  <c r="Y8" i="7"/>
  <c r="Q8" i="7"/>
  <c r="R8" i="7"/>
  <c r="N8" i="7"/>
  <c r="O8" i="7"/>
  <c r="L8" i="7"/>
  <c r="F8" i="7"/>
  <c r="E8" i="7"/>
  <c r="AE3" i="7"/>
  <c r="K57" i="6"/>
  <c r="N55" i="6"/>
  <c r="O55" i="6"/>
  <c r="J58" i="6"/>
  <c r="L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P8" i="6"/>
  <c r="L56" i="6"/>
  <c r="G56" i="6"/>
  <c r="F56" i="6"/>
  <c r="E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B8" i="6"/>
  <c r="L55" i="6"/>
  <c r="F55" i="6"/>
  <c r="E55" i="6"/>
  <c r="L54" i="6"/>
  <c r="F54" i="6"/>
  <c r="E54" i="6"/>
  <c r="N53" i="6"/>
  <c r="O53" i="6"/>
  <c r="L53" i="6"/>
  <c r="F53" i="6"/>
  <c r="E53" i="6"/>
  <c r="L52" i="6"/>
  <c r="F52" i="6"/>
  <c r="E52" i="6"/>
  <c r="L51" i="6"/>
  <c r="F51" i="6"/>
  <c r="E51" i="6"/>
  <c r="L50" i="6"/>
  <c r="F50" i="6"/>
  <c r="E50" i="6"/>
  <c r="N49" i="6"/>
  <c r="O49" i="6"/>
  <c r="L49" i="6"/>
  <c r="F49" i="6"/>
  <c r="E49" i="6"/>
  <c r="L48" i="6"/>
  <c r="F48" i="6"/>
  <c r="E48" i="6"/>
  <c r="L47" i="6"/>
  <c r="F47" i="6"/>
  <c r="E47" i="6"/>
  <c r="N46" i="6"/>
  <c r="O46" i="6"/>
  <c r="L46" i="6"/>
  <c r="F46" i="6"/>
  <c r="E46" i="6"/>
  <c r="N45" i="6"/>
  <c r="O45" i="6"/>
  <c r="L45" i="6"/>
  <c r="F45" i="6"/>
  <c r="E45" i="6"/>
  <c r="L44" i="6"/>
  <c r="F44" i="6"/>
  <c r="E44" i="6"/>
  <c r="L43" i="6"/>
  <c r="F43" i="6"/>
  <c r="E43" i="6"/>
  <c r="N42" i="6"/>
  <c r="O42" i="6"/>
  <c r="L42" i="6"/>
  <c r="F42" i="6"/>
  <c r="E42" i="6"/>
  <c r="N41" i="6"/>
  <c r="O41" i="6"/>
  <c r="L41" i="6"/>
  <c r="F41" i="6"/>
  <c r="E41" i="6"/>
  <c r="N40" i="6"/>
  <c r="O40" i="6"/>
  <c r="L40" i="6"/>
  <c r="F40" i="6"/>
  <c r="E40" i="6"/>
  <c r="N39" i="6"/>
  <c r="O39" i="6"/>
  <c r="L39" i="6"/>
  <c r="F39" i="6"/>
  <c r="E39" i="6"/>
  <c r="N38" i="6"/>
  <c r="O38" i="6"/>
  <c r="L38" i="6"/>
  <c r="F38" i="6"/>
  <c r="E38" i="6"/>
  <c r="N37" i="6"/>
  <c r="O37" i="6"/>
  <c r="L37" i="6"/>
  <c r="F37" i="6"/>
  <c r="E37" i="6"/>
  <c r="N36" i="6"/>
  <c r="O36" i="6"/>
  <c r="L36" i="6"/>
  <c r="F36" i="6"/>
  <c r="E36" i="6"/>
  <c r="N35" i="6"/>
  <c r="O35" i="6"/>
  <c r="L35" i="6"/>
  <c r="F35" i="6"/>
  <c r="E35" i="6"/>
  <c r="N34" i="6"/>
  <c r="O34" i="6"/>
  <c r="L34" i="6"/>
  <c r="F34" i="6"/>
  <c r="E34" i="6"/>
  <c r="N33" i="6"/>
  <c r="O33" i="6"/>
  <c r="L33" i="6"/>
  <c r="F33" i="6"/>
  <c r="E33" i="6"/>
  <c r="N32" i="6"/>
  <c r="O32" i="6"/>
  <c r="L32" i="6"/>
  <c r="F32" i="6"/>
  <c r="E32" i="6"/>
  <c r="N31" i="6"/>
  <c r="O31" i="6"/>
  <c r="L31" i="6"/>
  <c r="F31" i="6"/>
  <c r="E31" i="6"/>
  <c r="N30" i="6"/>
  <c r="O30" i="6"/>
  <c r="L30" i="6"/>
  <c r="F30" i="6"/>
  <c r="E30" i="6"/>
  <c r="N29" i="6"/>
  <c r="O29" i="6"/>
  <c r="L29" i="6"/>
  <c r="F29" i="6"/>
  <c r="E29" i="6"/>
  <c r="N28" i="6"/>
  <c r="O28" i="6"/>
  <c r="L28" i="6"/>
  <c r="F28" i="6"/>
  <c r="E28" i="6"/>
  <c r="N27" i="6"/>
  <c r="O27" i="6"/>
  <c r="L27" i="6"/>
  <c r="F27" i="6"/>
  <c r="E27" i="6"/>
  <c r="N26" i="6"/>
  <c r="O26" i="6"/>
  <c r="L26" i="6"/>
  <c r="F26" i="6"/>
  <c r="E26" i="6"/>
  <c r="N25" i="6"/>
  <c r="O25" i="6"/>
  <c r="L25" i="6"/>
  <c r="F25" i="6"/>
  <c r="E25" i="6"/>
  <c r="N24" i="6"/>
  <c r="O24" i="6"/>
  <c r="L24" i="6"/>
  <c r="F24" i="6"/>
  <c r="E24" i="6"/>
  <c r="N23" i="6"/>
  <c r="O23" i="6"/>
  <c r="L23" i="6"/>
  <c r="F23" i="6"/>
  <c r="E23" i="6"/>
  <c r="N22" i="6"/>
  <c r="O22" i="6"/>
  <c r="L22" i="6"/>
  <c r="F22" i="6"/>
  <c r="E22" i="6"/>
  <c r="N21" i="6"/>
  <c r="O21" i="6"/>
  <c r="L21" i="6"/>
  <c r="F21" i="6"/>
  <c r="E21" i="6"/>
  <c r="N20" i="6"/>
  <c r="O20" i="6"/>
  <c r="L20" i="6"/>
  <c r="F20" i="6"/>
  <c r="E20" i="6"/>
  <c r="N19" i="6"/>
  <c r="O19" i="6"/>
  <c r="L19" i="6"/>
  <c r="F19" i="6"/>
  <c r="E19" i="6"/>
  <c r="N18" i="6"/>
  <c r="O18" i="6"/>
  <c r="L18" i="6"/>
  <c r="F18" i="6"/>
  <c r="E18" i="6"/>
  <c r="N17" i="6"/>
  <c r="O17" i="6"/>
  <c r="L17" i="6"/>
  <c r="F17" i="6"/>
  <c r="E17" i="6"/>
  <c r="N16" i="6"/>
  <c r="O16" i="6"/>
  <c r="L16" i="6"/>
  <c r="F16" i="6"/>
  <c r="E16" i="6"/>
  <c r="N15" i="6"/>
  <c r="O15" i="6"/>
  <c r="L15" i="6"/>
  <c r="F15" i="6"/>
  <c r="E15" i="6"/>
  <c r="N14" i="6"/>
  <c r="O14" i="6"/>
  <c r="L14" i="6"/>
  <c r="F14" i="6"/>
  <c r="E14" i="6"/>
  <c r="N13" i="6"/>
  <c r="O13" i="6"/>
  <c r="L13" i="6"/>
  <c r="F13" i="6"/>
  <c r="E13" i="6"/>
  <c r="N12" i="6"/>
  <c r="O12" i="6"/>
  <c r="L12" i="6"/>
  <c r="F12" i="6"/>
  <c r="E12" i="6"/>
  <c r="N11" i="6"/>
  <c r="O11" i="6"/>
  <c r="L11" i="6"/>
  <c r="F11" i="6"/>
  <c r="E11" i="6"/>
  <c r="N10" i="6"/>
  <c r="O10" i="6"/>
  <c r="L10" i="6"/>
  <c r="F10" i="6"/>
  <c r="E10" i="6"/>
  <c r="N9" i="6"/>
  <c r="O9" i="6"/>
  <c r="L9" i="6"/>
  <c r="F9" i="6"/>
  <c r="E9" i="6"/>
  <c r="N8" i="6"/>
  <c r="O8" i="6"/>
  <c r="L8" i="6"/>
  <c r="F8" i="6"/>
  <c r="E8" i="6"/>
  <c r="AE3" i="6"/>
  <c r="AW36" i="5"/>
  <c r="AV36" i="5"/>
  <c r="AC36" i="5"/>
  <c r="AD36" i="5"/>
  <c r="AE36" i="5"/>
  <c r="H17" i="5"/>
  <c r="I17" i="5"/>
  <c r="AG36" i="5"/>
  <c r="AI36" i="5"/>
  <c r="AJ36" i="5"/>
  <c r="AH36" i="5"/>
  <c r="H18" i="5"/>
  <c r="I18" i="5"/>
  <c r="AK36" i="5"/>
  <c r="AL36" i="5"/>
  <c r="AM36" i="5"/>
  <c r="H19" i="5"/>
  <c r="I19" i="5"/>
  <c r="AB36" i="5"/>
  <c r="T36" i="5"/>
  <c r="X36" i="5"/>
  <c r="S36" i="5"/>
  <c r="W36" i="5"/>
  <c r="V36" i="5"/>
  <c r="U36" i="5"/>
  <c r="P36" i="5"/>
  <c r="M36" i="5"/>
  <c r="AW35" i="5"/>
  <c r="AV35" i="5"/>
  <c r="AC35" i="5"/>
  <c r="AE35" i="5"/>
  <c r="AD35" i="5"/>
  <c r="AG35" i="5"/>
  <c r="AI35" i="5"/>
  <c r="AJ35" i="5"/>
  <c r="AH35" i="5"/>
  <c r="AK35" i="5"/>
  <c r="AM35" i="5"/>
  <c r="AL35" i="5"/>
  <c r="AB35" i="5"/>
  <c r="AO35" i="5"/>
  <c r="AP35" i="5"/>
  <c r="AQ35" i="5"/>
  <c r="AR35" i="5"/>
  <c r="AS35" i="5"/>
  <c r="N35" i="5"/>
  <c r="T35" i="5"/>
  <c r="X35" i="5"/>
  <c r="S35" i="5"/>
  <c r="W35" i="5"/>
  <c r="V35" i="5"/>
  <c r="U35" i="5"/>
  <c r="P35" i="5"/>
  <c r="M35" i="5"/>
  <c r="AW34" i="5"/>
  <c r="AV34" i="5"/>
  <c r="AC34" i="5"/>
  <c r="AD34" i="5"/>
  <c r="AE34" i="5"/>
  <c r="AG34" i="5"/>
  <c r="AH34" i="5"/>
  <c r="AI34" i="5"/>
  <c r="AJ34" i="5"/>
  <c r="AK34" i="5"/>
  <c r="AL34" i="5"/>
  <c r="AM34" i="5"/>
  <c r="AB34" i="5"/>
  <c r="AO34" i="5"/>
  <c r="AP34" i="5"/>
  <c r="AQ34" i="5"/>
  <c r="AR34" i="5"/>
  <c r="AS34" i="5"/>
  <c r="N34" i="5"/>
  <c r="T34" i="5"/>
  <c r="S34" i="5"/>
  <c r="X34" i="5"/>
  <c r="W34" i="5"/>
  <c r="V34" i="5"/>
  <c r="U34" i="5"/>
  <c r="P34" i="5"/>
  <c r="M34" i="5"/>
  <c r="AW33" i="5"/>
  <c r="AV33" i="5"/>
  <c r="AC33" i="5"/>
  <c r="AD33" i="5"/>
  <c r="AE33" i="5"/>
  <c r="AG33" i="5"/>
  <c r="AH33" i="5"/>
  <c r="AI33" i="5"/>
  <c r="AJ33" i="5"/>
  <c r="AK33" i="5"/>
  <c r="AL33" i="5"/>
  <c r="AM33" i="5"/>
  <c r="AB33" i="5"/>
  <c r="AO33" i="5"/>
  <c r="AP33" i="5"/>
  <c r="T33" i="5"/>
  <c r="S33" i="5"/>
  <c r="X33" i="5"/>
  <c r="W33" i="5"/>
  <c r="V33" i="5"/>
  <c r="U33" i="5"/>
  <c r="P33" i="5"/>
  <c r="M33" i="5"/>
  <c r="AW32" i="5"/>
  <c r="AV32" i="5"/>
  <c r="AC32" i="5"/>
  <c r="AE32" i="5"/>
  <c r="AD32" i="5"/>
  <c r="AG32" i="5"/>
  <c r="AI32" i="5"/>
  <c r="AJ32" i="5"/>
  <c r="AH32" i="5"/>
  <c r="AK32" i="5"/>
  <c r="AM32" i="5"/>
  <c r="AL32" i="5"/>
  <c r="AB32" i="5"/>
  <c r="T32" i="5"/>
  <c r="X32" i="5"/>
  <c r="S32" i="5"/>
  <c r="W32" i="5"/>
  <c r="V32" i="5"/>
  <c r="U32" i="5"/>
  <c r="P32" i="5"/>
  <c r="M32" i="5"/>
  <c r="AW31" i="5"/>
  <c r="AV31" i="5"/>
  <c r="AC31" i="5"/>
  <c r="AE31" i="5"/>
  <c r="AF31" i="5"/>
  <c r="AD31" i="5"/>
  <c r="AG31" i="5"/>
  <c r="AI31" i="5"/>
  <c r="AJ31" i="5"/>
  <c r="AH31" i="5"/>
  <c r="AK31" i="5"/>
  <c r="AM31" i="5"/>
  <c r="AN31" i="5"/>
  <c r="AL31" i="5"/>
  <c r="AB31" i="5"/>
  <c r="AO31" i="5"/>
  <c r="AP31" i="5"/>
  <c r="AQ31" i="5"/>
  <c r="AR31" i="5"/>
  <c r="AS31" i="5"/>
  <c r="N31" i="5"/>
  <c r="T31" i="5"/>
  <c r="X31" i="5"/>
  <c r="S31" i="5"/>
  <c r="W31" i="5"/>
  <c r="V31" i="5"/>
  <c r="U31" i="5"/>
  <c r="P31" i="5"/>
  <c r="M31" i="5"/>
  <c r="AW30" i="5"/>
  <c r="AV30" i="5"/>
  <c r="AC30" i="5"/>
  <c r="AD30" i="5"/>
  <c r="AE30" i="5"/>
  <c r="AG30" i="5"/>
  <c r="AH30" i="5"/>
  <c r="AI30" i="5"/>
  <c r="AJ30" i="5"/>
  <c r="AK30" i="5"/>
  <c r="AL30" i="5"/>
  <c r="AM30" i="5"/>
  <c r="AB30" i="5"/>
  <c r="AO30" i="5"/>
  <c r="AP30" i="5"/>
  <c r="AQ30" i="5"/>
  <c r="AR30" i="5"/>
  <c r="AS30" i="5"/>
  <c r="N30" i="5"/>
  <c r="T30" i="5"/>
  <c r="S30" i="5"/>
  <c r="X30" i="5"/>
  <c r="W30" i="5"/>
  <c r="V30" i="5"/>
  <c r="U30" i="5"/>
  <c r="P30" i="5"/>
  <c r="M30" i="5"/>
  <c r="AW29" i="5"/>
  <c r="AV29" i="5"/>
  <c r="AC29" i="5"/>
  <c r="AD29" i="5"/>
  <c r="AE29" i="5"/>
  <c r="AF29" i="5"/>
  <c r="AT29" i="5"/>
  <c r="AG29" i="5"/>
  <c r="AH29" i="5"/>
  <c r="AI29" i="5"/>
  <c r="AJ29" i="5"/>
  <c r="AK29" i="5"/>
  <c r="AL29" i="5"/>
  <c r="AM29" i="5"/>
  <c r="AN29" i="5"/>
  <c r="AB29" i="5"/>
  <c r="AO29" i="5"/>
  <c r="AP29" i="5"/>
  <c r="T29" i="5"/>
  <c r="S29" i="5"/>
  <c r="X29" i="5"/>
  <c r="W29" i="5"/>
  <c r="V29" i="5"/>
  <c r="U29" i="5"/>
  <c r="P29" i="5"/>
  <c r="M29" i="5"/>
  <c r="AW28" i="5"/>
  <c r="AV28" i="5"/>
  <c r="AC28" i="5"/>
  <c r="AE28" i="5"/>
  <c r="AF28" i="5"/>
  <c r="AD28" i="5"/>
  <c r="AG28" i="5"/>
  <c r="AI28" i="5"/>
  <c r="AJ28" i="5"/>
  <c r="AH28" i="5"/>
  <c r="AK28" i="5"/>
  <c r="AM28" i="5"/>
  <c r="AN28" i="5"/>
  <c r="AL28" i="5"/>
  <c r="AB28" i="5"/>
  <c r="T28" i="5"/>
  <c r="X28" i="5"/>
  <c r="S28" i="5"/>
  <c r="W28" i="5"/>
  <c r="V28" i="5"/>
  <c r="U28" i="5"/>
  <c r="P28" i="5"/>
  <c r="M28" i="5"/>
  <c r="AW27" i="5"/>
  <c r="AV27" i="5"/>
  <c r="AC27" i="5"/>
  <c r="AE27" i="5"/>
  <c r="AF27" i="5"/>
  <c r="AD27" i="5"/>
  <c r="AG27" i="5"/>
  <c r="AI27" i="5"/>
  <c r="AJ27" i="5"/>
  <c r="AH27" i="5"/>
  <c r="AK27" i="5"/>
  <c r="AM27" i="5"/>
  <c r="AN27" i="5"/>
  <c r="AL27" i="5"/>
  <c r="AB27" i="5"/>
  <c r="AO27" i="5"/>
  <c r="AP27" i="5"/>
  <c r="AQ27" i="5"/>
  <c r="AR27" i="5"/>
  <c r="AS27" i="5"/>
  <c r="N27" i="5"/>
  <c r="T27" i="5"/>
  <c r="X27" i="5"/>
  <c r="S27" i="5"/>
  <c r="W27" i="5"/>
  <c r="V27" i="5"/>
  <c r="U27" i="5"/>
  <c r="P27" i="5"/>
  <c r="M27" i="5"/>
  <c r="AW26" i="5"/>
  <c r="AV26" i="5"/>
  <c r="AC26" i="5"/>
  <c r="AD26" i="5"/>
  <c r="AE26" i="5"/>
  <c r="AG26" i="5"/>
  <c r="AH26" i="5"/>
  <c r="AI26" i="5"/>
  <c r="AJ26" i="5"/>
  <c r="AK26" i="5"/>
  <c r="AL26" i="5"/>
  <c r="AM26" i="5"/>
  <c r="AB26" i="5"/>
  <c r="AO26" i="5"/>
  <c r="AP26" i="5"/>
  <c r="AQ26" i="5"/>
  <c r="AR26" i="5"/>
  <c r="AS26" i="5"/>
  <c r="N26" i="5"/>
  <c r="T26" i="5"/>
  <c r="S26" i="5"/>
  <c r="X26" i="5"/>
  <c r="W26" i="5"/>
  <c r="V26" i="5"/>
  <c r="U26" i="5"/>
  <c r="P26" i="5"/>
  <c r="M26" i="5"/>
  <c r="AW25" i="5"/>
  <c r="AV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B25" i="5"/>
  <c r="AO25" i="5"/>
  <c r="AP25" i="5"/>
  <c r="T25" i="5"/>
  <c r="S25" i="5"/>
  <c r="X25" i="5"/>
  <c r="W25" i="5"/>
  <c r="V25" i="5"/>
  <c r="U25" i="5"/>
  <c r="P25" i="5"/>
  <c r="M25" i="5"/>
  <c r="G20" i="5"/>
  <c r="C19" i="5"/>
  <c r="B19" i="5"/>
  <c r="D19" i="5"/>
  <c r="H9" i="5"/>
  <c r="C18" i="5"/>
  <c r="B18" i="5"/>
  <c r="D18" i="5"/>
  <c r="H8" i="5"/>
  <c r="C17" i="5"/>
  <c r="B17" i="5"/>
  <c r="D17" i="5"/>
  <c r="C14" i="5"/>
  <c r="C9" i="5"/>
  <c r="W118" i="4"/>
  <c r="V118" i="4"/>
  <c r="U118" i="4"/>
  <c r="T118" i="4"/>
  <c r="W115" i="4"/>
  <c r="V115" i="4"/>
  <c r="U115" i="4"/>
  <c r="T115" i="4"/>
  <c r="X111" i="4"/>
  <c r="W111" i="4"/>
  <c r="U111" i="4"/>
  <c r="T111" i="4"/>
  <c r="W109" i="4"/>
  <c r="V109" i="4"/>
  <c r="U109" i="4"/>
  <c r="T109" i="4"/>
  <c r="W105" i="4"/>
  <c r="V105" i="4"/>
  <c r="U105" i="4"/>
  <c r="T105" i="4"/>
  <c r="W94" i="4"/>
  <c r="V94" i="4"/>
  <c r="U94" i="4"/>
  <c r="T94" i="4"/>
  <c r="W87" i="4"/>
  <c r="V87" i="4"/>
  <c r="U87" i="4"/>
  <c r="T87" i="4"/>
  <c r="W81" i="4"/>
  <c r="V81" i="4"/>
  <c r="U81" i="4"/>
  <c r="T81" i="4"/>
  <c r="W72" i="4"/>
  <c r="V72" i="4"/>
  <c r="U72" i="4"/>
  <c r="T72" i="4"/>
  <c r="W63" i="4"/>
  <c r="V63" i="4"/>
  <c r="U63" i="4"/>
  <c r="T63" i="4"/>
  <c r="U61" i="4"/>
  <c r="W56" i="4"/>
  <c r="V56" i="4"/>
  <c r="U56" i="4"/>
  <c r="T56" i="4"/>
  <c r="W48" i="4"/>
  <c r="V48" i="4"/>
  <c r="U48" i="4"/>
  <c r="T48" i="4"/>
  <c r="AQ18" i="3"/>
  <c r="AP18" i="3"/>
  <c r="AO18" i="3"/>
  <c r="AN18" i="3"/>
  <c r="AM18" i="3"/>
  <c r="AL18" i="3"/>
  <c r="AK18" i="3"/>
  <c r="AJ18" i="3"/>
  <c r="AF18" i="3"/>
  <c r="AG18" i="3" s="1"/>
  <c r="AE18" i="3"/>
  <c r="AD18" i="3"/>
  <c r="Z18" i="3"/>
  <c r="AB18" i="3" s="1"/>
  <c r="Y18" i="3"/>
  <c r="X18" i="3"/>
  <c r="T18" i="3"/>
  <c r="U18" i="3" s="1"/>
  <c r="AQ17" i="3"/>
  <c r="AP17" i="3"/>
  <c r="AO17" i="3"/>
  <c r="AN17" i="3"/>
  <c r="AM17" i="3"/>
  <c r="AL17" i="3"/>
  <c r="AK17" i="3"/>
  <c r="AJ17" i="3"/>
  <c r="AF17" i="3"/>
  <c r="AG17" i="3" s="1"/>
  <c r="AE17" i="3"/>
  <c r="AD17" i="3"/>
  <c r="Z17" i="3"/>
  <c r="AA17" i="3" s="1"/>
  <c r="Y17" i="3"/>
  <c r="X17" i="3"/>
  <c r="T17" i="3"/>
  <c r="U17" i="3" s="1"/>
  <c r="AQ16" i="3"/>
  <c r="AP16" i="3"/>
  <c r="AO16" i="3"/>
  <c r="AN16" i="3"/>
  <c r="AM16" i="3"/>
  <c r="AL16" i="3"/>
  <c r="AK16" i="3"/>
  <c r="AJ16" i="3"/>
  <c r="AF16" i="3"/>
  <c r="AH16" i="3" s="1"/>
  <c r="AE16" i="3"/>
  <c r="AD16" i="3"/>
  <c r="Z16" i="3"/>
  <c r="AA16" i="3" s="1"/>
  <c r="Y16" i="3"/>
  <c r="X16" i="3"/>
  <c r="T16" i="3"/>
  <c r="V16" i="3" s="1"/>
  <c r="AQ15" i="3"/>
  <c r="AP15" i="3"/>
  <c r="AO15" i="3"/>
  <c r="AN15" i="3"/>
  <c r="AM15" i="3"/>
  <c r="AL15" i="3"/>
  <c r="AK15" i="3"/>
  <c r="AJ15" i="3"/>
  <c r="AF15" i="3"/>
  <c r="AG15" i="3" s="1"/>
  <c r="AE15" i="3"/>
  <c r="AD15" i="3"/>
  <c r="Z15" i="3"/>
  <c r="AB15" i="3" s="1"/>
  <c r="Y15" i="3"/>
  <c r="X15" i="3"/>
  <c r="T15" i="3"/>
  <c r="U15" i="3" s="1"/>
  <c r="AO14" i="3"/>
  <c r="AN14" i="3"/>
  <c r="AM14" i="3"/>
  <c r="AL14" i="3"/>
  <c r="AE14" i="3"/>
  <c r="AD14" i="3"/>
  <c r="Z14" i="3"/>
  <c r="AB14" i="3" s="1"/>
  <c r="Y14" i="3"/>
  <c r="X14" i="3"/>
  <c r="T14" i="3"/>
  <c r="U14" i="3" s="1"/>
  <c r="AM13" i="3"/>
  <c r="AL13" i="3"/>
  <c r="Y13" i="3"/>
  <c r="X13" i="3"/>
  <c r="T13" i="3"/>
  <c r="U13" i="3" s="1"/>
  <c r="AO12" i="3"/>
  <c r="AN12" i="3"/>
  <c r="AL12" i="3"/>
  <c r="AE12" i="3"/>
  <c r="AD12" i="3"/>
  <c r="Z12" i="3"/>
  <c r="AB12" i="3" s="1"/>
  <c r="Y12" i="3"/>
  <c r="X12" i="3"/>
  <c r="T12" i="3"/>
  <c r="V12" i="3" s="1"/>
  <c r="AO11" i="3"/>
  <c r="AN11" i="3"/>
  <c r="AL11" i="3"/>
  <c r="AE11" i="3"/>
  <c r="AD11" i="3"/>
  <c r="Z11" i="3"/>
  <c r="AB11" i="3" s="1"/>
  <c r="Y11" i="3"/>
  <c r="X11" i="3"/>
  <c r="T11" i="3"/>
  <c r="V11" i="3" s="1"/>
  <c r="AQ10" i="3"/>
  <c r="AP10" i="3"/>
  <c r="AO10" i="3"/>
  <c r="AN10" i="3"/>
  <c r="AM10" i="3"/>
  <c r="AL10" i="3"/>
  <c r="AK10" i="3"/>
  <c r="AJ10" i="3"/>
  <c r="AF10" i="3"/>
  <c r="AG10" i="3" s="1"/>
  <c r="AE10" i="3"/>
  <c r="AD10" i="3"/>
  <c r="Z10" i="3"/>
  <c r="AA10" i="3" s="1"/>
  <c r="Y10" i="3"/>
  <c r="X10" i="3"/>
  <c r="T10" i="3"/>
  <c r="V10" i="3" s="1"/>
  <c r="AQ9" i="3"/>
  <c r="AP9" i="3"/>
  <c r="AO9" i="3"/>
  <c r="AN9" i="3"/>
  <c r="AM9" i="3"/>
  <c r="AL9" i="3"/>
  <c r="AK9" i="3"/>
  <c r="AJ9" i="3"/>
  <c r="AF9" i="3"/>
  <c r="AG9" i="3" s="1"/>
  <c r="AI9" i="3" s="1"/>
  <c r="AE9" i="3"/>
  <c r="AD9" i="3"/>
  <c r="Z9" i="3"/>
  <c r="AA9" i="3" s="1"/>
  <c r="Y9" i="3"/>
  <c r="X9" i="3"/>
  <c r="T9" i="3"/>
  <c r="V9" i="3" s="1"/>
  <c r="AO8" i="3"/>
  <c r="AN8" i="3"/>
  <c r="AM8" i="3"/>
  <c r="AL8" i="3"/>
  <c r="AE8" i="3"/>
  <c r="AD8" i="3"/>
  <c r="Z8" i="3"/>
  <c r="AB8" i="3" s="1"/>
  <c r="Y8" i="3"/>
  <c r="X8" i="3"/>
  <c r="T8" i="3"/>
  <c r="V8" i="3" s="1"/>
  <c r="AQ7" i="3"/>
  <c r="AP7" i="3"/>
  <c r="AO7" i="3"/>
  <c r="AN7" i="3"/>
  <c r="AM7" i="3"/>
  <c r="AL7" i="3"/>
  <c r="AK7" i="3"/>
  <c r="AJ7" i="3"/>
  <c r="AF7" i="3"/>
  <c r="AH7" i="3" s="1"/>
  <c r="AE7" i="3"/>
  <c r="AD7" i="3"/>
  <c r="Z7" i="3"/>
  <c r="AB7" i="3" s="1"/>
  <c r="Y7" i="3"/>
  <c r="X7" i="3"/>
  <c r="T7" i="3"/>
  <c r="V7" i="3" s="1"/>
  <c r="AQ6" i="3"/>
  <c r="AP6" i="3"/>
  <c r="AO6" i="3"/>
  <c r="AN6" i="3"/>
  <c r="AM6" i="3"/>
  <c r="AL6" i="3"/>
  <c r="AK6" i="3"/>
  <c r="AJ6" i="3"/>
  <c r="AF6" i="3"/>
  <c r="AH6" i="3" s="1"/>
  <c r="AE6" i="3"/>
  <c r="AD6" i="3"/>
  <c r="Z6" i="3"/>
  <c r="AB6" i="3" s="1"/>
  <c r="Y6" i="3"/>
  <c r="X6" i="3"/>
  <c r="T6" i="3"/>
  <c r="V6" i="3" s="1"/>
  <c r="AO5" i="3"/>
  <c r="AN5" i="3"/>
  <c r="AM5" i="3"/>
  <c r="AL5" i="3"/>
  <c r="AE5" i="3"/>
  <c r="AD5" i="3"/>
  <c r="Z5" i="3"/>
  <c r="AB5" i="3" s="1"/>
  <c r="Y5" i="3"/>
  <c r="X5" i="3"/>
  <c r="T5" i="3"/>
  <c r="V5" i="3" s="1"/>
  <c r="AO4" i="3"/>
  <c r="AN4" i="3"/>
  <c r="AM4" i="3"/>
  <c r="AL4" i="3"/>
  <c r="AE4" i="3"/>
  <c r="AD4" i="3"/>
  <c r="Z4" i="3"/>
  <c r="AA4" i="3" s="1"/>
  <c r="Y4" i="3"/>
  <c r="X4" i="3"/>
  <c r="T4" i="3"/>
  <c r="V4" i="3" s="1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D49" i="2"/>
  <c r="G49" i="2"/>
  <c r="M49" i="2"/>
  <c r="N49" i="2"/>
  <c r="O49" i="2"/>
  <c r="E49" i="2"/>
  <c r="H49" i="2"/>
  <c r="U49" i="2"/>
  <c r="I49" i="2"/>
  <c r="D48" i="2"/>
  <c r="G48" i="2"/>
  <c r="M48" i="2"/>
  <c r="E48" i="2"/>
  <c r="H48" i="2"/>
  <c r="I48" i="2"/>
  <c r="Q48" i="2"/>
  <c r="F48" i="2"/>
  <c r="D47" i="2"/>
  <c r="G47" i="2"/>
  <c r="H47" i="2"/>
  <c r="I47" i="2"/>
  <c r="E47" i="2"/>
  <c r="F47" i="2"/>
  <c r="D46" i="2"/>
  <c r="G46" i="2"/>
  <c r="M46" i="2"/>
  <c r="E46" i="2"/>
  <c r="H46" i="2"/>
  <c r="I46" i="2"/>
  <c r="Q46" i="2"/>
  <c r="R46" i="2"/>
  <c r="F46" i="2"/>
  <c r="D41" i="2"/>
  <c r="G41" i="2"/>
  <c r="M41" i="2"/>
  <c r="N41" i="2"/>
  <c r="O41" i="2"/>
  <c r="E41" i="2"/>
  <c r="H41" i="2"/>
  <c r="U41" i="2"/>
  <c r="V41" i="2"/>
  <c r="W41" i="2"/>
  <c r="I41" i="2"/>
  <c r="E40" i="2"/>
  <c r="D40" i="2"/>
  <c r="F40" i="2"/>
  <c r="D38" i="2"/>
  <c r="G38" i="2"/>
  <c r="M38" i="2"/>
  <c r="E38" i="2"/>
  <c r="H38" i="2"/>
  <c r="Q38" i="2"/>
  <c r="I38" i="2"/>
  <c r="D37" i="2"/>
  <c r="G37" i="2"/>
  <c r="M37" i="2"/>
  <c r="N37" i="2"/>
  <c r="O37" i="2"/>
  <c r="E37" i="2"/>
  <c r="H37" i="2"/>
  <c r="U37" i="2"/>
  <c r="Q37" i="2"/>
  <c r="R37" i="2"/>
  <c r="F37" i="2"/>
  <c r="D34" i="2"/>
  <c r="G34" i="2"/>
  <c r="M34" i="2"/>
  <c r="N34" i="2"/>
  <c r="O34" i="2"/>
  <c r="E34" i="2"/>
  <c r="H34" i="2"/>
  <c r="I34" i="2"/>
  <c r="U34" i="2"/>
  <c r="V34" i="2"/>
  <c r="D33" i="2"/>
  <c r="G33" i="2"/>
  <c r="M33" i="2"/>
  <c r="E33" i="2"/>
  <c r="F33" i="2"/>
  <c r="H33" i="2"/>
  <c r="I33" i="2"/>
  <c r="D32" i="2"/>
  <c r="G32" i="2"/>
  <c r="M32" i="2"/>
  <c r="E32" i="2"/>
  <c r="H32" i="2"/>
  <c r="Q32" i="2"/>
  <c r="I32" i="2"/>
  <c r="D31" i="2"/>
  <c r="G31" i="2"/>
  <c r="M31" i="2"/>
  <c r="N31" i="2"/>
  <c r="O31" i="2"/>
  <c r="E31" i="2"/>
  <c r="H31" i="2"/>
  <c r="U31" i="2"/>
  <c r="Q31" i="2"/>
  <c r="R31" i="2"/>
  <c r="F31" i="2"/>
  <c r="D30" i="2"/>
  <c r="G30" i="2"/>
  <c r="M30" i="2"/>
  <c r="N30" i="2"/>
  <c r="O30" i="2"/>
  <c r="E30" i="2"/>
  <c r="H30" i="2"/>
  <c r="I30" i="2"/>
  <c r="U30" i="2"/>
  <c r="V30" i="2"/>
  <c r="W29" i="2"/>
  <c r="D28" i="2"/>
  <c r="G28" i="2"/>
  <c r="M28" i="2"/>
  <c r="N28" i="2"/>
  <c r="O28" i="2"/>
  <c r="E28" i="2"/>
  <c r="H28" i="2"/>
  <c r="I28" i="2"/>
  <c r="U28" i="2"/>
  <c r="V28" i="2"/>
  <c r="D27" i="2"/>
  <c r="G27" i="2"/>
  <c r="M27" i="2"/>
  <c r="E27" i="2"/>
  <c r="F27" i="2"/>
  <c r="H27" i="2"/>
  <c r="I27" i="2"/>
  <c r="D26" i="2"/>
  <c r="G26" i="2"/>
  <c r="M26" i="2"/>
  <c r="E26" i="2"/>
  <c r="H26" i="2"/>
  <c r="Q26" i="2"/>
  <c r="I26" i="2"/>
  <c r="D25" i="2"/>
  <c r="G25" i="2"/>
  <c r="M25" i="2"/>
  <c r="N25" i="2"/>
  <c r="O25" i="2"/>
  <c r="E25" i="2"/>
  <c r="H25" i="2"/>
  <c r="U25" i="2"/>
  <c r="Q25" i="2"/>
  <c r="R25" i="2"/>
  <c r="F25" i="2"/>
  <c r="D24" i="2"/>
  <c r="G24" i="2"/>
  <c r="M24" i="2"/>
  <c r="N24" i="2"/>
  <c r="O24" i="2"/>
  <c r="E24" i="2"/>
  <c r="H24" i="2"/>
  <c r="U24" i="2"/>
  <c r="V24" i="2"/>
  <c r="I24" i="2"/>
  <c r="D23" i="2"/>
  <c r="G23" i="2"/>
  <c r="M23" i="2"/>
  <c r="E23" i="2"/>
  <c r="F23" i="2"/>
  <c r="H23" i="2"/>
  <c r="I23" i="2"/>
  <c r="D22" i="2"/>
  <c r="G22" i="2"/>
  <c r="M22" i="2"/>
  <c r="N22" i="2"/>
  <c r="O22" i="2"/>
  <c r="E22" i="2"/>
  <c r="H22" i="2"/>
  <c r="Q22" i="2"/>
  <c r="I22" i="2"/>
  <c r="D21" i="2"/>
  <c r="G21" i="2"/>
  <c r="M21" i="2"/>
  <c r="N21" i="2"/>
  <c r="O21" i="2"/>
  <c r="E21" i="2"/>
  <c r="H21" i="2"/>
  <c r="U21" i="2"/>
  <c r="V21" i="2"/>
  <c r="W21" i="2"/>
  <c r="Q21" i="2"/>
  <c r="R21" i="2"/>
  <c r="F21" i="2"/>
  <c r="D20" i="2"/>
  <c r="G20" i="2"/>
  <c r="M20" i="2"/>
  <c r="N20" i="2"/>
  <c r="O20" i="2"/>
  <c r="E20" i="2"/>
  <c r="H20" i="2"/>
  <c r="U20" i="2"/>
  <c r="V20" i="2"/>
  <c r="W20" i="2"/>
  <c r="F20" i="2"/>
  <c r="I20" i="2"/>
  <c r="D19" i="2"/>
  <c r="G19" i="2"/>
  <c r="M19" i="2"/>
  <c r="E19" i="2"/>
  <c r="F19" i="2"/>
  <c r="H19" i="2"/>
  <c r="I19" i="2"/>
  <c r="D18" i="2"/>
  <c r="G18" i="2"/>
  <c r="M18" i="2"/>
  <c r="N18" i="2"/>
  <c r="O18" i="2"/>
  <c r="E18" i="2"/>
  <c r="H18" i="2"/>
  <c r="Q18" i="2"/>
  <c r="I18" i="2"/>
  <c r="D17" i="2"/>
  <c r="G17" i="2"/>
  <c r="M17" i="2"/>
  <c r="N17" i="2"/>
  <c r="O17" i="2"/>
  <c r="E17" i="2"/>
  <c r="H17" i="2"/>
  <c r="U17" i="2"/>
  <c r="V17" i="2"/>
  <c r="Q17" i="2"/>
  <c r="R17" i="2"/>
  <c r="F17" i="2"/>
  <c r="D16" i="2"/>
  <c r="G16" i="2"/>
  <c r="M16" i="2"/>
  <c r="N16" i="2"/>
  <c r="O16" i="2"/>
  <c r="E16" i="2"/>
  <c r="H16" i="2"/>
  <c r="U16" i="2"/>
  <c r="V16" i="2"/>
  <c r="W16" i="2"/>
  <c r="I16" i="2"/>
  <c r="D15" i="2"/>
  <c r="G15" i="2"/>
  <c r="M15" i="2"/>
  <c r="E15" i="2"/>
  <c r="F15" i="2"/>
  <c r="H15" i="2"/>
  <c r="I15" i="2"/>
  <c r="D14" i="2"/>
  <c r="G14" i="2"/>
  <c r="M14" i="2"/>
  <c r="N14" i="2"/>
  <c r="O14" i="2"/>
  <c r="E14" i="2"/>
  <c r="H14" i="2"/>
  <c r="Q14" i="2"/>
  <c r="I14" i="2"/>
  <c r="D13" i="2"/>
  <c r="G13" i="2"/>
  <c r="M13" i="2"/>
  <c r="N13" i="2"/>
  <c r="O13" i="2"/>
  <c r="E13" i="2"/>
  <c r="H13" i="2"/>
  <c r="U13" i="2"/>
  <c r="V13" i="2"/>
  <c r="F13" i="2"/>
  <c r="D12" i="2"/>
  <c r="G12" i="2"/>
  <c r="M12" i="2"/>
  <c r="N12" i="2"/>
  <c r="O12" i="2"/>
  <c r="E12" i="2"/>
  <c r="H12" i="2"/>
  <c r="U12" i="2"/>
  <c r="V12" i="2"/>
  <c r="I12" i="2"/>
  <c r="D11" i="2"/>
  <c r="G11" i="2"/>
  <c r="M11" i="2"/>
  <c r="E11" i="2"/>
  <c r="F11" i="2"/>
  <c r="H11" i="2"/>
  <c r="I11" i="2"/>
  <c r="D10" i="2"/>
  <c r="G10" i="2"/>
  <c r="M10" i="2"/>
  <c r="N10" i="2"/>
  <c r="O10" i="2"/>
  <c r="E10" i="2"/>
  <c r="H10" i="2"/>
  <c r="Q10" i="2"/>
  <c r="I10" i="2"/>
  <c r="D9" i="2"/>
  <c r="G9" i="2"/>
  <c r="M9" i="2"/>
  <c r="N9" i="2"/>
  <c r="O9" i="2"/>
  <c r="E9" i="2"/>
  <c r="H9" i="2"/>
  <c r="U9" i="2"/>
  <c r="V9" i="2"/>
  <c r="W9" i="2"/>
  <c r="F9" i="2"/>
  <c r="D8" i="2"/>
  <c r="G8" i="2"/>
  <c r="M8" i="2"/>
  <c r="N8" i="2"/>
  <c r="O8" i="2"/>
  <c r="E8" i="2"/>
  <c r="H8" i="2"/>
  <c r="U8" i="2"/>
  <c r="V8" i="2"/>
  <c r="I8" i="2"/>
  <c r="D7" i="2"/>
  <c r="G7" i="2"/>
  <c r="M7" i="2"/>
  <c r="E7" i="2"/>
  <c r="F7" i="2"/>
  <c r="H7" i="2"/>
  <c r="I7" i="2"/>
  <c r="D6" i="2"/>
  <c r="G6" i="2"/>
  <c r="M6" i="2"/>
  <c r="E6" i="2"/>
  <c r="H6" i="2"/>
  <c r="Q6" i="2"/>
  <c r="I6" i="2"/>
  <c r="D5" i="2"/>
  <c r="G5" i="2"/>
  <c r="M5" i="2"/>
  <c r="N5" i="2"/>
  <c r="O5" i="2"/>
  <c r="E5" i="2"/>
  <c r="H5" i="2"/>
  <c r="U5" i="2"/>
  <c r="Q5" i="2"/>
  <c r="R5" i="2"/>
  <c r="S5" i="2"/>
  <c r="F5" i="2"/>
  <c r="W28" i="2"/>
  <c r="S31" i="2"/>
  <c r="W34" i="2"/>
  <c r="V37" i="2"/>
  <c r="N38" i="2"/>
  <c r="O38" i="2"/>
  <c r="S25" i="2"/>
  <c r="V5" i="2"/>
  <c r="N6" i="2"/>
  <c r="W8" i="2"/>
  <c r="W17" i="2"/>
  <c r="S21" i="2"/>
  <c r="W37" i="2"/>
  <c r="W5" i="2"/>
  <c r="W12" i="2"/>
  <c r="W13" i="2"/>
  <c r="S17" i="2"/>
  <c r="W24" i="2"/>
  <c r="V25" i="2"/>
  <c r="W25" i="2"/>
  <c r="N26" i="2"/>
  <c r="O26" i="2"/>
  <c r="W30" i="2"/>
  <c r="V31" i="2"/>
  <c r="W31" i="2"/>
  <c r="N32" i="2"/>
  <c r="O32" i="2"/>
  <c r="S37" i="2"/>
  <c r="Q13" i="2"/>
  <c r="R13" i="2"/>
  <c r="S13" i="2"/>
  <c r="I5" i="2"/>
  <c r="U7" i="2"/>
  <c r="V7" i="2"/>
  <c r="N7" i="2"/>
  <c r="O7" i="2"/>
  <c r="F8" i="2"/>
  <c r="Q8" i="2"/>
  <c r="R8" i="2"/>
  <c r="S8" i="2"/>
  <c r="I9" i="2"/>
  <c r="U11" i="2"/>
  <c r="V11" i="2"/>
  <c r="N11" i="2"/>
  <c r="O11" i="2"/>
  <c r="F12" i="2"/>
  <c r="Q12" i="2"/>
  <c r="R12" i="2"/>
  <c r="S12" i="2"/>
  <c r="I13" i="2"/>
  <c r="U15" i="2"/>
  <c r="V15" i="2"/>
  <c r="N15" i="2"/>
  <c r="O15" i="2"/>
  <c r="W15" i="2"/>
  <c r="F16" i="2"/>
  <c r="Q16" i="2"/>
  <c r="R16" i="2"/>
  <c r="S16" i="2"/>
  <c r="I17" i="2"/>
  <c r="U19" i="2"/>
  <c r="V19" i="2"/>
  <c r="N19" i="2"/>
  <c r="O19" i="2"/>
  <c r="W19" i="2"/>
  <c r="Q20" i="2"/>
  <c r="R20" i="2"/>
  <c r="S20" i="2"/>
  <c r="I21" i="2"/>
  <c r="U23" i="2"/>
  <c r="V23" i="2"/>
  <c r="N23" i="2"/>
  <c r="O23" i="2"/>
  <c r="F24" i="2"/>
  <c r="Q24" i="2"/>
  <c r="R24" i="2"/>
  <c r="S24" i="2"/>
  <c r="I25" i="2"/>
  <c r="U27" i="2"/>
  <c r="V27" i="2"/>
  <c r="N27" i="2"/>
  <c r="O27" i="2"/>
  <c r="W27" i="2"/>
  <c r="F28" i="2"/>
  <c r="Q28" i="2"/>
  <c r="R28" i="2"/>
  <c r="S28" i="2"/>
  <c r="F30" i="2"/>
  <c r="Q30" i="2"/>
  <c r="R30" i="2"/>
  <c r="S30" i="2"/>
  <c r="I31" i="2"/>
  <c r="U33" i="2"/>
  <c r="V33" i="2"/>
  <c r="N33" i="2"/>
  <c r="O33" i="2"/>
  <c r="F34" i="2"/>
  <c r="Q34" i="2"/>
  <c r="R34" i="2"/>
  <c r="S34" i="2"/>
  <c r="I37" i="2"/>
  <c r="F41" i="2"/>
  <c r="Q41" i="2"/>
  <c r="R41" i="2"/>
  <c r="S41" i="2"/>
  <c r="V18" i="3"/>
  <c r="AT25" i="5"/>
  <c r="AT27" i="5"/>
  <c r="AU27" i="5"/>
  <c r="O27" i="5"/>
  <c r="R27" i="5"/>
  <c r="AT28" i="5"/>
  <c r="AF33" i="5"/>
  <c r="AN35" i="5"/>
  <c r="AF35" i="5"/>
  <c r="AT35" i="5"/>
  <c r="AU35" i="5"/>
  <c r="O35" i="5"/>
  <c r="R35" i="5"/>
  <c r="AN36" i="5"/>
  <c r="AF36" i="5"/>
  <c r="B9" i="6"/>
  <c r="B10" i="6"/>
  <c r="B11" i="6"/>
  <c r="P9" i="6"/>
  <c r="Z8" i="7"/>
  <c r="X8" i="7"/>
  <c r="AD8" i="7"/>
  <c r="W8" i="7"/>
  <c r="AD9" i="7"/>
  <c r="AG9" i="7"/>
  <c r="W13" i="7"/>
  <c r="Z13" i="7"/>
  <c r="X13" i="7"/>
  <c r="AA19" i="7"/>
  <c r="Z24" i="7"/>
  <c r="X24" i="7"/>
  <c r="AD24" i="7"/>
  <c r="W24" i="7"/>
  <c r="AD25" i="7"/>
  <c r="AG25" i="7"/>
  <c r="W29" i="7"/>
  <c r="Z29" i="7"/>
  <c r="X29" i="7"/>
  <c r="Z40" i="7"/>
  <c r="X40" i="7"/>
  <c r="AD40" i="7"/>
  <c r="W40" i="7"/>
  <c r="AD41" i="7"/>
  <c r="AG41" i="7"/>
  <c r="W45" i="7"/>
  <c r="Z45" i="7"/>
  <c r="X45" i="7"/>
  <c r="AA51" i="7"/>
  <c r="Q9" i="2"/>
  <c r="R9" i="2"/>
  <c r="S9" i="2"/>
  <c r="O6" i="2"/>
  <c r="R6" i="2"/>
  <c r="S6" i="2"/>
  <c r="U6" i="2"/>
  <c r="V6" i="2"/>
  <c r="Q7" i="2"/>
  <c r="R7" i="2"/>
  <c r="S7" i="2"/>
  <c r="R10" i="2"/>
  <c r="S10" i="2"/>
  <c r="U10" i="2"/>
  <c r="V10" i="2"/>
  <c r="W10" i="2"/>
  <c r="Q11" i="2"/>
  <c r="R11" i="2"/>
  <c r="S11" i="2"/>
  <c r="R14" i="2"/>
  <c r="S14" i="2"/>
  <c r="U14" i="2"/>
  <c r="V14" i="2"/>
  <c r="W14" i="2"/>
  <c r="Q15" i="2"/>
  <c r="R15" i="2"/>
  <c r="S15" i="2"/>
  <c r="R18" i="2"/>
  <c r="S18" i="2"/>
  <c r="U18" i="2"/>
  <c r="V18" i="2"/>
  <c r="W18" i="2"/>
  <c r="Q19" i="2"/>
  <c r="R19" i="2"/>
  <c r="S19" i="2"/>
  <c r="R22" i="2"/>
  <c r="S22" i="2"/>
  <c r="U22" i="2"/>
  <c r="V22" i="2"/>
  <c r="W22" i="2"/>
  <c r="Q23" i="2"/>
  <c r="R23" i="2"/>
  <c r="S23" i="2"/>
  <c r="R26" i="2"/>
  <c r="S26" i="2"/>
  <c r="U26" i="2"/>
  <c r="V26" i="2"/>
  <c r="Q27" i="2"/>
  <c r="R27" i="2"/>
  <c r="S27" i="2"/>
  <c r="R32" i="2"/>
  <c r="S32" i="2"/>
  <c r="U32" i="2"/>
  <c r="V32" i="2"/>
  <c r="Q33" i="2"/>
  <c r="R33" i="2"/>
  <c r="S33" i="2"/>
  <c r="R38" i="2"/>
  <c r="S38" i="2"/>
  <c r="U38" i="2"/>
  <c r="V38" i="2"/>
  <c r="U47" i="2"/>
  <c r="V47" i="2"/>
  <c r="N48" i="2"/>
  <c r="O48" i="2"/>
  <c r="U48" i="2"/>
  <c r="V48" i="2"/>
  <c r="W48" i="2"/>
  <c r="R48" i="2"/>
  <c r="AQ25" i="5"/>
  <c r="AR25" i="5"/>
  <c r="AS25" i="5"/>
  <c r="N25" i="5"/>
  <c r="AQ33" i="5"/>
  <c r="AR33" i="5"/>
  <c r="AS33" i="5"/>
  <c r="N33" i="5"/>
  <c r="Z12" i="7"/>
  <c r="X12" i="7"/>
  <c r="AD12" i="7"/>
  <c r="W12" i="7"/>
  <c r="AD13" i="7"/>
  <c r="AG13" i="7"/>
  <c r="W17" i="7"/>
  <c r="Z17" i="7"/>
  <c r="X17" i="7"/>
  <c r="AA23" i="7"/>
  <c r="Z28" i="7"/>
  <c r="X28" i="7"/>
  <c r="AD28" i="7"/>
  <c r="W28" i="7"/>
  <c r="AD29" i="7"/>
  <c r="AG29" i="7"/>
  <c r="W33" i="7"/>
  <c r="Z33" i="7"/>
  <c r="X33" i="7"/>
  <c r="AA39" i="7"/>
  <c r="Z44" i="7"/>
  <c r="X44" i="7"/>
  <c r="AD44" i="7"/>
  <c r="W44" i="7"/>
  <c r="AD45" i="7"/>
  <c r="AG45" i="7"/>
  <c r="W49" i="7"/>
  <c r="Z49" i="7"/>
  <c r="X49" i="7"/>
  <c r="F6" i="2"/>
  <c r="F10" i="2"/>
  <c r="F14" i="2"/>
  <c r="F18" i="2"/>
  <c r="F22" i="2"/>
  <c r="F26" i="2"/>
  <c r="F32" i="2"/>
  <c r="F38" i="2"/>
  <c r="AT31" i="5"/>
  <c r="AU31" i="5"/>
  <c r="O31" i="5"/>
  <c r="R31" i="5"/>
  <c r="AN32" i="5"/>
  <c r="AF32" i="5"/>
  <c r="AT32" i="5"/>
  <c r="AN33" i="5"/>
  <c r="Z16" i="7"/>
  <c r="X16" i="7"/>
  <c r="AD16" i="7"/>
  <c r="W16" i="7"/>
  <c r="AD17" i="7"/>
  <c r="AG17" i="7"/>
  <c r="W21" i="7"/>
  <c r="Z21" i="7"/>
  <c r="X21" i="7"/>
  <c r="Z32" i="7"/>
  <c r="X32" i="7"/>
  <c r="AD32" i="7"/>
  <c r="W32" i="7"/>
  <c r="AD33" i="7"/>
  <c r="AG33" i="7"/>
  <c r="W37" i="7"/>
  <c r="Z37" i="7"/>
  <c r="X37" i="7"/>
  <c r="AA43" i="7"/>
  <c r="Z48" i="7"/>
  <c r="X48" i="7"/>
  <c r="AD48" i="7"/>
  <c r="W48" i="7"/>
  <c r="AD49" i="7"/>
  <c r="AG49" i="7"/>
  <c r="W53" i="7"/>
  <c r="Z53" i="7"/>
  <c r="X53" i="7"/>
  <c r="N46" i="2"/>
  <c r="O46" i="2"/>
  <c r="U46" i="2"/>
  <c r="V46" i="2"/>
  <c r="M47" i="2"/>
  <c r="N47" i="2"/>
  <c r="O47" i="2"/>
  <c r="W47" i="2"/>
  <c r="Q47" i="2"/>
  <c r="R47" i="2"/>
  <c r="V49" i="2"/>
  <c r="W49" i="2"/>
  <c r="Q49" i="2"/>
  <c r="R49" i="2"/>
  <c r="S49" i="2"/>
  <c r="F49" i="2"/>
  <c r="AU25" i="5"/>
  <c r="O25" i="5"/>
  <c r="R25" i="5"/>
  <c r="AQ29" i="5"/>
  <c r="AR29" i="5"/>
  <c r="AS29" i="5"/>
  <c r="N29" i="5"/>
  <c r="AN34" i="5"/>
  <c r="AN30" i="5"/>
  <c r="AN26" i="5"/>
  <c r="AF34" i="5"/>
  <c r="AF30" i="5"/>
  <c r="AF26" i="5"/>
  <c r="AT26" i="5"/>
  <c r="AU26" i="5"/>
  <c r="O26" i="5"/>
  <c r="R26" i="5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T8" i="6"/>
  <c r="Q8" i="6"/>
  <c r="R8" i="6"/>
  <c r="U8" i="6"/>
  <c r="S8" i="6"/>
  <c r="W9" i="7"/>
  <c r="Z9" i="7"/>
  <c r="X9" i="7"/>
  <c r="Z20" i="7"/>
  <c r="X20" i="7"/>
  <c r="AD20" i="7"/>
  <c r="W20" i="7"/>
  <c r="AD21" i="7"/>
  <c r="AG21" i="7"/>
  <c r="W25" i="7"/>
  <c r="Z25" i="7"/>
  <c r="X25" i="7"/>
  <c r="Z36" i="7"/>
  <c r="X36" i="7"/>
  <c r="AD36" i="7"/>
  <c r="W36" i="7"/>
  <c r="AD37" i="7"/>
  <c r="AG37" i="7"/>
  <c r="W41" i="7"/>
  <c r="Z41" i="7"/>
  <c r="X41" i="7"/>
  <c r="Z52" i="7"/>
  <c r="X52" i="7"/>
  <c r="AD52" i="7"/>
  <c r="W52" i="7"/>
  <c r="AD53" i="7"/>
  <c r="AG53" i="7"/>
  <c r="AO28" i="5"/>
  <c r="AP28" i="5"/>
  <c r="AQ28" i="5"/>
  <c r="AR28" i="5"/>
  <c r="AS28" i="5"/>
  <c r="AO32" i="5"/>
  <c r="AP32" i="5"/>
  <c r="AQ32" i="5"/>
  <c r="AR32" i="5"/>
  <c r="AS32" i="5"/>
  <c r="AO36" i="5"/>
  <c r="AP36" i="5"/>
  <c r="AQ36" i="5"/>
  <c r="AR36" i="5"/>
  <c r="AS36" i="5"/>
  <c r="N36" i="5"/>
  <c r="N44" i="6"/>
  <c r="O44" i="6"/>
  <c r="N48" i="6"/>
  <c r="O48" i="6"/>
  <c r="N52" i="6"/>
  <c r="O52" i="6"/>
  <c r="K58" i="6"/>
  <c r="L58" i="6"/>
  <c r="AB10" i="7"/>
  <c r="AC10" i="7"/>
  <c r="AF11" i="7"/>
  <c r="AH11" i="7"/>
  <c r="AB14" i="7"/>
  <c r="AC14" i="7"/>
  <c r="AF15" i="7"/>
  <c r="AH15" i="7"/>
  <c r="AB18" i="7"/>
  <c r="AC18" i="7"/>
  <c r="AF19" i="7"/>
  <c r="AH19" i="7"/>
  <c r="AB22" i="7"/>
  <c r="AC22" i="7"/>
  <c r="AF23" i="7"/>
  <c r="AH23" i="7"/>
  <c r="AB26" i="7"/>
  <c r="AC26" i="7"/>
  <c r="AF27" i="7"/>
  <c r="AH27" i="7"/>
  <c r="AB30" i="7"/>
  <c r="AC30" i="7"/>
  <c r="AF31" i="7"/>
  <c r="AH31" i="7"/>
  <c r="AB34" i="7"/>
  <c r="AC34" i="7"/>
  <c r="AF35" i="7"/>
  <c r="AH35" i="7"/>
  <c r="AB38" i="7"/>
  <c r="AC38" i="7"/>
  <c r="AF39" i="7"/>
  <c r="AH39" i="7"/>
  <c r="AB42" i="7"/>
  <c r="AC42" i="7"/>
  <c r="AF43" i="7"/>
  <c r="AH43" i="7"/>
  <c r="AB46" i="7"/>
  <c r="AC46" i="7"/>
  <c r="AF47" i="7"/>
  <c r="AH47" i="7"/>
  <c r="AB50" i="7"/>
  <c r="AC50" i="7"/>
  <c r="AF51" i="7"/>
  <c r="AH51" i="7"/>
  <c r="AB54" i="7"/>
  <c r="AC54" i="7"/>
  <c r="N50" i="6"/>
  <c r="O50" i="6"/>
  <c r="N54" i="6"/>
  <c r="O54" i="6"/>
  <c r="N56" i="6"/>
  <c r="O56" i="6"/>
  <c r="O20" i="8"/>
  <c r="O21" i="8"/>
  <c r="O37" i="8"/>
  <c r="O53" i="8"/>
  <c r="O73" i="8"/>
  <c r="N43" i="6"/>
  <c r="O43" i="6"/>
  <c r="N47" i="6"/>
  <c r="O47" i="6"/>
  <c r="N51" i="6"/>
  <c r="O51" i="6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M21" i="8"/>
  <c r="M25" i="8"/>
  <c r="M29" i="8"/>
  <c r="O29" i="8"/>
  <c r="M33" i="8"/>
  <c r="M37" i="8"/>
  <c r="M41" i="8"/>
  <c r="M45" i="8"/>
  <c r="M49" i="8"/>
  <c r="M53" i="8"/>
  <c r="M57" i="8"/>
  <c r="M61" i="8"/>
  <c r="M65" i="8"/>
  <c r="M69" i="8"/>
  <c r="O69" i="8"/>
  <c r="M73" i="8"/>
  <c r="L77" i="8"/>
  <c r="AB8" i="9"/>
  <c r="AC8" i="9"/>
  <c r="T9" i="10"/>
  <c r="V9" i="10"/>
  <c r="Q9" i="10"/>
  <c r="R9" i="10"/>
  <c r="U9" i="10"/>
  <c r="P10" i="10"/>
  <c r="S9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M55" i="7"/>
  <c r="M59" i="7"/>
  <c r="M63" i="7"/>
  <c r="M67" i="7"/>
  <c r="M71" i="7"/>
  <c r="N75" i="8"/>
  <c r="O75" i="8"/>
  <c r="M11" i="8"/>
  <c r="M15" i="8"/>
  <c r="M19" i="8"/>
  <c r="M23" i="8"/>
  <c r="M27" i="8"/>
  <c r="M31" i="8"/>
  <c r="M35" i="8"/>
  <c r="M39" i="8"/>
  <c r="M43" i="8"/>
  <c r="M47" i="8"/>
  <c r="M51" i="8"/>
  <c r="M55" i="8"/>
  <c r="M59" i="8"/>
  <c r="M63" i="8"/>
  <c r="M67" i="8"/>
  <c r="M71" i="8"/>
  <c r="M75" i="8"/>
  <c r="B11" i="9"/>
  <c r="B12" i="9"/>
  <c r="B13" i="9"/>
  <c r="M8" i="8"/>
  <c r="P8" i="8"/>
  <c r="M12" i="8"/>
  <c r="M16" i="8"/>
  <c r="O16" i="8"/>
  <c r="M20" i="8"/>
  <c r="M24" i="8"/>
  <c r="M28" i="8"/>
  <c r="M32" i="8"/>
  <c r="M36" i="8"/>
  <c r="M40" i="8"/>
  <c r="O40" i="8"/>
  <c r="M44" i="8"/>
  <c r="M48" i="8"/>
  <c r="O48" i="8"/>
  <c r="M52" i="8"/>
  <c r="M56" i="8"/>
  <c r="O56" i="8"/>
  <c r="M60" i="8"/>
  <c r="M64" i="8"/>
  <c r="O64" i="8"/>
  <c r="M68" i="8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T8" i="10"/>
  <c r="Q8" i="10"/>
  <c r="R8" i="10"/>
  <c r="U8" i="10"/>
  <c r="S8" i="10"/>
  <c r="T8" i="12"/>
  <c r="Q8" i="12"/>
  <c r="R8" i="12"/>
  <c r="U8" i="12"/>
  <c r="T8" i="14"/>
  <c r="Q8" i="14"/>
  <c r="R8" i="14"/>
  <c r="S8" i="14"/>
  <c r="U8" i="14"/>
  <c r="O64" i="12"/>
  <c r="M9" i="9"/>
  <c r="M13" i="9"/>
  <c r="M17" i="9"/>
  <c r="M21" i="9"/>
  <c r="M25" i="9"/>
  <c r="M29" i="9"/>
  <c r="M33" i="9"/>
  <c r="M37" i="9"/>
  <c r="M41" i="9"/>
  <c r="M45" i="9"/>
  <c r="M49" i="9"/>
  <c r="M53" i="9"/>
  <c r="M57" i="9"/>
  <c r="M61" i="9"/>
  <c r="M65" i="9"/>
  <c r="M69" i="9"/>
  <c r="M73" i="9"/>
  <c r="O25" i="11"/>
  <c r="O33" i="11"/>
  <c r="O4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M44" i="11"/>
  <c r="M40" i="11"/>
  <c r="M36" i="11"/>
  <c r="M32" i="11"/>
  <c r="M28" i="11"/>
  <c r="M24" i="11"/>
  <c r="M20" i="11"/>
  <c r="M16" i="11"/>
  <c r="M12" i="11"/>
  <c r="M8" i="11"/>
  <c r="N40" i="11"/>
  <c r="O40" i="11"/>
  <c r="N36" i="11"/>
  <c r="N32" i="11"/>
  <c r="N28" i="11"/>
  <c r="O28" i="11"/>
  <c r="N24" i="11"/>
  <c r="O24" i="11"/>
  <c r="N20" i="11"/>
  <c r="N16" i="11"/>
  <c r="M43" i="11"/>
  <c r="M39" i="11"/>
  <c r="M35" i="11"/>
  <c r="M31" i="11"/>
  <c r="M27" i="11"/>
  <c r="M23" i="11"/>
  <c r="M19" i="11"/>
  <c r="M15" i="11"/>
  <c r="O15" i="11"/>
  <c r="M11" i="11"/>
  <c r="N43" i="11"/>
  <c r="O43" i="11"/>
  <c r="N39" i="11"/>
  <c r="M42" i="11"/>
  <c r="M38" i="11"/>
  <c r="M34" i="11"/>
  <c r="M30" i="11"/>
  <c r="M26" i="11"/>
  <c r="M22" i="11"/>
  <c r="M18" i="11"/>
  <c r="M14" i="11"/>
  <c r="M10" i="11"/>
  <c r="N44" i="11"/>
  <c r="O44" i="11"/>
  <c r="N42" i="11"/>
  <c r="O42" i="11"/>
  <c r="N38" i="11"/>
  <c r="O38" i="11"/>
  <c r="AC8" i="12"/>
  <c r="Y8" i="12"/>
  <c r="M16" i="12"/>
  <c r="M32" i="12"/>
  <c r="M48" i="12"/>
  <c r="O48" i="12"/>
  <c r="O14" i="13"/>
  <c r="M10" i="9"/>
  <c r="O10" i="9"/>
  <c r="M14" i="9"/>
  <c r="O14" i="9"/>
  <c r="M18" i="9"/>
  <c r="M22" i="9"/>
  <c r="M26" i="9"/>
  <c r="M30" i="9"/>
  <c r="M34" i="9"/>
  <c r="M38" i="9"/>
  <c r="M42" i="9"/>
  <c r="M46" i="9"/>
  <c r="M50" i="9"/>
  <c r="M54" i="9"/>
  <c r="O54" i="9"/>
  <c r="M58" i="9"/>
  <c r="O58" i="9"/>
  <c r="M62" i="9"/>
  <c r="M66" i="9"/>
  <c r="M70" i="9"/>
  <c r="O70" i="9"/>
  <c r="M75" i="12"/>
  <c r="M71" i="12"/>
  <c r="M67" i="12"/>
  <c r="M63" i="12"/>
  <c r="M59" i="12"/>
  <c r="M55" i="12"/>
  <c r="M51" i="12"/>
  <c r="M47" i="12"/>
  <c r="M43" i="12"/>
  <c r="M39" i="12"/>
  <c r="M35" i="12"/>
  <c r="M31" i="12"/>
  <c r="M27" i="12"/>
  <c r="M23" i="12"/>
  <c r="M19" i="12"/>
  <c r="M15" i="12"/>
  <c r="M11" i="12"/>
  <c r="N75" i="12"/>
  <c r="O75" i="12"/>
  <c r="N71" i="12"/>
  <c r="O71" i="12"/>
  <c r="N67" i="12"/>
  <c r="N63" i="12"/>
  <c r="N59" i="12"/>
  <c r="O59" i="12"/>
  <c r="N55" i="12"/>
  <c r="O55" i="12"/>
  <c r="N51" i="12"/>
  <c r="N47" i="12"/>
  <c r="N43" i="12"/>
  <c r="O43" i="12"/>
  <c r="N39" i="12"/>
  <c r="O39" i="12"/>
  <c r="N35" i="12"/>
  <c r="O35" i="12"/>
  <c r="N31" i="12"/>
  <c r="N27" i="12"/>
  <c r="O27" i="12"/>
  <c r="N23" i="12"/>
  <c r="O23" i="12"/>
  <c r="N19" i="12"/>
  <c r="O19" i="12"/>
  <c r="N15" i="12"/>
  <c r="N11" i="12"/>
  <c r="O11" i="12"/>
  <c r="M74" i="12"/>
  <c r="M70" i="12"/>
  <c r="M66" i="12"/>
  <c r="M62" i="12"/>
  <c r="M58" i="12"/>
  <c r="M54" i="12"/>
  <c r="M50" i="12"/>
  <c r="M46" i="12"/>
  <c r="M42" i="12"/>
  <c r="M38" i="12"/>
  <c r="M34" i="12"/>
  <c r="M30" i="12"/>
  <c r="M26" i="12"/>
  <c r="M22" i="12"/>
  <c r="M18" i="12"/>
  <c r="M14" i="12"/>
  <c r="M10" i="12"/>
  <c r="P10" i="12"/>
  <c r="N74" i="12"/>
  <c r="N70" i="12"/>
  <c r="N66" i="12"/>
  <c r="O66" i="12"/>
  <c r="N62" i="12"/>
  <c r="O62" i="12"/>
  <c r="N58" i="12"/>
  <c r="N54" i="12"/>
  <c r="N50" i="12"/>
  <c r="O50" i="12"/>
  <c r="N46" i="12"/>
  <c r="O46" i="12"/>
  <c r="N42" i="12"/>
  <c r="O42" i="12"/>
  <c r="N38" i="12"/>
  <c r="N34" i="12"/>
  <c r="O34" i="12"/>
  <c r="N30" i="12"/>
  <c r="O30" i="12"/>
  <c r="N26" i="12"/>
  <c r="O26" i="12"/>
  <c r="N22" i="12"/>
  <c r="N18" i="12"/>
  <c r="O18" i="12"/>
  <c r="N14" i="12"/>
  <c r="O14" i="12"/>
  <c r="N10" i="12"/>
  <c r="O10" i="12"/>
  <c r="M77" i="12"/>
  <c r="M73" i="12"/>
  <c r="M69" i="12"/>
  <c r="M65" i="12"/>
  <c r="M61" i="12"/>
  <c r="M57" i="12"/>
  <c r="M53" i="12"/>
  <c r="M49" i="12"/>
  <c r="M45" i="12"/>
  <c r="M41" i="12"/>
  <c r="M37" i="12"/>
  <c r="M33" i="12"/>
  <c r="M29" i="12"/>
  <c r="M25" i="12"/>
  <c r="M21" i="12"/>
  <c r="M17" i="12"/>
  <c r="M13" i="12"/>
  <c r="M9" i="12"/>
  <c r="P9" i="12"/>
  <c r="N77" i="12"/>
  <c r="O77" i="12"/>
  <c r="N73" i="12"/>
  <c r="O73" i="12"/>
  <c r="N69" i="12"/>
  <c r="N65" i="12"/>
  <c r="N61" i="12"/>
  <c r="O61" i="12"/>
  <c r="N57" i="12"/>
  <c r="O57" i="12"/>
  <c r="N53" i="12"/>
  <c r="N49" i="12"/>
  <c r="N45" i="12"/>
  <c r="O45" i="12"/>
  <c r="N41" i="12"/>
  <c r="O41" i="12"/>
  <c r="N37" i="12"/>
  <c r="N33" i="12"/>
  <c r="N29" i="12"/>
  <c r="O29" i="12"/>
  <c r="N25" i="12"/>
  <c r="O25" i="12"/>
  <c r="N21" i="12"/>
  <c r="N17" i="12"/>
  <c r="N13" i="12"/>
  <c r="O13" i="12"/>
  <c r="N9" i="12"/>
  <c r="O9" i="12"/>
  <c r="B11" i="13"/>
  <c r="B12" i="13"/>
  <c r="B13" i="13"/>
  <c r="B14" i="13"/>
  <c r="B15" i="13"/>
  <c r="B16" i="13"/>
  <c r="B17" i="13"/>
  <c r="B18" i="13"/>
  <c r="B19" i="13"/>
  <c r="M17" i="13"/>
  <c r="M13" i="13"/>
  <c r="M9" i="13"/>
  <c r="N17" i="13"/>
  <c r="O17" i="13"/>
  <c r="M16" i="13"/>
  <c r="M12" i="13"/>
  <c r="O12" i="13"/>
  <c r="M8" i="13"/>
  <c r="P8" i="13"/>
  <c r="N16" i="13"/>
  <c r="O16" i="13"/>
  <c r="P9" i="14"/>
  <c r="AD10" i="15"/>
  <c r="AG10" i="15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Z9" i="15"/>
  <c r="X9" i="15"/>
  <c r="AD9" i="15"/>
  <c r="W9" i="15"/>
  <c r="N11" i="13"/>
  <c r="O11" i="13"/>
  <c r="N15" i="13"/>
  <c r="O15" i="13"/>
  <c r="M11" i="13"/>
  <c r="M19" i="13"/>
  <c r="Z8" i="15"/>
  <c r="X8" i="15"/>
  <c r="AD8" i="15"/>
  <c r="W8" i="15"/>
  <c r="W10" i="15"/>
  <c r="Z10" i="15"/>
  <c r="X10" i="15"/>
  <c r="O33" i="15"/>
  <c r="P11" i="15"/>
  <c r="O8" i="17"/>
  <c r="B14" i="16"/>
  <c r="B15" i="16"/>
  <c r="B16" i="16"/>
  <c r="B17" i="16"/>
  <c r="B18" i="16"/>
  <c r="B19" i="16"/>
  <c r="B20" i="16"/>
  <c r="B21" i="16"/>
  <c r="B22" i="16"/>
  <c r="B23" i="16"/>
  <c r="B24" i="16"/>
  <c r="B25" i="16"/>
  <c r="O11" i="17"/>
  <c r="Y10" i="15"/>
  <c r="O15" i="16"/>
  <c r="O16" i="16"/>
  <c r="O23" i="16"/>
  <c r="O22" i="16"/>
  <c r="O38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O50" i="15"/>
  <c r="M29" i="15"/>
  <c r="M33" i="15"/>
  <c r="M37" i="15"/>
  <c r="M41" i="15"/>
  <c r="M45" i="15"/>
  <c r="M49" i="15"/>
  <c r="M11" i="16"/>
  <c r="M15" i="16"/>
  <c r="M19" i="16"/>
  <c r="M23" i="16"/>
  <c r="M26" i="16"/>
  <c r="M30" i="15"/>
  <c r="M34" i="15"/>
  <c r="M38" i="15"/>
  <c r="M42" i="15"/>
  <c r="M46" i="15"/>
  <c r="M8" i="16"/>
  <c r="P8" i="16"/>
  <c r="M12" i="16"/>
  <c r="O12" i="16"/>
  <c r="M16" i="16"/>
  <c r="M20" i="16"/>
  <c r="M24" i="16"/>
  <c r="O12" i="18"/>
  <c r="O28" i="18"/>
  <c r="O44" i="18"/>
  <c r="M10" i="16"/>
  <c r="M14" i="16"/>
  <c r="M18" i="16"/>
  <c r="L26" i="16"/>
  <c r="O27" i="17"/>
  <c r="M43" i="17"/>
  <c r="M40" i="17"/>
  <c r="M36" i="17"/>
  <c r="M32" i="17"/>
  <c r="M28" i="17"/>
  <c r="M24" i="17"/>
  <c r="O24" i="17"/>
  <c r="M20" i="17"/>
  <c r="M16" i="17"/>
  <c r="M12" i="17"/>
  <c r="M8" i="17"/>
  <c r="P8" i="17"/>
  <c r="P9" i="17"/>
  <c r="N42" i="17"/>
  <c r="M39" i="17"/>
  <c r="M35" i="17"/>
  <c r="M31" i="17"/>
  <c r="M27" i="17"/>
  <c r="M23" i="17"/>
  <c r="M19" i="17"/>
  <c r="M15" i="17"/>
  <c r="M11" i="17"/>
  <c r="L44" i="17"/>
  <c r="M38" i="17"/>
  <c r="M30" i="17"/>
  <c r="M22" i="17"/>
  <c r="M14" i="17"/>
  <c r="N38" i="17"/>
  <c r="O38" i="17"/>
  <c r="N34" i="17"/>
  <c r="N30" i="17"/>
  <c r="O30" i="17"/>
  <c r="N26" i="17"/>
  <c r="O26" i="17"/>
  <c r="N22" i="17"/>
  <c r="O22" i="17"/>
  <c r="N18" i="17"/>
  <c r="N14" i="17"/>
  <c r="M37" i="17"/>
  <c r="M29" i="17"/>
  <c r="M21" i="17"/>
  <c r="M13" i="17"/>
  <c r="N41" i="17"/>
  <c r="O41" i="17"/>
  <c r="N37" i="17"/>
  <c r="N33" i="17"/>
  <c r="O33" i="17"/>
  <c r="N29" i="17"/>
  <c r="N25" i="17"/>
  <c r="O25" i="17"/>
  <c r="N21" i="17"/>
  <c r="O21" i="17"/>
  <c r="N17" i="17"/>
  <c r="O17" i="17"/>
  <c r="N13" i="17"/>
  <c r="O13" i="17"/>
  <c r="M42" i="17"/>
  <c r="M34" i="17"/>
  <c r="M26" i="17"/>
  <c r="M18" i="17"/>
  <c r="M10" i="17"/>
  <c r="N40" i="17"/>
  <c r="O40" i="17"/>
  <c r="N36" i="17"/>
  <c r="O36" i="17"/>
  <c r="N32" i="17"/>
  <c r="N46" i="18"/>
  <c r="M17" i="18"/>
  <c r="O23" i="18"/>
  <c r="O39" i="18"/>
  <c r="M44" i="18"/>
  <c r="M40" i="18"/>
  <c r="M36" i="18"/>
  <c r="M32" i="18"/>
  <c r="M28" i="18"/>
  <c r="M24" i="18"/>
  <c r="M20" i="18"/>
  <c r="M16" i="18"/>
  <c r="M12" i="18"/>
  <c r="M8" i="18"/>
  <c r="P8" i="18"/>
  <c r="M47" i="18"/>
  <c r="P47" i="18"/>
  <c r="M43" i="18"/>
  <c r="M39" i="18"/>
  <c r="M35" i="18"/>
  <c r="M31" i="18"/>
  <c r="M27" i="18"/>
  <c r="M23" i="18"/>
  <c r="M19" i="18"/>
  <c r="M15" i="18"/>
  <c r="M11" i="18"/>
  <c r="M45" i="18"/>
  <c r="M37" i="18"/>
  <c r="M29" i="18"/>
  <c r="M21" i="18"/>
  <c r="M13" i="18"/>
  <c r="N42" i="18"/>
  <c r="N38" i="18"/>
  <c r="O38" i="18"/>
  <c r="N34" i="18"/>
  <c r="O34" i="18"/>
  <c r="N30" i="18"/>
  <c r="N26" i="18"/>
  <c r="N22" i="18"/>
  <c r="O22" i="18"/>
  <c r="N18" i="18"/>
  <c r="N14" i="18"/>
  <c r="N10" i="18"/>
  <c r="N47" i="18"/>
  <c r="O47" i="18"/>
  <c r="M42" i="18"/>
  <c r="M34" i="18"/>
  <c r="M26" i="18"/>
  <c r="M18" i="18"/>
  <c r="M10" i="18"/>
  <c r="N45" i="18"/>
  <c r="O45" i="18"/>
  <c r="N41" i="18"/>
  <c r="N37" i="18"/>
  <c r="O37" i="18"/>
  <c r="N33" i="18"/>
  <c r="O33" i="18"/>
  <c r="N29" i="18"/>
  <c r="N25" i="18"/>
  <c r="N21" i="18"/>
  <c r="O21" i="18"/>
  <c r="N17" i="18"/>
  <c r="O17" i="18"/>
  <c r="N13" i="18"/>
  <c r="O13" i="18"/>
  <c r="N9" i="18"/>
  <c r="O20" i="19"/>
  <c r="B12" i="17"/>
  <c r="M9" i="18"/>
  <c r="P9" i="18"/>
  <c r="M25" i="18"/>
  <c r="M41" i="18"/>
  <c r="L48" i="18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M14" i="18"/>
  <c r="M30" i="18"/>
  <c r="M46" i="18"/>
  <c r="O38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M63" i="19"/>
  <c r="M59" i="19"/>
  <c r="M55" i="19"/>
  <c r="M51" i="19"/>
  <c r="M47" i="19"/>
  <c r="M43" i="19"/>
  <c r="M39" i="19"/>
  <c r="M35" i="19"/>
  <c r="M31" i="19"/>
  <c r="M27" i="19"/>
  <c r="M23" i="19"/>
  <c r="O23" i="19"/>
  <c r="M19" i="19"/>
  <c r="O19" i="19"/>
  <c r="M15" i="19"/>
  <c r="M11" i="19"/>
  <c r="O11" i="19"/>
  <c r="N63" i="19"/>
  <c r="N59" i="19"/>
  <c r="O59" i="19"/>
  <c r="N55" i="19"/>
  <c r="O55" i="19"/>
  <c r="N51" i="19"/>
  <c r="M61" i="19"/>
  <c r="M57" i="19"/>
  <c r="M53" i="19"/>
  <c r="M49" i="19"/>
  <c r="M45" i="19"/>
  <c r="M41" i="19"/>
  <c r="M37" i="19"/>
  <c r="M33" i="19"/>
  <c r="M29" i="19"/>
  <c r="M25" i="19"/>
  <c r="M21" i="19"/>
  <c r="M17" i="19"/>
  <c r="M13" i="19"/>
  <c r="M9" i="19"/>
  <c r="N61" i="19"/>
  <c r="O61" i="19"/>
  <c r="N57" i="19"/>
  <c r="N53" i="19"/>
  <c r="M64" i="19"/>
  <c r="M60" i="19"/>
  <c r="M56" i="19"/>
  <c r="M52" i="19"/>
  <c r="M48" i="19"/>
  <c r="O48" i="19"/>
  <c r="M44" i="19"/>
  <c r="M40" i="19"/>
  <c r="O40" i="19"/>
  <c r="M36" i="19"/>
  <c r="M32" i="19"/>
  <c r="M28" i="19"/>
  <c r="M24" i="19"/>
  <c r="M20" i="19"/>
  <c r="M16" i="19"/>
  <c r="O16" i="19"/>
  <c r="M12" i="19"/>
  <c r="M8" i="19"/>
  <c r="P8" i="19"/>
  <c r="N60" i="19"/>
  <c r="N56" i="19"/>
  <c r="O56" i="19"/>
  <c r="N52" i="19"/>
  <c r="O52" i="19"/>
  <c r="N54" i="19"/>
  <c r="N62" i="19"/>
  <c r="O62" i="19"/>
  <c r="M22" i="19"/>
  <c r="M38" i="19"/>
  <c r="M54" i="19"/>
  <c r="L65" i="19"/>
  <c r="N58" i="19"/>
  <c r="O58" i="19"/>
  <c r="N64" i="19"/>
  <c r="M14" i="19"/>
  <c r="M30" i="19"/>
  <c r="O30" i="19"/>
  <c r="M46" i="19"/>
  <c r="O46" i="19"/>
  <c r="M62" i="19"/>
  <c r="O25" i="20"/>
  <c r="O36" i="20"/>
  <c r="O48" i="20"/>
  <c r="O49" i="20"/>
  <c r="O52" i="20"/>
  <c r="N66" i="20"/>
  <c r="O66" i="20"/>
  <c r="N68" i="20"/>
  <c r="O68" i="20"/>
  <c r="M8" i="20"/>
  <c r="P8" i="20"/>
  <c r="M12" i="20"/>
  <c r="M16" i="20"/>
  <c r="M20" i="20"/>
  <c r="M24" i="20"/>
  <c r="M28" i="20"/>
  <c r="O28" i="20"/>
  <c r="M32" i="20"/>
  <c r="M36" i="20"/>
  <c r="M40" i="20"/>
  <c r="M44" i="20"/>
  <c r="M48" i="20"/>
  <c r="M52" i="20"/>
  <c r="M56" i="20"/>
  <c r="M60" i="20"/>
  <c r="M64" i="20"/>
  <c r="M68" i="20"/>
  <c r="N67" i="20"/>
  <c r="O67" i="20"/>
  <c r="M9" i="20"/>
  <c r="M13" i="20"/>
  <c r="M17" i="20"/>
  <c r="M21" i="20"/>
  <c r="O21" i="20"/>
  <c r="M25" i="20"/>
  <c r="M29" i="20"/>
  <c r="M33" i="20"/>
  <c r="M37" i="20"/>
  <c r="M41" i="20"/>
  <c r="M45" i="20"/>
  <c r="M49" i="20"/>
  <c r="M53" i="20"/>
  <c r="M57" i="20"/>
  <c r="M61" i="20"/>
  <c r="N32" i="5"/>
  <c r="AU32" i="5"/>
  <c r="O32" i="5"/>
  <c r="R32" i="5"/>
  <c r="N28" i="5"/>
  <c r="AU28" i="5"/>
  <c r="O28" i="5"/>
  <c r="R28" i="5"/>
  <c r="S9" i="17"/>
  <c r="T9" i="17"/>
  <c r="Q9" i="17"/>
  <c r="R9" i="17"/>
  <c r="U9" i="17"/>
  <c r="W46" i="2"/>
  <c r="S46" i="2"/>
  <c r="O53" i="20"/>
  <c r="O22" i="19"/>
  <c r="O37" i="19"/>
  <c r="O31" i="19"/>
  <c r="O47" i="19"/>
  <c r="O44" i="19"/>
  <c r="O12" i="19"/>
  <c r="O15" i="19"/>
  <c r="U9" i="18"/>
  <c r="S9" i="18"/>
  <c r="T9" i="18"/>
  <c r="Q9" i="18"/>
  <c r="R9" i="18"/>
  <c r="O21" i="19"/>
  <c r="P10" i="18"/>
  <c r="O18" i="18"/>
  <c r="P11" i="18"/>
  <c r="O43" i="18"/>
  <c r="O27" i="18"/>
  <c r="O11" i="18"/>
  <c r="O37" i="17"/>
  <c r="P12" i="17"/>
  <c r="O32" i="18"/>
  <c r="O16" i="18"/>
  <c r="T8" i="16"/>
  <c r="V8" i="16"/>
  <c r="Q8" i="16"/>
  <c r="R8" i="16"/>
  <c r="U8" i="16"/>
  <c r="S8" i="16"/>
  <c r="O49" i="15"/>
  <c r="O24" i="16"/>
  <c r="O8" i="16"/>
  <c r="O12" i="17"/>
  <c r="P9" i="16"/>
  <c r="O34" i="15"/>
  <c r="AA8" i="15"/>
  <c r="AB8" i="15"/>
  <c r="T9" i="14"/>
  <c r="V9" i="14"/>
  <c r="Q9" i="14"/>
  <c r="R9" i="14"/>
  <c r="U9" i="14"/>
  <c r="P10" i="14"/>
  <c r="S9" i="14"/>
  <c r="O58" i="12"/>
  <c r="O74" i="12"/>
  <c r="O51" i="12"/>
  <c r="O67" i="12"/>
  <c r="O34" i="9"/>
  <c r="O30" i="11"/>
  <c r="O39" i="11"/>
  <c r="O19" i="11"/>
  <c r="O35" i="11"/>
  <c r="O20" i="11"/>
  <c r="O36" i="11"/>
  <c r="O61" i="9"/>
  <c r="O45" i="9"/>
  <c r="O29" i="9"/>
  <c r="O13" i="9"/>
  <c r="AC8" i="14"/>
  <c r="Y8" i="14"/>
  <c r="O59" i="8"/>
  <c r="O43" i="8"/>
  <c r="O27" i="8"/>
  <c r="O11" i="8"/>
  <c r="O63" i="7"/>
  <c r="O8" i="8"/>
  <c r="AH37" i="7"/>
  <c r="AF37" i="7"/>
  <c r="AE37" i="7"/>
  <c r="AB36" i="7"/>
  <c r="AA36" i="7"/>
  <c r="V8" i="6"/>
  <c r="S47" i="2"/>
  <c r="AH49" i="7"/>
  <c r="AF49" i="7"/>
  <c r="AE49" i="7"/>
  <c r="AB48" i="7"/>
  <c r="AA48" i="7"/>
  <c r="AH32" i="7"/>
  <c r="AF32" i="7"/>
  <c r="AE32" i="7"/>
  <c r="AB21" i="7"/>
  <c r="AA21" i="7"/>
  <c r="AH45" i="7"/>
  <c r="AF45" i="7"/>
  <c r="AE45" i="7"/>
  <c r="AB44" i="7"/>
  <c r="AA44" i="7"/>
  <c r="AH28" i="7"/>
  <c r="AF28" i="7"/>
  <c r="AE28" i="7"/>
  <c r="AH13" i="7"/>
  <c r="AF13" i="7"/>
  <c r="AE13" i="7"/>
  <c r="AB12" i="7"/>
  <c r="AA12" i="7"/>
  <c r="W6" i="2"/>
  <c r="AH41" i="7"/>
  <c r="AF41" i="7"/>
  <c r="AE41" i="7"/>
  <c r="AB40" i="7"/>
  <c r="AA40" i="7"/>
  <c r="AB13" i="7"/>
  <c r="AA13" i="7"/>
  <c r="AT36" i="5"/>
  <c r="AU36" i="5"/>
  <c r="O36" i="5"/>
  <c r="R36" i="5"/>
  <c r="AT33" i="5"/>
  <c r="AU33" i="5"/>
  <c r="O33" i="5"/>
  <c r="R33" i="5"/>
  <c r="W33" i="2"/>
  <c r="W23" i="2"/>
  <c r="W11" i="2"/>
  <c r="O37" i="20"/>
  <c r="P9" i="19"/>
  <c r="O9" i="19"/>
  <c r="O25" i="19"/>
  <c r="O41" i="19"/>
  <c r="O35" i="19"/>
  <c r="O28" i="19"/>
  <c r="P10" i="17"/>
  <c r="O23" i="17"/>
  <c r="O18" i="16"/>
  <c r="O45" i="15"/>
  <c r="AH9" i="15"/>
  <c r="AF9" i="15"/>
  <c r="AE9" i="15"/>
  <c r="U10" i="12"/>
  <c r="S10" i="12"/>
  <c r="T10" i="12"/>
  <c r="V10" i="12"/>
  <c r="Q10" i="12"/>
  <c r="R10" i="12"/>
  <c r="O46" i="9"/>
  <c r="O30" i="9"/>
  <c r="O18" i="11"/>
  <c r="O34" i="11"/>
  <c r="O23" i="11"/>
  <c r="O73" i="9"/>
  <c r="O57" i="9"/>
  <c r="O41" i="9"/>
  <c r="O25" i="9"/>
  <c r="P9" i="9"/>
  <c r="O9" i="9"/>
  <c r="O32" i="12"/>
  <c r="S8" i="8"/>
  <c r="P9" i="8"/>
  <c r="T8" i="8"/>
  <c r="Q8" i="8"/>
  <c r="R8" i="8"/>
  <c r="U8" i="8"/>
  <c r="O71" i="8"/>
  <c r="O55" i="8"/>
  <c r="O39" i="8"/>
  <c r="O23" i="8"/>
  <c r="O59" i="7"/>
  <c r="O14" i="11"/>
  <c r="Y9" i="10"/>
  <c r="AC9" i="10"/>
  <c r="Z9" i="10"/>
  <c r="X9" i="10"/>
  <c r="W9" i="10"/>
  <c r="O61" i="8"/>
  <c r="O45" i="8"/>
  <c r="O28" i="8"/>
  <c r="AG54" i="7"/>
  <c r="AD54" i="7"/>
  <c r="AG50" i="7"/>
  <c r="AD50" i="7"/>
  <c r="AG46" i="7"/>
  <c r="AD46" i="7"/>
  <c r="AG42" i="7"/>
  <c r="AD42" i="7"/>
  <c r="AG38" i="7"/>
  <c r="AD38" i="7"/>
  <c r="AG34" i="7"/>
  <c r="AD34" i="7"/>
  <c r="AG30" i="7"/>
  <c r="AD30" i="7"/>
  <c r="AG26" i="7"/>
  <c r="AD26" i="7"/>
  <c r="AG22" i="7"/>
  <c r="AD22" i="7"/>
  <c r="AG18" i="7"/>
  <c r="AD18" i="7"/>
  <c r="AG14" i="7"/>
  <c r="AD14" i="7"/>
  <c r="AG10" i="7"/>
  <c r="AD10" i="7"/>
  <c r="AH52" i="7"/>
  <c r="AF52" i="7"/>
  <c r="AE52" i="7"/>
  <c r="AB41" i="7"/>
  <c r="AA41" i="7"/>
  <c r="AH21" i="7"/>
  <c r="AF21" i="7"/>
  <c r="AE21" i="7"/>
  <c r="AB20" i="7"/>
  <c r="AA20" i="7"/>
  <c r="AC8" i="6"/>
  <c r="Y8" i="6"/>
  <c r="AB53" i="7"/>
  <c r="AA53" i="7"/>
  <c r="AH16" i="7"/>
  <c r="AF16" i="7"/>
  <c r="AE16" i="7"/>
  <c r="AB49" i="7"/>
  <c r="AA49" i="7"/>
  <c r="AB17" i="7"/>
  <c r="AA17" i="7"/>
  <c r="AB45" i="7"/>
  <c r="AA45" i="7"/>
  <c r="AH25" i="7"/>
  <c r="AF25" i="7"/>
  <c r="AE25" i="7"/>
  <c r="AB24" i="7"/>
  <c r="AA24" i="7"/>
  <c r="AH8" i="7"/>
  <c r="AF8" i="7"/>
  <c r="AE8" i="7"/>
  <c r="W26" i="2"/>
  <c r="W38" i="2"/>
  <c r="O61" i="20"/>
  <c r="O29" i="20"/>
  <c r="O13" i="20"/>
  <c r="O8" i="20"/>
  <c r="O14" i="19"/>
  <c r="O54" i="19"/>
  <c r="O60" i="19"/>
  <c r="O53" i="19"/>
  <c r="O29" i="19"/>
  <c r="O45" i="19"/>
  <c r="O63" i="19"/>
  <c r="O39" i="19"/>
  <c r="O36" i="19"/>
  <c r="O9" i="18"/>
  <c r="O25" i="18"/>
  <c r="O41" i="18"/>
  <c r="O10" i="18"/>
  <c r="O26" i="18"/>
  <c r="O42" i="18"/>
  <c r="T8" i="18"/>
  <c r="Q8" i="18"/>
  <c r="R8" i="18"/>
  <c r="U8" i="18"/>
  <c r="S8" i="18"/>
  <c r="O35" i="18"/>
  <c r="O19" i="18"/>
  <c r="O32" i="17"/>
  <c r="O29" i="17"/>
  <c r="O14" i="17"/>
  <c r="P11" i="17"/>
  <c r="O42" i="17"/>
  <c r="O39" i="17"/>
  <c r="O19" i="17"/>
  <c r="O14" i="16"/>
  <c r="O40" i="18"/>
  <c r="O24" i="18"/>
  <c r="O8" i="18"/>
  <c r="O41" i="15"/>
  <c r="O46" i="15"/>
  <c r="O20" i="16"/>
  <c r="O28" i="17"/>
  <c r="O10" i="17"/>
  <c r="AE8" i="15"/>
  <c r="AH8" i="15"/>
  <c r="AF8" i="15"/>
  <c r="O19" i="13"/>
  <c r="O30" i="15"/>
  <c r="AH10" i="15"/>
  <c r="AF10" i="15"/>
  <c r="AE10" i="15"/>
  <c r="T8" i="13"/>
  <c r="V8" i="13"/>
  <c r="Q8" i="13"/>
  <c r="R8" i="13"/>
  <c r="U8" i="13"/>
  <c r="S8" i="13"/>
  <c r="O9" i="13"/>
  <c r="P9" i="13"/>
  <c r="O17" i="12"/>
  <c r="O33" i="12"/>
  <c r="O49" i="12"/>
  <c r="O65" i="12"/>
  <c r="T9" i="12"/>
  <c r="Q9" i="12"/>
  <c r="R9" i="12"/>
  <c r="U9" i="12"/>
  <c r="S9" i="12"/>
  <c r="O42" i="9"/>
  <c r="O26" i="9"/>
  <c r="P10" i="9"/>
  <c r="O8" i="13"/>
  <c r="O22" i="11"/>
  <c r="O27" i="11"/>
  <c r="P8" i="11"/>
  <c r="O8" i="11"/>
  <c r="O69" i="9"/>
  <c r="O53" i="9"/>
  <c r="O37" i="9"/>
  <c r="O21" i="9"/>
  <c r="O16" i="12"/>
  <c r="V8" i="14"/>
  <c r="V8" i="12"/>
  <c r="V8" i="10"/>
  <c r="O68" i="8"/>
  <c r="O36" i="8"/>
  <c r="O67" i="8"/>
  <c r="O51" i="8"/>
  <c r="O35" i="8"/>
  <c r="O19" i="8"/>
  <c r="O71" i="7"/>
  <c r="P55" i="7"/>
  <c r="O55" i="7"/>
  <c r="O66" i="9"/>
  <c r="O50" i="9"/>
  <c r="O11" i="11"/>
  <c r="U10" i="10"/>
  <c r="S10" i="10"/>
  <c r="P11" i="10"/>
  <c r="T10" i="10"/>
  <c r="V10" i="10"/>
  <c r="Q10" i="10"/>
  <c r="R10" i="10"/>
  <c r="O60" i="8"/>
  <c r="O52" i="8"/>
  <c r="O44" i="8"/>
  <c r="O33" i="8"/>
  <c r="O25" i="8"/>
  <c r="AH36" i="7"/>
  <c r="AF36" i="7"/>
  <c r="AE36" i="7"/>
  <c r="AB25" i="7"/>
  <c r="AA25" i="7"/>
  <c r="AT30" i="5"/>
  <c r="AU30" i="5"/>
  <c r="O30" i="5"/>
  <c r="R30" i="5"/>
  <c r="AH48" i="7"/>
  <c r="AF48" i="7"/>
  <c r="AE48" i="7"/>
  <c r="AH33" i="7"/>
  <c r="AF33" i="7"/>
  <c r="AE33" i="7"/>
  <c r="AB32" i="7"/>
  <c r="AA32" i="7"/>
  <c r="AH44" i="7"/>
  <c r="AF44" i="7"/>
  <c r="AE44" i="7"/>
  <c r="AH29" i="7"/>
  <c r="AF29" i="7"/>
  <c r="AE29" i="7"/>
  <c r="AB28" i="7"/>
  <c r="AA28" i="7"/>
  <c r="AH12" i="7"/>
  <c r="AF12" i="7"/>
  <c r="AE12" i="7"/>
  <c r="AU29" i="5"/>
  <c r="O29" i="5"/>
  <c r="R29" i="5"/>
  <c r="AH40" i="7"/>
  <c r="AF40" i="7"/>
  <c r="AE40" i="7"/>
  <c r="AB29" i="7"/>
  <c r="AA29" i="7"/>
  <c r="W32" i="2"/>
  <c r="U8" i="20"/>
  <c r="T8" i="20"/>
  <c r="Q8" i="20"/>
  <c r="R8" i="20"/>
  <c r="S8" i="20"/>
  <c r="O33" i="20"/>
  <c r="O17" i="20"/>
  <c r="O20" i="20"/>
  <c r="O40" i="20"/>
  <c r="O24" i="20"/>
  <c r="O45" i="20"/>
  <c r="O16" i="20"/>
  <c r="O57" i="20"/>
  <c r="O41" i="20"/>
  <c r="P9" i="20"/>
  <c r="O9" i="20"/>
  <c r="O60" i="20"/>
  <c r="O12" i="20"/>
  <c r="O64" i="20"/>
  <c r="O44" i="20"/>
  <c r="O56" i="20"/>
  <c r="O64" i="19"/>
  <c r="O32" i="20"/>
  <c r="T8" i="19"/>
  <c r="Q8" i="19"/>
  <c r="R8" i="19"/>
  <c r="S8" i="19"/>
  <c r="U8" i="19"/>
  <c r="O57" i="19"/>
  <c r="O17" i="19"/>
  <c r="O33" i="19"/>
  <c r="O49" i="19"/>
  <c r="O51" i="19"/>
  <c r="O27" i="19"/>
  <c r="O43" i="19"/>
  <c r="O32" i="19"/>
  <c r="O24" i="19"/>
  <c r="O8" i="19"/>
  <c r="O13" i="19"/>
  <c r="O29" i="18"/>
  <c r="O14" i="18"/>
  <c r="O30" i="18"/>
  <c r="P12" i="18"/>
  <c r="O31" i="18"/>
  <c r="O15" i="18"/>
  <c r="O46" i="18"/>
  <c r="O18" i="17"/>
  <c r="O34" i="17"/>
  <c r="U8" i="17"/>
  <c r="S8" i="17"/>
  <c r="T8" i="17"/>
  <c r="V8" i="17"/>
  <c r="Q8" i="17"/>
  <c r="R8" i="17"/>
  <c r="O31" i="17"/>
  <c r="O15" i="17"/>
  <c r="P10" i="16"/>
  <c r="O10" i="16"/>
  <c r="O36" i="18"/>
  <c r="O20" i="18"/>
  <c r="O35" i="17"/>
  <c r="P12" i="16"/>
  <c r="P11" i="16"/>
  <c r="O37" i="15"/>
  <c r="O16" i="17"/>
  <c r="O42" i="15"/>
  <c r="O19" i="16"/>
  <c r="O11" i="16"/>
  <c r="O20" i="17"/>
  <c r="P12" i="15"/>
  <c r="T11" i="15"/>
  <c r="Q11" i="15"/>
  <c r="R11" i="15"/>
  <c r="U11" i="15"/>
  <c r="S11" i="15"/>
  <c r="AB10" i="15"/>
  <c r="AA10" i="15"/>
  <c r="O29" i="15"/>
  <c r="AB9" i="15"/>
  <c r="AA9" i="15"/>
  <c r="O13" i="13"/>
  <c r="O21" i="12"/>
  <c r="O37" i="12"/>
  <c r="O53" i="12"/>
  <c r="O69" i="12"/>
  <c r="O22" i="12"/>
  <c r="O38" i="12"/>
  <c r="O54" i="12"/>
  <c r="O70" i="12"/>
  <c r="O15" i="12"/>
  <c r="O31" i="12"/>
  <c r="O47" i="12"/>
  <c r="O63" i="12"/>
  <c r="P11" i="12"/>
  <c r="O38" i="9"/>
  <c r="O22" i="9"/>
  <c r="AD8" i="12"/>
  <c r="AG8" i="12"/>
  <c r="O26" i="11"/>
  <c r="O31" i="11"/>
  <c r="O16" i="11"/>
  <c r="O32" i="11"/>
  <c r="O12" i="11"/>
  <c r="O65" i="9"/>
  <c r="O49" i="9"/>
  <c r="O33" i="9"/>
  <c r="O17" i="9"/>
  <c r="AC8" i="10"/>
  <c r="Y8" i="10"/>
  <c r="O63" i="8"/>
  <c r="O47" i="8"/>
  <c r="O31" i="8"/>
  <c r="O15" i="8"/>
  <c r="O67" i="7"/>
  <c r="O62" i="9"/>
  <c r="O10" i="11"/>
  <c r="AG8" i="9"/>
  <c r="AD8" i="9"/>
  <c r="O65" i="8"/>
  <c r="O57" i="8"/>
  <c r="O49" i="8"/>
  <c r="O41" i="8"/>
  <c r="O32" i="8"/>
  <c r="O24" i="8"/>
  <c r="O12" i="8"/>
  <c r="O18" i="9"/>
  <c r="AJ51" i="7"/>
  <c r="AI51" i="7"/>
  <c r="AJ47" i="7"/>
  <c r="AI47" i="7"/>
  <c r="AJ43" i="7"/>
  <c r="AI43" i="7"/>
  <c r="AJ39" i="7"/>
  <c r="AI39" i="7"/>
  <c r="AJ35" i="7"/>
  <c r="AI35" i="7"/>
  <c r="AJ31" i="7"/>
  <c r="AI31" i="7"/>
  <c r="AJ27" i="7"/>
  <c r="AI27" i="7"/>
  <c r="AJ23" i="7"/>
  <c r="AI23" i="7"/>
  <c r="AJ19" i="7"/>
  <c r="AI19" i="7"/>
  <c r="AJ15" i="7"/>
  <c r="AI15" i="7"/>
  <c r="AJ11" i="7"/>
  <c r="AI11" i="7"/>
  <c r="AH53" i="7"/>
  <c r="AF53" i="7"/>
  <c r="AE53" i="7"/>
  <c r="AB52" i="7"/>
  <c r="AA52" i="7"/>
  <c r="AH20" i="7"/>
  <c r="AF20" i="7"/>
  <c r="AE20" i="7"/>
  <c r="AB9" i="7"/>
  <c r="AA9" i="7"/>
  <c r="AT34" i="5"/>
  <c r="AU34" i="5"/>
  <c r="O34" i="5"/>
  <c r="R34" i="5"/>
  <c r="AB37" i="7"/>
  <c r="AA37" i="7"/>
  <c r="AH17" i="7"/>
  <c r="AF17" i="7"/>
  <c r="AE17" i="7"/>
  <c r="AB16" i="7"/>
  <c r="AA16" i="7"/>
  <c r="AB33" i="7"/>
  <c r="AA33" i="7"/>
  <c r="S48" i="2"/>
  <c r="AH24" i="7"/>
  <c r="AF24" i="7"/>
  <c r="AE24" i="7"/>
  <c r="AH9" i="7"/>
  <c r="AF9" i="7"/>
  <c r="AE9" i="7"/>
  <c r="AB8" i="7"/>
  <c r="AA8" i="7"/>
  <c r="T9" i="6"/>
  <c r="Q9" i="6"/>
  <c r="R9" i="6"/>
  <c r="U9" i="6"/>
  <c r="P10" i="6"/>
  <c r="S9" i="6"/>
  <c r="W7" i="2"/>
  <c r="W8" i="13"/>
  <c r="X8" i="13"/>
  <c r="Z8" i="13"/>
  <c r="AJ8" i="15"/>
  <c r="AI8" i="15"/>
  <c r="AI8" i="7"/>
  <c r="AJ8" i="7"/>
  <c r="AI52" i="7"/>
  <c r="AJ52" i="7"/>
  <c r="AC10" i="12"/>
  <c r="Y10" i="12"/>
  <c r="AI9" i="15"/>
  <c r="AJ9" i="15"/>
  <c r="W8" i="6"/>
  <c r="Z8" i="6"/>
  <c r="X8" i="6"/>
  <c r="U10" i="14"/>
  <c r="S10" i="14"/>
  <c r="P11" i="14"/>
  <c r="T10" i="14"/>
  <c r="V10" i="14"/>
  <c r="Q10" i="14"/>
  <c r="R10" i="14"/>
  <c r="Y8" i="16"/>
  <c r="AC8" i="16"/>
  <c r="T12" i="17"/>
  <c r="V12" i="17"/>
  <c r="U12" i="17"/>
  <c r="S12" i="17"/>
  <c r="Q12" i="17"/>
  <c r="R12" i="17"/>
  <c r="AI20" i="7"/>
  <c r="AJ20" i="7"/>
  <c r="AH8" i="9"/>
  <c r="AF8" i="9"/>
  <c r="AE8" i="9"/>
  <c r="V11" i="15"/>
  <c r="S10" i="16"/>
  <c r="T10" i="16"/>
  <c r="V10" i="16"/>
  <c r="Q10" i="16"/>
  <c r="R10" i="16"/>
  <c r="U10" i="16"/>
  <c r="V8" i="19"/>
  <c r="AC8" i="20"/>
  <c r="Y8" i="20"/>
  <c r="AI36" i="7"/>
  <c r="AJ36" i="7"/>
  <c r="S11" i="10"/>
  <c r="T11" i="10"/>
  <c r="V11" i="10"/>
  <c r="Q11" i="10"/>
  <c r="R11" i="10"/>
  <c r="U11" i="10"/>
  <c r="P12" i="10"/>
  <c r="W8" i="10"/>
  <c r="Z8" i="10"/>
  <c r="X8" i="10"/>
  <c r="P11" i="9"/>
  <c r="S10" i="9"/>
  <c r="T10" i="9"/>
  <c r="Q10" i="9"/>
  <c r="R10" i="9"/>
  <c r="U10" i="9"/>
  <c r="AC8" i="13"/>
  <c r="Y8" i="13"/>
  <c r="P13" i="17"/>
  <c r="V8" i="18"/>
  <c r="AI25" i="7"/>
  <c r="AJ25" i="7"/>
  <c r="AH10" i="7"/>
  <c r="AF10" i="7"/>
  <c r="AE10" i="7"/>
  <c r="AH18" i="7"/>
  <c r="AF18" i="7"/>
  <c r="AE18" i="7"/>
  <c r="AH26" i="7"/>
  <c r="AF26" i="7"/>
  <c r="AE26" i="7"/>
  <c r="AH34" i="7"/>
  <c r="AF34" i="7"/>
  <c r="AE34" i="7"/>
  <c r="AH42" i="7"/>
  <c r="AF42" i="7"/>
  <c r="AE42" i="7"/>
  <c r="AH50" i="7"/>
  <c r="AF50" i="7"/>
  <c r="AE50" i="7"/>
  <c r="AA9" i="10"/>
  <c r="AB9" i="10"/>
  <c r="V8" i="8"/>
  <c r="U9" i="9"/>
  <c r="S9" i="9"/>
  <c r="T9" i="9"/>
  <c r="Q9" i="9"/>
  <c r="R9" i="9"/>
  <c r="T9" i="19"/>
  <c r="V9" i="19"/>
  <c r="Q9" i="19"/>
  <c r="R9" i="19"/>
  <c r="U9" i="19"/>
  <c r="S9" i="19"/>
  <c r="P10" i="19"/>
  <c r="AI41" i="7"/>
  <c r="AJ41" i="7"/>
  <c r="AI32" i="7"/>
  <c r="AJ32" i="7"/>
  <c r="AI37" i="7"/>
  <c r="AJ37" i="7"/>
  <c r="V9" i="18"/>
  <c r="AD8" i="10"/>
  <c r="AG8" i="10"/>
  <c r="AC8" i="17"/>
  <c r="Y8" i="17"/>
  <c r="S9" i="20"/>
  <c r="T9" i="20"/>
  <c r="V9" i="20"/>
  <c r="Q9" i="20"/>
  <c r="R9" i="20"/>
  <c r="U9" i="20"/>
  <c r="P10" i="20"/>
  <c r="Z10" i="10"/>
  <c r="X10" i="10"/>
  <c r="W10" i="10"/>
  <c r="P56" i="7"/>
  <c r="U55" i="7"/>
  <c r="S55" i="7"/>
  <c r="T55" i="7"/>
  <c r="Q55" i="7"/>
  <c r="R55" i="7"/>
  <c r="Y9" i="6"/>
  <c r="AC9" i="6"/>
  <c r="V9" i="6"/>
  <c r="AI24" i="7"/>
  <c r="AJ24" i="7"/>
  <c r="AI53" i="7"/>
  <c r="AJ53" i="7"/>
  <c r="Y11" i="15"/>
  <c r="AC11" i="15"/>
  <c r="P13" i="15"/>
  <c r="U12" i="15"/>
  <c r="S12" i="15"/>
  <c r="T12" i="15"/>
  <c r="V12" i="15"/>
  <c r="Q12" i="15"/>
  <c r="R12" i="15"/>
  <c r="T11" i="16"/>
  <c r="Q11" i="16"/>
  <c r="R11" i="16"/>
  <c r="U11" i="16"/>
  <c r="S11" i="16"/>
  <c r="T12" i="18"/>
  <c r="Q12" i="18"/>
  <c r="R12" i="18"/>
  <c r="U12" i="18"/>
  <c r="S12" i="18"/>
  <c r="P13" i="18"/>
  <c r="AC10" i="10"/>
  <c r="Y10" i="10"/>
  <c r="W8" i="12"/>
  <c r="Z8" i="12"/>
  <c r="X8" i="12"/>
  <c r="V9" i="12"/>
  <c r="T11" i="17"/>
  <c r="Q11" i="17"/>
  <c r="R11" i="17"/>
  <c r="U11" i="17"/>
  <c r="S11" i="17"/>
  <c r="Y8" i="18"/>
  <c r="AC8" i="18"/>
  <c r="AI16" i="7"/>
  <c r="AJ16" i="7"/>
  <c r="AD8" i="6"/>
  <c r="AG8" i="6"/>
  <c r="AG9" i="10"/>
  <c r="AD9" i="10"/>
  <c r="T9" i="8"/>
  <c r="Q9" i="8"/>
  <c r="R9" i="8"/>
  <c r="U9" i="8"/>
  <c r="S9" i="8"/>
  <c r="P10" i="8"/>
  <c r="T10" i="17"/>
  <c r="Q10" i="17"/>
  <c r="R10" i="17"/>
  <c r="U10" i="17"/>
  <c r="S10" i="17"/>
  <c r="AI28" i="7"/>
  <c r="AJ28" i="7"/>
  <c r="AI49" i="7"/>
  <c r="AJ49" i="7"/>
  <c r="AD8" i="14"/>
  <c r="AG8" i="14"/>
  <c r="T11" i="18"/>
  <c r="Q11" i="18"/>
  <c r="R11" i="18"/>
  <c r="S11" i="18"/>
  <c r="U11" i="18"/>
  <c r="S10" i="18"/>
  <c r="T10" i="18"/>
  <c r="Q10" i="18"/>
  <c r="R10" i="18"/>
  <c r="U10" i="18"/>
  <c r="Y9" i="18"/>
  <c r="AC9" i="18"/>
  <c r="V9" i="17"/>
  <c r="T12" i="16"/>
  <c r="V12" i="16"/>
  <c r="Q12" i="16"/>
  <c r="R12" i="16"/>
  <c r="U12" i="16"/>
  <c r="S12" i="16"/>
  <c r="P13" i="16"/>
  <c r="AI29" i="7"/>
  <c r="AJ29" i="7"/>
  <c r="AI33" i="7"/>
  <c r="AJ33" i="7"/>
  <c r="U8" i="11"/>
  <c r="S8" i="11"/>
  <c r="T8" i="11"/>
  <c r="Q8" i="11"/>
  <c r="R8" i="11"/>
  <c r="P9" i="11"/>
  <c r="U10" i="6"/>
  <c r="S10" i="6"/>
  <c r="P11" i="6"/>
  <c r="T10" i="6"/>
  <c r="V10" i="6"/>
  <c r="Q10" i="6"/>
  <c r="R10" i="6"/>
  <c r="AI9" i="7"/>
  <c r="AJ9" i="7"/>
  <c r="AI17" i="7"/>
  <c r="AJ17" i="7"/>
  <c r="AH8" i="12"/>
  <c r="AF8" i="12"/>
  <c r="AE8" i="12"/>
  <c r="S11" i="12"/>
  <c r="T11" i="12"/>
  <c r="Q11" i="12"/>
  <c r="R11" i="12"/>
  <c r="U11" i="12"/>
  <c r="P12" i="12"/>
  <c r="Z8" i="17"/>
  <c r="X8" i="17"/>
  <c r="W8" i="17"/>
  <c r="AC8" i="19"/>
  <c r="Y8" i="19"/>
  <c r="V8" i="20"/>
  <c r="AI40" i="7"/>
  <c r="AJ40" i="7"/>
  <c r="AI12" i="7"/>
  <c r="AJ12" i="7"/>
  <c r="AI44" i="7"/>
  <c r="AJ44" i="7"/>
  <c r="AI48" i="7"/>
  <c r="AJ48" i="7"/>
  <c r="W8" i="14"/>
  <c r="X8" i="14"/>
  <c r="Z8" i="14"/>
  <c r="Y9" i="12"/>
  <c r="AC9" i="12"/>
  <c r="T9" i="13"/>
  <c r="Q9" i="13"/>
  <c r="R9" i="13"/>
  <c r="U9" i="13"/>
  <c r="S9" i="13"/>
  <c r="P10" i="13"/>
  <c r="AI10" i="15"/>
  <c r="AJ10" i="15"/>
  <c r="AI21" i="7"/>
  <c r="AJ21" i="7"/>
  <c r="AH14" i="7"/>
  <c r="AF14" i="7"/>
  <c r="AE14" i="7"/>
  <c r="AH22" i="7"/>
  <c r="AF22" i="7"/>
  <c r="AE22" i="7"/>
  <c r="AH30" i="7"/>
  <c r="AF30" i="7"/>
  <c r="AE30" i="7"/>
  <c r="AH38" i="7"/>
  <c r="AF38" i="7"/>
  <c r="AE38" i="7"/>
  <c r="AH46" i="7"/>
  <c r="AF46" i="7"/>
  <c r="AE46" i="7"/>
  <c r="AH54" i="7"/>
  <c r="AF54" i="7"/>
  <c r="AE54" i="7"/>
  <c r="AC8" i="8"/>
  <c r="Y8" i="8"/>
  <c r="Z10" i="12"/>
  <c r="X10" i="12"/>
  <c r="W10" i="12"/>
  <c r="AI13" i="7"/>
  <c r="AJ13" i="7"/>
  <c r="AI45" i="7"/>
  <c r="AJ45" i="7"/>
  <c r="Y9" i="14"/>
  <c r="AC9" i="14"/>
  <c r="Z9" i="14"/>
  <c r="X9" i="14"/>
  <c r="W9" i="14"/>
  <c r="U9" i="16"/>
  <c r="S9" i="16"/>
  <c r="T9" i="16"/>
  <c r="V9" i="16"/>
  <c r="Q9" i="16"/>
  <c r="R9" i="16"/>
  <c r="Z8" i="16"/>
  <c r="X8" i="16"/>
  <c r="W8" i="16"/>
  <c r="AC9" i="17"/>
  <c r="Y9" i="17"/>
  <c r="Z9" i="16"/>
  <c r="X9" i="16"/>
  <c r="W9" i="16"/>
  <c r="Z10" i="6"/>
  <c r="X10" i="6"/>
  <c r="W10" i="6"/>
  <c r="S9" i="11"/>
  <c r="T9" i="11"/>
  <c r="V9" i="11"/>
  <c r="Q9" i="11"/>
  <c r="R9" i="11"/>
  <c r="U9" i="11"/>
  <c r="P10" i="11"/>
  <c r="AC10" i="18"/>
  <c r="Y10" i="18"/>
  <c r="V11" i="18"/>
  <c r="AC9" i="8"/>
  <c r="Y9" i="8"/>
  <c r="AH9" i="10"/>
  <c r="AF9" i="10"/>
  <c r="AE9" i="10"/>
  <c r="Y11" i="17"/>
  <c r="AC11" i="17"/>
  <c r="Z9" i="12"/>
  <c r="X9" i="12"/>
  <c r="W9" i="12"/>
  <c r="Z12" i="15"/>
  <c r="X12" i="15"/>
  <c r="W12" i="15"/>
  <c r="AG11" i="15"/>
  <c r="AD11" i="15"/>
  <c r="AA10" i="10"/>
  <c r="AB10" i="10"/>
  <c r="Z9" i="20"/>
  <c r="X9" i="20"/>
  <c r="W9" i="20"/>
  <c r="AC9" i="9"/>
  <c r="Y9" i="9"/>
  <c r="AJ26" i="7"/>
  <c r="AI26" i="7"/>
  <c r="AD8" i="13"/>
  <c r="AG8" i="13"/>
  <c r="AC10" i="9"/>
  <c r="Y10" i="9"/>
  <c r="Z11" i="10"/>
  <c r="X11" i="10"/>
  <c r="W11" i="10"/>
  <c r="Z12" i="17"/>
  <c r="X12" i="17"/>
  <c r="W12" i="17"/>
  <c r="Z10" i="14"/>
  <c r="X10" i="14"/>
  <c r="W10" i="14"/>
  <c r="AJ30" i="7"/>
  <c r="AI30" i="7"/>
  <c r="AG9" i="12"/>
  <c r="AD9" i="12"/>
  <c r="S11" i="6"/>
  <c r="T11" i="6"/>
  <c r="Q11" i="6"/>
  <c r="R11" i="6"/>
  <c r="U11" i="6"/>
  <c r="P12" i="6"/>
  <c r="Z12" i="16"/>
  <c r="X12" i="16"/>
  <c r="W12" i="16"/>
  <c r="AG10" i="10"/>
  <c r="AD10" i="10"/>
  <c r="AC12" i="15"/>
  <c r="Y12" i="15"/>
  <c r="P57" i="7"/>
  <c r="S56" i="7"/>
  <c r="T56" i="7"/>
  <c r="Q56" i="7"/>
  <c r="R56" i="7"/>
  <c r="U56" i="7"/>
  <c r="U10" i="20"/>
  <c r="S10" i="20"/>
  <c r="T10" i="20"/>
  <c r="V10" i="20"/>
  <c r="Q10" i="20"/>
  <c r="R10" i="20"/>
  <c r="P11" i="20"/>
  <c r="Y9" i="20"/>
  <c r="AC9" i="20"/>
  <c r="AH8" i="10"/>
  <c r="AF8" i="10"/>
  <c r="AE8" i="10"/>
  <c r="U10" i="19"/>
  <c r="S10" i="19"/>
  <c r="T10" i="19"/>
  <c r="Q10" i="19"/>
  <c r="R10" i="19"/>
  <c r="P11" i="19"/>
  <c r="W9" i="19"/>
  <c r="Z9" i="19"/>
  <c r="X9" i="19"/>
  <c r="AJ34" i="7"/>
  <c r="AI34" i="7"/>
  <c r="X8" i="18"/>
  <c r="W8" i="18"/>
  <c r="Z8" i="18"/>
  <c r="P12" i="9"/>
  <c r="T11" i="9"/>
  <c r="Q11" i="9"/>
  <c r="R11" i="9"/>
  <c r="U11" i="9"/>
  <c r="S11" i="9"/>
  <c r="T12" i="10"/>
  <c r="Q12" i="10"/>
  <c r="R12" i="10"/>
  <c r="U12" i="10"/>
  <c r="S12" i="10"/>
  <c r="P13" i="10"/>
  <c r="AC11" i="10"/>
  <c r="Y11" i="10"/>
  <c r="AD8" i="20"/>
  <c r="AG8" i="20"/>
  <c r="Z10" i="16"/>
  <c r="X10" i="16"/>
  <c r="W10" i="16"/>
  <c r="AG8" i="16"/>
  <c r="AD8" i="16"/>
  <c r="S11" i="14"/>
  <c r="T11" i="14"/>
  <c r="V11" i="14"/>
  <c r="Q11" i="14"/>
  <c r="R11" i="14"/>
  <c r="U11" i="14"/>
  <c r="P12" i="14"/>
  <c r="AB8" i="6"/>
  <c r="AA8" i="6"/>
  <c r="AB8" i="13"/>
  <c r="AA8" i="13"/>
  <c r="AG8" i="8"/>
  <c r="AD8" i="8"/>
  <c r="AC9" i="16"/>
  <c r="Y9" i="16"/>
  <c r="AA9" i="14"/>
  <c r="AB9" i="14"/>
  <c r="AJ38" i="7"/>
  <c r="AI38" i="7"/>
  <c r="U13" i="16"/>
  <c r="S13" i="16"/>
  <c r="T13" i="16"/>
  <c r="Q13" i="16"/>
  <c r="R13" i="16"/>
  <c r="P14" i="16"/>
  <c r="AA8" i="16"/>
  <c r="AB8" i="16"/>
  <c r="AD9" i="14"/>
  <c r="AG9" i="14"/>
  <c r="AA10" i="12"/>
  <c r="AB10" i="12"/>
  <c r="AJ46" i="7"/>
  <c r="AI46" i="7"/>
  <c r="AJ14" i="7"/>
  <c r="AI14" i="7"/>
  <c r="AB8" i="14"/>
  <c r="AA8" i="14"/>
  <c r="AA8" i="17"/>
  <c r="AB8" i="17"/>
  <c r="V11" i="12"/>
  <c r="AI8" i="12"/>
  <c r="AJ8" i="12"/>
  <c r="AC10" i="6"/>
  <c r="Y10" i="6"/>
  <c r="V8" i="11"/>
  <c r="Y12" i="16"/>
  <c r="AC12" i="16"/>
  <c r="Z9" i="17"/>
  <c r="X9" i="17"/>
  <c r="W9" i="17"/>
  <c r="AC11" i="18"/>
  <c r="Y11" i="18"/>
  <c r="AH8" i="14"/>
  <c r="AF8" i="14"/>
  <c r="AE8" i="14"/>
  <c r="V10" i="17"/>
  <c r="AD8" i="18"/>
  <c r="AG8" i="18"/>
  <c r="AB8" i="12"/>
  <c r="AA8" i="12"/>
  <c r="U13" i="18"/>
  <c r="S13" i="18"/>
  <c r="T13" i="18"/>
  <c r="Q13" i="18"/>
  <c r="R13" i="18"/>
  <c r="P14" i="18"/>
  <c r="V12" i="18"/>
  <c r="V11" i="16"/>
  <c r="Z9" i="6"/>
  <c r="X9" i="6"/>
  <c r="W9" i="6"/>
  <c r="V55" i="7"/>
  <c r="Z9" i="18"/>
  <c r="X9" i="18"/>
  <c r="W9" i="18"/>
  <c r="Y9" i="19"/>
  <c r="AC9" i="19"/>
  <c r="Z8" i="8"/>
  <c r="X8" i="8"/>
  <c r="W8" i="8"/>
  <c r="AJ42" i="7"/>
  <c r="AI42" i="7"/>
  <c r="AJ10" i="7"/>
  <c r="AI10" i="7"/>
  <c r="U13" i="17"/>
  <c r="S13" i="17"/>
  <c r="T13" i="17"/>
  <c r="Q13" i="17"/>
  <c r="R13" i="17"/>
  <c r="P14" i="17"/>
  <c r="W8" i="19"/>
  <c r="Z8" i="19"/>
  <c r="X8" i="19"/>
  <c r="AC10" i="16"/>
  <c r="Y10" i="16"/>
  <c r="AJ8" i="9"/>
  <c r="AI8" i="9"/>
  <c r="AC12" i="17"/>
  <c r="Y12" i="17"/>
  <c r="AC10" i="14"/>
  <c r="Y10" i="14"/>
  <c r="AG10" i="12"/>
  <c r="AD10" i="12"/>
  <c r="Y9" i="13"/>
  <c r="AC9" i="13"/>
  <c r="W8" i="20"/>
  <c r="Z8" i="20"/>
  <c r="X8" i="20"/>
  <c r="AG9" i="17"/>
  <c r="AD9" i="17"/>
  <c r="AJ54" i="7"/>
  <c r="AI54" i="7"/>
  <c r="AJ22" i="7"/>
  <c r="AI22" i="7"/>
  <c r="U10" i="13"/>
  <c r="S10" i="13"/>
  <c r="T10" i="13"/>
  <c r="Q10" i="13"/>
  <c r="R10" i="13"/>
  <c r="P11" i="13"/>
  <c r="V9" i="13"/>
  <c r="AD8" i="19"/>
  <c r="AG8" i="19"/>
  <c r="T12" i="12"/>
  <c r="V12" i="12"/>
  <c r="Q12" i="12"/>
  <c r="R12" i="12"/>
  <c r="U12" i="12"/>
  <c r="S12" i="12"/>
  <c r="P13" i="12"/>
  <c r="AC11" i="12"/>
  <c r="Y11" i="12"/>
  <c r="AC8" i="11"/>
  <c r="Y8" i="11"/>
  <c r="AG9" i="18"/>
  <c r="AD9" i="18"/>
  <c r="V10" i="18"/>
  <c r="AC10" i="17"/>
  <c r="Y10" i="17"/>
  <c r="T10" i="8"/>
  <c r="Q10" i="8"/>
  <c r="R10" i="8"/>
  <c r="U10" i="8"/>
  <c r="S10" i="8"/>
  <c r="P11" i="8"/>
  <c r="V9" i="8"/>
  <c r="AH8" i="6"/>
  <c r="AF8" i="6"/>
  <c r="AE8" i="6"/>
  <c r="V11" i="17"/>
  <c r="Y12" i="18"/>
  <c r="AC12" i="18"/>
  <c r="AC11" i="16"/>
  <c r="Y11" i="16"/>
  <c r="P14" i="15"/>
  <c r="S13" i="15"/>
  <c r="T13" i="15"/>
  <c r="Q13" i="15"/>
  <c r="R13" i="15"/>
  <c r="U13" i="15"/>
  <c r="AG9" i="6"/>
  <c r="AD9" i="6"/>
  <c r="AC55" i="7"/>
  <c r="Y55" i="7"/>
  <c r="AG8" i="17"/>
  <c r="AD8" i="17"/>
  <c r="V9" i="9"/>
  <c r="AJ50" i="7"/>
  <c r="AI50" i="7"/>
  <c r="AJ18" i="7"/>
  <c r="AI18" i="7"/>
  <c r="V10" i="9"/>
  <c r="AB8" i="10"/>
  <c r="AA8" i="10"/>
  <c r="Z11" i="15"/>
  <c r="X11" i="15"/>
  <c r="W11" i="15"/>
  <c r="Z10" i="9"/>
  <c r="X10" i="9"/>
  <c r="W10" i="9"/>
  <c r="AA8" i="20"/>
  <c r="AB8" i="20"/>
  <c r="S14" i="18"/>
  <c r="T14" i="18"/>
  <c r="Q14" i="18"/>
  <c r="R14" i="18"/>
  <c r="U14" i="18"/>
  <c r="P15" i="18"/>
  <c r="AH8" i="18"/>
  <c r="AF8" i="18"/>
  <c r="AE8" i="18"/>
  <c r="S14" i="16"/>
  <c r="T14" i="16"/>
  <c r="Q14" i="16"/>
  <c r="R14" i="16"/>
  <c r="U14" i="16"/>
  <c r="P15" i="16"/>
  <c r="AC12" i="10"/>
  <c r="Y12" i="10"/>
  <c r="T12" i="9"/>
  <c r="V12" i="9"/>
  <c r="Q12" i="9"/>
  <c r="R12" i="9"/>
  <c r="U12" i="9"/>
  <c r="S12" i="9"/>
  <c r="P13" i="9"/>
  <c r="AG10" i="18"/>
  <c r="AD10" i="18"/>
  <c r="AA11" i="15"/>
  <c r="AB11" i="15"/>
  <c r="Z9" i="9"/>
  <c r="X9" i="9"/>
  <c r="W9" i="9"/>
  <c r="AG55" i="7"/>
  <c r="AD55" i="7"/>
  <c r="W9" i="8"/>
  <c r="Z9" i="8"/>
  <c r="X9" i="8"/>
  <c r="AC12" i="12"/>
  <c r="Y12" i="12"/>
  <c r="AG12" i="17"/>
  <c r="AD12" i="17"/>
  <c r="AG10" i="16"/>
  <c r="AD10" i="16"/>
  <c r="S14" i="17"/>
  <c r="T14" i="17"/>
  <c r="V14" i="17"/>
  <c r="Q14" i="17"/>
  <c r="R14" i="17"/>
  <c r="U14" i="17"/>
  <c r="P15" i="17"/>
  <c r="AD9" i="19"/>
  <c r="AG9" i="19"/>
  <c r="AA9" i="18"/>
  <c r="AB9" i="18"/>
  <c r="AA9" i="6"/>
  <c r="AB9" i="6"/>
  <c r="W10" i="17"/>
  <c r="Z10" i="17"/>
  <c r="X10" i="17"/>
  <c r="AB9" i="17"/>
  <c r="AA9" i="17"/>
  <c r="Z11" i="12"/>
  <c r="X11" i="12"/>
  <c r="W11" i="12"/>
  <c r="AH9" i="14"/>
  <c r="AF9" i="14"/>
  <c r="AE9" i="14"/>
  <c r="T12" i="14"/>
  <c r="V12" i="14"/>
  <c r="Q12" i="14"/>
  <c r="R12" i="14"/>
  <c r="U12" i="14"/>
  <c r="S12" i="14"/>
  <c r="P13" i="14"/>
  <c r="AC11" i="14"/>
  <c r="Y11" i="14"/>
  <c r="AA8" i="18"/>
  <c r="AB8" i="18"/>
  <c r="S11" i="19"/>
  <c r="T11" i="19"/>
  <c r="Q11" i="19"/>
  <c r="R11" i="19"/>
  <c r="U11" i="19"/>
  <c r="P12" i="19"/>
  <c r="AG9" i="20"/>
  <c r="AD9" i="20"/>
  <c r="W10" i="20"/>
  <c r="Z10" i="20"/>
  <c r="X10" i="20"/>
  <c r="AH9" i="12"/>
  <c r="AF9" i="12"/>
  <c r="AE9" i="12"/>
  <c r="AB11" i="10"/>
  <c r="AA11" i="10"/>
  <c r="AH8" i="13"/>
  <c r="AF8" i="13"/>
  <c r="AE8" i="13"/>
  <c r="AG9" i="9"/>
  <c r="AD9" i="9"/>
  <c r="AD9" i="8"/>
  <c r="AG9" i="8"/>
  <c r="T10" i="11"/>
  <c r="Q10" i="11"/>
  <c r="R10" i="11"/>
  <c r="U10" i="11"/>
  <c r="S10" i="11"/>
  <c r="P11" i="11"/>
  <c r="AC9" i="11"/>
  <c r="Y9" i="11"/>
  <c r="T14" i="15"/>
  <c r="Q14" i="15"/>
  <c r="R14" i="15"/>
  <c r="U14" i="15"/>
  <c r="S14" i="15"/>
  <c r="P15" i="15"/>
  <c r="AI8" i="6"/>
  <c r="AJ8" i="6"/>
  <c r="AD10" i="17"/>
  <c r="AG10" i="17"/>
  <c r="T13" i="12"/>
  <c r="Q13" i="12"/>
  <c r="R13" i="12"/>
  <c r="U13" i="12"/>
  <c r="S13" i="12"/>
  <c r="P14" i="12"/>
  <c r="S11" i="13"/>
  <c r="T11" i="13"/>
  <c r="V11" i="13"/>
  <c r="Q11" i="13"/>
  <c r="R11" i="13"/>
  <c r="U11" i="13"/>
  <c r="P12" i="13"/>
  <c r="Y13" i="17"/>
  <c r="AC13" i="17"/>
  <c r="AB8" i="8"/>
  <c r="AA8" i="8"/>
  <c r="AC11" i="9"/>
  <c r="Y11" i="9"/>
  <c r="AC10" i="19"/>
  <c r="Y10" i="19"/>
  <c r="AI8" i="10"/>
  <c r="AJ8" i="10"/>
  <c r="AC11" i="6"/>
  <c r="Y11" i="6"/>
  <c r="AA9" i="20"/>
  <c r="AB9" i="20"/>
  <c r="Z9" i="11"/>
  <c r="X9" i="11"/>
  <c r="W9" i="11"/>
  <c r="Z11" i="17"/>
  <c r="X11" i="17"/>
  <c r="W11" i="17"/>
  <c r="AH9" i="6"/>
  <c r="AF9" i="6"/>
  <c r="AE9" i="6"/>
  <c r="AD11" i="16"/>
  <c r="AG11" i="16"/>
  <c r="U11" i="8"/>
  <c r="S11" i="8"/>
  <c r="T11" i="8"/>
  <c r="V11" i="8"/>
  <c r="Q11" i="8"/>
  <c r="R11" i="8"/>
  <c r="P12" i="8"/>
  <c r="V10" i="8"/>
  <c r="AE9" i="18"/>
  <c r="AF9" i="18"/>
  <c r="AH9" i="18"/>
  <c r="V10" i="13"/>
  <c r="AG9" i="13"/>
  <c r="AD9" i="13"/>
  <c r="Z55" i="7"/>
  <c r="X55" i="7"/>
  <c r="W55" i="7"/>
  <c r="W11" i="16"/>
  <c r="Z11" i="16"/>
  <c r="X11" i="16"/>
  <c r="V13" i="18"/>
  <c r="AD11" i="18"/>
  <c r="AG11" i="18"/>
  <c r="AG12" i="16"/>
  <c r="AD12" i="16"/>
  <c r="AG10" i="6"/>
  <c r="AD10" i="6"/>
  <c r="V13" i="16"/>
  <c r="AG9" i="16"/>
  <c r="AD9" i="16"/>
  <c r="AH8" i="16"/>
  <c r="AF8" i="16"/>
  <c r="AE8" i="16"/>
  <c r="AB10" i="16"/>
  <c r="AA10" i="16"/>
  <c r="AG11" i="10"/>
  <c r="AD11" i="10"/>
  <c r="AC10" i="20"/>
  <c r="Y10" i="20"/>
  <c r="V56" i="7"/>
  <c r="AG12" i="15"/>
  <c r="AD12" i="15"/>
  <c r="AA12" i="17"/>
  <c r="AB12" i="17"/>
  <c r="AA9" i="12"/>
  <c r="AB9" i="12"/>
  <c r="W11" i="18"/>
  <c r="X11" i="18"/>
  <c r="Z11" i="18"/>
  <c r="W12" i="12"/>
  <c r="Z12" i="12"/>
  <c r="X12" i="12"/>
  <c r="AE10" i="12"/>
  <c r="AH10" i="12"/>
  <c r="AF10" i="12"/>
  <c r="AI8" i="14"/>
  <c r="AJ8" i="14"/>
  <c r="Z8" i="11"/>
  <c r="X8" i="11"/>
  <c r="W8" i="11"/>
  <c r="Z11" i="14"/>
  <c r="X11" i="14"/>
  <c r="W11" i="14"/>
  <c r="AE8" i="20"/>
  <c r="AH8" i="20"/>
  <c r="AF8" i="20"/>
  <c r="P58" i="7"/>
  <c r="T57" i="7"/>
  <c r="Q57" i="7"/>
  <c r="R57" i="7"/>
  <c r="U57" i="7"/>
  <c r="S57" i="7"/>
  <c r="T12" i="6"/>
  <c r="Q12" i="6"/>
  <c r="R12" i="6"/>
  <c r="U12" i="6"/>
  <c r="S12" i="6"/>
  <c r="P13" i="6"/>
  <c r="AA10" i="6"/>
  <c r="AB10" i="6"/>
  <c r="Z10" i="18"/>
  <c r="X10" i="18"/>
  <c r="W10" i="18"/>
  <c r="AG8" i="11"/>
  <c r="AD8" i="11"/>
  <c r="AH9" i="17"/>
  <c r="AF9" i="17"/>
  <c r="AE9" i="17"/>
  <c r="AE8" i="17"/>
  <c r="AH8" i="17"/>
  <c r="AF8" i="17"/>
  <c r="V13" i="15"/>
  <c r="AH8" i="19"/>
  <c r="AF8" i="19"/>
  <c r="AE8" i="19"/>
  <c r="AC13" i="15"/>
  <c r="Y13" i="15"/>
  <c r="AD12" i="18"/>
  <c r="AG12" i="18"/>
  <c r="Y10" i="8"/>
  <c r="AC10" i="8"/>
  <c r="AG11" i="12"/>
  <c r="AD11" i="12"/>
  <c r="Z9" i="13"/>
  <c r="X9" i="13"/>
  <c r="W9" i="13"/>
  <c r="AC10" i="13"/>
  <c r="Y10" i="13"/>
  <c r="AG10" i="14"/>
  <c r="AD10" i="14"/>
  <c r="AB8" i="19"/>
  <c r="AA8" i="19"/>
  <c r="V13" i="17"/>
  <c r="X12" i="18"/>
  <c r="W12" i="18"/>
  <c r="Z12" i="18"/>
  <c r="Y13" i="18"/>
  <c r="AC13" i="18"/>
  <c r="AC13" i="16"/>
  <c r="Y13" i="16"/>
  <c r="AH8" i="8"/>
  <c r="AF8" i="8"/>
  <c r="AE8" i="8"/>
  <c r="T13" i="10"/>
  <c r="V13" i="10"/>
  <c r="Q13" i="10"/>
  <c r="R13" i="10"/>
  <c r="U13" i="10"/>
  <c r="P14" i="10"/>
  <c r="S13" i="10"/>
  <c r="V12" i="10"/>
  <c r="V11" i="9"/>
  <c r="AA9" i="19"/>
  <c r="AB9" i="19"/>
  <c r="V10" i="19"/>
  <c r="T11" i="20"/>
  <c r="Q11" i="20"/>
  <c r="R11" i="20"/>
  <c r="U11" i="20"/>
  <c r="S11" i="20"/>
  <c r="P12" i="20"/>
  <c r="AC56" i="7"/>
  <c r="Y56" i="7"/>
  <c r="AE10" i="10"/>
  <c r="AH10" i="10"/>
  <c r="AF10" i="10"/>
  <c r="AA12" i="16"/>
  <c r="AB12" i="16"/>
  <c r="V11" i="6"/>
  <c r="AA10" i="14"/>
  <c r="AB10" i="14"/>
  <c r="AG10" i="9"/>
  <c r="AD10" i="9"/>
  <c r="AH11" i="15"/>
  <c r="AF11" i="15"/>
  <c r="AE11" i="15"/>
  <c r="AA12" i="15"/>
  <c r="AB12" i="15"/>
  <c r="AG11" i="17"/>
  <c r="AD11" i="17"/>
  <c r="AJ9" i="10"/>
  <c r="AI9" i="10"/>
  <c r="AA9" i="16"/>
  <c r="AB9" i="16"/>
  <c r="AG10" i="13"/>
  <c r="AD10" i="13"/>
  <c r="AJ8" i="20"/>
  <c r="AI8" i="20"/>
  <c r="Z11" i="8"/>
  <c r="X11" i="8"/>
  <c r="W11" i="8"/>
  <c r="T13" i="14"/>
  <c r="Q13" i="14"/>
  <c r="R13" i="14"/>
  <c r="U13" i="14"/>
  <c r="P14" i="14"/>
  <c r="S13" i="14"/>
  <c r="AE55" i="7"/>
  <c r="AH55" i="7"/>
  <c r="AF55" i="7"/>
  <c r="AA9" i="9"/>
  <c r="AB9" i="9"/>
  <c r="T15" i="16"/>
  <c r="V15" i="16"/>
  <c r="Q15" i="16"/>
  <c r="R15" i="16"/>
  <c r="U15" i="16"/>
  <c r="S15" i="16"/>
  <c r="P16" i="16"/>
  <c r="AC14" i="16"/>
  <c r="Y14" i="16"/>
  <c r="T15" i="18"/>
  <c r="V15" i="18"/>
  <c r="Q15" i="18"/>
  <c r="R15" i="18"/>
  <c r="S15" i="18"/>
  <c r="U15" i="18"/>
  <c r="P16" i="18"/>
  <c r="AC14" i="18"/>
  <c r="Y14" i="18"/>
  <c r="AH11" i="17"/>
  <c r="AF11" i="17"/>
  <c r="AE11" i="17"/>
  <c r="AC11" i="20"/>
  <c r="Y11" i="20"/>
  <c r="Z10" i="19"/>
  <c r="X10" i="19"/>
  <c r="W10" i="19"/>
  <c r="W12" i="10"/>
  <c r="Z12" i="10"/>
  <c r="X12" i="10"/>
  <c r="AI8" i="8"/>
  <c r="AJ8" i="8"/>
  <c r="Z13" i="17"/>
  <c r="X13" i="17"/>
  <c r="W13" i="17"/>
  <c r="AG10" i="8"/>
  <c r="AD10" i="8"/>
  <c r="AI8" i="19"/>
  <c r="AJ8" i="19"/>
  <c r="AE8" i="11"/>
  <c r="AH8" i="11"/>
  <c r="AF8" i="11"/>
  <c r="AB10" i="18"/>
  <c r="AA10" i="18"/>
  <c r="AC12" i="6"/>
  <c r="Y12" i="6"/>
  <c r="AC57" i="7"/>
  <c r="Y57" i="7"/>
  <c r="T58" i="7"/>
  <c r="V58" i="7"/>
  <c r="Q58" i="7"/>
  <c r="R58" i="7"/>
  <c r="U58" i="7"/>
  <c r="S58" i="7"/>
  <c r="P59" i="7"/>
  <c r="AB12" i="12"/>
  <c r="AA12" i="12"/>
  <c r="AJ8" i="16"/>
  <c r="AI8" i="16"/>
  <c r="AE10" i="6"/>
  <c r="AH10" i="6"/>
  <c r="AF10" i="6"/>
  <c r="AB11" i="16"/>
  <c r="AA11" i="16"/>
  <c r="AA55" i="7"/>
  <c r="AB55" i="7"/>
  <c r="AJ9" i="18"/>
  <c r="AI9" i="18"/>
  <c r="S12" i="8"/>
  <c r="P13" i="8"/>
  <c r="T12" i="8"/>
  <c r="V12" i="8"/>
  <c r="Q12" i="8"/>
  <c r="R12" i="8"/>
  <c r="U12" i="8"/>
  <c r="AA11" i="17"/>
  <c r="AB11" i="17"/>
  <c r="AG13" i="17"/>
  <c r="AD13" i="17"/>
  <c r="Y13" i="12"/>
  <c r="AC13" i="12"/>
  <c r="P16" i="15"/>
  <c r="T15" i="15"/>
  <c r="Q15" i="15"/>
  <c r="R15" i="15"/>
  <c r="U15" i="15"/>
  <c r="S15" i="15"/>
  <c r="V14" i="15"/>
  <c r="AC10" i="11"/>
  <c r="Y10" i="11"/>
  <c r="V11" i="19"/>
  <c r="AB11" i="12"/>
  <c r="AA11" i="12"/>
  <c r="AB10" i="17"/>
  <c r="AA10" i="17"/>
  <c r="T15" i="17"/>
  <c r="Q15" i="17"/>
  <c r="R15" i="17"/>
  <c r="S15" i="17"/>
  <c r="U15" i="17"/>
  <c r="P16" i="17"/>
  <c r="AC14" i="17"/>
  <c r="Y14" i="17"/>
  <c r="AB9" i="8"/>
  <c r="AA9" i="8"/>
  <c r="Y12" i="9"/>
  <c r="AC12" i="9"/>
  <c r="AJ11" i="15"/>
  <c r="AI11" i="15"/>
  <c r="AG56" i="7"/>
  <c r="AD56" i="7"/>
  <c r="U14" i="10"/>
  <c r="S14" i="10"/>
  <c r="P15" i="10"/>
  <c r="T14" i="10"/>
  <c r="Q14" i="10"/>
  <c r="R14" i="10"/>
  <c r="AH11" i="12"/>
  <c r="AF11" i="12"/>
  <c r="AE11" i="12"/>
  <c r="AH11" i="10"/>
  <c r="AF11" i="10"/>
  <c r="AE11" i="10"/>
  <c r="AH12" i="16"/>
  <c r="AF12" i="16"/>
  <c r="AE12" i="16"/>
  <c r="T12" i="13"/>
  <c r="Q12" i="13"/>
  <c r="R12" i="13"/>
  <c r="U12" i="13"/>
  <c r="S12" i="13"/>
  <c r="P13" i="13"/>
  <c r="AC11" i="13"/>
  <c r="Y11" i="13"/>
  <c r="AG9" i="11"/>
  <c r="AD9" i="11"/>
  <c r="Y13" i="10"/>
  <c r="AC13" i="10"/>
  <c r="Z13" i="10"/>
  <c r="X13" i="10"/>
  <c r="W13" i="10"/>
  <c r="AA12" i="18"/>
  <c r="AB12" i="18"/>
  <c r="AA9" i="13"/>
  <c r="AB9" i="13"/>
  <c r="AG13" i="15"/>
  <c r="AD13" i="15"/>
  <c r="Z13" i="15"/>
  <c r="X13" i="15"/>
  <c r="W13" i="15"/>
  <c r="AA8" i="11"/>
  <c r="AB8" i="11"/>
  <c r="AJ10" i="12"/>
  <c r="AI10" i="12"/>
  <c r="AE12" i="15"/>
  <c r="AH12" i="15"/>
  <c r="AF12" i="15"/>
  <c r="AD10" i="20"/>
  <c r="AG10" i="20"/>
  <c r="AE9" i="16"/>
  <c r="AH9" i="16"/>
  <c r="AF9" i="16"/>
  <c r="AH11" i="18"/>
  <c r="AF11" i="18"/>
  <c r="AE11" i="18"/>
  <c r="AH9" i="13"/>
  <c r="AF9" i="13"/>
  <c r="AE9" i="13"/>
  <c r="AJ9" i="6"/>
  <c r="AI9" i="6"/>
  <c r="AD11" i="9"/>
  <c r="AG11" i="9"/>
  <c r="Z11" i="13"/>
  <c r="X11" i="13"/>
  <c r="W11" i="13"/>
  <c r="AH10" i="17"/>
  <c r="AF10" i="17"/>
  <c r="AE10" i="17"/>
  <c r="AC14" i="15"/>
  <c r="Y14" i="15"/>
  <c r="AH9" i="8"/>
  <c r="AF9" i="8"/>
  <c r="AE9" i="8"/>
  <c r="AB10" i="20"/>
  <c r="AA10" i="20"/>
  <c r="T12" i="19"/>
  <c r="V12" i="19"/>
  <c r="Q12" i="19"/>
  <c r="R12" i="19"/>
  <c r="S12" i="19"/>
  <c r="U12" i="19"/>
  <c r="P13" i="19"/>
  <c r="AC11" i="19"/>
  <c r="Y11" i="19"/>
  <c r="AG11" i="14"/>
  <c r="AD11" i="14"/>
  <c r="AJ9" i="14"/>
  <c r="AI9" i="14"/>
  <c r="AH10" i="16"/>
  <c r="AF10" i="16"/>
  <c r="AE10" i="16"/>
  <c r="AH10" i="18"/>
  <c r="AF10" i="18"/>
  <c r="AE10" i="18"/>
  <c r="AD12" i="10"/>
  <c r="AG12" i="10"/>
  <c r="V14" i="16"/>
  <c r="AJ8" i="18"/>
  <c r="AI8" i="18"/>
  <c r="V14" i="18"/>
  <c r="AG13" i="16"/>
  <c r="AD13" i="16"/>
  <c r="AB11" i="14"/>
  <c r="AA11" i="14"/>
  <c r="AB11" i="18"/>
  <c r="AA11" i="18"/>
  <c r="Z13" i="18"/>
  <c r="X13" i="18"/>
  <c r="W13" i="18"/>
  <c r="AH11" i="16"/>
  <c r="AF11" i="16"/>
  <c r="AE11" i="16"/>
  <c r="AE9" i="9"/>
  <c r="AH9" i="9"/>
  <c r="AF9" i="9"/>
  <c r="AI8" i="13"/>
  <c r="AJ8" i="13"/>
  <c r="W12" i="14"/>
  <c r="Z12" i="14"/>
  <c r="X12" i="14"/>
  <c r="AD12" i="12"/>
  <c r="AG12" i="12"/>
  <c r="AH10" i="9"/>
  <c r="AF10" i="9"/>
  <c r="AE10" i="9"/>
  <c r="Z11" i="6"/>
  <c r="X11" i="6"/>
  <c r="W11" i="6"/>
  <c r="AJ10" i="10"/>
  <c r="AI10" i="10"/>
  <c r="T12" i="20"/>
  <c r="Q12" i="20"/>
  <c r="R12" i="20"/>
  <c r="U12" i="20"/>
  <c r="S12" i="20"/>
  <c r="P13" i="20"/>
  <c r="V11" i="20"/>
  <c r="W11" i="9"/>
  <c r="Z11" i="9"/>
  <c r="X11" i="9"/>
  <c r="AG13" i="18"/>
  <c r="AD13" i="18"/>
  <c r="AE10" i="14"/>
  <c r="AH10" i="14"/>
  <c r="AF10" i="14"/>
  <c r="AH12" i="18"/>
  <c r="AF12" i="18"/>
  <c r="AE12" i="18"/>
  <c r="AJ8" i="17"/>
  <c r="AI8" i="17"/>
  <c r="AI9" i="17"/>
  <c r="AJ9" i="17"/>
  <c r="T13" i="6"/>
  <c r="Q13" i="6"/>
  <c r="R13" i="6"/>
  <c r="U13" i="6"/>
  <c r="P14" i="6"/>
  <c r="S13" i="6"/>
  <c r="V12" i="6"/>
  <c r="V57" i="7"/>
  <c r="Z56" i="7"/>
  <c r="X56" i="7"/>
  <c r="W56" i="7"/>
  <c r="Z13" i="16"/>
  <c r="X13" i="16"/>
  <c r="W13" i="16"/>
  <c r="Z10" i="13"/>
  <c r="X10" i="13"/>
  <c r="W10" i="13"/>
  <c r="Z10" i="8"/>
  <c r="X10" i="8"/>
  <c r="W10" i="8"/>
  <c r="AC11" i="8"/>
  <c r="Y11" i="8"/>
  <c r="AB9" i="11"/>
  <c r="AA9" i="11"/>
  <c r="AG11" i="6"/>
  <c r="AD11" i="6"/>
  <c r="AG10" i="19"/>
  <c r="AD10" i="19"/>
  <c r="U14" i="12"/>
  <c r="S14" i="12"/>
  <c r="T14" i="12"/>
  <c r="V14" i="12"/>
  <c r="Q14" i="12"/>
  <c r="R14" i="12"/>
  <c r="P15" i="12"/>
  <c r="V13" i="12"/>
  <c r="T11" i="11"/>
  <c r="V11" i="11"/>
  <c r="Q11" i="11"/>
  <c r="R11" i="11"/>
  <c r="U11" i="11"/>
  <c r="S11" i="11"/>
  <c r="P12" i="11"/>
  <c r="V10" i="11"/>
  <c r="AJ9" i="12"/>
  <c r="AI9" i="12"/>
  <c r="AH9" i="20"/>
  <c r="AF9" i="20"/>
  <c r="AE9" i="20"/>
  <c r="AC12" i="14"/>
  <c r="Y12" i="14"/>
  <c r="AH9" i="19"/>
  <c r="AF9" i="19"/>
  <c r="AE9" i="19"/>
  <c r="Z14" i="17"/>
  <c r="X14" i="17"/>
  <c r="W14" i="17"/>
  <c r="AE12" i="17"/>
  <c r="AH12" i="17"/>
  <c r="AF12" i="17"/>
  <c r="U13" i="9"/>
  <c r="S13" i="9"/>
  <c r="T13" i="9"/>
  <c r="V13" i="9"/>
  <c r="Q13" i="9"/>
  <c r="R13" i="9"/>
  <c r="P14" i="9"/>
  <c r="Z12" i="9"/>
  <c r="X12" i="9"/>
  <c r="W12" i="9"/>
  <c r="AB10" i="9"/>
  <c r="AA10" i="9"/>
  <c r="AJ9" i="19"/>
  <c r="AI9" i="19"/>
  <c r="AE10" i="19"/>
  <c r="AF10" i="19"/>
  <c r="AH10" i="19"/>
  <c r="W57" i="7"/>
  <c r="Z57" i="7"/>
  <c r="X57" i="7"/>
  <c r="Y12" i="20"/>
  <c r="AC12" i="20"/>
  <c r="AE13" i="16"/>
  <c r="AH13" i="16"/>
  <c r="AF13" i="16"/>
  <c r="T13" i="19"/>
  <c r="V13" i="19"/>
  <c r="Q13" i="19"/>
  <c r="R13" i="19"/>
  <c r="U13" i="19"/>
  <c r="S13" i="19"/>
  <c r="P14" i="19"/>
  <c r="AJ9" i="13"/>
  <c r="AI9" i="13"/>
  <c r="AG13" i="10"/>
  <c r="AD13" i="10"/>
  <c r="T16" i="16"/>
  <c r="Q16" i="16"/>
  <c r="R16" i="16"/>
  <c r="U16" i="16"/>
  <c r="S16" i="16"/>
  <c r="P17" i="16"/>
  <c r="AJ55" i="7"/>
  <c r="AI55" i="7"/>
  <c r="AC13" i="9"/>
  <c r="Y13" i="9"/>
  <c r="AC14" i="12"/>
  <c r="Y14" i="12"/>
  <c r="AH11" i="6"/>
  <c r="AF11" i="6"/>
  <c r="AE11" i="6"/>
  <c r="AA10" i="8"/>
  <c r="AB10" i="8"/>
  <c r="Y13" i="6"/>
  <c r="AC13" i="6"/>
  <c r="V13" i="6"/>
  <c r="W11" i="20"/>
  <c r="Z11" i="20"/>
  <c r="X11" i="20"/>
  <c r="Z14" i="18"/>
  <c r="X14" i="18"/>
  <c r="W14" i="18"/>
  <c r="AI10" i="18"/>
  <c r="AJ10" i="18"/>
  <c r="AC12" i="19"/>
  <c r="Y12" i="19"/>
  <c r="AI10" i="17"/>
  <c r="AJ10" i="17"/>
  <c r="AJ12" i="15"/>
  <c r="AI12" i="15"/>
  <c r="AB13" i="15"/>
  <c r="AA13" i="15"/>
  <c r="AH9" i="11"/>
  <c r="AF9" i="11"/>
  <c r="AE9" i="11"/>
  <c r="T13" i="13"/>
  <c r="V13" i="13"/>
  <c r="Q13" i="13"/>
  <c r="R13" i="13"/>
  <c r="U13" i="13"/>
  <c r="S13" i="13"/>
  <c r="P14" i="13"/>
  <c r="V12" i="13"/>
  <c r="S15" i="10"/>
  <c r="T15" i="10"/>
  <c r="Q15" i="10"/>
  <c r="R15" i="10"/>
  <c r="U15" i="10"/>
  <c r="P16" i="10"/>
  <c r="AG14" i="17"/>
  <c r="AD14" i="17"/>
  <c r="AD10" i="11"/>
  <c r="AG10" i="11"/>
  <c r="T13" i="8"/>
  <c r="Q13" i="8"/>
  <c r="R13" i="8"/>
  <c r="U13" i="8"/>
  <c r="S13" i="8"/>
  <c r="P14" i="8"/>
  <c r="Y58" i="7"/>
  <c r="AC58" i="7"/>
  <c r="AJ11" i="17"/>
  <c r="AI11" i="17"/>
  <c r="Y13" i="14"/>
  <c r="AC13" i="14"/>
  <c r="V13" i="14"/>
  <c r="AA13" i="16"/>
  <c r="AB13" i="16"/>
  <c r="AB11" i="9"/>
  <c r="AA11" i="9"/>
  <c r="AB11" i="6"/>
  <c r="AA11" i="6"/>
  <c r="AJ9" i="9"/>
  <c r="AI9" i="9"/>
  <c r="AI11" i="16"/>
  <c r="AJ11" i="16"/>
  <c r="AH11" i="14"/>
  <c r="AF11" i="14"/>
  <c r="AE11" i="14"/>
  <c r="AI11" i="10"/>
  <c r="AJ11" i="10"/>
  <c r="Z11" i="19"/>
  <c r="X11" i="19"/>
  <c r="W11" i="19"/>
  <c r="AG14" i="18"/>
  <c r="AD14" i="18"/>
  <c r="W15" i="16"/>
  <c r="Z15" i="16"/>
  <c r="X15" i="16"/>
  <c r="AE10" i="13"/>
  <c r="AH10" i="13"/>
  <c r="AF10" i="13"/>
  <c r="AJ12" i="17"/>
  <c r="AI12" i="17"/>
  <c r="Z11" i="11"/>
  <c r="X11" i="11"/>
  <c r="W11" i="11"/>
  <c r="AJ12" i="18"/>
  <c r="AI12" i="18"/>
  <c r="AE13" i="18"/>
  <c r="AF13" i="18"/>
  <c r="AH13" i="18"/>
  <c r="AA12" i="9"/>
  <c r="AB12" i="9"/>
  <c r="AD12" i="14"/>
  <c r="AG12" i="14"/>
  <c r="Y11" i="11"/>
  <c r="AC11" i="11"/>
  <c r="Z13" i="12"/>
  <c r="X13" i="12"/>
  <c r="W13" i="12"/>
  <c r="P15" i="9"/>
  <c r="S14" i="9"/>
  <c r="T14" i="9"/>
  <c r="Q14" i="9"/>
  <c r="R14" i="9"/>
  <c r="U14" i="9"/>
  <c r="S15" i="12"/>
  <c r="T15" i="12"/>
  <c r="Q15" i="12"/>
  <c r="R15" i="12"/>
  <c r="U15" i="12"/>
  <c r="P16" i="12"/>
  <c r="AG11" i="8"/>
  <c r="AD11" i="8"/>
  <c r="AB56" i="7"/>
  <c r="AA56" i="7"/>
  <c r="U14" i="6"/>
  <c r="S14" i="6"/>
  <c r="P15" i="6"/>
  <c r="T14" i="6"/>
  <c r="V14" i="6"/>
  <c r="Q14" i="6"/>
  <c r="R14" i="6"/>
  <c r="AJ10" i="14"/>
  <c r="AI10" i="14"/>
  <c r="U13" i="20"/>
  <c r="S13" i="20"/>
  <c r="T13" i="20"/>
  <c r="Q13" i="20"/>
  <c r="R13" i="20"/>
  <c r="P14" i="20"/>
  <c r="V12" i="20"/>
  <c r="AI10" i="9"/>
  <c r="AJ10" i="9"/>
  <c r="AB12" i="14"/>
  <c r="AA12" i="14"/>
  <c r="AA13" i="18"/>
  <c r="AB13" i="18"/>
  <c r="AH12" i="10"/>
  <c r="AF12" i="10"/>
  <c r="AE12" i="10"/>
  <c r="AG11" i="19"/>
  <c r="AD11" i="19"/>
  <c r="AD14" i="15"/>
  <c r="AG14" i="15"/>
  <c r="AH11" i="9"/>
  <c r="AF11" i="9"/>
  <c r="AE11" i="9"/>
  <c r="AI11" i="18"/>
  <c r="AJ11" i="18"/>
  <c r="AH13" i="15"/>
  <c r="AF13" i="15"/>
  <c r="AE13" i="15"/>
  <c r="AA13" i="10"/>
  <c r="AB13" i="10"/>
  <c r="AC12" i="13"/>
  <c r="Y12" i="13"/>
  <c r="AI11" i="12"/>
  <c r="AJ11" i="12"/>
  <c r="AC14" i="10"/>
  <c r="Y14" i="10"/>
  <c r="T16" i="17"/>
  <c r="V16" i="17"/>
  <c r="Q16" i="17"/>
  <c r="R16" i="17"/>
  <c r="U16" i="17"/>
  <c r="S16" i="17"/>
  <c r="P17" i="17"/>
  <c r="V15" i="17"/>
  <c r="W14" i="15"/>
  <c r="Z14" i="15"/>
  <c r="X14" i="15"/>
  <c r="V15" i="15"/>
  <c r="AE13" i="17"/>
  <c r="AH13" i="17"/>
  <c r="AF13" i="17"/>
  <c r="AC12" i="8"/>
  <c r="Y12" i="8"/>
  <c r="AJ10" i="6"/>
  <c r="AI10" i="6"/>
  <c r="AD57" i="7"/>
  <c r="AG57" i="7"/>
  <c r="AD11" i="20"/>
  <c r="AG11" i="20"/>
  <c r="AC15" i="18"/>
  <c r="Y15" i="18"/>
  <c r="AG14" i="16"/>
  <c r="AD14" i="16"/>
  <c r="U14" i="14"/>
  <c r="S14" i="14"/>
  <c r="P15" i="14"/>
  <c r="T14" i="14"/>
  <c r="Q14" i="14"/>
  <c r="R14" i="14"/>
  <c r="W10" i="11"/>
  <c r="Z10" i="11"/>
  <c r="X10" i="11"/>
  <c r="W12" i="19"/>
  <c r="X12" i="19"/>
  <c r="Z12" i="19"/>
  <c r="AE10" i="20"/>
  <c r="AH10" i="20"/>
  <c r="AF10" i="20"/>
  <c r="Y15" i="15"/>
  <c r="AC15" i="15"/>
  <c r="P17" i="15"/>
  <c r="U16" i="15"/>
  <c r="S16" i="15"/>
  <c r="T16" i="15"/>
  <c r="V16" i="15"/>
  <c r="Q16" i="15"/>
  <c r="R16" i="15"/>
  <c r="Z13" i="9"/>
  <c r="X13" i="9"/>
  <c r="W13" i="9"/>
  <c r="AB14" i="17"/>
  <c r="AA14" i="17"/>
  <c r="AJ9" i="20"/>
  <c r="AI9" i="20"/>
  <c r="U12" i="11"/>
  <c r="S12" i="11"/>
  <c r="T12" i="11"/>
  <c r="Q12" i="11"/>
  <c r="R12" i="11"/>
  <c r="P13" i="11"/>
  <c r="Z14" i="12"/>
  <c r="X14" i="12"/>
  <c r="W14" i="12"/>
  <c r="AA10" i="13"/>
  <c r="AB10" i="13"/>
  <c r="W12" i="6"/>
  <c r="Z12" i="6"/>
  <c r="X12" i="6"/>
  <c r="AH12" i="12"/>
  <c r="AF12" i="12"/>
  <c r="AE12" i="12"/>
  <c r="Z14" i="16"/>
  <c r="X14" i="16"/>
  <c r="W14" i="16"/>
  <c r="AI10" i="16"/>
  <c r="AJ10" i="16"/>
  <c r="AI9" i="8"/>
  <c r="AJ9" i="8"/>
  <c r="AB11" i="13"/>
  <c r="AA11" i="13"/>
  <c r="AJ9" i="16"/>
  <c r="AI9" i="16"/>
  <c r="AG11" i="13"/>
  <c r="AD11" i="13"/>
  <c r="AJ12" i="16"/>
  <c r="AI12" i="16"/>
  <c r="V14" i="10"/>
  <c r="AH56" i="7"/>
  <c r="AF56" i="7"/>
  <c r="AE56" i="7"/>
  <c r="AG12" i="9"/>
  <c r="AD12" i="9"/>
  <c r="AC15" i="17"/>
  <c r="Y15" i="17"/>
  <c r="AG13" i="12"/>
  <c r="AD13" i="12"/>
  <c r="Z12" i="8"/>
  <c r="X12" i="8"/>
  <c r="W12" i="8"/>
  <c r="P60" i="7"/>
  <c r="U59" i="7"/>
  <c r="S59" i="7"/>
  <c r="T59" i="7"/>
  <c r="Q59" i="7"/>
  <c r="R59" i="7"/>
  <c r="Z58" i="7"/>
  <c r="X58" i="7"/>
  <c r="W58" i="7"/>
  <c r="AD12" i="6"/>
  <c r="AG12" i="6"/>
  <c r="AJ8" i="11"/>
  <c r="AI8" i="11"/>
  <c r="AH10" i="8"/>
  <c r="AF10" i="8"/>
  <c r="AE10" i="8"/>
  <c r="AA13" i="17"/>
  <c r="AB13" i="17"/>
  <c r="AB12" i="10"/>
  <c r="AA12" i="10"/>
  <c r="AA10" i="19"/>
  <c r="AB10" i="19"/>
  <c r="T16" i="18"/>
  <c r="V16" i="18"/>
  <c r="Q16" i="18"/>
  <c r="R16" i="18"/>
  <c r="U16" i="18"/>
  <c r="S16" i="18"/>
  <c r="P17" i="18"/>
  <c r="W15" i="18"/>
  <c r="X15" i="18"/>
  <c r="Z15" i="18"/>
  <c r="AC15" i="16"/>
  <c r="Y15" i="16"/>
  <c r="AA11" i="8"/>
  <c r="AB11" i="8"/>
  <c r="AH57" i="7"/>
  <c r="AF57" i="7"/>
  <c r="AE57" i="7"/>
  <c r="AG12" i="8"/>
  <c r="AD12" i="8"/>
  <c r="Z15" i="15"/>
  <c r="X15" i="15"/>
  <c r="W15" i="15"/>
  <c r="W15" i="17"/>
  <c r="Z15" i="17"/>
  <c r="X15" i="17"/>
  <c r="AI13" i="15"/>
  <c r="AJ13" i="15"/>
  <c r="AH11" i="19"/>
  <c r="AF11" i="19"/>
  <c r="AE11" i="19"/>
  <c r="AI12" i="10"/>
  <c r="AJ12" i="10"/>
  <c r="S14" i="20"/>
  <c r="U14" i="20"/>
  <c r="T14" i="20"/>
  <c r="Q14" i="20"/>
  <c r="R14" i="20"/>
  <c r="P15" i="20"/>
  <c r="AC15" i="12"/>
  <c r="Y15" i="12"/>
  <c r="AH12" i="14"/>
  <c r="AF12" i="14"/>
  <c r="AE12" i="14"/>
  <c r="AI11" i="14"/>
  <c r="AJ11" i="14"/>
  <c r="AG13" i="14"/>
  <c r="AD13" i="14"/>
  <c r="AG58" i="7"/>
  <c r="AD58" i="7"/>
  <c r="AH10" i="11"/>
  <c r="AF10" i="11"/>
  <c r="AE10" i="11"/>
  <c r="W12" i="13"/>
  <c r="X12" i="13"/>
  <c r="Z12" i="13"/>
  <c r="AI9" i="11"/>
  <c r="AJ9" i="11"/>
  <c r="AI11" i="6"/>
  <c r="AJ11" i="6"/>
  <c r="Y16" i="16"/>
  <c r="AC16" i="16"/>
  <c r="AH13" i="10"/>
  <c r="AF13" i="10"/>
  <c r="AE13" i="10"/>
  <c r="U14" i="19"/>
  <c r="S14" i="19"/>
  <c r="T14" i="19"/>
  <c r="Q14" i="19"/>
  <c r="R14" i="19"/>
  <c r="P15" i="19"/>
  <c r="AG12" i="20"/>
  <c r="AD12" i="20"/>
  <c r="AB12" i="6"/>
  <c r="AA12" i="6"/>
  <c r="AC59" i="7"/>
  <c r="Y59" i="7"/>
  <c r="V12" i="11"/>
  <c r="AC16" i="15"/>
  <c r="Y16" i="15"/>
  <c r="AB12" i="19"/>
  <c r="AA12" i="19"/>
  <c r="AB10" i="11"/>
  <c r="AA10" i="11"/>
  <c r="S15" i="14"/>
  <c r="T15" i="14"/>
  <c r="Q15" i="14"/>
  <c r="R15" i="14"/>
  <c r="U15" i="14"/>
  <c r="P16" i="14"/>
  <c r="AH11" i="20"/>
  <c r="AF11" i="20"/>
  <c r="AE11" i="20"/>
  <c r="AJ13" i="17"/>
  <c r="AI13" i="17"/>
  <c r="AB14" i="15"/>
  <c r="AA14" i="15"/>
  <c r="Y16" i="17"/>
  <c r="AC16" i="17"/>
  <c r="V13" i="20"/>
  <c r="AC14" i="6"/>
  <c r="Y14" i="6"/>
  <c r="AE11" i="8"/>
  <c r="AH11" i="8"/>
  <c r="AF11" i="8"/>
  <c r="AA11" i="11"/>
  <c r="AB11" i="11"/>
  <c r="AJ10" i="13"/>
  <c r="AI10" i="13"/>
  <c r="T14" i="8"/>
  <c r="Q14" i="8"/>
  <c r="R14" i="8"/>
  <c r="U14" i="8"/>
  <c r="S14" i="8"/>
  <c r="P15" i="8"/>
  <c r="V13" i="8"/>
  <c r="V15" i="10"/>
  <c r="Y13" i="13"/>
  <c r="AC13" i="13"/>
  <c r="AG13" i="6"/>
  <c r="AD13" i="6"/>
  <c r="AG14" i="12"/>
  <c r="AD14" i="12"/>
  <c r="AJ13" i="16"/>
  <c r="AI13" i="16"/>
  <c r="AB15" i="18"/>
  <c r="AA15" i="18"/>
  <c r="AH12" i="9"/>
  <c r="AF12" i="9"/>
  <c r="AE12" i="9"/>
  <c r="P18" i="15"/>
  <c r="S17" i="15"/>
  <c r="T17" i="15"/>
  <c r="V17" i="15"/>
  <c r="Q17" i="15"/>
  <c r="R17" i="15"/>
  <c r="U17" i="15"/>
  <c r="AI10" i="20"/>
  <c r="AJ10" i="20"/>
  <c r="AD15" i="18"/>
  <c r="AG15" i="18"/>
  <c r="T16" i="12"/>
  <c r="Q16" i="12"/>
  <c r="R16" i="12"/>
  <c r="U16" i="12"/>
  <c r="S16" i="12"/>
  <c r="P17" i="12"/>
  <c r="AD12" i="19"/>
  <c r="AG12" i="19"/>
  <c r="AG13" i="9"/>
  <c r="AD13" i="9"/>
  <c r="AD15" i="16"/>
  <c r="AG15" i="16"/>
  <c r="U17" i="18"/>
  <c r="S17" i="18"/>
  <c r="T17" i="18"/>
  <c r="V17" i="18"/>
  <c r="Q17" i="18"/>
  <c r="R17" i="18"/>
  <c r="P18" i="18"/>
  <c r="X16" i="18"/>
  <c r="W16" i="18"/>
  <c r="Z16" i="18"/>
  <c r="AA58" i="7"/>
  <c r="AB58" i="7"/>
  <c r="AB12" i="8"/>
  <c r="AA12" i="8"/>
  <c r="AD15" i="17"/>
  <c r="AG15" i="17"/>
  <c r="AI12" i="12"/>
  <c r="AJ12" i="12"/>
  <c r="AA14" i="12"/>
  <c r="AB14" i="12"/>
  <c r="AC12" i="11"/>
  <c r="Y12" i="11"/>
  <c r="AA13" i="9"/>
  <c r="AB13" i="9"/>
  <c r="AC14" i="14"/>
  <c r="Y14" i="14"/>
  <c r="AG14" i="10"/>
  <c r="AD14" i="10"/>
  <c r="AD12" i="13"/>
  <c r="AG12" i="13"/>
  <c r="AH14" i="15"/>
  <c r="AF14" i="15"/>
  <c r="AE14" i="15"/>
  <c r="Z12" i="20"/>
  <c r="X12" i="20"/>
  <c r="W12" i="20"/>
  <c r="Y13" i="20"/>
  <c r="AC13" i="20"/>
  <c r="V15" i="12"/>
  <c r="V14" i="9"/>
  <c r="AJ13" i="18"/>
  <c r="AI13" i="18"/>
  <c r="AH14" i="18"/>
  <c r="AF14" i="18"/>
  <c r="AE14" i="18"/>
  <c r="AB11" i="19"/>
  <c r="AA11" i="19"/>
  <c r="Z13" i="14"/>
  <c r="X13" i="14"/>
  <c r="W13" i="14"/>
  <c r="AC13" i="8"/>
  <c r="Y13" i="8"/>
  <c r="T16" i="10"/>
  <c r="V16" i="10"/>
  <c r="Q16" i="10"/>
  <c r="R16" i="10"/>
  <c r="U16" i="10"/>
  <c r="S16" i="10"/>
  <c r="P17" i="10"/>
  <c r="AC15" i="10"/>
  <c r="Y15" i="10"/>
  <c r="AB11" i="20"/>
  <c r="AA11" i="20"/>
  <c r="U17" i="16"/>
  <c r="S17" i="16"/>
  <c r="T17" i="16"/>
  <c r="Q17" i="16"/>
  <c r="R17" i="16"/>
  <c r="P18" i="16"/>
  <c r="V16" i="16"/>
  <c r="AB57" i="7"/>
  <c r="AA57" i="7"/>
  <c r="Y16" i="18"/>
  <c r="AC16" i="18"/>
  <c r="AJ10" i="8"/>
  <c r="AI10" i="8"/>
  <c r="AH12" i="6"/>
  <c r="AF12" i="6"/>
  <c r="AE12" i="6"/>
  <c r="P61" i="7"/>
  <c r="S60" i="7"/>
  <c r="T60" i="7"/>
  <c r="Q60" i="7"/>
  <c r="R60" i="7"/>
  <c r="U60" i="7"/>
  <c r="AH13" i="12"/>
  <c r="AF13" i="12"/>
  <c r="AE13" i="12"/>
  <c r="AI56" i="7"/>
  <c r="AJ56" i="7"/>
  <c r="AH11" i="13"/>
  <c r="AF11" i="13"/>
  <c r="AE11" i="13"/>
  <c r="AB14" i="16"/>
  <c r="AA14" i="16"/>
  <c r="S13" i="11"/>
  <c r="T13" i="11"/>
  <c r="V13" i="11"/>
  <c r="Q13" i="11"/>
  <c r="R13" i="11"/>
  <c r="U13" i="11"/>
  <c r="P14" i="11"/>
  <c r="Z14" i="6"/>
  <c r="X14" i="6"/>
  <c r="W14" i="6"/>
  <c r="AC14" i="9"/>
  <c r="Y14" i="9"/>
  <c r="AA13" i="12"/>
  <c r="AB13" i="12"/>
  <c r="X13" i="19"/>
  <c r="Z13" i="19"/>
  <c r="W13" i="19"/>
  <c r="V59" i="7"/>
  <c r="Z14" i="10"/>
  <c r="X14" i="10"/>
  <c r="W14" i="10"/>
  <c r="Z16" i="15"/>
  <c r="X16" i="15"/>
  <c r="W16" i="15"/>
  <c r="AG15" i="15"/>
  <c r="AD15" i="15"/>
  <c r="V14" i="14"/>
  <c r="AH14" i="16"/>
  <c r="AF14" i="16"/>
  <c r="AE14" i="16"/>
  <c r="U17" i="17"/>
  <c r="S17" i="17"/>
  <c r="T17" i="17"/>
  <c r="V17" i="17"/>
  <c r="Q17" i="17"/>
  <c r="R17" i="17"/>
  <c r="P18" i="17"/>
  <c r="W16" i="17"/>
  <c r="Z16" i="17"/>
  <c r="X16" i="17"/>
  <c r="AI11" i="9"/>
  <c r="AJ11" i="9"/>
  <c r="S15" i="6"/>
  <c r="T15" i="6"/>
  <c r="Q15" i="6"/>
  <c r="R15" i="6"/>
  <c r="U15" i="6"/>
  <c r="P16" i="6"/>
  <c r="P16" i="9"/>
  <c r="T15" i="9"/>
  <c r="Q15" i="9"/>
  <c r="R15" i="9"/>
  <c r="U15" i="9"/>
  <c r="S15" i="9"/>
  <c r="AG11" i="11"/>
  <c r="AD11" i="11"/>
  <c r="AB15" i="16"/>
  <c r="AA15" i="16"/>
  <c r="AF14" i="17"/>
  <c r="AE14" i="17"/>
  <c r="AH14" i="17"/>
  <c r="U14" i="13"/>
  <c r="S14" i="13"/>
  <c r="T14" i="13"/>
  <c r="Q14" i="13"/>
  <c r="R14" i="13"/>
  <c r="P15" i="13"/>
  <c r="Z13" i="13"/>
  <c r="X13" i="13"/>
  <c r="W13" i="13"/>
  <c r="AB14" i="18"/>
  <c r="AA14" i="18"/>
  <c r="Z13" i="6"/>
  <c r="X13" i="6"/>
  <c r="W13" i="6"/>
  <c r="Y13" i="19"/>
  <c r="AC13" i="19"/>
  <c r="AJ10" i="19"/>
  <c r="AI10" i="19"/>
  <c r="T16" i="6"/>
  <c r="Q16" i="6"/>
  <c r="R16" i="6"/>
  <c r="U16" i="6"/>
  <c r="S16" i="6"/>
  <c r="P17" i="6"/>
  <c r="AA16" i="17"/>
  <c r="AB16" i="17"/>
  <c r="AC60" i="7"/>
  <c r="Y60" i="7"/>
  <c r="AI12" i="6"/>
  <c r="AJ12" i="6"/>
  <c r="S18" i="16"/>
  <c r="T18" i="16"/>
  <c r="Q18" i="16"/>
  <c r="R18" i="16"/>
  <c r="U18" i="16"/>
  <c r="P19" i="16"/>
  <c r="AG15" i="10"/>
  <c r="AD15" i="10"/>
  <c r="AG13" i="20"/>
  <c r="AD13" i="20"/>
  <c r="AH15" i="18"/>
  <c r="AF15" i="18"/>
  <c r="AE15" i="18"/>
  <c r="AG14" i="6"/>
  <c r="AD14" i="6"/>
  <c r="T15" i="13"/>
  <c r="Q15" i="13"/>
  <c r="R15" i="13"/>
  <c r="U15" i="13"/>
  <c r="S15" i="13"/>
  <c r="P16" i="13"/>
  <c r="AC15" i="9"/>
  <c r="Y15" i="9"/>
  <c r="T16" i="9"/>
  <c r="Q16" i="9"/>
  <c r="R16" i="9"/>
  <c r="U16" i="9"/>
  <c r="S16" i="9"/>
  <c r="P17" i="9"/>
  <c r="V15" i="6"/>
  <c r="AH15" i="15"/>
  <c r="AF15" i="15"/>
  <c r="AE15" i="15"/>
  <c r="AA16" i="15"/>
  <c r="AB16" i="15"/>
  <c r="Z59" i="7"/>
  <c r="X59" i="7"/>
  <c r="W59" i="7"/>
  <c r="AI11" i="13"/>
  <c r="AJ11" i="13"/>
  <c r="V60" i="7"/>
  <c r="AD16" i="18"/>
  <c r="AG16" i="18"/>
  <c r="Z16" i="16"/>
  <c r="X16" i="16"/>
  <c r="W16" i="16"/>
  <c r="AC17" i="16"/>
  <c r="Y17" i="16"/>
  <c r="AD13" i="8"/>
  <c r="AG13" i="8"/>
  <c r="AI14" i="18"/>
  <c r="AJ14" i="18"/>
  <c r="Z15" i="12"/>
  <c r="X15" i="12"/>
  <c r="W15" i="12"/>
  <c r="AI14" i="15"/>
  <c r="AJ14" i="15"/>
  <c r="AH15" i="17"/>
  <c r="AF15" i="17"/>
  <c r="AE15" i="17"/>
  <c r="S18" i="18"/>
  <c r="T18" i="18"/>
  <c r="Q18" i="18"/>
  <c r="R18" i="18"/>
  <c r="U18" i="18"/>
  <c r="P19" i="18"/>
  <c r="AC16" i="12"/>
  <c r="Y16" i="12"/>
  <c r="T18" i="15"/>
  <c r="V18" i="15"/>
  <c r="Q18" i="15"/>
  <c r="R18" i="15"/>
  <c r="U18" i="15"/>
  <c r="S18" i="15"/>
  <c r="P19" i="15"/>
  <c r="AE14" i="12"/>
  <c r="AF14" i="12"/>
  <c r="AH14" i="12"/>
  <c r="AG13" i="13"/>
  <c r="AD13" i="13"/>
  <c r="U15" i="8"/>
  <c r="S15" i="8"/>
  <c r="T15" i="8"/>
  <c r="V15" i="8"/>
  <c r="Q15" i="8"/>
  <c r="R15" i="8"/>
  <c r="P16" i="8"/>
  <c r="V14" i="8"/>
  <c r="T16" i="14"/>
  <c r="V16" i="14"/>
  <c r="Q16" i="14"/>
  <c r="R16" i="14"/>
  <c r="U16" i="14"/>
  <c r="S16" i="14"/>
  <c r="P17" i="14"/>
  <c r="AC15" i="14"/>
  <c r="Y15" i="14"/>
  <c r="AH12" i="20"/>
  <c r="AF12" i="20"/>
  <c r="AE12" i="20"/>
  <c r="V14" i="19"/>
  <c r="AB12" i="13"/>
  <c r="AA12" i="13"/>
  <c r="AH13" i="14"/>
  <c r="AF13" i="14"/>
  <c r="AE13" i="14"/>
  <c r="AG15" i="12"/>
  <c r="AD15" i="12"/>
  <c r="AC15" i="6"/>
  <c r="Y15" i="6"/>
  <c r="AJ13" i="12"/>
  <c r="AI13" i="12"/>
  <c r="AA12" i="20"/>
  <c r="AB12" i="20"/>
  <c r="AA16" i="18"/>
  <c r="AB16" i="18"/>
  <c r="Y14" i="8"/>
  <c r="AC14" i="8"/>
  <c r="Y14" i="19"/>
  <c r="AC14" i="19"/>
  <c r="AJ13" i="10"/>
  <c r="AI13" i="10"/>
  <c r="AI10" i="11"/>
  <c r="AJ10" i="11"/>
  <c r="T15" i="20"/>
  <c r="Q15" i="20"/>
  <c r="R15" i="20"/>
  <c r="U15" i="20"/>
  <c r="S15" i="20"/>
  <c r="P16" i="20"/>
  <c r="AD13" i="19"/>
  <c r="AG13" i="19"/>
  <c r="AA13" i="6"/>
  <c r="AB13" i="6"/>
  <c r="AH11" i="11"/>
  <c r="AF11" i="11"/>
  <c r="AE11" i="11"/>
  <c r="Y17" i="17"/>
  <c r="AC17" i="17"/>
  <c r="AA13" i="19"/>
  <c r="AB13" i="19"/>
  <c r="AA14" i="6"/>
  <c r="AB14" i="6"/>
  <c r="Z13" i="11"/>
  <c r="X13" i="11"/>
  <c r="W13" i="11"/>
  <c r="P62" i="7"/>
  <c r="T61" i="7"/>
  <c r="V61" i="7"/>
  <c r="Q61" i="7"/>
  <c r="R61" i="7"/>
  <c r="U61" i="7"/>
  <c r="S61" i="7"/>
  <c r="T17" i="10"/>
  <c r="V17" i="10"/>
  <c r="Q17" i="10"/>
  <c r="R17" i="10"/>
  <c r="U17" i="10"/>
  <c r="P18" i="10"/>
  <c r="S17" i="10"/>
  <c r="AH12" i="13"/>
  <c r="AF12" i="13"/>
  <c r="AE12" i="13"/>
  <c r="AG12" i="11"/>
  <c r="AD12" i="11"/>
  <c r="Z17" i="18"/>
  <c r="X17" i="18"/>
  <c r="W17" i="18"/>
  <c r="AH15" i="16"/>
  <c r="AF15" i="16"/>
  <c r="AE15" i="16"/>
  <c r="AH12" i="19"/>
  <c r="AF12" i="19"/>
  <c r="AE12" i="19"/>
  <c r="Z17" i="15"/>
  <c r="X17" i="15"/>
  <c r="W17" i="15"/>
  <c r="AH13" i="6"/>
  <c r="AF13" i="6"/>
  <c r="AE13" i="6"/>
  <c r="Z15" i="10"/>
  <c r="X15" i="10"/>
  <c r="W15" i="10"/>
  <c r="AJ11" i="8"/>
  <c r="AI11" i="8"/>
  <c r="Z13" i="20"/>
  <c r="X13" i="20"/>
  <c r="W13" i="20"/>
  <c r="AG16" i="15"/>
  <c r="AD16" i="15"/>
  <c r="S15" i="19"/>
  <c r="T15" i="19"/>
  <c r="V15" i="19"/>
  <c r="Q15" i="19"/>
  <c r="R15" i="19"/>
  <c r="U15" i="19"/>
  <c r="P16" i="19"/>
  <c r="AG16" i="16"/>
  <c r="AD16" i="16"/>
  <c r="AH58" i="7"/>
  <c r="AF58" i="7"/>
  <c r="AE58" i="7"/>
  <c r="AI12" i="14"/>
  <c r="AJ12" i="14"/>
  <c r="AI11" i="19"/>
  <c r="AJ11" i="19"/>
  <c r="AB15" i="17"/>
  <c r="AA15" i="17"/>
  <c r="AA15" i="15"/>
  <c r="AB15" i="15"/>
  <c r="AI14" i="17"/>
  <c r="AJ14" i="17"/>
  <c r="Z17" i="17"/>
  <c r="X17" i="17"/>
  <c r="W17" i="17"/>
  <c r="AG59" i="7"/>
  <c r="AD59" i="7"/>
  <c r="AC14" i="20"/>
  <c r="Y14" i="20"/>
  <c r="V14" i="13"/>
  <c r="AI14" i="16"/>
  <c r="AJ14" i="16"/>
  <c r="W16" i="10"/>
  <c r="Z16" i="10"/>
  <c r="X16" i="10"/>
  <c r="AG14" i="14"/>
  <c r="AD14" i="14"/>
  <c r="AA13" i="13"/>
  <c r="AB13" i="13"/>
  <c r="AC14" i="13"/>
  <c r="Y14" i="13"/>
  <c r="V15" i="9"/>
  <c r="S18" i="17"/>
  <c r="T18" i="17"/>
  <c r="V18" i="17"/>
  <c r="Q18" i="17"/>
  <c r="R18" i="17"/>
  <c r="U18" i="17"/>
  <c r="P19" i="17"/>
  <c r="Z14" i="14"/>
  <c r="X14" i="14"/>
  <c r="W14" i="14"/>
  <c r="AA14" i="10"/>
  <c r="AB14" i="10"/>
  <c r="AG14" i="9"/>
  <c r="AD14" i="9"/>
  <c r="T14" i="11"/>
  <c r="Q14" i="11"/>
  <c r="R14" i="11"/>
  <c r="S14" i="11"/>
  <c r="U14" i="11"/>
  <c r="P15" i="11"/>
  <c r="AC13" i="11"/>
  <c r="Y13" i="11"/>
  <c r="V17" i="16"/>
  <c r="AC16" i="10"/>
  <c r="Y16" i="10"/>
  <c r="AA13" i="14"/>
  <c r="AB13" i="14"/>
  <c r="Z14" i="9"/>
  <c r="X14" i="9"/>
  <c r="W14" i="9"/>
  <c r="AE14" i="10"/>
  <c r="AH14" i="10"/>
  <c r="AF14" i="10"/>
  <c r="Y17" i="18"/>
  <c r="AC17" i="18"/>
  <c r="AE13" i="9"/>
  <c r="AH13" i="9"/>
  <c r="AF13" i="9"/>
  <c r="T17" i="12"/>
  <c r="Q17" i="12"/>
  <c r="R17" i="12"/>
  <c r="U17" i="12"/>
  <c r="S17" i="12"/>
  <c r="P18" i="12"/>
  <c r="V16" i="12"/>
  <c r="AC17" i="15"/>
  <c r="Y17" i="15"/>
  <c r="AJ12" i="9"/>
  <c r="AI12" i="9"/>
  <c r="W13" i="8"/>
  <c r="Z13" i="8"/>
  <c r="X13" i="8"/>
  <c r="AD16" i="17"/>
  <c r="AG16" i="17"/>
  <c r="AI11" i="20"/>
  <c r="AJ11" i="20"/>
  <c r="V15" i="14"/>
  <c r="Z12" i="11"/>
  <c r="X12" i="11"/>
  <c r="W12" i="11"/>
  <c r="V14" i="20"/>
  <c r="AH12" i="8"/>
  <c r="AF12" i="8"/>
  <c r="AE12" i="8"/>
  <c r="AI57" i="7"/>
  <c r="AJ57" i="7"/>
  <c r="AJ13" i="9"/>
  <c r="AI13" i="9"/>
  <c r="AG13" i="11"/>
  <c r="AD13" i="11"/>
  <c r="AG14" i="13"/>
  <c r="AD14" i="13"/>
  <c r="T17" i="14"/>
  <c r="Q17" i="14"/>
  <c r="R17" i="14"/>
  <c r="U17" i="14"/>
  <c r="P18" i="14"/>
  <c r="S17" i="14"/>
  <c r="Z15" i="8"/>
  <c r="X15" i="8"/>
  <c r="W15" i="8"/>
  <c r="W18" i="15"/>
  <c r="Z18" i="15"/>
  <c r="X18" i="15"/>
  <c r="AA16" i="16"/>
  <c r="AB16" i="16"/>
  <c r="Y16" i="9"/>
  <c r="AC16" i="9"/>
  <c r="T19" i="16"/>
  <c r="V19" i="16"/>
  <c r="Q19" i="16"/>
  <c r="R19" i="16"/>
  <c r="U19" i="16"/>
  <c r="S19" i="16"/>
  <c r="P20" i="16"/>
  <c r="AC16" i="6"/>
  <c r="Y16" i="6"/>
  <c r="Z14" i="20"/>
  <c r="X14" i="20"/>
  <c r="W14" i="20"/>
  <c r="Z15" i="14"/>
  <c r="X15" i="14"/>
  <c r="W15" i="14"/>
  <c r="AH16" i="17"/>
  <c r="AF16" i="17"/>
  <c r="AE16" i="17"/>
  <c r="W16" i="12"/>
  <c r="Z16" i="12"/>
  <c r="X16" i="12"/>
  <c r="AJ14" i="10"/>
  <c r="AI14" i="10"/>
  <c r="AB14" i="9"/>
  <c r="AA14" i="9"/>
  <c r="AD16" i="10"/>
  <c r="AG16" i="10"/>
  <c r="U15" i="11"/>
  <c r="S15" i="11"/>
  <c r="T15" i="11"/>
  <c r="Q15" i="11"/>
  <c r="R15" i="11"/>
  <c r="P16" i="11"/>
  <c r="V14" i="11"/>
  <c r="T19" i="17"/>
  <c r="Q19" i="17"/>
  <c r="R19" i="17"/>
  <c r="S19" i="17"/>
  <c r="U19" i="17"/>
  <c r="P20" i="17"/>
  <c r="AC18" i="17"/>
  <c r="Y18" i="17"/>
  <c r="AE59" i="7"/>
  <c r="AH59" i="7"/>
  <c r="AF59" i="7"/>
  <c r="AA17" i="17"/>
  <c r="AB17" i="17"/>
  <c r="T16" i="19"/>
  <c r="Q16" i="19"/>
  <c r="R16" i="19"/>
  <c r="U16" i="19"/>
  <c r="S16" i="19"/>
  <c r="P17" i="19"/>
  <c r="AC15" i="19"/>
  <c r="Y15" i="19"/>
  <c r="AB17" i="15"/>
  <c r="AA17" i="15"/>
  <c r="U18" i="10"/>
  <c r="S18" i="10"/>
  <c r="P19" i="10"/>
  <c r="T18" i="10"/>
  <c r="Q18" i="10"/>
  <c r="R18" i="10"/>
  <c r="AC61" i="7"/>
  <c r="Y61" i="7"/>
  <c r="T62" i="7"/>
  <c r="Q62" i="7"/>
  <c r="R62" i="7"/>
  <c r="U62" i="7"/>
  <c r="S62" i="7"/>
  <c r="P63" i="7"/>
  <c r="AG17" i="17"/>
  <c r="AD17" i="17"/>
  <c r="AJ11" i="11"/>
  <c r="AI11" i="11"/>
  <c r="AH13" i="19"/>
  <c r="AF13" i="19"/>
  <c r="AE13" i="19"/>
  <c r="AG14" i="8"/>
  <c r="AD14" i="8"/>
  <c r="AJ12" i="20"/>
  <c r="AI12" i="20"/>
  <c r="AC16" i="14"/>
  <c r="Y16" i="14"/>
  <c r="Z14" i="8"/>
  <c r="X14" i="8"/>
  <c r="W14" i="8"/>
  <c r="AC15" i="8"/>
  <c r="Y15" i="8"/>
  <c r="AJ14" i="12"/>
  <c r="AI14" i="12"/>
  <c r="AC18" i="15"/>
  <c r="Y18" i="15"/>
  <c r="AG17" i="16"/>
  <c r="AD17" i="16"/>
  <c r="AJ15" i="15"/>
  <c r="AI15" i="15"/>
  <c r="AD15" i="9"/>
  <c r="AG15" i="9"/>
  <c r="AG17" i="15"/>
  <c r="AD17" i="15"/>
  <c r="AA14" i="14"/>
  <c r="AB14" i="14"/>
  <c r="Z15" i="19"/>
  <c r="X15" i="19"/>
  <c r="W15" i="19"/>
  <c r="Y17" i="10"/>
  <c r="AC17" i="10"/>
  <c r="W61" i="7"/>
  <c r="Z61" i="7"/>
  <c r="X61" i="7"/>
  <c r="AA59" i="7"/>
  <c r="AB59" i="7"/>
  <c r="AE13" i="20"/>
  <c r="AF13" i="20"/>
  <c r="AH13" i="20"/>
  <c r="AC18" i="16"/>
  <c r="Y18" i="16"/>
  <c r="V17" i="12"/>
  <c r="AH14" i="9"/>
  <c r="AF14" i="9"/>
  <c r="AE14" i="9"/>
  <c r="W15" i="9"/>
  <c r="Z15" i="9"/>
  <c r="X15" i="9"/>
  <c r="AE16" i="15"/>
  <c r="AH16" i="15"/>
  <c r="AF16" i="15"/>
  <c r="AA13" i="20"/>
  <c r="AB13" i="20"/>
  <c r="AJ13" i="6"/>
  <c r="AI13" i="6"/>
  <c r="AA17" i="18"/>
  <c r="AB17" i="18"/>
  <c r="T16" i="20"/>
  <c r="Q16" i="20"/>
  <c r="R16" i="20"/>
  <c r="U16" i="20"/>
  <c r="S16" i="20"/>
  <c r="P17" i="20"/>
  <c r="V15" i="20"/>
  <c r="AG15" i="6"/>
  <c r="AD15" i="6"/>
  <c r="Z14" i="19"/>
  <c r="X14" i="19"/>
  <c r="W14" i="19"/>
  <c r="S16" i="8"/>
  <c r="P17" i="8"/>
  <c r="T16" i="8"/>
  <c r="V16" i="8"/>
  <c r="Q16" i="8"/>
  <c r="R16" i="8"/>
  <c r="U16" i="8"/>
  <c r="AD16" i="12"/>
  <c r="AG16" i="12"/>
  <c r="V18" i="18"/>
  <c r="AI15" i="17"/>
  <c r="AJ15" i="17"/>
  <c r="AH16" i="18"/>
  <c r="AF16" i="18"/>
  <c r="AE16" i="18"/>
  <c r="Z15" i="6"/>
  <c r="X15" i="6"/>
  <c r="W15" i="6"/>
  <c r="U16" i="13"/>
  <c r="S16" i="13"/>
  <c r="T16" i="13"/>
  <c r="V16" i="13"/>
  <c r="Q16" i="13"/>
  <c r="R16" i="13"/>
  <c r="P17" i="13"/>
  <c r="V15" i="13"/>
  <c r="AH15" i="10"/>
  <c r="AF15" i="10"/>
  <c r="AE15" i="10"/>
  <c r="AI12" i="8"/>
  <c r="AJ12" i="8"/>
  <c r="AA12" i="11"/>
  <c r="AB12" i="11"/>
  <c r="Z18" i="17"/>
  <c r="X18" i="17"/>
  <c r="W18" i="17"/>
  <c r="AG14" i="20"/>
  <c r="AD14" i="20"/>
  <c r="AI12" i="19"/>
  <c r="AJ12" i="19"/>
  <c r="Z17" i="10"/>
  <c r="X17" i="10"/>
  <c r="W17" i="10"/>
  <c r="AB13" i="11"/>
  <c r="AA13" i="11"/>
  <c r="W16" i="14"/>
  <c r="Z16" i="14"/>
  <c r="X16" i="14"/>
  <c r="P20" i="15"/>
  <c r="T19" i="15"/>
  <c r="Q19" i="15"/>
  <c r="R19" i="15"/>
  <c r="U19" i="15"/>
  <c r="S19" i="15"/>
  <c r="AG60" i="7"/>
  <c r="AD60" i="7"/>
  <c r="U18" i="12"/>
  <c r="S18" i="12"/>
  <c r="T18" i="12"/>
  <c r="Q18" i="12"/>
  <c r="R18" i="12"/>
  <c r="P19" i="12"/>
  <c r="AG17" i="18"/>
  <c r="AD17" i="18"/>
  <c r="Z17" i="16"/>
  <c r="X17" i="16"/>
  <c r="W17" i="16"/>
  <c r="AB16" i="10"/>
  <c r="AA16" i="10"/>
  <c r="Z14" i="13"/>
  <c r="X14" i="13"/>
  <c r="W14" i="13"/>
  <c r="AJ58" i="7"/>
  <c r="AI58" i="7"/>
  <c r="AB13" i="8"/>
  <c r="AA13" i="8"/>
  <c r="Y17" i="12"/>
  <c r="AC17" i="12"/>
  <c r="Y14" i="11"/>
  <c r="AC14" i="11"/>
  <c r="AE14" i="14"/>
  <c r="AH14" i="14"/>
  <c r="AF14" i="14"/>
  <c r="AH16" i="16"/>
  <c r="AF16" i="16"/>
  <c r="AE16" i="16"/>
  <c r="AB15" i="10"/>
  <c r="AA15" i="10"/>
  <c r="AI15" i="16"/>
  <c r="AJ15" i="16"/>
  <c r="AE12" i="11"/>
  <c r="AH12" i="11"/>
  <c r="AF12" i="11"/>
  <c r="AI12" i="13"/>
  <c r="AJ12" i="13"/>
  <c r="AC15" i="20"/>
  <c r="Y15" i="20"/>
  <c r="AG14" i="19"/>
  <c r="AD14" i="19"/>
  <c r="AH15" i="12"/>
  <c r="AF15" i="12"/>
  <c r="AE15" i="12"/>
  <c r="AJ13" i="14"/>
  <c r="AI13" i="14"/>
  <c r="AG15" i="14"/>
  <c r="AD15" i="14"/>
  <c r="AH13" i="13"/>
  <c r="AF13" i="13"/>
  <c r="AE13" i="13"/>
  <c r="T19" i="18"/>
  <c r="Q19" i="18"/>
  <c r="R19" i="18"/>
  <c r="S19" i="18"/>
  <c r="U19" i="18"/>
  <c r="P20" i="18"/>
  <c r="AC18" i="18"/>
  <c r="Y18" i="18"/>
  <c r="AB15" i="12"/>
  <c r="AA15" i="12"/>
  <c r="AH13" i="8"/>
  <c r="AF13" i="8"/>
  <c r="AE13" i="8"/>
  <c r="Z60" i="7"/>
  <c r="X60" i="7"/>
  <c r="W60" i="7"/>
  <c r="U17" i="9"/>
  <c r="S17" i="9"/>
  <c r="T17" i="9"/>
  <c r="Q17" i="9"/>
  <c r="R17" i="9"/>
  <c r="P18" i="9"/>
  <c r="V16" i="9"/>
  <c r="Y15" i="13"/>
  <c r="AC15" i="13"/>
  <c r="AE14" i="6"/>
  <c r="AH14" i="6"/>
  <c r="AF14" i="6"/>
  <c r="AI15" i="18"/>
  <c r="AJ15" i="18"/>
  <c r="V18" i="16"/>
  <c r="T17" i="6"/>
  <c r="Q17" i="6"/>
  <c r="R17" i="6"/>
  <c r="U17" i="6"/>
  <c r="P18" i="6"/>
  <c r="S17" i="6"/>
  <c r="V16" i="6"/>
  <c r="Y17" i="6"/>
  <c r="AC17" i="6"/>
  <c r="V17" i="6"/>
  <c r="V17" i="9"/>
  <c r="AI13" i="8"/>
  <c r="AJ13" i="8"/>
  <c r="AG18" i="18"/>
  <c r="AD18" i="18"/>
  <c r="AJ13" i="13"/>
  <c r="AI13" i="13"/>
  <c r="AE14" i="19"/>
  <c r="AH14" i="19"/>
  <c r="AF14" i="19"/>
  <c r="AC18" i="12"/>
  <c r="Y18" i="12"/>
  <c r="Y19" i="15"/>
  <c r="AC19" i="15"/>
  <c r="P21" i="15"/>
  <c r="U20" i="15"/>
  <c r="S20" i="15"/>
  <c r="T20" i="15"/>
  <c r="V20" i="15"/>
  <c r="Q20" i="15"/>
  <c r="R20" i="15"/>
  <c r="AA17" i="10"/>
  <c r="AB17" i="10"/>
  <c r="S17" i="13"/>
  <c r="U17" i="13"/>
  <c r="T17" i="13"/>
  <c r="Q17" i="13"/>
  <c r="R17" i="13"/>
  <c r="P18" i="13"/>
  <c r="AC16" i="8"/>
  <c r="Y16" i="8"/>
  <c r="AH15" i="6"/>
  <c r="AF15" i="6"/>
  <c r="AE15" i="6"/>
  <c r="Y16" i="20"/>
  <c r="AC16" i="20"/>
  <c r="AB61" i="7"/>
  <c r="AA61" i="7"/>
  <c r="AH15" i="9"/>
  <c r="AF15" i="9"/>
  <c r="AE15" i="9"/>
  <c r="Y62" i="7"/>
  <c r="AC62" i="7"/>
  <c r="S19" i="10"/>
  <c r="T19" i="10"/>
  <c r="Q19" i="10"/>
  <c r="R19" i="10"/>
  <c r="U19" i="10"/>
  <c r="P20" i="10"/>
  <c r="AC16" i="19"/>
  <c r="Y16" i="19"/>
  <c r="X14" i="11"/>
  <c r="Z14" i="11"/>
  <c r="W14" i="11"/>
  <c r="AC15" i="11"/>
  <c r="Y15" i="11"/>
  <c r="AB15" i="14"/>
  <c r="AA15" i="14"/>
  <c r="AB18" i="15"/>
  <c r="AA18" i="15"/>
  <c r="AA15" i="8"/>
  <c r="AB15" i="8"/>
  <c r="AH13" i="11"/>
  <c r="AF13" i="11"/>
  <c r="AE13" i="11"/>
  <c r="P19" i="9"/>
  <c r="S18" i="9"/>
  <c r="T18" i="9"/>
  <c r="Q18" i="9"/>
  <c r="R18" i="9"/>
  <c r="U18" i="9"/>
  <c r="U18" i="6"/>
  <c r="S18" i="6"/>
  <c r="P19" i="6"/>
  <c r="T18" i="6"/>
  <c r="Q18" i="6"/>
  <c r="R18" i="6"/>
  <c r="Z18" i="16"/>
  <c r="X18" i="16"/>
  <c r="W18" i="16"/>
  <c r="AJ14" i="6"/>
  <c r="AI14" i="6"/>
  <c r="Z16" i="9"/>
  <c r="X16" i="9"/>
  <c r="W16" i="9"/>
  <c r="AC17" i="9"/>
  <c r="Y17" i="9"/>
  <c r="AB60" i="7"/>
  <c r="AA60" i="7"/>
  <c r="T20" i="18"/>
  <c r="Q20" i="18"/>
  <c r="R20" i="18"/>
  <c r="U20" i="18"/>
  <c r="S20" i="18"/>
  <c r="P21" i="18"/>
  <c r="V19" i="18"/>
  <c r="AH15" i="14"/>
  <c r="AF15" i="14"/>
  <c r="AE15" i="14"/>
  <c r="AJ14" i="14"/>
  <c r="AI14" i="14"/>
  <c r="AG17" i="12"/>
  <c r="AD17" i="12"/>
  <c r="AA14" i="13"/>
  <c r="AB14" i="13"/>
  <c r="S19" i="12"/>
  <c r="T19" i="12"/>
  <c r="Q19" i="12"/>
  <c r="R19" i="12"/>
  <c r="U19" i="12"/>
  <c r="P20" i="12"/>
  <c r="Z18" i="18"/>
  <c r="X18" i="18"/>
  <c r="W18" i="18"/>
  <c r="AG18" i="16"/>
  <c r="AD18" i="16"/>
  <c r="AH17" i="15"/>
  <c r="AF17" i="15"/>
  <c r="AE17" i="15"/>
  <c r="AA14" i="8"/>
  <c r="AB14" i="8"/>
  <c r="AE17" i="17"/>
  <c r="AH17" i="17"/>
  <c r="AF17" i="17"/>
  <c r="AD61" i="7"/>
  <c r="AG61" i="7"/>
  <c r="AC18" i="10"/>
  <c r="Y18" i="10"/>
  <c r="AC19" i="17"/>
  <c r="Y19" i="17"/>
  <c r="S16" i="11"/>
  <c r="T16" i="11"/>
  <c r="Q16" i="11"/>
  <c r="R16" i="11"/>
  <c r="U16" i="11"/>
  <c r="P17" i="11"/>
  <c r="AB16" i="12"/>
  <c r="AA16" i="12"/>
  <c r="AJ16" i="17"/>
  <c r="AI16" i="17"/>
  <c r="AD16" i="6"/>
  <c r="AG16" i="6"/>
  <c r="Y17" i="14"/>
  <c r="AC17" i="14"/>
  <c r="V17" i="14"/>
  <c r="AA17" i="16"/>
  <c r="AB17" i="16"/>
  <c r="AI15" i="10"/>
  <c r="AJ15" i="10"/>
  <c r="Z16" i="8"/>
  <c r="X16" i="8"/>
  <c r="W16" i="8"/>
  <c r="W15" i="20"/>
  <c r="X15" i="20"/>
  <c r="Z15" i="20"/>
  <c r="AB15" i="9"/>
  <c r="AA15" i="9"/>
  <c r="AI14" i="9"/>
  <c r="AJ14" i="9"/>
  <c r="AJ13" i="20"/>
  <c r="AI13" i="20"/>
  <c r="AG17" i="10"/>
  <c r="AD17" i="10"/>
  <c r="AB15" i="19"/>
  <c r="AA15" i="19"/>
  <c r="AD18" i="15"/>
  <c r="AG18" i="15"/>
  <c r="AG15" i="8"/>
  <c r="AD15" i="8"/>
  <c r="AH14" i="8"/>
  <c r="AF14" i="8"/>
  <c r="AE14" i="8"/>
  <c r="AJ13" i="19"/>
  <c r="AI13" i="19"/>
  <c r="AG15" i="19"/>
  <c r="AD15" i="19"/>
  <c r="AG18" i="17"/>
  <c r="AD18" i="17"/>
  <c r="T20" i="16"/>
  <c r="V20" i="16"/>
  <c r="Q20" i="16"/>
  <c r="R20" i="16"/>
  <c r="U20" i="16"/>
  <c r="S20" i="16"/>
  <c r="P21" i="16"/>
  <c r="W19" i="16"/>
  <c r="Z19" i="16"/>
  <c r="X19" i="16"/>
  <c r="U18" i="14"/>
  <c r="S18" i="14"/>
  <c r="P19" i="14"/>
  <c r="T18" i="14"/>
  <c r="Q18" i="14"/>
  <c r="R18" i="14"/>
  <c r="AE14" i="13"/>
  <c r="AH14" i="13"/>
  <c r="AF14" i="13"/>
  <c r="AH60" i="7"/>
  <c r="AF60" i="7"/>
  <c r="AE60" i="7"/>
  <c r="AB16" i="14"/>
  <c r="AA16" i="14"/>
  <c r="Z16" i="13"/>
  <c r="X16" i="13"/>
  <c r="W16" i="13"/>
  <c r="AJ16" i="18"/>
  <c r="AI16" i="18"/>
  <c r="W16" i="6"/>
  <c r="Z16" i="6"/>
  <c r="X16" i="6"/>
  <c r="AD15" i="13"/>
  <c r="AG15" i="13"/>
  <c r="AC19" i="18"/>
  <c r="Y19" i="18"/>
  <c r="AI15" i="12"/>
  <c r="AJ15" i="12"/>
  <c r="AD15" i="20"/>
  <c r="AG15" i="20"/>
  <c r="AJ12" i="11"/>
  <c r="AI12" i="11"/>
  <c r="AJ16" i="16"/>
  <c r="AI16" i="16"/>
  <c r="AD14" i="11"/>
  <c r="AG14" i="11"/>
  <c r="AE17" i="18"/>
  <c r="AF17" i="18"/>
  <c r="AH17" i="18"/>
  <c r="V18" i="12"/>
  <c r="V19" i="15"/>
  <c r="AE14" i="20"/>
  <c r="AH14" i="20"/>
  <c r="AF14" i="20"/>
  <c r="AB18" i="17"/>
  <c r="AA18" i="17"/>
  <c r="Z15" i="13"/>
  <c r="X15" i="13"/>
  <c r="W15" i="13"/>
  <c r="AC16" i="13"/>
  <c r="Y16" i="13"/>
  <c r="AB15" i="6"/>
  <c r="AA15" i="6"/>
  <c r="AH16" i="12"/>
  <c r="AF16" i="12"/>
  <c r="AE16" i="12"/>
  <c r="T17" i="8"/>
  <c r="Q17" i="8"/>
  <c r="R17" i="8"/>
  <c r="U17" i="8"/>
  <c r="S17" i="8"/>
  <c r="P18" i="8"/>
  <c r="AA14" i="19"/>
  <c r="AB14" i="19"/>
  <c r="U17" i="20"/>
  <c r="S17" i="20"/>
  <c r="T17" i="20"/>
  <c r="V17" i="20"/>
  <c r="Q17" i="20"/>
  <c r="R17" i="20"/>
  <c r="P18" i="20"/>
  <c r="V16" i="20"/>
  <c r="AJ16" i="15"/>
  <c r="AI16" i="15"/>
  <c r="Z17" i="12"/>
  <c r="X17" i="12"/>
  <c r="W17" i="12"/>
  <c r="AE17" i="16"/>
  <c r="AH17" i="16"/>
  <c r="AF17" i="16"/>
  <c r="AD16" i="14"/>
  <c r="AG16" i="14"/>
  <c r="P64" i="7"/>
  <c r="U63" i="7"/>
  <c r="S63" i="7"/>
  <c r="T63" i="7"/>
  <c r="V63" i="7"/>
  <c r="Q63" i="7"/>
  <c r="R63" i="7"/>
  <c r="V62" i="7"/>
  <c r="V18" i="10"/>
  <c r="T17" i="19"/>
  <c r="Q17" i="19"/>
  <c r="R17" i="19"/>
  <c r="U17" i="19"/>
  <c r="S17" i="19"/>
  <c r="P18" i="19"/>
  <c r="V16" i="19"/>
  <c r="AJ59" i="7"/>
  <c r="AI59" i="7"/>
  <c r="T20" i="17"/>
  <c r="Q20" i="17"/>
  <c r="R20" i="17"/>
  <c r="U20" i="17"/>
  <c r="S20" i="17"/>
  <c r="P21" i="17"/>
  <c r="V19" i="17"/>
  <c r="V15" i="11"/>
  <c r="AH16" i="10"/>
  <c r="AF16" i="10"/>
  <c r="AE16" i="10"/>
  <c r="AB14" i="20"/>
  <c r="AA14" i="20"/>
  <c r="AC19" i="16"/>
  <c r="Y19" i="16"/>
  <c r="AG16" i="9"/>
  <c r="AD16" i="9"/>
  <c r="Z62" i="7"/>
  <c r="X62" i="7"/>
  <c r="W62" i="7"/>
  <c r="X16" i="20"/>
  <c r="Z16" i="20"/>
  <c r="W16" i="20"/>
  <c r="Y17" i="20"/>
  <c r="AC17" i="20"/>
  <c r="T18" i="8"/>
  <c r="Q18" i="8"/>
  <c r="R18" i="8"/>
  <c r="U18" i="8"/>
  <c r="S18" i="8"/>
  <c r="P19" i="8"/>
  <c r="V17" i="8"/>
  <c r="Z19" i="15"/>
  <c r="X19" i="15"/>
  <c r="W19" i="15"/>
  <c r="AH15" i="20"/>
  <c r="AF15" i="20"/>
  <c r="AE15" i="20"/>
  <c r="AD19" i="18"/>
  <c r="AG19" i="18"/>
  <c r="AB16" i="6"/>
  <c r="AA16" i="6"/>
  <c r="V18" i="14"/>
  <c r="Y20" i="16"/>
  <c r="AC20" i="16"/>
  <c r="AF18" i="17"/>
  <c r="AE18" i="17"/>
  <c r="AH18" i="17"/>
  <c r="AJ14" i="8"/>
  <c r="AI14" i="8"/>
  <c r="AH18" i="15"/>
  <c r="AF18" i="15"/>
  <c r="AE18" i="15"/>
  <c r="AB16" i="8"/>
  <c r="AA16" i="8"/>
  <c r="AD19" i="17"/>
  <c r="AG19" i="17"/>
  <c r="AH61" i="7"/>
  <c r="AF61" i="7"/>
  <c r="AE61" i="7"/>
  <c r="AI17" i="15"/>
  <c r="AJ17" i="15"/>
  <c r="W19" i="18"/>
  <c r="X19" i="18"/>
  <c r="Z19" i="18"/>
  <c r="AA16" i="9"/>
  <c r="AB16" i="9"/>
  <c r="S19" i="6"/>
  <c r="T19" i="6"/>
  <c r="V19" i="6"/>
  <c r="Q19" i="6"/>
  <c r="R19" i="6"/>
  <c r="U19" i="6"/>
  <c r="P20" i="6"/>
  <c r="AB14" i="11"/>
  <c r="AA14" i="11"/>
  <c r="T20" i="10"/>
  <c r="Q20" i="10"/>
  <c r="R20" i="10"/>
  <c r="U20" i="10"/>
  <c r="S20" i="10"/>
  <c r="P21" i="10"/>
  <c r="AC19" i="10"/>
  <c r="Y19" i="10"/>
  <c r="AG16" i="20"/>
  <c r="AD16" i="20"/>
  <c r="AI15" i="6"/>
  <c r="AJ15" i="6"/>
  <c r="AC20" i="15"/>
  <c r="Y20" i="15"/>
  <c r="AJ14" i="19"/>
  <c r="AI14" i="19"/>
  <c r="AH18" i="18"/>
  <c r="AF18" i="18"/>
  <c r="AE18" i="18"/>
  <c r="Z17" i="9"/>
  <c r="X17" i="9"/>
  <c r="W17" i="9"/>
  <c r="Y20" i="17"/>
  <c r="AC20" i="17"/>
  <c r="AC63" i="7"/>
  <c r="Y63" i="7"/>
  <c r="X15" i="11"/>
  <c r="Z15" i="11"/>
  <c r="W15" i="11"/>
  <c r="W19" i="17"/>
  <c r="Z19" i="17"/>
  <c r="X19" i="17"/>
  <c r="W16" i="19"/>
  <c r="Z16" i="19"/>
  <c r="X16" i="19"/>
  <c r="P65" i="7"/>
  <c r="S64" i="7"/>
  <c r="T64" i="7"/>
  <c r="Q64" i="7"/>
  <c r="R64" i="7"/>
  <c r="U64" i="7"/>
  <c r="AJ17" i="16"/>
  <c r="AI17" i="16"/>
  <c r="AA17" i="12"/>
  <c r="AB17" i="12"/>
  <c r="S18" i="20"/>
  <c r="U18" i="20"/>
  <c r="T18" i="20"/>
  <c r="Q18" i="20"/>
  <c r="R18" i="20"/>
  <c r="P19" i="20"/>
  <c r="AC17" i="8"/>
  <c r="Y17" i="8"/>
  <c r="Z18" i="12"/>
  <c r="X18" i="12"/>
  <c r="W18" i="12"/>
  <c r="AJ14" i="13"/>
  <c r="AI14" i="13"/>
  <c r="S19" i="14"/>
  <c r="T19" i="14"/>
  <c r="Q19" i="14"/>
  <c r="R19" i="14"/>
  <c r="U19" i="14"/>
  <c r="P20" i="14"/>
  <c r="AB19" i="16"/>
  <c r="AA19" i="16"/>
  <c r="AE15" i="8"/>
  <c r="AH15" i="8"/>
  <c r="AF15" i="8"/>
  <c r="Z17" i="14"/>
  <c r="X17" i="14"/>
  <c r="W17" i="14"/>
  <c r="AH16" i="6"/>
  <c r="AF16" i="6"/>
  <c r="AE16" i="6"/>
  <c r="V16" i="11"/>
  <c r="AH18" i="16"/>
  <c r="AF18" i="16"/>
  <c r="AE18" i="16"/>
  <c r="AB18" i="18"/>
  <c r="AA18" i="18"/>
  <c r="V19" i="12"/>
  <c r="AH17" i="12"/>
  <c r="AF17" i="12"/>
  <c r="AE17" i="12"/>
  <c r="U21" i="18"/>
  <c r="S21" i="18"/>
  <c r="T21" i="18"/>
  <c r="V21" i="18"/>
  <c r="Q21" i="18"/>
  <c r="R21" i="18"/>
  <c r="P22" i="18"/>
  <c r="V20" i="18"/>
  <c r="AG17" i="9"/>
  <c r="AD17" i="9"/>
  <c r="AB18" i="16"/>
  <c r="AA18" i="16"/>
  <c r="AC18" i="6"/>
  <c r="Y18" i="6"/>
  <c r="V18" i="9"/>
  <c r="AG62" i="7"/>
  <c r="AD62" i="7"/>
  <c r="AI15" i="9"/>
  <c r="AJ15" i="9"/>
  <c r="V17" i="13"/>
  <c r="Z17" i="6"/>
  <c r="X17" i="6"/>
  <c r="W17" i="6"/>
  <c r="Y17" i="19"/>
  <c r="AC17" i="19"/>
  <c r="AH16" i="14"/>
  <c r="AF16" i="14"/>
  <c r="AE16" i="14"/>
  <c r="AD19" i="16"/>
  <c r="AG19" i="16"/>
  <c r="U21" i="17"/>
  <c r="S21" i="17"/>
  <c r="T21" i="17"/>
  <c r="V21" i="17"/>
  <c r="Q21" i="17"/>
  <c r="R21" i="17"/>
  <c r="P22" i="17"/>
  <c r="V20" i="17"/>
  <c r="U18" i="19"/>
  <c r="S18" i="19"/>
  <c r="T18" i="19"/>
  <c r="Q18" i="19"/>
  <c r="R18" i="19"/>
  <c r="P19" i="19"/>
  <c r="V17" i="19"/>
  <c r="Z63" i="7"/>
  <c r="X63" i="7"/>
  <c r="W63" i="7"/>
  <c r="AA15" i="13"/>
  <c r="AB15" i="13"/>
  <c r="AI14" i="20"/>
  <c r="AJ14" i="20"/>
  <c r="AJ17" i="18"/>
  <c r="AI17" i="18"/>
  <c r="AH14" i="11"/>
  <c r="AF14" i="11"/>
  <c r="AE14" i="11"/>
  <c r="AH15" i="13"/>
  <c r="AF15" i="13"/>
  <c r="AE15" i="13"/>
  <c r="AA16" i="13"/>
  <c r="AB16" i="13"/>
  <c r="AC18" i="14"/>
  <c r="Y18" i="14"/>
  <c r="AF15" i="19"/>
  <c r="AE15" i="19"/>
  <c r="AH15" i="19"/>
  <c r="AG17" i="14"/>
  <c r="AD17" i="14"/>
  <c r="U17" i="11"/>
  <c r="S17" i="11"/>
  <c r="T17" i="11"/>
  <c r="V17" i="11"/>
  <c r="Q17" i="11"/>
  <c r="R17" i="11"/>
  <c r="P18" i="11"/>
  <c r="AC16" i="11"/>
  <c r="Y16" i="11"/>
  <c r="AG18" i="10"/>
  <c r="AD18" i="10"/>
  <c r="AJ17" i="17"/>
  <c r="AI17" i="17"/>
  <c r="T20" i="12"/>
  <c r="Q20" i="12"/>
  <c r="R20" i="12"/>
  <c r="U20" i="12"/>
  <c r="S20" i="12"/>
  <c r="P21" i="12"/>
  <c r="AC19" i="12"/>
  <c r="Y19" i="12"/>
  <c r="Y20" i="18"/>
  <c r="AC20" i="18"/>
  <c r="AC18" i="9"/>
  <c r="Y18" i="9"/>
  <c r="AI13" i="11"/>
  <c r="AJ13" i="11"/>
  <c r="AD15" i="11"/>
  <c r="AG15" i="11"/>
  <c r="AG16" i="8"/>
  <c r="AD16" i="8"/>
  <c r="P22" i="15"/>
  <c r="S21" i="15"/>
  <c r="T21" i="15"/>
  <c r="V21" i="15"/>
  <c r="Q21" i="15"/>
  <c r="R21" i="15"/>
  <c r="U21" i="15"/>
  <c r="AG18" i="12"/>
  <c r="AD18" i="12"/>
  <c r="AG17" i="6"/>
  <c r="AD17" i="6"/>
  <c r="AH16" i="9"/>
  <c r="AF16" i="9"/>
  <c r="AE16" i="9"/>
  <c r="AI16" i="10"/>
  <c r="AJ16" i="10"/>
  <c r="Z18" i="10"/>
  <c r="X18" i="10"/>
  <c r="W18" i="10"/>
  <c r="Z17" i="20"/>
  <c r="X17" i="20"/>
  <c r="W17" i="20"/>
  <c r="AI16" i="12"/>
  <c r="AJ16" i="12"/>
  <c r="AG16" i="13"/>
  <c r="AD16" i="13"/>
  <c r="AI60" i="7"/>
  <c r="AJ60" i="7"/>
  <c r="U21" i="16"/>
  <c r="S21" i="16"/>
  <c r="T21" i="16"/>
  <c r="Q21" i="16"/>
  <c r="R21" i="16"/>
  <c r="P22" i="16"/>
  <c r="Z20" i="16"/>
  <c r="X20" i="16"/>
  <c r="W20" i="16"/>
  <c r="AH17" i="10"/>
  <c r="AF17" i="10"/>
  <c r="AE17" i="10"/>
  <c r="AB15" i="20"/>
  <c r="AA15" i="20"/>
  <c r="AI15" i="14"/>
  <c r="AJ15" i="14"/>
  <c r="V18" i="6"/>
  <c r="P20" i="9"/>
  <c r="T19" i="9"/>
  <c r="Q19" i="9"/>
  <c r="R19" i="9"/>
  <c r="U19" i="9"/>
  <c r="S19" i="9"/>
  <c r="AD16" i="19"/>
  <c r="AG16" i="19"/>
  <c r="V19" i="10"/>
  <c r="T18" i="13"/>
  <c r="V18" i="13"/>
  <c r="Q18" i="13"/>
  <c r="R18" i="13"/>
  <c r="S18" i="13"/>
  <c r="U18" i="13"/>
  <c r="P19" i="13"/>
  <c r="AC17" i="13"/>
  <c r="Y17" i="13"/>
  <c r="Z20" i="15"/>
  <c r="X20" i="15"/>
  <c r="W20" i="15"/>
  <c r="AG19" i="15"/>
  <c r="AD19" i="15"/>
  <c r="AC19" i="9"/>
  <c r="Y19" i="9"/>
  <c r="AA18" i="10"/>
  <c r="AB18" i="10"/>
  <c r="AE18" i="12"/>
  <c r="AH18" i="12"/>
  <c r="AF18" i="12"/>
  <c r="Z21" i="15"/>
  <c r="X21" i="15"/>
  <c r="W21" i="15"/>
  <c r="AC20" i="12"/>
  <c r="Y20" i="12"/>
  <c r="W17" i="11"/>
  <c r="X17" i="11"/>
  <c r="Z17" i="11"/>
  <c r="S19" i="19"/>
  <c r="T19" i="19"/>
  <c r="Q19" i="19"/>
  <c r="R19" i="19"/>
  <c r="U19" i="19"/>
  <c r="P20" i="19"/>
  <c r="Z21" i="17"/>
  <c r="X21" i="17"/>
  <c r="W21" i="17"/>
  <c r="AH19" i="16"/>
  <c r="AF19" i="16"/>
  <c r="AE19" i="16"/>
  <c r="AD17" i="19"/>
  <c r="AG17" i="19"/>
  <c r="AA17" i="6"/>
  <c r="AB17" i="6"/>
  <c r="AH62" i="7"/>
  <c r="AF62" i="7"/>
  <c r="AE62" i="7"/>
  <c r="AG18" i="6"/>
  <c r="AD18" i="6"/>
  <c r="Z21" i="18"/>
  <c r="X21" i="18"/>
  <c r="W21" i="18"/>
  <c r="Z16" i="11"/>
  <c r="X16" i="11"/>
  <c r="W16" i="11"/>
  <c r="AJ15" i="8"/>
  <c r="AI15" i="8"/>
  <c r="T20" i="14"/>
  <c r="V20" i="14"/>
  <c r="Q20" i="14"/>
  <c r="R20" i="14"/>
  <c r="U20" i="14"/>
  <c r="S20" i="14"/>
  <c r="P21" i="14"/>
  <c r="AC19" i="14"/>
  <c r="Y19" i="14"/>
  <c r="S19" i="20"/>
  <c r="T19" i="20"/>
  <c r="V19" i="20"/>
  <c r="Q19" i="20"/>
  <c r="R19" i="20"/>
  <c r="U19" i="20"/>
  <c r="P20" i="20"/>
  <c r="AC18" i="20"/>
  <c r="Y18" i="20"/>
  <c r="AC64" i="7"/>
  <c r="Y64" i="7"/>
  <c r="AG63" i="7"/>
  <c r="AD63" i="7"/>
  <c r="AI18" i="18"/>
  <c r="AJ18" i="18"/>
  <c r="AG20" i="15"/>
  <c r="AD20" i="15"/>
  <c r="AC20" i="10"/>
  <c r="Y20" i="10"/>
  <c r="AI61" i="7"/>
  <c r="AJ61" i="7"/>
  <c r="Y18" i="8"/>
  <c r="AC18" i="8"/>
  <c r="AG17" i="20"/>
  <c r="AD17" i="20"/>
  <c r="AG16" i="11"/>
  <c r="AD16" i="11"/>
  <c r="AG18" i="14"/>
  <c r="AD18" i="14"/>
  <c r="AJ14" i="11"/>
  <c r="AI14" i="11"/>
  <c r="W20" i="17"/>
  <c r="Z20" i="17"/>
  <c r="X20" i="17"/>
  <c r="Y21" i="17"/>
  <c r="AC21" i="17"/>
  <c r="Z17" i="13"/>
  <c r="X17" i="13"/>
  <c r="W17" i="13"/>
  <c r="X20" i="18"/>
  <c r="W20" i="18"/>
  <c r="Z20" i="18"/>
  <c r="Y21" i="18"/>
  <c r="AC21" i="18"/>
  <c r="AJ17" i="12"/>
  <c r="AI17" i="12"/>
  <c r="AA18" i="12"/>
  <c r="AB18" i="12"/>
  <c r="P66" i="7"/>
  <c r="T65" i="7"/>
  <c r="Q65" i="7"/>
  <c r="R65" i="7"/>
  <c r="U65" i="7"/>
  <c r="S65" i="7"/>
  <c r="AA15" i="11"/>
  <c r="AB15" i="11"/>
  <c r="AD20" i="17"/>
  <c r="AG20" i="17"/>
  <c r="AA17" i="9"/>
  <c r="AB17" i="9"/>
  <c r="Z19" i="6"/>
  <c r="X19" i="6"/>
  <c r="W19" i="6"/>
  <c r="AB19" i="18"/>
  <c r="AA19" i="18"/>
  <c r="AG20" i="16"/>
  <c r="AD20" i="16"/>
  <c r="AA19" i="15"/>
  <c r="AB19" i="15"/>
  <c r="T19" i="13"/>
  <c r="Q19" i="13"/>
  <c r="R19" i="13"/>
  <c r="U19" i="13"/>
  <c r="S19" i="13"/>
  <c r="Z18" i="6"/>
  <c r="X18" i="6"/>
  <c r="W18" i="6"/>
  <c r="AA17" i="20"/>
  <c r="AB17" i="20"/>
  <c r="AJ16" i="9"/>
  <c r="AI16" i="9"/>
  <c r="AC17" i="11"/>
  <c r="Y17" i="11"/>
  <c r="AH17" i="6"/>
  <c r="AF17" i="6"/>
  <c r="AE17" i="6"/>
  <c r="T22" i="15"/>
  <c r="Q22" i="15"/>
  <c r="R22" i="15"/>
  <c r="U22" i="15"/>
  <c r="S22" i="15"/>
  <c r="P23" i="15"/>
  <c r="AE15" i="11"/>
  <c r="AF15" i="11"/>
  <c r="AH15" i="11"/>
  <c r="AG18" i="9"/>
  <c r="AD18" i="9"/>
  <c r="AG19" i="12"/>
  <c r="AD19" i="12"/>
  <c r="AE18" i="10"/>
  <c r="AH18" i="10"/>
  <c r="AF18" i="10"/>
  <c r="T18" i="11"/>
  <c r="V18" i="11"/>
  <c r="Q18" i="11"/>
  <c r="R18" i="11"/>
  <c r="U18" i="11"/>
  <c r="S18" i="11"/>
  <c r="P19" i="11"/>
  <c r="AJ15" i="13"/>
  <c r="AI15" i="13"/>
  <c r="AA63" i="7"/>
  <c r="AB63" i="7"/>
  <c r="V18" i="19"/>
  <c r="S22" i="17"/>
  <c r="T22" i="17"/>
  <c r="V22" i="17"/>
  <c r="Q22" i="17"/>
  <c r="R22" i="17"/>
  <c r="U22" i="17"/>
  <c r="P23" i="17"/>
  <c r="Z18" i="9"/>
  <c r="X18" i="9"/>
  <c r="W18" i="9"/>
  <c r="S22" i="18"/>
  <c r="T22" i="18"/>
  <c r="V22" i="18"/>
  <c r="Q22" i="18"/>
  <c r="R22" i="18"/>
  <c r="U22" i="18"/>
  <c r="P23" i="18"/>
  <c r="Z19" i="12"/>
  <c r="X19" i="12"/>
  <c r="W19" i="12"/>
  <c r="AA17" i="14"/>
  <c r="AB17" i="14"/>
  <c r="V18" i="20"/>
  <c r="AB19" i="17"/>
  <c r="AA19" i="17"/>
  <c r="AG19" i="10"/>
  <c r="AD19" i="10"/>
  <c r="T20" i="6"/>
  <c r="Q20" i="6"/>
  <c r="R20" i="6"/>
  <c r="U20" i="6"/>
  <c r="S20" i="6"/>
  <c r="P21" i="6"/>
  <c r="AC19" i="6"/>
  <c r="Y19" i="6"/>
  <c r="AH19" i="17"/>
  <c r="AF19" i="17"/>
  <c r="AE19" i="17"/>
  <c r="AI18" i="17"/>
  <c r="AJ18" i="17"/>
  <c r="AI15" i="20"/>
  <c r="AJ15" i="20"/>
  <c r="W17" i="8"/>
  <c r="Z17" i="8"/>
  <c r="X17" i="8"/>
  <c r="W18" i="13"/>
  <c r="X18" i="13"/>
  <c r="Z18" i="13"/>
  <c r="T20" i="9"/>
  <c r="Q20" i="9"/>
  <c r="R20" i="9"/>
  <c r="U20" i="9"/>
  <c r="S20" i="9"/>
  <c r="P21" i="9"/>
  <c r="AJ17" i="10"/>
  <c r="AI17" i="10"/>
  <c r="S22" i="16"/>
  <c r="T22" i="16"/>
  <c r="Q22" i="16"/>
  <c r="R22" i="16"/>
  <c r="U22" i="16"/>
  <c r="P23" i="16"/>
  <c r="AH19" i="15"/>
  <c r="AF19" i="15"/>
  <c r="AE19" i="15"/>
  <c r="AA20" i="15"/>
  <c r="AB20" i="15"/>
  <c r="Z19" i="10"/>
  <c r="X19" i="10"/>
  <c r="W19" i="10"/>
  <c r="AC21" i="15"/>
  <c r="Y21" i="15"/>
  <c r="AI15" i="19"/>
  <c r="AJ15" i="19"/>
  <c r="AC18" i="13"/>
  <c r="Y18" i="13"/>
  <c r="V21" i="16"/>
  <c r="AG17" i="13"/>
  <c r="AD17" i="13"/>
  <c r="AH16" i="19"/>
  <c r="AF16" i="19"/>
  <c r="AE16" i="19"/>
  <c r="V19" i="9"/>
  <c r="AA20" i="16"/>
  <c r="AB20" i="16"/>
  <c r="AC21" i="16"/>
  <c r="Y21" i="16"/>
  <c r="AE16" i="13"/>
  <c r="AF16" i="13"/>
  <c r="AH16" i="13"/>
  <c r="AH16" i="8"/>
  <c r="AF16" i="8"/>
  <c r="AE16" i="8"/>
  <c r="AD20" i="18"/>
  <c r="AG20" i="18"/>
  <c r="T21" i="12"/>
  <c r="Q21" i="12"/>
  <c r="R21" i="12"/>
  <c r="U21" i="12"/>
  <c r="S21" i="12"/>
  <c r="P22" i="12"/>
  <c r="V20" i="12"/>
  <c r="AH17" i="14"/>
  <c r="AF17" i="14"/>
  <c r="AE17" i="14"/>
  <c r="W17" i="19"/>
  <c r="Z17" i="19"/>
  <c r="X17" i="19"/>
  <c r="AC18" i="19"/>
  <c r="Y18" i="19"/>
  <c r="AI16" i="14"/>
  <c r="AJ16" i="14"/>
  <c r="AE17" i="9"/>
  <c r="AH17" i="9"/>
  <c r="AF17" i="9"/>
  <c r="AI18" i="16"/>
  <c r="AJ18" i="16"/>
  <c r="AI16" i="6"/>
  <c r="AJ16" i="6"/>
  <c r="V19" i="14"/>
  <c r="AD17" i="8"/>
  <c r="AG17" i="8"/>
  <c r="V64" i="7"/>
  <c r="AB16" i="19"/>
  <c r="AA16" i="19"/>
  <c r="AH16" i="20"/>
  <c r="AF16" i="20"/>
  <c r="AE16" i="20"/>
  <c r="T21" i="10"/>
  <c r="Q21" i="10"/>
  <c r="R21" i="10"/>
  <c r="U21" i="10"/>
  <c r="P22" i="10"/>
  <c r="S21" i="10"/>
  <c r="V20" i="10"/>
  <c r="AI18" i="15"/>
  <c r="AJ18" i="15"/>
  <c r="Z18" i="14"/>
  <c r="X18" i="14"/>
  <c r="W18" i="14"/>
  <c r="AH19" i="18"/>
  <c r="AF19" i="18"/>
  <c r="AE19" i="18"/>
  <c r="U19" i="8"/>
  <c r="S19" i="8"/>
  <c r="T19" i="8"/>
  <c r="Q19" i="8"/>
  <c r="R19" i="8"/>
  <c r="P20" i="8"/>
  <c r="V18" i="8"/>
  <c r="AA16" i="20"/>
  <c r="AB16" i="20"/>
  <c r="AA62" i="7"/>
  <c r="AB62" i="7"/>
  <c r="Z64" i="7"/>
  <c r="X64" i="7"/>
  <c r="W64" i="7"/>
  <c r="AJ17" i="14"/>
  <c r="AI17" i="14"/>
  <c r="AH20" i="18"/>
  <c r="AF20" i="18"/>
  <c r="AE20" i="18"/>
  <c r="AJ16" i="13"/>
  <c r="AI16" i="13"/>
  <c r="AG21" i="16"/>
  <c r="AD21" i="16"/>
  <c r="T23" i="16"/>
  <c r="Q23" i="16"/>
  <c r="R23" i="16"/>
  <c r="U23" i="16"/>
  <c r="S23" i="16"/>
  <c r="P24" i="16"/>
  <c r="AC22" i="16"/>
  <c r="Y22" i="16"/>
  <c r="Y20" i="9"/>
  <c r="AC20" i="9"/>
  <c r="AB18" i="13"/>
  <c r="AA18" i="13"/>
  <c r="AB17" i="8"/>
  <c r="AA17" i="8"/>
  <c r="AI19" i="17"/>
  <c r="AJ19" i="17"/>
  <c r="AC20" i="6"/>
  <c r="Y20" i="6"/>
  <c r="AH19" i="10"/>
  <c r="AF19" i="10"/>
  <c r="AE19" i="10"/>
  <c r="Z18" i="20"/>
  <c r="X18" i="20"/>
  <c r="W18" i="20"/>
  <c r="U19" i="11"/>
  <c r="T19" i="11"/>
  <c r="Q19" i="11"/>
  <c r="R19" i="11"/>
  <c r="S19" i="11"/>
  <c r="P20" i="11"/>
  <c r="X18" i="11"/>
  <c r="Z18" i="11"/>
  <c r="W18" i="11"/>
  <c r="AH19" i="12"/>
  <c r="AF19" i="12"/>
  <c r="AE19" i="12"/>
  <c r="AJ15" i="11"/>
  <c r="AI15" i="11"/>
  <c r="AC22" i="15"/>
  <c r="Y22" i="15"/>
  <c r="AD17" i="11"/>
  <c r="AG17" i="11"/>
  <c r="Y19" i="13"/>
  <c r="AC19" i="13"/>
  <c r="AB19" i="6"/>
  <c r="AA19" i="6"/>
  <c r="AH20" i="17"/>
  <c r="AF20" i="17"/>
  <c r="AE20" i="17"/>
  <c r="AG21" i="18"/>
  <c r="AD21" i="18"/>
  <c r="AG21" i="17"/>
  <c r="AD21" i="17"/>
  <c r="AG18" i="20"/>
  <c r="AD18" i="20"/>
  <c r="Z19" i="20"/>
  <c r="X19" i="20"/>
  <c r="W19" i="20"/>
  <c r="T21" i="14"/>
  <c r="Q21" i="14"/>
  <c r="R21" i="14"/>
  <c r="U21" i="14"/>
  <c r="P22" i="14"/>
  <c r="S21" i="14"/>
  <c r="W20" i="14"/>
  <c r="Z20" i="14"/>
  <c r="X20" i="14"/>
  <c r="AA21" i="18"/>
  <c r="AB21" i="18"/>
  <c r="AI19" i="16"/>
  <c r="AJ19" i="16"/>
  <c r="T20" i="19"/>
  <c r="Q20" i="19"/>
  <c r="R20" i="19"/>
  <c r="S20" i="19"/>
  <c r="U20" i="19"/>
  <c r="P21" i="19"/>
  <c r="AC19" i="19"/>
  <c r="Y19" i="19"/>
  <c r="AB21" i="15"/>
  <c r="AA21" i="15"/>
  <c r="AB19" i="12"/>
  <c r="AA19" i="12"/>
  <c r="Z22" i="18"/>
  <c r="X22" i="18"/>
  <c r="W22" i="18"/>
  <c r="AB18" i="9"/>
  <c r="AA18" i="9"/>
  <c r="Z22" i="17"/>
  <c r="X22" i="17"/>
  <c r="W22" i="17"/>
  <c r="Y18" i="11"/>
  <c r="AC18" i="11"/>
  <c r="AF16" i="11"/>
  <c r="AH16" i="11"/>
  <c r="AE16" i="11"/>
  <c r="AG18" i="8"/>
  <c r="AD18" i="8"/>
  <c r="S20" i="20"/>
  <c r="T20" i="20"/>
  <c r="V20" i="20"/>
  <c r="Q20" i="20"/>
  <c r="R20" i="20"/>
  <c r="U20" i="20"/>
  <c r="P21" i="20"/>
  <c r="AC19" i="20"/>
  <c r="Y19" i="20"/>
  <c r="AC20" i="14"/>
  <c r="Y20" i="14"/>
  <c r="AA16" i="11"/>
  <c r="AB16" i="11"/>
  <c r="AE18" i="6"/>
  <c r="AH18" i="6"/>
  <c r="AF18" i="6"/>
  <c r="AJ62" i="7"/>
  <c r="AI62" i="7"/>
  <c r="AH17" i="19"/>
  <c r="AF17" i="19"/>
  <c r="AE17" i="19"/>
  <c r="AB17" i="11"/>
  <c r="AA17" i="11"/>
  <c r="AD20" i="12"/>
  <c r="AG20" i="12"/>
  <c r="S20" i="8"/>
  <c r="T20" i="8"/>
  <c r="V20" i="8"/>
  <c r="Q20" i="8"/>
  <c r="R20" i="8"/>
  <c r="U20" i="8"/>
  <c r="P21" i="8"/>
  <c r="AA17" i="19"/>
  <c r="AB17" i="19"/>
  <c r="Z21" i="16"/>
  <c r="X21" i="16"/>
  <c r="W21" i="16"/>
  <c r="V19" i="8"/>
  <c r="AA18" i="14"/>
  <c r="AB18" i="14"/>
  <c r="V21" i="10"/>
  <c r="AH17" i="8"/>
  <c r="AF17" i="8"/>
  <c r="AE17" i="8"/>
  <c r="AG18" i="19"/>
  <c r="AD18" i="19"/>
  <c r="U22" i="12"/>
  <c r="S22" i="12"/>
  <c r="T22" i="12"/>
  <c r="V22" i="12"/>
  <c r="Q22" i="12"/>
  <c r="R22" i="12"/>
  <c r="P23" i="12"/>
  <c r="V21" i="12"/>
  <c r="AI16" i="19"/>
  <c r="AJ16" i="19"/>
  <c r="AB19" i="10"/>
  <c r="AA19" i="10"/>
  <c r="AG19" i="6"/>
  <c r="AD19" i="6"/>
  <c r="T23" i="18"/>
  <c r="Q23" i="18"/>
  <c r="R23" i="18"/>
  <c r="S23" i="18"/>
  <c r="U23" i="18"/>
  <c r="P24" i="18"/>
  <c r="AC22" i="18"/>
  <c r="Y22" i="18"/>
  <c r="T23" i="17"/>
  <c r="V23" i="17"/>
  <c r="Q23" i="17"/>
  <c r="R23" i="17"/>
  <c r="S23" i="17"/>
  <c r="U23" i="17"/>
  <c r="P24" i="17"/>
  <c r="AC22" i="17"/>
  <c r="Y22" i="17"/>
  <c r="AJ18" i="10"/>
  <c r="AI18" i="10"/>
  <c r="AH18" i="9"/>
  <c r="AF18" i="9"/>
  <c r="AE18" i="9"/>
  <c r="AJ17" i="6"/>
  <c r="AI17" i="6"/>
  <c r="AH20" i="16"/>
  <c r="AF20" i="16"/>
  <c r="AE20" i="16"/>
  <c r="V65" i="7"/>
  <c r="AA20" i="18"/>
  <c r="AB20" i="18"/>
  <c r="AD20" i="10"/>
  <c r="AG20" i="10"/>
  <c r="AG64" i="7"/>
  <c r="AD64" i="7"/>
  <c r="AJ18" i="12"/>
  <c r="AI18" i="12"/>
  <c r="W20" i="10"/>
  <c r="Z20" i="10"/>
  <c r="X20" i="10"/>
  <c r="AJ16" i="20"/>
  <c r="AI16" i="20"/>
  <c r="AJ17" i="9"/>
  <c r="AI17" i="9"/>
  <c r="W20" i="12"/>
  <c r="Z20" i="12"/>
  <c r="X20" i="12"/>
  <c r="Y21" i="10"/>
  <c r="AC21" i="10"/>
  <c r="Z18" i="8"/>
  <c r="X18" i="8"/>
  <c r="W18" i="8"/>
  <c r="AC19" i="8"/>
  <c r="Y19" i="8"/>
  <c r="AI19" i="18"/>
  <c r="AJ19" i="18"/>
  <c r="U22" i="10"/>
  <c r="S22" i="10"/>
  <c r="P23" i="10"/>
  <c r="T22" i="10"/>
  <c r="V22" i="10"/>
  <c r="Q22" i="10"/>
  <c r="R22" i="10"/>
  <c r="Z19" i="14"/>
  <c r="X19" i="14"/>
  <c r="W19" i="14"/>
  <c r="Y21" i="12"/>
  <c r="AC21" i="12"/>
  <c r="AI16" i="8"/>
  <c r="AJ16" i="8"/>
  <c r="W19" i="9"/>
  <c r="Z19" i="9"/>
  <c r="X19" i="9"/>
  <c r="AE17" i="13"/>
  <c r="AH17" i="13"/>
  <c r="AF17" i="13"/>
  <c r="AD18" i="13"/>
  <c r="AG18" i="13"/>
  <c r="AG21" i="15"/>
  <c r="AD21" i="15"/>
  <c r="AJ19" i="15"/>
  <c r="AI19" i="15"/>
  <c r="V22" i="16"/>
  <c r="U21" i="9"/>
  <c r="S21" i="9"/>
  <c r="T21" i="9"/>
  <c r="V21" i="9"/>
  <c r="Q21" i="9"/>
  <c r="R21" i="9"/>
  <c r="P22" i="9"/>
  <c r="V20" i="9"/>
  <c r="T21" i="6"/>
  <c r="V21" i="6"/>
  <c r="Q21" i="6"/>
  <c r="R21" i="6"/>
  <c r="U21" i="6"/>
  <c r="P22" i="6"/>
  <c r="S21" i="6"/>
  <c r="V20" i="6"/>
  <c r="Z18" i="19"/>
  <c r="X18" i="19"/>
  <c r="W18" i="19"/>
  <c r="P24" i="15"/>
  <c r="T23" i="15"/>
  <c r="Q23" i="15"/>
  <c r="R23" i="15"/>
  <c r="U23" i="15"/>
  <c r="S23" i="15"/>
  <c r="V22" i="15"/>
  <c r="AA18" i="6"/>
  <c r="AB18" i="6"/>
  <c r="V19" i="13"/>
  <c r="AC65" i="7"/>
  <c r="Y65" i="7"/>
  <c r="T66" i="7"/>
  <c r="V66" i="7"/>
  <c r="Q66" i="7"/>
  <c r="R66" i="7"/>
  <c r="U66" i="7"/>
  <c r="S66" i="7"/>
  <c r="P67" i="7"/>
  <c r="AB17" i="13"/>
  <c r="AA17" i="13"/>
  <c r="AA20" i="17"/>
  <c r="AB20" i="17"/>
  <c r="AE18" i="14"/>
  <c r="AH18" i="14"/>
  <c r="AF18" i="14"/>
  <c r="AE17" i="20"/>
  <c r="AH17" i="20"/>
  <c r="AF17" i="20"/>
  <c r="AE20" i="15"/>
  <c r="AH20" i="15"/>
  <c r="AF20" i="15"/>
  <c r="AE63" i="7"/>
  <c r="AH63" i="7"/>
  <c r="AF63" i="7"/>
  <c r="AG19" i="14"/>
  <c r="AD19" i="14"/>
  <c r="AA21" i="17"/>
  <c r="AB21" i="17"/>
  <c r="V19" i="19"/>
  <c r="AD19" i="9"/>
  <c r="AG19" i="9"/>
  <c r="Z66" i="7"/>
  <c r="X66" i="7"/>
  <c r="W66" i="7"/>
  <c r="Z21" i="6"/>
  <c r="X21" i="6"/>
  <c r="W21" i="6"/>
  <c r="AG19" i="20"/>
  <c r="AD19" i="20"/>
  <c r="AB22" i="18"/>
  <c r="AA22" i="18"/>
  <c r="AI19" i="12"/>
  <c r="AJ19" i="12"/>
  <c r="AD20" i="6"/>
  <c r="AG20" i="6"/>
  <c r="AE21" i="16"/>
  <c r="AH21" i="16"/>
  <c r="AF21" i="16"/>
  <c r="Y66" i="7"/>
  <c r="AC66" i="7"/>
  <c r="AC21" i="9"/>
  <c r="Y21" i="9"/>
  <c r="AB20" i="10"/>
  <c r="AA20" i="10"/>
  <c r="AH64" i="7"/>
  <c r="AF64" i="7"/>
  <c r="AE64" i="7"/>
  <c r="AC23" i="18"/>
  <c r="Y23" i="18"/>
  <c r="Z22" i="12"/>
  <c r="X22" i="12"/>
  <c r="W22" i="12"/>
  <c r="Z21" i="10"/>
  <c r="X21" i="10"/>
  <c r="W21" i="10"/>
  <c r="Z20" i="8"/>
  <c r="X20" i="8"/>
  <c r="W20" i="8"/>
  <c r="AJ17" i="19"/>
  <c r="AI17" i="19"/>
  <c r="AJ18" i="6"/>
  <c r="AI18" i="6"/>
  <c r="S21" i="20"/>
  <c r="T21" i="20"/>
  <c r="V21" i="20"/>
  <c r="Q21" i="20"/>
  <c r="R21" i="20"/>
  <c r="U21" i="20"/>
  <c r="P22" i="20"/>
  <c r="AC20" i="20"/>
  <c r="Y20" i="20"/>
  <c r="AJ16" i="11"/>
  <c r="AI16" i="11"/>
  <c r="AC20" i="19"/>
  <c r="Y20" i="19"/>
  <c r="AB20" i="14"/>
  <c r="AA20" i="14"/>
  <c r="AE21" i="17"/>
  <c r="AH21" i="17"/>
  <c r="AF21" i="17"/>
  <c r="AF17" i="11"/>
  <c r="AH17" i="11"/>
  <c r="AE17" i="11"/>
  <c r="Y19" i="11"/>
  <c r="AC19" i="11"/>
  <c r="P68" i="7"/>
  <c r="U67" i="7"/>
  <c r="S67" i="7"/>
  <c r="T67" i="7"/>
  <c r="Q67" i="7"/>
  <c r="R67" i="7"/>
  <c r="Y21" i="6"/>
  <c r="AC21" i="6"/>
  <c r="Z22" i="10"/>
  <c r="X22" i="10"/>
  <c r="W22" i="10"/>
  <c r="T24" i="17"/>
  <c r="Q24" i="17"/>
  <c r="R24" i="17"/>
  <c r="U24" i="17"/>
  <c r="S24" i="17"/>
  <c r="P25" i="17"/>
  <c r="AH19" i="6"/>
  <c r="AF19" i="6"/>
  <c r="AE19" i="6"/>
  <c r="U22" i="14"/>
  <c r="S22" i="14"/>
  <c r="P23" i="14"/>
  <c r="T22" i="14"/>
  <c r="V22" i="14"/>
  <c r="Q22" i="14"/>
  <c r="R22" i="14"/>
  <c r="S20" i="11"/>
  <c r="T20" i="11"/>
  <c r="V20" i="11"/>
  <c r="Q20" i="11"/>
  <c r="R20" i="11"/>
  <c r="U20" i="11"/>
  <c r="P21" i="11"/>
  <c r="AC23" i="16"/>
  <c r="Y23" i="16"/>
  <c r="AJ63" i="7"/>
  <c r="AI63" i="7"/>
  <c r="U22" i="6"/>
  <c r="S22" i="6"/>
  <c r="P23" i="6"/>
  <c r="T22" i="6"/>
  <c r="Q22" i="6"/>
  <c r="R22" i="6"/>
  <c r="S23" i="10"/>
  <c r="T23" i="10"/>
  <c r="Q23" i="10"/>
  <c r="R23" i="10"/>
  <c r="U23" i="10"/>
  <c r="P24" i="10"/>
  <c r="AH19" i="9"/>
  <c r="AF19" i="9"/>
  <c r="AE19" i="9"/>
  <c r="AJ18" i="14"/>
  <c r="AI18" i="14"/>
  <c r="P23" i="9"/>
  <c r="S22" i="9"/>
  <c r="T22" i="9"/>
  <c r="V22" i="9"/>
  <c r="Q22" i="9"/>
  <c r="R22" i="9"/>
  <c r="U22" i="9"/>
  <c r="AH21" i="15"/>
  <c r="AF21" i="15"/>
  <c r="AE21" i="15"/>
  <c r="AB19" i="9"/>
  <c r="AA19" i="9"/>
  <c r="AB19" i="14"/>
  <c r="AA19" i="14"/>
  <c r="AA18" i="8"/>
  <c r="AB18" i="8"/>
  <c r="Z21" i="12"/>
  <c r="X21" i="12"/>
  <c r="W21" i="12"/>
  <c r="T21" i="8"/>
  <c r="V21" i="8"/>
  <c r="Q21" i="8"/>
  <c r="R21" i="8"/>
  <c r="U21" i="8"/>
  <c r="S21" i="8"/>
  <c r="P22" i="8"/>
  <c r="AH18" i="8"/>
  <c r="AF18" i="8"/>
  <c r="AE18" i="8"/>
  <c r="AG19" i="19"/>
  <c r="AD19" i="19"/>
  <c r="AB19" i="20"/>
  <c r="AA19" i="20"/>
  <c r="AG19" i="13"/>
  <c r="AD19" i="13"/>
  <c r="AB18" i="11"/>
  <c r="AA18" i="11"/>
  <c r="AI19" i="10"/>
  <c r="AJ19" i="10"/>
  <c r="AG22" i="16"/>
  <c r="AD22" i="16"/>
  <c r="AJ20" i="18"/>
  <c r="AI20" i="18"/>
  <c r="AJ20" i="15"/>
  <c r="AI20" i="15"/>
  <c r="Z21" i="9"/>
  <c r="X21" i="9"/>
  <c r="W21" i="9"/>
  <c r="AH20" i="10"/>
  <c r="AF20" i="10"/>
  <c r="AE20" i="10"/>
  <c r="W23" i="17"/>
  <c r="Z23" i="17"/>
  <c r="X23" i="17"/>
  <c r="AE18" i="19"/>
  <c r="AF18" i="19"/>
  <c r="AH18" i="19"/>
  <c r="AI17" i="8"/>
  <c r="AJ17" i="8"/>
  <c r="Z19" i="8"/>
  <c r="X19" i="8"/>
  <c r="W19" i="8"/>
  <c r="AH20" i="12"/>
  <c r="AF20" i="12"/>
  <c r="AE20" i="12"/>
  <c r="Z20" i="20"/>
  <c r="X20" i="20"/>
  <c r="W20" i="20"/>
  <c r="Z20" i="9"/>
  <c r="X20" i="9"/>
  <c r="W20" i="9"/>
  <c r="AH18" i="13"/>
  <c r="AF18" i="13"/>
  <c r="AE18" i="13"/>
  <c r="AH19" i="14"/>
  <c r="AF19" i="14"/>
  <c r="AE19" i="14"/>
  <c r="AD65" i="7"/>
  <c r="AG65" i="7"/>
  <c r="W22" i="15"/>
  <c r="Z22" i="15"/>
  <c r="X22" i="15"/>
  <c r="V23" i="15"/>
  <c r="AA18" i="19"/>
  <c r="AB18" i="19"/>
  <c r="AG21" i="12"/>
  <c r="AD21" i="12"/>
  <c r="AC22" i="10"/>
  <c r="Y22" i="10"/>
  <c r="AB20" i="12"/>
  <c r="AA20" i="12"/>
  <c r="AJ20" i="16"/>
  <c r="AI20" i="16"/>
  <c r="AC23" i="17"/>
  <c r="Y23" i="17"/>
  <c r="AG22" i="18"/>
  <c r="AD22" i="18"/>
  <c r="AC22" i="12"/>
  <c r="Y22" i="12"/>
  <c r="AC20" i="8"/>
  <c r="Y20" i="8"/>
  <c r="AD20" i="14"/>
  <c r="AG20" i="14"/>
  <c r="Z19" i="19"/>
  <c r="X19" i="19"/>
  <c r="W19" i="19"/>
  <c r="AJ17" i="20"/>
  <c r="AI17" i="20"/>
  <c r="X19" i="13"/>
  <c r="W19" i="13"/>
  <c r="Z19" i="13"/>
  <c r="Y23" i="15"/>
  <c r="AC23" i="15"/>
  <c r="P25" i="15"/>
  <c r="U24" i="15"/>
  <c r="S24" i="15"/>
  <c r="T24" i="15"/>
  <c r="Q24" i="15"/>
  <c r="R24" i="15"/>
  <c r="W20" i="6"/>
  <c r="Z20" i="6"/>
  <c r="X20" i="6"/>
  <c r="Z22" i="16"/>
  <c r="X22" i="16"/>
  <c r="W22" i="16"/>
  <c r="AI17" i="13"/>
  <c r="AJ17" i="13"/>
  <c r="AG19" i="8"/>
  <c r="AD19" i="8"/>
  <c r="AG21" i="10"/>
  <c r="AD21" i="10"/>
  <c r="W65" i="7"/>
  <c r="Z65" i="7"/>
  <c r="X65" i="7"/>
  <c r="AI18" i="9"/>
  <c r="AJ18" i="9"/>
  <c r="AG22" i="17"/>
  <c r="AD22" i="17"/>
  <c r="T24" i="18"/>
  <c r="V24" i="18"/>
  <c r="Q24" i="18"/>
  <c r="R24" i="18"/>
  <c r="U24" i="18"/>
  <c r="S24" i="18"/>
  <c r="P25" i="18"/>
  <c r="V23" i="18"/>
  <c r="S23" i="12"/>
  <c r="T23" i="12"/>
  <c r="Q23" i="12"/>
  <c r="R23" i="12"/>
  <c r="U23" i="12"/>
  <c r="P24" i="12"/>
  <c r="AA21" i="16"/>
  <c r="AB21" i="16"/>
  <c r="AG18" i="11"/>
  <c r="AD18" i="11"/>
  <c r="AB22" i="17"/>
  <c r="AA22" i="17"/>
  <c r="T21" i="19"/>
  <c r="V21" i="19"/>
  <c r="Q21" i="19"/>
  <c r="R21" i="19"/>
  <c r="U21" i="19"/>
  <c r="S21" i="19"/>
  <c r="P22" i="19"/>
  <c r="V20" i="19"/>
  <c r="Y21" i="14"/>
  <c r="AC21" i="14"/>
  <c r="V21" i="14"/>
  <c r="AE18" i="20"/>
  <c r="AF18" i="20"/>
  <c r="AH18" i="20"/>
  <c r="AE21" i="18"/>
  <c r="AF21" i="18"/>
  <c r="AH21" i="18"/>
  <c r="AJ20" i="17"/>
  <c r="AI20" i="17"/>
  <c r="AD22" i="15"/>
  <c r="AG22" i="15"/>
  <c r="V19" i="11"/>
  <c r="AB18" i="20"/>
  <c r="AA18" i="20"/>
  <c r="AG20" i="9"/>
  <c r="AD20" i="9"/>
  <c r="T24" i="16"/>
  <c r="V24" i="16"/>
  <c r="Q24" i="16"/>
  <c r="R24" i="16"/>
  <c r="U24" i="16"/>
  <c r="S24" i="16"/>
  <c r="P25" i="16"/>
  <c r="V23" i="16"/>
  <c r="AB64" i="7"/>
  <c r="AA64" i="7"/>
  <c r="U25" i="16"/>
  <c r="S25" i="16"/>
  <c r="T25" i="16"/>
  <c r="V25" i="16"/>
  <c r="Q25" i="16"/>
  <c r="R25" i="16"/>
  <c r="Z21" i="14"/>
  <c r="X21" i="14"/>
  <c r="W21" i="14"/>
  <c r="U22" i="19"/>
  <c r="S22" i="19"/>
  <c r="T22" i="19"/>
  <c r="Q22" i="19"/>
  <c r="R22" i="19"/>
  <c r="P23" i="19"/>
  <c r="AA19" i="13"/>
  <c r="AB19" i="13"/>
  <c r="AH21" i="12"/>
  <c r="AF21" i="12"/>
  <c r="AE21" i="12"/>
  <c r="AH19" i="19"/>
  <c r="AF19" i="19"/>
  <c r="AE19" i="19"/>
  <c r="AA21" i="12"/>
  <c r="AB21" i="12"/>
  <c r="T24" i="10"/>
  <c r="V24" i="10"/>
  <c r="Q24" i="10"/>
  <c r="R24" i="10"/>
  <c r="U24" i="10"/>
  <c r="S24" i="10"/>
  <c r="P25" i="10"/>
  <c r="Y24" i="17"/>
  <c r="AC24" i="17"/>
  <c r="AA21" i="10"/>
  <c r="AB21" i="10"/>
  <c r="AG21" i="9"/>
  <c r="AD21" i="9"/>
  <c r="AH19" i="20"/>
  <c r="AF19" i="20"/>
  <c r="AE19" i="20"/>
  <c r="AH21" i="10"/>
  <c r="AF21" i="10"/>
  <c r="AE21" i="10"/>
  <c r="AB22" i="16"/>
  <c r="AA22" i="16"/>
  <c r="P26" i="15"/>
  <c r="S25" i="15"/>
  <c r="T25" i="15"/>
  <c r="V25" i="15"/>
  <c r="Q25" i="15"/>
  <c r="R25" i="15"/>
  <c r="U25" i="15"/>
  <c r="AG22" i="12"/>
  <c r="AD22" i="12"/>
  <c r="AH65" i="7"/>
  <c r="AF65" i="7"/>
  <c r="AE65" i="7"/>
  <c r="AB20" i="20"/>
  <c r="AA20" i="20"/>
  <c r="AA21" i="9"/>
  <c r="AB21" i="9"/>
  <c r="T22" i="8"/>
  <c r="V22" i="8"/>
  <c r="Q22" i="8"/>
  <c r="R22" i="8"/>
  <c r="U22" i="8"/>
  <c r="S22" i="8"/>
  <c r="P23" i="8"/>
  <c r="W21" i="8"/>
  <c r="Z21" i="8"/>
  <c r="X21" i="8"/>
  <c r="AI21" i="15"/>
  <c r="AJ21" i="15"/>
  <c r="AC22" i="9"/>
  <c r="Y22" i="9"/>
  <c r="AD23" i="16"/>
  <c r="AG23" i="16"/>
  <c r="Z20" i="11"/>
  <c r="X20" i="11"/>
  <c r="W20" i="11"/>
  <c r="S23" i="14"/>
  <c r="T23" i="14"/>
  <c r="Q23" i="14"/>
  <c r="R23" i="14"/>
  <c r="U23" i="14"/>
  <c r="P24" i="14"/>
  <c r="P69" i="7"/>
  <c r="S68" i="7"/>
  <c r="T68" i="7"/>
  <c r="V68" i="7"/>
  <c r="Q68" i="7"/>
  <c r="R68" i="7"/>
  <c r="U68" i="7"/>
  <c r="AI17" i="11"/>
  <c r="AJ17" i="11"/>
  <c r="AD20" i="19"/>
  <c r="AG20" i="19"/>
  <c r="AG20" i="20"/>
  <c r="AD20" i="20"/>
  <c r="W21" i="20"/>
  <c r="X21" i="20"/>
  <c r="Z21" i="20"/>
  <c r="AB20" i="8"/>
  <c r="AA20" i="8"/>
  <c r="AD23" i="18"/>
  <c r="AG23" i="18"/>
  <c r="AG66" i="7"/>
  <c r="AD66" i="7"/>
  <c r="W23" i="18"/>
  <c r="X23" i="18"/>
  <c r="Z23" i="18"/>
  <c r="AI19" i="14"/>
  <c r="AJ19" i="14"/>
  <c r="AJ21" i="17"/>
  <c r="AI21" i="17"/>
  <c r="AI64" i="7"/>
  <c r="AJ64" i="7"/>
  <c r="AJ21" i="16"/>
  <c r="AI21" i="16"/>
  <c r="AA21" i="6"/>
  <c r="AB21" i="6"/>
  <c r="X19" i="11"/>
  <c r="Z19" i="11"/>
  <c r="W19" i="11"/>
  <c r="AI18" i="20"/>
  <c r="AJ18" i="20"/>
  <c r="AG21" i="14"/>
  <c r="AD21" i="14"/>
  <c r="U25" i="18"/>
  <c r="S25" i="18"/>
  <c r="T25" i="18"/>
  <c r="V25" i="18"/>
  <c r="Q25" i="18"/>
  <c r="R25" i="18"/>
  <c r="P26" i="18"/>
  <c r="AJ21" i="18"/>
  <c r="AI21" i="18"/>
  <c r="Y24" i="18"/>
  <c r="AC24" i="18"/>
  <c r="AH22" i="18"/>
  <c r="AF22" i="18"/>
  <c r="AE22" i="18"/>
  <c r="AJ18" i="19"/>
  <c r="AI18" i="19"/>
  <c r="P24" i="9"/>
  <c r="T23" i="9"/>
  <c r="Q23" i="9"/>
  <c r="R23" i="9"/>
  <c r="U23" i="9"/>
  <c r="S23" i="9"/>
  <c r="V22" i="6"/>
  <c r="S21" i="11"/>
  <c r="T21" i="11"/>
  <c r="V21" i="11"/>
  <c r="Q21" i="11"/>
  <c r="R21" i="11"/>
  <c r="U21" i="11"/>
  <c r="P22" i="11"/>
  <c r="Y20" i="11"/>
  <c r="AC20" i="11"/>
  <c r="AC22" i="14"/>
  <c r="Y22" i="14"/>
  <c r="AI19" i="6"/>
  <c r="AJ19" i="6"/>
  <c r="AA22" i="10"/>
  <c r="AB22" i="10"/>
  <c r="V67" i="7"/>
  <c r="AG19" i="11"/>
  <c r="AD19" i="11"/>
  <c r="U22" i="20"/>
  <c r="Q22" i="20"/>
  <c r="R22" i="20"/>
  <c r="T22" i="20"/>
  <c r="V22" i="20"/>
  <c r="S22" i="20"/>
  <c r="P23" i="20"/>
  <c r="AC21" i="20"/>
  <c r="Y21" i="20"/>
  <c r="Z24" i="16"/>
  <c r="X24" i="16"/>
  <c r="W24" i="16"/>
  <c r="X21" i="19"/>
  <c r="Z21" i="19"/>
  <c r="W21" i="19"/>
  <c r="Z23" i="15"/>
  <c r="X23" i="15"/>
  <c r="W23" i="15"/>
  <c r="AI20" i="12"/>
  <c r="AJ20" i="12"/>
  <c r="AH19" i="13"/>
  <c r="AF19" i="13"/>
  <c r="AE19" i="13"/>
  <c r="AJ18" i="8"/>
  <c r="AI18" i="8"/>
  <c r="Z22" i="9"/>
  <c r="X22" i="9"/>
  <c r="W22" i="9"/>
  <c r="AC23" i="10"/>
  <c r="Y23" i="10"/>
  <c r="AC22" i="6"/>
  <c r="Y22" i="6"/>
  <c r="Z22" i="14"/>
  <c r="X22" i="14"/>
  <c r="W22" i="14"/>
  <c r="Y24" i="16"/>
  <c r="AC24" i="16"/>
  <c r="AH20" i="9"/>
  <c r="AF20" i="9"/>
  <c r="AE20" i="9"/>
  <c r="Y21" i="19"/>
  <c r="AC21" i="19"/>
  <c r="X24" i="18"/>
  <c r="W24" i="18"/>
  <c r="Z24" i="18"/>
  <c r="AH20" i="14"/>
  <c r="AF20" i="14"/>
  <c r="AE20" i="14"/>
  <c r="AD23" i="17"/>
  <c r="AG23" i="17"/>
  <c r="V23" i="12"/>
  <c r="AF22" i="17"/>
  <c r="AE22" i="17"/>
  <c r="AH22" i="17"/>
  <c r="V24" i="15"/>
  <c r="AG23" i="15"/>
  <c r="AD23" i="15"/>
  <c r="AB22" i="15"/>
  <c r="AA22" i="15"/>
  <c r="AA20" i="9"/>
  <c r="AB20" i="9"/>
  <c r="AB23" i="17"/>
  <c r="AA23" i="17"/>
  <c r="AI20" i="10"/>
  <c r="AJ20" i="10"/>
  <c r="AH22" i="16"/>
  <c r="AF22" i="16"/>
  <c r="AE22" i="16"/>
  <c r="AC21" i="8"/>
  <c r="Y21" i="8"/>
  <c r="W23" i="16"/>
  <c r="Z23" i="16"/>
  <c r="X23" i="16"/>
  <c r="AH22" i="15"/>
  <c r="AF22" i="15"/>
  <c r="AE22" i="15"/>
  <c r="W20" i="19"/>
  <c r="X20" i="19"/>
  <c r="Z20" i="19"/>
  <c r="AH18" i="11"/>
  <c r="AF18" i="11"/>
  <c r="AE18" i="11"/>
  <c r="T24" i="12"/>
  <c r="Q24" i="12"/>
  <c r="R24" i="12"/>
  <c r="U24" i="12"/>
  <c r="S24" i="12"/>
  <c r="P25" i="12"/>
  <c r="AC23" i="12"/>
  <c r="Y23" i="12"/>
  <c r="AB65" i="7"/>
  <c r="AA65" i="7"/>
  <c r="AE19" i="8"/>
  <c r="AH19" i="8"/>
  <c r="AF19" i="8"/>
  <c r="AB20" i="6"/>
  <c r="AA20" i="6"/>
  <c r="AC24" i="15"/>
  <c r="Y24" i="15"/>
  <c r="AB19" i="19"/>
  <c r="AA19" i="19"/>
  <c r="AG20" i="8"/>
  <c r="AD20" i="8"/>
  <c r="AG22" i="10"/>
  <c r="AD22" i="10"/>
  <c r="AI18" i="13"/>
  <c r="AJ18" i="13"/>
  <c r="AA19" i="8"/>
  <c r="AB19" i="8"/>
  <c r="AI19" i="9"/>
  <c r="AJ19" i="9"/>
  <c r="V23" i="10"/>
  <c r="S23" i="6"/>
  <c r="T23" i="6"/>
  <c r="V23" i="6"/>
  <c r="Q23" i="6"/>
  <c r="R23" i="6"/>
  <c r="U23" i="6"/>
  <c r="P24" i="6"/>
  <c r="U25" i="17"/>
  <c r="S25" i="17"/>
  <c r="T25" i="17"/>
  <c r="Q25" i="17"/>
  <c r="R25" i="17"/>
  <c r="P26" i="17"/>
  <c r="V24" i="17"/>
  <c r="AG21" i="6"/>
  <c r="AD21" i="6"/>
  <c r="AC67" i="7"/>
  <c r="Y67" i="7"/>
  <c r="AA22" i="12"/>
  <c r="AB22" i="12"/>
  <c r="AH20" i="6"/>
  <c r="AF20" i="6"/>
  <c r="AE20" i="6"/>
  <c r="AA66" i="7"/>
  <c r="AB66" i="7"/>
  <c r="AI20" i="6"/>
  <c r="AJ20" i="6"/>
  <c r="S26" i="17"/>
  <c r="T26" i="17"/>
  <c r="V26" i="17"/>
  <c r="Q26" i="17"/>
  <c r="R26" i="17"/>
  <c r="U26" i="17"/>
  <c r="P27" i="17"/>
  <c r="AJ19" i="8"/>
  <c r="AI19" i="8"/>
  <c r="AD21" i="8"/>
  <c r="AG21" i="8"/>
  <c r="AH23" i="15"/>
  <c r="AF23" i="15"/>
  <c r="AE23" i="15"/>
  <c r="AH23" i="17"/>
  <c r="AF23" i="17"/>
  <c r="AE23" i="17"/>
  <c r="AA24" i="18"/>
  <c r="AB24" i="18"/>
  <c r="AG24" i="16"/>
  <c r="AD24" i="16"/>
  <c r="AA22" i="14"/>
  <c r="AB22" i="14"/>
  <c r="AG23" i="10"/>
  <c r="AD23" i="10"/>
  <c r="AJ19" i="13"/>
  <c r="AI19" i="13"/>
  <c r="X22" i="20"/>
  <c r="Z22" i="20"/>
  <c r="W22" i="20"/>
  <c r="AG20" i="11"/>
  <c r="AD20" i="11"/>
  <c r="AC23" i="9"/>
  <c r="Y23" i="9"/>
  <c r="T24" i="9"/>
  <c r="V24" i="9"/>
  <c r="Q24" i="9"/>
  <c r="R24" i="9"/>
  <c r="U24" i="9"/>
  <c r="S24" i="9"/>
  <c r="P25" i="9"/>
  <c r="Z25" i="18"/>
  <c r="X25" i="18"/>
  <c r="W25" i="18"/>
  <c r="AA19" i="11"/>
  <c r="AB19" i="11"/>
  <c r="AB23" i="18"/>
  <c r="AA23" i="18"/>
  <c r="AH20" i="20"/>
  <c r="AE20" i="20"/>
  <c r="AF20" i="20"/>
  <c r="Z68" i="7"/>
  <c r="X68" i="7"/>
  <c r="W68" i="7"/>
  <c r="AH23" i="16"/>
  <c r="AF23" i="16"/>
  <c r="AE23" i="16"/>
  <c r="U23" i="8"/>
  <c r="S23" i="8"/>
  <c r="T23" i="8"/>
  <c r="Q23" i="8"/>
  <c r="R23" i="8"/>
  <c r="P24" i="8"/>
  <c r="Z22" i="8"/>
  <c r="X22" i="8"/>
  <c r="W22" i="8"/>
  <c r="AE22" i="12"/>
  <c r="AF22" i="12"/>
  <c r="AH22" i="12"/>
  <c r="Z25" i="15"/>
  <c r="X25" i="15"/>
  <c r="W25" i="15"/>
  <c r="S23" i="19"/>
  <c r="T23" i="19"/>
  <c r="V23" i="19"/>
  <c r="Q23" i="19"/>
  <c r="R23" i="19"/>
  <c r="U23" i="19"/>
  <c r="P24" i="19"/>
  <c r="AG67" i="7"/>
  <c r="AD67" i="7"/>
  <c r="AH21" i="6"/>
  <c r="AF21" i="6"/>
  <c r="AE21" i="6"/>
  <c r="T24" i="6"/>
  <c r="V24" i="6"/>
  <c r="Q24" i="6"/>
  <c r="R24" i="6"/>
  <c r="U24" i="6"/>
  <c r="S24" i="6"/>
  <c r="P25" i="6"/>
  <c r="AI18" i="11"/>
  <c r="AJ18" i="11"/>
  <c r="AB23" i="16"/>
  <c r="AA23" i="16"/>
  <c r="AA23" i="15"/>
  <c r="AB23" i="15"/>
  <c r="AD21" i="20"/>
  <c r="AG21" i="20"/>
  <c r="Z67" i="7"/>
  <c r="X67" i="7"/>
  <c r="W67" i="7"/>
  <c r="W21" i="11"/>
  <c r="X21" i="11"/>
  <c r="Z21" i="11"/>
  <c r="AI22" i="18"/>
  <c r="AJ22" i="18"/>
  <c r="Y25" i="18"/>
  <c r="AC25" i="18"/>
  <c r="AB21" i="20"/>
  <c r="AA21" i="20"/>
  <c r="AC68" i="7"/>
  <c r="Y68" i="7"/>
  <c r="Y22" i="8"/>
  <c r="AC22" i="8"/>
  <c r="AC25" i="15"/>
  <c r="Y25" i="15"/>
  <c r="T25" i="10"/>
  <c r="V25" i="10"/>
  <c r="Q25" i="10"/>
  <c r="R25" i="10"/>
  <c r="U25" i="10"/>
  <c r="P26" i="10"/>
  <c r="S25" i="10"/>
  <c r="W24" i="10"/>
  <c r="Z24" i="10"/>
  <c r="X24" i="10"/>
  <c r="AJ21" i="12"/>
  <c r="AI21" i="12"/>
  <c r="Z25" i="16"/>
  <c r="X25" i="16"/>
  <c r="W25" i="16"/>
  <c r="AG24" i="15"/>
  <c r="AD24" i="15"/>
  <c r="AC23" i="6"/>
  <c r="Y23" i="6"/>
  <c r="AG23" i="12"/>
  <c r="AD23" i="12"/>
  <c r="Z23" i="10"/>
  <c r="X23" i="10"/>
  <c r="W23" i="10"/>
  <c r="T25" i="12"/>
  <c r="Q25" i="12"/>
  <c r="R25" i="12"/>
  <c r="U25" i="12"/>
  <c r="S25" i="12"/>
  <c r="P26" i="12"/>
  <c r="V24" i="12"/>
  <c r="AB20" i="19"/>
  <c r="AA20" i="19"/>
  <c r="Z24" i="15"/>
  <c r="X24" i="15"/>
  <c r="W24" i="15"/>
  <c r="Z23" i="12"/>
  <c r="X23" i="12"/>
  <c r="W23" i="12"/>
  <c r="AG22" i="6"/>
  <c r="AD22" i="6"/>
  <c r="S23" i="20"/>
  <c r="U23" i="20"/>
  <c r="T23" i="20"/>
  <c r="V23" i="20"/>
  <c r="Q23" i="20"/>
  <c r="R23" i="20"/>
  <c r="P24" i="20"/>
  <c r="T22" i="11"/>
  <c r="Q22" i="11"/>
  <c r="R22" i="11"/>
  <c r="S22" i="11"/>
  <c r="U22" i="11"/>
  <c r="P23" i="11"/>
  <c r="AC21" i="11"/>
  <c r="Y21" i="11"/>
  <c r="AD24" i="18"/>
  <c r="AG24" i="18"/>
  <c r="S26" i="18"/>
  <c r="T26" i="18"/>
  <c r="V26" i="18"/>
  <c r="Q26" i="18"/>
  <c r="R26" i="18"/>
  <c r="U26" i="18"/>
  <c r="P27" i="18"/>
  <c r="AH23" i="18"/>
  <c r="AF23" i="18"/>
  <c r="AE23" i="18"/>
  <c r="P70" i="7"/>
  <c r="T69" i="7"/>
  <c r="V69" i="7"/>
  <c r="Q69" i="7"/>
  <c r="R69" i="7"/>
  <c r="U69" i="7"/>
  <c r="S69" i="7"/>
  <c r="V23" i="14"/>
  <c r="AB20" i="11"/>
  <c r="AA20" i="11"/>
  <c r="AG22" i="9"/>
  <c r="AD22" i="9"/>
  <c r="AB21" i="8"/>
  <c r="AA21" i="8"/>
  <c r="T26" i="15"/>
  <c r="V26" i="15"/>
  <c r="Q26" i="15"/>
  <c r="R26" i="15"/>
  <c r="U26" i="15"/>
  <c r="S26" i="15"/>
  <c r="P27" i="15"/>
  <c r="AI19" i="20"/>
  <c r="AJ19" i="20"/>
  <c r="AC24" i="10"/>
  <c r="Y24" i="10"/>
  <c r="AI19" i="19"/>
  <c r="AJ19" i="19"/>
  <c r="V22" i="19"/>
  <c r="AC25" i="16"/>
  <c r="Y25" i="16"/>
  <c r="Z23" i="6"/>
  <c r="X23" i="6"/>
  <c r="W23" i="6"/>
  <c r="AE22" i="10"/>
  <c r="AH22" i="10"/>
  <c r="AF22" i="10"/>
  <c r="V25" i="17"/>
  <c r="W24" i="17"/>
  <c r="Z24" i="17"/>
  <c r="X24" i="17"/>
  <c r="Y25" i="17"/>
  <c r="AC25" i="17"/>
  <c r="AH20" i="8"/>
  <c r="AF20" i="8"/>
  <c r="AE20" i="8"/>
  <c r="AC24" i="12"/>
  <c r="Y24" i="12"/>
  <c r="AI22" i="15"/>
  <c r="AJ22" i="15"/>
  <c r="AI22" i="16"/>
  <c r="AJ22" i="16"/>
  <c r="AI22" i="17"/>
  <c r="AJ22" i="17"/>
  <c r="AI20" i="14"/>
  <c r="AJ20" i="14"/>
  <c r="AD21" i="19"/>
  <c r="AG21" i="19"/>
  <c r="AJ20" i="9"/>
  <c r="AI20" i="9"/>
  <c r="AB22" i="9"/>
  <c r="AA22" i="9"/>
  <c r="AA21" i="19"/>
  <c r="AB21" i="19"/>
  <c r="AA24" i="16"/>
  <c r="AB24" i="16"/>
  <c r="Y22" i="20"/>
  <c r="AC22" i="20"/>
  <c r="AE19" i="11"/>
  <c r="AF19" i="11"/>
  <c r="AH19" i="11"/>
  <c r="AG22" i="14"/>
  <c r="AD22" i="14"/>
  <c r="Z22" i="6"/>
  <c r="X22" i="6"/>
  <c r="W22" i="6"/>
  <c r="V23" i="9"/>
  <c r="AH21" i="14"/>
  <c r="AF21" i="14"/>
  <c r="AE21" i="14"/>
  <c r="AH66" i="7"/>
  <c r="AF66" i="7"/>
  <c r="AE66" i="7"/>
  <c r="AH20" i="19"/>
  <c r="AF20" i="19"/>
  <c r="AE20" i="19"/>
  <c r="T24" i="14"/>
  <c r="V24" i="14"/>
  <c r="Q24" i="14"/>
  <c r="R24" i="14"/>
  <c r="U24" i="14"/>
  <c r="S24" i="14"/>
  <c r="P25" i="14"/>
  <c r="AC23" i="14"/>
  <c r="Y23" i="14"/>
  <c r="AI65" i="7"/>
  <c r="AJ65" i="7"/>
  <c r="AJ21" i="10"/>
  <c r="AI21" i="10"/>
  <c r="AE21" i="9"/>
  <c r="AH21" i="9"/>
  <c r="AF21" i="9"/>
  <c r="AD24" i="17"/>
  <c r="AG24" i="17"/>
  <c r="Y22" i="19"/>
  <c r="AC22" i="19"/>
  <c r="AA21" i="14"/>
  <c r="AB21" i="14"/>
  <c r="AJ21" i="9"/>
  <c r="AI21" i="9"/>
  <c r="AJ19" i="11"/>
  <c r="AI19" i="11"/>
  <c r="AD24" i="12"/>
  <c r="AG24" i="12"/>
  <c r="AG25" i="17"/>
  <c r="AD25" i="17"/>
  <c r="AH22" i="9"/>
  <c r="AF22" i="9"/>
  <c r="AE22" i="9"/>
  <c r="Z23" i="14"/>
  <c r="X23" i="14"/>
  <c r="W23" i="14"/>
  <c r="W69" i="7"/>
  <c r="Z69" i="7"/>
  <c r="X69" i="7"/>
  <c r="AI23" i="18"/>
  <c r="AJ23" i="18"/>
  <c r="Z26" i="18"/>
  <c r="X26" i="18"/>
  <c r="W26" i="18"/>
  <c r="Y22" i="11"/>
  <c r="AC22" i="11"/>
  <c r="AE22" i="6"/>
  <c r="AH22" i="6"/>
  <c r="AF22" i="6"/>
  <c r="AB23" i="12"/>
  <c r="AA23" i="12"/>
  <c r="Y25" i="12"/>
  <c r="AC25" i="12"/>
  <c r="AG22" i="8"/>
  <c r="AD22" i="8"/>
  <c r="T25" i="6"/>
  <c r="Q25" i="6"/>
  <c r="R25" i="6"/>
  <c r="U25" i="6"/>
  <c r="P26" i="6"/>
  <c r="S25" i="6"/>
  <c r="W24" i="6"/>
  <c r="Z24" i="6"/>
  <c r="X24" i="6"/>
  <c r="AE67" i="7"/>
  <c r="AH67" i="7"/>
  <c r="AF67" i="7"/>
  <c r="S24" i="8"/>
  <c r="T24" i="8"/>
  <c r="Q24" i="8"/>
  <c r="R24" i="8"/>
  <c r="U24" i="8"/>
  <c r="P25" i="8"/>
  <c r="AA25" i="18"/>
  <c r="AB25" i="18"/>
  <c r="AF20" i="11"/>
  <c r="AH20" i="11"/>
  <c r="AE20" i="11"/>
  <c r="AJ23" i="15"/>
  <c r="AI23" i="15"/>
  <c r="Z26" i="17"/>
  <c r="X26" i="17"/>
  <c r="W26" i="17"/>
  <c r="AC24" i="14"/>
  <c r="Y24" i="14"/>
  <c r="AA22" i="6"/>
  <c r="AB22" i="6"/>
  <c r="Z25" i="17"/>
  <c r="X25" i="17"/>
  <c r="W25" i="17"/>
  <c r="AG25" i="16"/>
  <c r="AD25" i="16"/>
  <c r="P28" i="15"/>
  <c r="T27" i="15"/>
  <c r="Q27" i="15"/>
  <c r="R27" i="15"/>
  <c r="U27" i="15"/>
  <c r="S27" i="15"/>
  <c r="W26" i="15"/>
  <c r="Z26" i="15"/>
  <c r="X26" i="15"/>
  <c r="AC69" i="7"/>
  <c r="Y69" i="7"/>
  <c r="T70" i="7"/>
  <c r="V70" i="7"/>
  <c r="Q70" i="7"/>
  <c r="R70" i="7"/>
  <c r="U70" i="7"/>
  <c r="S70" i="7"/>
  <c r="P71" i="7"/>
  <c r="T27" i="18"/>
  <c r="V27" i="18"/>
  <c r="Q27" i="18"/>
  <c r="R27" i="18"/>
  <c r="S27" i="18"/>
  <c r="U27" i="18"/>
  <c r="P28" i="18"/>
  <c r="AC26" i="18"/>
  <c r="Y26" i="18"/>
  <c r="AD21" i="11"/>
  <c r="AG21" i="11"/>
  <c r="Z23" i="20"/>
  <c r="X23" i="20"/>
  <c r="W23" i="20"/>
  <c r="Y25" i="10"/>
  <c r="AC25" i="10"/>
  <c r="Z25" i="10"/>
  <c r="X25" i="10"/>
  <c r="W25" i="10"/>
  <c r="AF21" i="20"/>
  <c r="AH21" i="20"/>
  <c r="AE21" i="20"/>
  <c r="AC24" i="6"/>
  <c r="Y24" i="6"/>
  <c r="Z23" i="19"/>
  <c r="X23" i="19"/>
  <c r="W23" i="19"/>
  <c r="AB25" i="15"/>
  <c r="AA25" i="15"/>
  <c r="AJ20" i="20"/>
  <c r="AI20" i="20"/>
  <c r="U25" i="9"/>
  <c r="S25" i="9"/>
  <c r="T25" i="9"/>
  <c r="V25" i="9"/>
  <c r="Q25" i="9"/>
  <c r="R25" i="9"/>
  <c r="P26" i="9"/>
  <c r="Z24" i="9"/>
  <c r="X24" i="9"/>
  <c r="W24" i="9"/>
  <c r="AI23" i="17"/>
  <c r="AJ23" i="17"/>
  <c r="T27" i="17"/>
  <c r="V27" i="17"/>
  <c r="Q27" i="17"/>
  <c r="R27" i="17"/>
  <c r="S27" i="17"/>
  <c r="U27" i="17"/>
  <c r="P28" i="17"/>
  <c r="AC26" i="17"/>
  <c r="Y26" i="17"/>
  <c r="T25" i="14"/>
  <c r="Q25" i="14"/>
  <c r="R25" i="14"/>
  <c r="U25" i="14"/>
  <c r="P26" i="14"/>
  <c r="S25" i="14"/>
  <c r="AJ66" i="7"/>
  <c r="AI66" i="7"/>
  <c r="W23" i="9"/>
  <c r="Z23" i="9"/>
  <c r="X23" i="9"/>
  <c r="AE22" i="14"/>
  <c r="AH22" i="14"/>
  <c r="AF22" i="14"/>
  <c r="AH21" i="19"/>
  <c r="AF21" i="19"/>
  <c r="AE21" i="19"/>
  <c r="Z22" i="19"/>
  <c r="X22" i="19"/>
  <c r="W22" i="19"/>
  <c r="AD24" i="10"/>
  <c r="AG24" i="10"/>
  <c r="AC26" i="15"/>
  <c r="Y26" i="15"/>
  <c r="U23" i="11"/>
  <c r="S23" i="11"/>
  <c r="T23" i="11"/>
  <c r="V23" i="11"/>
  <c r="Q23" i="11"/>
  <c r="R23" i="11"/>
  <c r="P24" i="11"/>
  <c r="V22" i="11"/>
  <c r="W24" i="12"/>
  <c r="Z24" i="12"/>
  <c r="X24" i="12"/>
  <c r="AB23" i="10"/>
  <c r="AA23" i="10"/>
  <c r="AG23" i="6"/>
  <c r="AD23" i="6"/>
  <c r="U26" i="10"/>
  <c r="S26" i="10"/>
  <c r="P27" i="10"/>
  <c r="T26" i="10"/>
  <c r="Q26" i="10"/>
  <c r="R26" i="10"/>
  <c r="AG25" i="18"/>
  <c r="AD25" i="18"/>
  <c r="AB21" i="11"/>
  <c r="AA21" i="11"/>
  <c r="T24" i="19"/>
  <c r="V24" i="19"/>
  <c r="Q24" i="19"/>
  <c r="R24" i="19"/>
  <c r="S24" i="19"/>
  <c r="U24" i="19"/>
  <c r="P25" i="19"/>
  <c r="AC23" i="19"/>
  <c r="Y23" i="19"/>
  <c r="AJ22" i="12"/>
  <c r="AI22" i="12"/>
  <c r="V23" i="8"/>
  <c r="AB68" i="7"/>
  <c r="AA68" i="7"/>
  <c r="Y24" i="9"/>
  <c r="AC24" i="9"/>
  <c r="AH21" i="8"/>
  <c r="AF21" i="8"/>
  <c r="AE21" i="8"/>
  <c r="W24" i="14"/>
  <c r="Z24" i="14"/>
  <c r="X24" i="14"/>
  <c r="AJ21" i="14"/>
  <c r="AI21" i="14"/>
  <c r="AH24" i="17"/>
  <c r="AF24" i="17"/>
  <c r="AE24" i="17"/>
  <c r="AG22" i="19"/>
  <c r="AD22" i="19"/>
  <c r="AG23" i="14"/>
  <c r="AD23" i="14"/>
  <c r="AI20" i="19"/>
  <c r="AJ20" i="19"/>
  <c r="AG22" i="20"/>
  <c r="AD22" i="20"/>
  <c r="AI20" i="8"/>
  <c r="AJ20" i="8"/>
  <c r="AA24" i="17"/>
  <c r="AB24" i="17"/>
  <c r="AJ22" i="10"/>
  <c r="AI22" i="10"/>
  <c r="AB23" i="6"/>
  <c r="AA23" i="6"/>
  <c r="AH24" i="18"/>
  <c r="AF24" i="18"/>
  <c r="AE24" i="18"/>
  <c r="U24" i="20"/>
  <c r="S24" i="20"/>
  <c r="T24" i="20"/>
  <c r="Q24" i="20"/>
  <c r="R24" i="20"/>
  <c r="P25" i="20"/>
  <c r="Y23" i="20"/>
  <c r="AC23" i="20"/>
  <c r="AA24" i="15"/>
  <c r="AB24" i="15"/>
  <c r="U26" i="12"/>
  <c r="S26" i="12"/>
  <c r="T26" i="12"/>
  <c r="Q26" i="12"/>
  <c r="R26" i="12"/>
  <c r="P27" i="12"/>
  <c r="V25" i="12"/>
  <c r="AH23" i="12"/>
  <c r="AF23" i="12"/>
  <c r="AE23" i="12"/>
  <c r="AE24" i="15"/>
  <c r="AH24" i="15"/>
  <c r="AF24" i="15"/>
  <c r="AA25" i="16"/>
  <c r="AB25" i="16"/>
  <c r="AB24" i="10"/>
  <c r="AA24" i="10"/>
  <c r="AG25" i="15"/>
  <c r="AD25" i="15"/>
  <c r="AG68" i="7"/>
  <c r="AD68" i="7"/>
  <c r="AA67" i="7"/>
  <c r="AB67" i="7"/>
  <c r="AJ21" i="6"/>
  <c r="AI21" i="6"/>
  <c r="AA22" i="8"/>
  <c r="AB22" i="8"/>
  <c r="AC23" i="8"/>
  <c r="Y23" i="8"/>
  <c r="AI23" i="16"/>
  <c r="AJ23" i="16"/>
  <c r="AD23" i="9"/>
  <c r="AG23" i="9"/>
  <c r="AA22" i="20"/>
  <c r="AB22" i="20"/>
  <c r="AH23" i="10"/>
  <c r="AF23" i="10"/>
  <c r="AE23" i="10"/>
  <c r="AH24" i="16"/>
  <c r="AF24" i="16"/>
  <c r="AE24" i="16"/>
  <c r="S27" i="12"/>
  <c r="T27" i="12"/>
  <c r="Q27" i="12"/>
  <c r="R27" i="12"/>
  <c r="U27" i="12"/>
  <c r="P28" i="12"/>
  <c r="AG26" i="17"/>
  <c r="AD26" i="17"/>
  <c r="AD24" i="6"/>
  <c r="AG24" i="6"/>
  <c r="T28" i="18"/>
  <c r="Q28" i="18"/>
  <c r="R28" i="18"/>
  <c r="U28" i="18"/>
  <c r="S28" i="18"/>
  <c r="P29" i="18"/>
  <c r="AB26" i="18"/>
  <c r="AA26" i="18"/>
  <c r="AB23" i="14"/>
  <c r="AA23" i="14"/>
  <c r="AH68" i="7"/>
  <c r="AF68" i="7"/>
  <c r="AE68" i="7"/>
  <c r="AE22" i="20"/>
  <c r="AF22" i="20"/>
  <c r="AH22" i="20"/>
  <c r="X23" i="11"/>
  <c r="Z23" i="11"/>
  <c r="W23" i="11"/>
  <c r="Z25" i="9"/>
  <c r="X25" i="9"/>
  <c r="W25" i="9"/>
  <c r="AJ67" i="7"/>
  <c r="AI67" i="7"/>
  <c r="AG25" i="12"/>
  <c r="AD25" i="12"/>
  <c r="Z23" i="8"/>
  <c r="X23" i="8"/>
  <c r="W23" i="8"/>
  <c r="AG23" i="19"/>
  <c r="AD23" i="19"/>
  <c r="AE25" i="18"/>
  <c r="AF25" i="18"/>
  <c r="AH25" i="18"/>
  <c r="AB24" i="12"/>
  <c r="AA24" i="12"/>
  <c r="AE25" i="16"/>
  <c r="AH25" i="16"/>
  <c r="AF25" i="16"/>
  <c r="AA25" i="17"/>
  <c r="AB25" i="17"/>
  <c r="AD24" i="14"/>
  <c r="AG24" i="14"/>
  <c r="AB24" i="6"/>
  <c r="AA24" i="6"/>
  <c r="AE25" i="17"/>
  <c r="AH25" i="17"/>
  <c r="AF25" i="17"/>
  <c r="T25" i="20"/>
  <c r="Q25" i="20"/>
  <c r="R25" i="20"/>
  <c r="U25" i="20"/>
  <c r="S25" i="20"/>
  <c r="P26" i="20"/>
  <c r="T25" i="19"/>
  <c r="S25" i="19"/>
  <c r="U25" i="19"/>
  <c r="Q25" i="19"/>
  <c r="R25" i="19"/>
  <c r="P26" i="19"/>
  <c r="AD26" i="15"/>
  <c r="AG26" i="15"/>
  <c r="P72" i="7"/>
  <c r="U71" i="7"/>
  <c r="S71" i="7"/>
  <c r="T71" i="7"/>
  <c r="V71" i="7"/>
  <c r="Q71" i="7"/>
  <c r="R71" i="7"/>
  <c r="AI23" i="10"/>
  <c r="AJ23" i="10"/>
  <c r="Y25" i="14"/>
  <c r="AC25" i="14"/>
  <c r="AC24" i="20"/>
  <c r="Y24" i="20"/>
  <c r="AJ24" i="18"/>
  <c r="AI24" i="18"/>
  <c r="AG24" i="9"/>
  <c r="AD24" i="9"/>
  <c r="S27" i="10"/>
  <c r="T27" i="10"/>
  <c r="Q27" i="10"/>
  <c r="R27" i="10"/>
  <c r="U27" i="10"/>
  <c r="P28" i="10"/>
  <c r="W27" i="18"/>
  <c r="X27" i="18"/>
  <c r="Z27" i="18"/>
  <c r="AD22" i="11"/>
  <c r="AG22" i="11"/>
  <c r="AB69" i="7"/>
  <c r="AA69" i="7"/>
  <c r="AH23" i="14"/>
  <c r="AF23" i="14"/>
  <c r="AE23" i="14"/>
  <c r="W24" i="19"/>
  <c r="Z24" i="19"/>
  <c r="X24" i="19"/>
  <c r="AC26" i="10"/>
  <c r="Y26" i="10"/>
  <c r="AJ21" i="19"/>
  <c r="AI21" i="19"/>
  <c r="T28" i="17"/>
  <c r="Q28" i="17"/>
  <c r="R28" i="17"/>
  <c r="U28" i="17"/>
  <c r="S28" i="17"/>
  <c r="P29" i="17"/>
  <c r="W27" i="17"/>
  <c r="Z27" i="17"/>
  <c r="X27" i="17"/>
  <c r="AH21" i="11"/>
  <c r="AE21" i="11"/>
  <c r="AF21" i="11"/>
  <c r="Z70" i="7"/>
  <c r="X70" i="7"/>
  <c r="W70" i="7"/>
  <c r="AB26" i="15"/>
  <c r="AA26" i="15"/>
  <c r="AH23" i="9"/>
  <c r="AF23" i="9"/>
  <c r="AE23" i="9"/>
  <c r="AG23" i="8"/>
  <c r="AD23" i="8"/>
  <c r="AJ24" i="15"/>
  <c r="AI24" i="15"/>
  <c r="AI23" i="12"/>
  <c r="AJ23" i="12"/>
  <c r="V26" i="12"/>
  <c r="X22" i="11"/>
  <c r="Z22" i="11"/>
  <c r="W22" i="11"/>
  <c r="AC23" i="11"/>
  <c r="Y23" i="11"/>
  <c r="AA22" i="19"/>
  <c r="AB22" i="19"/>
  <c r="AB23" i="9"/>
  <c r="AA23" i="9"/>
  <c r="V25" i="14"/>
  <c r="AA24" i="9"/>
  <c r="AB24" i="9"/>
  <c r="AC25" i="9"/>
  <c r="Y25" i="9"/>
  <c r="AB23" i="19"/>
  <c r="AA23" i="19"/>
  <c r="AI21" i="20"/>
  <c r="AJ21" i="20"/>
  <c r="AA25" i="10"/>
  <c r="AB25" i="10"/>
  <c r="AC27" i="18"/>
  <c r="Y27" i="18"/>
  <c r="Y70" i="7"/>
  <c r="AC70" i="7"/>
  <c r="V27" i="15"/>
  <c r="V24" i="8"/>
  <c r="Y25" i="6"/>
  <c r="AC25" i="6"/>
  <c r="V25" i="6"/>
  <c r="AJ22" i="6"/>
  <c r="AI22" i="6"/>
  <c r="AJ24" i="16"/>
  <c r="AI24" i="16"/>
  <c r="AH25" i="15"/>
  <c r="AF25" i="15"/>
  <c r="AE25" i="15"/>
  <c r="Z25" i="12"/>
  <c r="X25" i="12"/>
  <c r="W25" i="12"/>
  <c r="AC26" i="12"/>
  <c r="Y26" i="12"/>
  <c r="AG23" i="20"/>
  <c r="AD23" i="20"/>
  <c r="V24" i="20"/>
  <c r="AE22" i="19"/>
  <c r="AH22" i="19"/>
  <c r="AF22" i="19"/>
  <c r="AJ24" i="17"/>
  <c r="AI24" i="17"/>
  <c r="AB24" i="14"/>
  <c r="AA24" i="14"/>
  <c r="AI21" i="8"/>
  <c r="AJ21" i="8"/>
  <c r="AC24" i="19"/>
  <c r="Y24" i="19"/>
  <c r="V26" i="10"/>
  <c r="AH23" i="6"/>
  <c r="AF23" i="6"/>
  <c r="AE23" i="6"/>
  <c r="S24" i="11"/>
  <c r="T24" i="11"/>
  <c r="V24" i="11"/>
  <c r="Q24" i="11"/>
  <c r="R24" i="11"/>
  <c r="U24" i="11"/>
  <c r="P25" i="11"/>
  <c r="AH24" i="10"/>
  <c r="AF24" i="10"/>
  <c r="AE24" i="10"/>
  <c r="AJ22" i="14"/>
  <c r="AI22" i="14"/>
  <c r="U26" i="14"/>
  <c r="S26" i="14"/>
  <c r="P27" i="14"/>
  <c r="T26" i="14"/>
  <c r="V26" i="14"/>
  <c r="Q26" i="14"/>
  <c r="R26" i="14"/>
  <c r="AC27" i="17"/>
  <c r="Y27" i="17"/>
  <c r="P27" i="9"/>
  <c r="S26" i="9"/>
  <c r="T26" i="9"/>
  <c r="Q26" i="9"/>
  <c r="R26" i="9"/>
  <c r="U26" i="9"/>
  <c r="AG25" i="10"/>
  <c r="AD25" i="10"/>
  <c r="AA23" i="20"/>
  <c r="AB23" i="20"/>
  <c r="AG26" i="18"/>
  <c r="AD26" i="18"/>
  <c r="AD69" i="7"/>
  <c r="AG69" i="7"/>
  <c r="Y27" i="15"/>
  <c r="AC27" i="15"/>
  <c r="U28" i="15"/>
  <c r="S28" i="15"/>
  <c r="T28" i="15"/>
  <c r="Q28" i="15"/>
  <c r="R28" i="15"/>
  <c r="P29" i="15"/>
  <c r="AB26" i="17"/>
  <c r="AA26" i="17"/>
  <c r="AJ20" i="11"/>
  <c r="AI20" i="11"/>
  <c r="T25" i="8"/>
  <c r="V25" i="8"/>
  <c r="Q25" i="8"/>
  <c r="R25" i="8"/>
  <c r="U25" i="8"/>
  <c r="S25" i="8"/>
  <c r="P26" i="8"/>
  <c r="AC24" i="8"/>
  <c r="Y24" i="8"/>
  <c r="U26" i="6"/>
  <c r="S26" i="6"/>
  <c r="P27" i="6"/>
  <c r="T26" i="6"/>
  <c r="V26" i="6"/>
  <c r="Q26" i="6"/>
  <c r="R26" i="6"/>
  <c r="AH22" i="8"/>
  <c r="AF22" i="8"/>
  <c r="AE22" i="8"/>
  <c r="AI22" i="9"/>
  <c r="AJ22" i="9"/>
  <c r="AH24" i="12"/>
  <c r="AF24" i="12"/>
  <c r="AE24" i="12"/>
  <c r="P28" i="9"/>
  <c r="T27" i="9"/>
  <c r="Q27" i="9"/>
  <c r="R27" i="9"/>
  <c r="U27" i="9"/>
  <c r="S27" i="9"/>
  <c r="Z24" i="11"/>
  <c r="X24" i="11"/>
  <c r="W24" i="11"/>
  <c r="AA25" i="12"/>
  <c r="AB25" i="12"/>
  <c r="Z27" i="15"/>
  <c r="X27" i="15"/>
  <c r="W27" i="15"/>
  <c r="AG25" i="9"/>
  <c r="AD25" i="9"/>
  <c r="AB27" i="17"/>
  <c r="AA27" i="17"/>
  <c r="AC27" i="10"/>
  <c r="Y27" i="10"/>
  <c r="AA25" i="9"/>
  <c r="AB25" i="9"/>
  <c r="AJ22" i="20"/>
  <c r="AI22" i="20"/>
  <c r="AJ22" i="8"/>
  <c r="AI22" i="8"/>
  <c r="AC28" i="15"/>
  <c r="Y28" i="15"/>
  <c r="Z26" i="14"/>
  <c r="X26" i="14"/>
  <c r="W26" i="14"/>
  <c r="AI24" i="10"/>
  <c r="AJ24" i="10"/>
  <c r="AI23" i="6"/>
  <c r="AJ23" i="6"/>
  <c r="Z25" i="6"/>
  <c r="X25" i="6"/>
  <c r="W25" i="6"/>
  <c r="AD27" i="18"/>
  <c r="AG27" i="18"/>
  <c r="AB24" i="19"/>
  <c r="AA24" i="19"/>
  <c r="AI23" i="14"/>
  <c r="AJ23" i="14"/>
  <c r="AH22" i="11"/>
  <c r="AF22" i="11"/>
  <c r="AE22" i="11"/>
  <c r="T28" i="10"/>
  <c r="V28" i="10"/>
  <c r="Q28" i="10"/>
  <c r="R28" i="10"/>
  <c r="U28" i="10"/>
  <c r="S28" i="10"/>
  <c r="P29" i="10"/>
  <c r="Z71" i="7"/>
  <c r="X71" i="7"/>
  <c r="W71" i="7"/>
  <c r="Y25" i="20"/>
  <c r="AC25" i="20"/>
  <c r="AH24" i="6"/>
  <c r="AF24" i="6"/>
  <c r="AE24" i="6"/>
  <c r="AC25" i="8"/>
  <c r="Y25" i="8"/>
  <c r="S29" i="15"/>
  <c r="T29" i="15"/>
  <c r="Q29" i="15"/>
  <c r="R29" i="15"/>
  <c r="U29" i="15"/>
  <c r="P30" i="15"/>
  <c r="AH69" i="7"/>
  <c r="AF69" i="7"/>
  <c r="AE69" i="7"/>
  <c r="S27" i="14"/>
  <c r="T27" i="14"/>
  <c r="Q27" i="14"/>
  <c r="R27" i="14"/>
  <c r="U27" i="14"/>
  <c r="P28" i="14"/>
  <c r="U25" i="11"/>
  <c r="S25" i="11"/>
  <c r="T25" i="11"/>
  <c r="V25" i="11"/>
  <c r="Q25" i="11"/>
  <c r="R25" i="11"/>
  <c r="P26" i="11"/>
  <c r="AC24" i="11"/>
  <c r="Y24" i="11"/>
  <c r="Z26" i="10"/>
  <c r="X26" i="10"/>
  <c r="W26" i="10"/>
  <c r="W24" i="20"/>
  <c r="Z24" i="20"/>
  <c r="X24" i="20"/>
  <c r="AG26" i="12"/>
  <c r="AD26" i="12"/>
  <c r="AG25" i="6"/>
  <c r="AD25" i="6"/>
  <c r="AG70" i="7"/>
  <c r="AD70" i="7"/>
  <c r="AD23" i="11"/>
  <c r="AG23" i="11"/>
  <c r="Z26" i="12"/>
  <c r="X26" i="12"/>
  <c r="W26" i="12"/>
  <c r="AB27" i="18"/>
  <c r="AA27" i="18"/>
  <c r="AH24" i="9"/>
  <c r="AF24" i="9"/>
  <c r="AE24" i="9"/>
  <c r="AC71" i="7"/>
  <c r="Y71" i="7"/>
  <c r="AH26" i="15"/>
  <c r="AF26" i="15"/>
  <c r="AE26" i="15"/>
  <c r="Y25" i="19"/>
  <c r="AC25" i="19"/>
  <c r="AJ25" i="17"/>
  <c r="AI25" i="17"/>
  <c r="AF23" i="19"/>
  <c r="AE23" i="19"/>
  <c r="AH23" i="19"/>
  <c r="AA23" i="8"/>
  <c r="AB23" i="8"/>
  <c r="AI68" i="7"/>
  <c r="AJ68" i="7"/>
  <c r="AF26" i="17"/>
  <c r="AE26" i="17"/>
  <c r="AH26" i="17"/>
  <c r="W25" i="8"/>
  <c r="Z25" i="8"/>
  <c r="X25" i="8"/>
  <c r="Z26" i="6"/>
  <c r="X26" i="6"/>
  <c r="W26" i="6"/>
  <c r="AH25" i="10"/>
  <c r="AF25" i="10"/>
  <c r="AE25" i="10"/>
  <c r="V28" i="17"/>
  <c r="V25" i="19"/>
  <c r="AJ25" i="16"/>
  <c r="AI25" i="16"/>
  <c r="AA23" i="11"/>
  <c r="AB23" i="11"/>
  <c r="U29" i="18"/>
  <c r="S29" i="18"/>
  <c r="T29" i="18"/>
  <c r="V29" i="18"/>
  <c r="Q29" i="18"/>
  <c r="R29" i="18"/>
  <c r="P30" i="18"/>
  <c r="AC26" i="6"/>
  <c r="Y26" i="6"/>
  <c r="T26" i="8"/>
  <c r="Q26" i="8"/>
  <c r="R26" i="8"/>
  <c r="U26" i="8"/>
  <c r="S26" i="8"/>
  <c r="P27" i="8"/>
  <c r="AG27" i="15"/>
  <c r="AD27" i="15"/>
  <c r="AH26" i="18"/>
  <c r="AF26" i="18"/>
  <c r="AE26" i="18"/>
  <c r="V26" i="9"/>
  <c r="AD27" i="17"/>
  <c r="AG27" i="17"/>
  <c r="AC26" i="14"/>
  <c r="Y26" i="14"/>
  <c r="AF23" i="20"/>
  <c r="AE23" i="20"/>
  <c r="AH23" i="20"/>
  <c r="AE23" i="8"/>
  <c r="AH23" i="8"/>
  <c r="AF23" i="8"/>
  <c r="AI23" i="9"/>
  <c r="AJ23" i="9"/>
  <c r="AI21" i="11"/>
  <c r="AJ21" i="11"/>
  <c r="U29" i="17"/>
  <c r="S29" i="17"/>
  <c r="T29" i="17"/>
  <c r="Q29" i="17"/>
  <c r="R29" i="17"/>
  <c r="P30" i="17"/>
  <c r="AG26" i="10"/>
  <c r="AD26" i="10"/>
  <c r="AD24" i="20"/>
  <c r="AG24" i="20"/>
  <c r="U26" i="19"/>
  <c r="S26" i="19"/>
  <c r="Q26" i="19"/>
  <c r="R26" i="19"/>
  <c r="T26" i="19"/>
  <c r="P27" i="19"/>
  <c r="AH24" i="14"/>
  <c r="AF24" i="14"/>
  <c r="AE24" i="14"/>
  <c r="AJ25" i="18"/>
  <c r="AI25" i="18"/>
  <c r="AH25" i="12"/>
  <c r="AF25" i="12"/>
  <c r="AE25" i="12"/>
  <c r="V28" i="18"/>
  <c r="V27" i="12"/>
  <c r="AI24" i="12"/>
  <c r="AJ24" i="12"/>
  <c r="S27" i="6"/>
  <c r="T27" i="6"/>
  <c r="Q27" i="6"/>
  <c r="R27" i="6"/>
  <c r="U27" i="6"/>
  <c r="P28" i="6"/>
  <c r="AG24" i="8"/>
  <c r="AD24" i="8"/>
  <c r="V28" i="15"/>
  <c r="AC26" i="9"/>
  <c r="Y26" i="9"/>
  <c r="AD24" i="19"/>
  <c r="AG24" i="19"/>
  <c r="AJ22" i="19"/>
  <c r="AI22" i="19"/>
  <c r="AI25" i="15"/>
  <c r="AJ25" i="15"/>
  <c r="Z24" i="8"/>
  <c r="X24" i="8"/>
  <c r="W24" i="8"/>
  <c r="Z25" i="14"/>
  <c r="X25" i="14"/>
  <c r="W25" i="14"/>
  <c r="AB22" i="11"/>
  <c r="AA22" i="11"/>
  <c r="AA70" i="7"/>
  <c r="AB70" i="7"/>
  <c r="Y28" i="17"/>
  <c r="AC28" i="17"/>
  <c r="V27" i="10"/>
  <c r="AG25" i="14"/>
  <c r="AD25" i="14"/>
  <c r="P73" i="7"/>
  <c r="S72" i="7"/>
  <c r="T72" i="7"/>
  <c r="Q72" i="7"/>
  <c r="R72" i="7"/>
  <c r="U72" i="7"/>
  <c r="U26" i="20"/>
  <c r="T26" i="20"/>
  <c r="Q26" i="20"/>
  <c r="R26" i="20"/>
  <c r="S26" i="20"/>
  <c r="P27" i="20"/>
  <c r="V25" i="20"/>
  <c r="Y28" i="18"/>
  <c r="AC28" i="18"/>
  <c r="T28" i="12"/>
  <c r="Q28" i="12"/>
  <c r="R28" i="12"/>
  <c r="U28" i="12"/>
  <c r="S28" i="12"/>
  <c r="P29" i="12"/>
  <c r="AC27" i="12"/>
  <c r="Y27" i="12"/>
  <c r="AC26" i="20"/>
  <c r="Y26" i="20"/>
  <c r="T29" i="12"/>
  <c r="V29" i="12"/>
  <c r="Q29" i="12"/>
  <c r="R29" i="12"/>
  <c r="U29" i="12"/>
  <c r="S29" i="12"/>
  <c r="P30" i="12"/>
  <c r="V28" i="12"/>
  <c r="S27" i="20"/>
  <c r="U27" i="20"/>
  <c r="T27" i="20"/>
  <c r="Q27" i="20"/>
  <c r="R27" i="20"/>
  <c r="P28" i="20"/>
  <c r="AC72" i="7"/>
  <c r="Y72" i="7"/>
  <c r="Z27" i="10"/>
  <c r="X27" i="10"/>
  <c r="W27" i="10"/>
  <c r="AB24" i="8"/>
  <c r="AA24" i="8"/>
  <c r="AG26" i="9"/>
  <c r="AD26" i="9"/>
  <c r="T28" i="6"/>
  <c r="V28" i="6"/>
  <c r="Q28" i="6"/>
  <c r="R28" i="6"/>
  <c r="U28" i="6"/>
  <c r="S28" i="6"/>
  <c r="P29" i="6"/>
  <c r="AC27" i="6"/>
  <c r="Y27" i="6"/>
  <c r="X28" i="18"/>
  <c r="W28" i="18"/>
  <c r="Z28" i="18"/>
  <c r="AI24" i="14"/>
  <c r="AJ24" i="14"/>
  <c r="AC26" i="19"/>
  <c r="Y26" i="19"/>
  <c r="AE26" i="10"/>
  <c r="AH26" i="10"/>
  <c r="AF26" i="10"/>
  <c r="V29" i="17"/>
  <c r="AJ23" i="8"/>
  <c r="AI23" i="8"/>
  <c r="AH27" i="17"/>
  <c r="AF27" i="17"/>
  <c r="AE27" i="17"/>
  <c r="AI26" i="18"/>
  <c r="AJ26" i="18"/>
  <c r="Y26" i="8"/>
  <c r="AC26" i="8"/>
  <c r="Z29" i="18"/>
  <c r="X29" i="18"/>
  <c r="W29" i="18"/>
  <c r="W28" i="17"/>
  <c r="Z28" i="17"/>
  <c r="X28" i="17"/>
  <c r="AB25" i="8"/>
  <c r="AA25" i="8"/>
  <c r="AG71" i="7"/>
  <c r="AD71" i="7"/>
  <c r="AA26" i="12"/>
  <c r="AB26" i="12"/>
  <c r="AG24" i="11"/>
  <c r="AD24" i="11"/>
  <c r="AC25" i="11"/>
  <c r="Y25" i="11"/>
  <c r="AD25" i="8"/>
  <c r="AG25" i="8"/>
  <c r="AG25" i="20"/>
  <c r="AD25" i="20"/>
  <c r="AA71" i="7"/>
  <c r="AB71" i="7"/>
  <c r="AJ22" i="11"/>
  <c r="AI22" i="11"/>
  <c r="AA26" i="14"/>
  <c r="AB26" i="14"/>
  <c r="P74" i="7"/>
  <c r="T73" i="7"/>
  <c r="Q73" i="7"/>
  <c r="R73" i="7"/>
  <c r="U73" i="7"/>
  <c r="S73" i="7"/>
  <c r="AD28" i="17"/>
  <c r="AG28" i="17"/>
  <c r="AA25" i="14"/>
  <c r="AB25" i="14"/>
  <c r="Z28" i="15"/>
  <c r="X28" i="15"/>
  <c r="W28" i="15"/>
  <c r="S27" i="19"/>
  <c r="T27" i="19"/>
  <c r="Q27" i="19"/>
  <c r="R27" i="19"/>
  <c r="U27" i="19"/>
  <c r="P28" i="19"/>
  <c r="Y29" i="17"/>
  <c r="AC29" i="17"/>
  <c r="Z26" i="9"/>
  <c r="X26" i="9"/>
  <c r="W26" i="9"/>
  <c r="AH27" i="15"/>
  <c r="AF27" i="15"/>
  <c r="AE27" i="15"/>
  <c r="AG26" i="6"/>
  <c r="AD26" i="6"/>
  <c r="Y29" i="18"/>
  <c r="AC29" i="18"/>
  <c r="AI23" i="19"/>
  <c r="AJ23" i="19"/>
  <c r="AH25" i="6"/>
  <c r="AF25" i="6"/>
  <c r="AE25" i="6"/>
  <c r="T26" i="11"/>
  <c r="Q26" i="11"/>
  <c r="R26" i="11"/>
  <c r="U26" i="11"/>
  <c r="S26" i="11"/>
  <c r="P27" i="11"/>
  <c r="V27" i="14"/>
  <c r="AI69" i="7"/>
  <c r="AJ69" i="7"/>
  <c r="V29" i="15"/>
  <c r="T29" i="10"/>
  <c r="V29" i="10"/>
  <c r="Q29" i="10"/>
  <c r="R29" i="10"/>
  <c r="U29" i="10"/>
  <c r="P30" i="10"/>
  <c r="S29" i="10"/>
  <c r="W28" i="10"/>
  <c r="Z28" i="10"/>
  <c r="X28" i="10"/>
  <c r="AA25" i="6"/>
  <c r="AB25" i="6"/>
  <c r="AE25" i="9"/>
  <c r="AH25" i="9"/>
  <c r="AF25" i="9"/>
  <c r="AA27" i="15"/>
  <c r="AB27" i="15"/>
  <c r="AC28" i="12"/>
  <c r="Y28" i="12"/>
  <c r="AD28" i="18"/>
  <c r="AG28" i="18"/>
  <c r="AH25" i="14"/>
  <c r="AF25" i="14"/>
  <c r="AE25" i="14"/>
  <c r="AH24" i="19"/>
  <c r="AF24" i="19"/>
  <c r="AE24" i="19"/>
  <c r="AH24" i="8"/>
  <c r="AF24" i="8"/>
  <c r="AE24" i="8"/>
  <c r="V26" i="19"/>
  <c r="S30" i="17"/>
  <c r="T30" i="17"/>
  <c r="Q30" i="17"/>
  <c r="R30" i="17"/>
  <c r="U30" i="17"/>
  <c r="P31" i="17"/>
  <c r="AJ23" i="20"/>
  <c r="AI23" i="20"/>
  <c r="AG26" i="14"/>
  <c r="AD26" i="14"/>
  <c r="S30" i="18"/>
  <c r="T30" i="18"/>
  <c r="Q30" i="18"/>
  <c r="R30" i="18"/>
  <c r="U30" i="18"/>
  <c r="P31" i="18"/>
  <c r="AA26" i="6"/>
  <c r="AB26" i="6"/>
  <c r="AI26" i="17"/>
  <c r="AJ26" i="17"/>
  <c r="AG25" i="19"/>
  <c r="AD25" i="19"/>
  <c r="AI26" i="15"/>
  <c r="AJ26" i="15"/>
  <c r="AE23" i="11"/>
  <c r="AF23" i="11"/>
  <c r="AH23" i="11"/>
  <c r="AB24" i="20"/>
  <c r="AA24" i="20"/>
  <c r="AA26" i="10"/>
  <c r="AB26" i="10"/>
  <c r="T28" i="14"/>
  <c r="Q28" i="14"/>
  <c r="R28" i="14"/>
  <c r="U28" i="14"/>
  <c r="S28" i="14"/>
  <c r="P29" i="14"/>
  <c r="AC27" i="14"/>
  <c r="Y27" i="14"/>
  <c r="P31" i="15"/>
  <c r="T30" i="15"/>
  <c r="Q30" i="15"/>
  <c r="R30" i="15"/>
  <c r="U30" i="15"/>
  <c r="S30" i="15"/>
  <c r="AC29" i="15"/>
  <c r="Y29" i="15"/>
  <c r="AC28" i="10"/>
  <c r="Y28" i="10"/>
  <c r="AH27" i="18"/>
  <c r="AF27" i="18"/>
  <c r="AE27" i="18"/>
  <c r="AG28" i="15"/>
  <c r="AD28" i="15"/>
  <c r="AG27" i="10"/>
  <c r="AD27" i="10"/>
  <c r="AA24" i="11"/>
  <c r="AB24" i="11"/>
  <c r="V27" i="9"/>
  <c r="AG27" i="12"/>
  <c r="AD27" i="12"/>
  <c r="X25" i="20"/>
  <c r="Z25" i="20"/>
  <c r="W25" i="20"/>
  <c r="V26" i="20"/>
  <c r="V72" i="7"/>
  <c r="V27" i="6"/>
  <c r="Z27" i="12"/>
  <c r="X27" i="12"/>
  <c r="W27" i="12"/>
  <c r="AJ25" i="12"/>
  <c r="AI25" i="12"/>
  <c r="AH24" i="20"/>
  <c r="AE24" i="20"/>
  <c r="AF24" i="20"/>
  <c r="U27" i="8"/>
  <c r="S27" i="8"/>
  <c r="T27" i="8"/>
  <c r="Q27" i="8"/>
  <c r="R27" i="8"/>
  <c r="P28" i="8"/>
  <c r="V26" i="8"/>
  <c r="Z25" i="19"/>
  <c r="X25" i="19"/>
  <c r="W25" i="19"/>
  <c r="AJ25" i="10"/>
  <c r="AI25" i="10"/>
  <c r="AJ24" i="9"/>
  <c r="AI24" i="9"/>
  <c r="AH70" i="7"/>
  <c r="AF70" i="7"/>
  <c r="AE70" i="7"/>
  <c r="AE26" i="12"/>
  <c r="AH26" i="12"/>
  <c r="AF26" i="12"/>
  <c r="W25" i="11"/>
  <c r="X25" i="11"/>
  <c r="Z25" i="11"/>
  <c r="AI24" i="6"/>
  <c r="AJ24" i="6"/>
  <c r="AC27" i="9"/>
  <c r="Y27" i="9"/>
  <c r="T28" i="9"/>
  <c r="Q28" i="9"/>
  <c r="R28" i="9"/>
  <c r="U28" i="9"/>
  <c r="S28" i="9"/>
  <c r="P29" i="9"/>
  <c r="Y28" i="9"/>
  <c r="AC28" i="9"/>
  <c r="AJ26" i="12"/>
  <c r="AI26" i="12"/>
  <c r="Z26" i="8"/>
  <c r="X26" i="8"/>
  <c r="W26" i="8"/>
  <c r="T31" i="17"/>
  <c r="V31" i="17"/>
  <c r="Q31" i="17"/>
  <c r="R31" i="17"/>
  <c r="U31" i="17"/>
  <c r="S31" i="17"/>
  <c r="P32" i="17"/>
  <c r="AI24" i="8"/>
  <c r="AJ24" i="8"/>
  <c r="Y27" i="19"/>
  <c r="AC27" i="19"/>
  <c r="T74" i="7"/>
  <c r="Q74" i="7"/>
  <c r="R74" i="7"/>
  <c r="U74" i="7"/>
  <c r="S74" i="7"/>
  <c r="P75" i="7"/>
  <c r="Z29" i="17"/>
  <c r="X29" i="17"/>
  <c r="W29" i="17"/>
  <c r="S28" i="8"/>
  <c r="T28" i="8"/>
  <c r="Q28" i="8"/>
  <c r="R28" i="8"/>
  <c r="U28" i="8"/>
  <c r="P29" i="8"/>
  <c r="Z29" i="10"/>
  <c r="X29" i="10"/>
  <c r="W29" i="10"/>
  <c r="Z27" i="14"/>
  <c r="X27" i="14"/>
  <c r="W27" i="14"/>
  <c r="AJ25" i="6"/>
  <c r="AI25" i="6"/>
  <c r="AB26" i="9"/>
  <c r="AA26" i="9"/>
  <c r="AF24" i="11"/>
  <c r="AH24" i="11"/>
  <c r="AE24" i="11"/>
  <c r="AE71" i="7"/>
  <c r="AH71" i="7"/>
  <c r="AF71" i="7"/>
  <c r="AI27" i="17"/>
  <c r="AJ27" i="17"/>
  <c r="AD26" i="19"/>
  <c r="AG26" i="19"/>
  <c r="T29" i="6"/>
  <c r="Q29" i="6"/>
  <c r="R29" i="6"/>
  <c r="U29" i="6"/>
  <c r="P30" i="6"/>
  <c r="S29" i="6"/>
  <c r="W28" i="6"/>
  <c r="Z28" i="6"/>
  <c r="X28" i="6"/>
  <c r="V27" i="20"/>
  <c r="U30" i="12"/>
  <c r="S30" i="12"/>
  <c r="T30" i="12"/>
  <c r="Q30" i="12"/>
  <c r="R30" i="12"/>
  <c r="P31" i="12"/>
  <c r="Z29" i="12"/>
  <c r="X29" i="12"/>
  <c r="W29" i="12"/>
  <c r="AJ70" i="7"/>
  <c r="AI70" i="7"/>
  <c r="X26" i="20"/>
  <c r="Z26" i="20"/>
  <c r="W26" i="20"/>
  <c r="AC28" i="14"/>
  <c r="Y28" i="14"/>
  <c r="AC30" i="17"/>
  <c r="Y30" i="17"/>
  <c r="AH28" i="18"/>
  <c r="AF28" i="18"/>
  <c r="AE28" i="18"/>
  <c r="AG29" i="18"/>
  <c r="AD29" i="18"/>
  <c r="U28" i="19"/>
  <c r="S28" i="19"/>
  <c r="T28" i="19"/>
  <c r="V28" i="19"/>
  <c r="Q28" i="19"/>
  <c r="R28" i="19"/>
  <c r="P29" i="19"/>
  <c r="AA28" i="18"/>
  <c r="AB28" i="18"/>
  <c r="AG27" i="6"/>
  <c r="AD27" i="6"/>
  <c r="AB27" i="10"/>
  <c r="AA27" i="10"/>
  <c r="AD27" i="9"/>
  <c r="AG27" i="9"/>
  <c r="AH25" i="19"/>
  <c r="AF25" i="19"/>
  <c r="AE25" i="19"/>
  <c r="W27" i="9"/>
  <c r="Z27" i="9"/>
  <c r="X27" i="9"/>
  <c r="AG27" i="14"/>
  <c r="AD27" i="14"/>
  <c r="V30" i="18"/>
  <c r="AD28" i="12"/>
  <c r="AG28" i="12"/>
  <c r="U27" i="11"/>
  <c r="T27" i="11"/>
  <c r="V27" i="11"/>
  <c r="Q27" i="11"/>
  <c r="R27" i="11"/>
  <c r="S27" i="11"/>
  <c r="P28" i="11"/>
  <c r="AA28" i="17"/>
  <c r="AB28" i="17"/>
  <c r="AA29" i="18"/>
  <c r="AB29" i="18"/>
  <c r="AJ26" i="10"/>
  <c r="AI26" i="10"/>
  <c r="AC28" i="6"/>
  <c r="Y28" i="6"/>
  <c r="AH26" i="9"/>
  <c r="AF26" i="9"/>
  <c r="AE26" i="9"/>
  <c r="AG72" i="7"/>
  <c r="AD72" i="7"/>
  <c r="Y29" i="12"/>
  <c r="AC29" i="12"/>
  <c r="AB25" i="11"/>
  <c r="AA25" i="11"/>
  <c r="AC27" i="8"/>
  <c r="Y27" i="8"/>
  <c r="AI24" i="20"/>
  <c r="AJ24" i="20"/>
  <c r="AH27" i="12"/>
  <c r="AF27" i="12"/>
  <c r="AE27" i="12"/>
  <c r="AC30" i="15"/>
  <c r="Y30" i="15"/>
  <c r="P32" i="15"/>
  <c r="T31" i="15"/>
  <c r="Q31" i="15"/>
  <c r="R31" i="15"/>
  <c r="U31" i="15"/>
  <c r="S31" i="15"/>
  <c r="AJ23" i="11"/>
  <c r="AI23" i="11"/>
  <c r="AE26" i="14"/>
  <c r="AH26" i="14"/>
  <c r="AF26" i="14"/>
  <c r="AC73" i="7"/>
  <c r="Y73" i="7"/>
  <c r="AD25" i="11"/>
  <c r="AG25" i="11"/>
  <c r="W28" i="12"/>
  <c r="Z28" i="12"/>
  <c r="X28" i="12"/>
  <c r="AB27" i="12"/>
  <c r="AA27" i="12"/>
  <c r="AH27" i="10"/>
  <c r="AF27" i="10"/>
  <c r="AE27" i="10"/>
  <c r="AD28" i="10"/>
  <c r="AG28" i="10"/>
  <c r="W26" i="19"/>
  <c r="X26" i="19"/>
  <c r="Z26" i="19"/>
  <c r="Y29" i="10"/>
  <c r="AC29" i="10"/>
  <c r="Z27" i="6"/>
  <c r="X27" i="6"/>
  <c r="W27" i="6"/>
  <c r="AB25" i="20"/>
  <c r="AA25" i="20"/>
  <c r="AJ25" i="14"/>
  <c r="AI25" i="14"/>
  <c r="AJ25" i="9"/>
  <c r="AI25" i="9"/>
  <c r="U30" i="10"/>
  <c r="S30" i="10"/>
  <c r="P31" i="10"/>
  <c r="T30" i="10"/>
  <c r="Q30" i="10"/>
  <c r="R30" i="10"/>
  <c r="Z29" i="15"/>
  <c r="X29" i="15"/>
  <c r="W29" i="15"/>
  <c r="V26" i="11"/>
  <c r="AE26" i="6"/>
  <c r="AH26" i="6"/>
  <c r="AF26" i="6"/>
  <c r="AJ27" i="15"/>
  <c r="AI27" i="15"/>
  <c r="AG29" i="17"/>
  <c r="AD29" i="17"/>
  <c r="AH25" i="8"/>
  <c r="AF25" i="8"/>
  <c r="AE25" i="8"/>
  <c r="U29" i="9"/>
  <c r="S29" i="9"/>
  <c r="T29" i="9"/>
  <c r="V29" i="9"/>
  <c r="Q29" i="9"/>
  <c r="R29" i="9"/>
  <c r="P30" i="9"/>
  <c r="V28" i="9"/>
  <c r="AB25" i="19"/>
  <c r="AA25" i="19"/>
  <c r="V27" i="8"/>
  <c r="Z72" i="7"/>
  <c r="X72" i="7"/>
  <c r="W72" i="7"/>
  <c r="AE28" i="15"/>
  <c r="AH28" i="15"/>
  <c r="AF28" i="15"/>
  <c r="AI27" i="18"/>
  <c r="AJ27" i="18"/>
  <c r="AG29" i="15"/>
  <c r="AD29" i="15"/>
  <c r="V30" i="15"/>
  <c r="T29" i="14"/>
  <c r="Q29" i="14"/>
  <c r="R29" i="14"/>
  <c r="U29" i="14"/>
  <c r="P30" i="14"/>
  <c r="S29" i="14"/>
  <c r="V28" i="14"/>
  <c r="T31" i="18"/>
  <c r="V31" i="18"/>
  <c r="Q31" i="18"/>
  <c r="R31" i="18"/>
  <c r="S31" i="18"/>
  <c r="U31" i="18"/>
  <c r="P32" i="18"/>
  <c r="AC30" i="18"/>
  <c r="Y30" i="18"/>
  <c r="V30" i="17"/>
  <c r="AI24" i="19"/>
  <c r="AJ24" i="19"/>
  <c r="AB28" i="10"/>
  <c r="AA28" i="10"/>
  <c r="Y26" i="11"/>
  <c r="AC26" i="11"/>
  <c r="V27" i="19"/>
  <c r="AA28" i="15"/>
  <c r="AB28" i="15"/>
  <c r="AH28" i="17"/>
  <c r="AF28" i="17"/>
  <c r="AE28" i="17"/>
  <c r="V73" i="7"/>
  <c r="AH25" i="20"/>
  <c r="AF25" i="20"/>
  <c r="AE25" i="20"/>
  <c r="AG26" i="8"/>
  <c r="AD26" i="8"/>
  <c r="T28" i="20"/>
  <c r="Q28" i="20"/>
  <c r="R28" i="20"/>
  <c r="S28" i="20"/>
  <c r="U28" i="20"/>
  <c r="P29" i="20"/>
  <c r="Y27" i="20"/>
  <c r="AC27" i="20"/>
  <c r="AG26" i="20"/>
  <c r="AD26" i="20"/>
  <c r="AJ25" i="20"/>
  <c r="AI25" i="20"/>
  <c r="S31" i="10"/>
  <c r="T31" i="10"/>
  <c r="V31" i="10"/>
  <c r="Q31" i="10"/>
  <c r="R31" i="10"/>
  <c r="U31" i="10"/>
  <c r="P32" i="10"/>
  <c r="Y31" i="15"/>
  <c r="AC31" i="15"/>
  <c r="Y27" i="11"/>
  <c r="AC27" i="11"/>
  <c r="T32" i="17"/>
  <c r="V32" i="17"/>
  <c r="Q32" i="17"/>
  <c r="R32" i="17"/>
  <c r="U32" i="17"/>
  <c r="S32" i="17"/>
  <c r="P33" i="17"/>
  <c r="AC30" i="10"/>
  <c r="Y30" i="10"/>
  <c r="AB28" i="12"/>
  <c r="AA28" i="12"/>
  <c r="AG27" i="8"/>
  <c r="AD27" i="8"/>
  <c r="AH28" i="12"/>
  <c r="AF28" i="12"/>
  <c r="AE28" i="12"/>
  <c r="W28" i="19"/>
  <c r="X28" i="19"/>
  <c r="Z28" i="19"/>
  <c r="S31" i="12"/>
  <c r="T31" i="12"/>
  <c r="Q31" i="12"/>
  <c r="R31" i="12"/>
  <c r="U31" i="12"/>
  <c r="P32" i="12"/>
  <c r="AC31" i="17"/>
  <c r="Y31" i="17"/>
  <c r="AG26" i="11"/>
  <c r="AD26" i="11"/>
  <c r="AG30" i="18"/>
  <c r="AD30" i="18"/>
  <c r="U30" i="14"/>
  <c r="S30" i="14"/>
  <c r="P31" i="14"/>
  <c r="T30" i="14"/>
  <c r="Q30" i="14"/>
  <c r="R30" i="14"/>
  <c r="AF25" i="11"/>
  <c r="AH25" i="11"/>
  <c r="AE25" i="11"/>
  <c r="AD28" i="14"/>
  <c r="AG28" i="14"/>
  <c r="AA29" i="12"/>
  <c r="AB29" i="12"/>
  <c r="AC30" i="12"/>
  <c r="Y30" i="12"/>
  <c r="AB28" i="6"/>
  <c r="AA28" i="6"/>
  <c r="AE26" i="19"/>
  <c r="AH26" i="19"/>
  <c r="AF26" i="19"/>
  <c r="W31" i="17"/>
  <c r="Z31" i="17"/>
  <c r="X31" i="17"/>
  <c r="AG27" i="20"/>
  <c r="AD27" i="20"/>
  <c r="T32" i="18"/>
  <c r="V32" i="18"/>
  <c r="Q32" i="18"/>
  <c r="R32" i="18"/>
  <c r="U32" i="18"/>
  <c r="S32" i="18"/>
  <c r="P33" i="18"/>
  <c r="Z29" i="9"/>
  <c r="X29" i="9"/>
  <c r="W29" i="9"/>
  <c r="AB29" i="15"/>
  <c r="AA29" i="15"/>
  <c r="AI27" i="10"/>
  <c r="AJ27" i="10"/>
  <c r="AI27" i="12"/>
  <c r="AJ27" i="12"/>
  <c r="Z30" i="17"/>
  <c r="X30" i="17"/>
  <c r="W30" i="17"/>
  <c r="W28" i="14"/>
  <c r="Z28" i="14"/>
  <c r="X28" i="14"/>
  <c r="AC29" i="9"/>
  <c r="Y29" i="9"/>
  <c r="X27" i="11"/>
  <c r="Z27" i="11"/>
  <c r="W27" i="11"/>
  <c r="AJ25" i="19"/>
  <c r="AI25" i="19"/>
  <c r="AA26" i="20"/>
  <c r="AB26" i="20"/>
  <c r="Z27" i="20"/>
  <c r="X27" i="20"/>
  <c r="W27" i="20"/>
  <c r="V29" i="6"/>
  <c r="AA29" i="10"/>
  <c r="AB29" i="10"/>
  <c r="V28" i="8"/>
  <c r="AA29" i="17"/>
  <c r="AB29" i="17"/>
  <c r="AG28" i="9"/>
  <c r="AD28" i="9"/>
  <c r="AH26" i="8"/>
  <c r="AF26" i="8"/>
  <c r="AE26" i="8"/>
  <c r="AJ28" i="17"/>
  <c r="AI28" i="17"/>
  <c r="W30" i="15"/>
  <c r="Z30" i="15"/>
  <c r="X30" i="15"/>
  <c r="AJ26" i="6"/>
  <c r="AI26" i="6"/>
  <c r="AG29" i="10"/>
  <c r="AD29" i="10"/>
  <c r="AJ26" i="14"/>
  <c r="AI26" i="14"/>
  <c r="U32" i="15"/>
  <c r="S32" i="15"/>
  <c r="T32" i="15"/>
  <c r="V32" i="15"/>
  <c r="Q32" i="15"/>
  <c r="R32" i="15"/>
  <c r="P33" i="15"/>
  <c r="AG29" i="12"/>
  <c r="AD29" i="12"/>
  <c r="AD28" i="6"/>
  <c r="AG28" i="6"/>
  <c r="AH27" i="9"/>
  <c r="AF27" i="9"/>
  <c r="AE27" i="9"/>
  <c r="AE29" i="18"/>
  <c r="AF29" i="18"/>
  <c r="AH29" i="18"/>
  <c r="AJ28" i="18"/>
  <c r="AI28" i="18"/>
  <c r="AJ71" i="7"/>
  <c r="AI71" i="7"/>
  <c r="Y74" i="7"/>
  <c r="AC74" i="7"/>
  <c r="AG27" i="19"/>
  <c r="AD27" i="19"/>
  <c r="AC28" i="20"/>
  <c r="Y28" i="20"/>
  <c r="W73" i="7"/>
  <c r="Z73" i="7"/>
  <c r="X73" i="7"/>
  <c r="W31" i="18"/>
  <c r="X31" i="18"/>
  <c r="Z31" i="18"/>
  <c r="AH29" i="15"/>
  <c r="AF29" i="15"/>
  <c r="AE29" i="15"/>
  <c r="AJ28" i="15"/>
  <c r="AI28" i="15"/>
  <c r="AB72" i="7"/>
  <c r="AA72" i="7"/>
  <c r="Z28" i="9"/>
  <c r="X28" i="9"/>
  <c r="W28" i="9"/>
  <c r="AI25" i="8"/>
  <c r="AJ25" i="8"/>
  <c r="X26" i="11"/>
  <c r="Z26" i="11"/>
  <c r="W26" i="11"/>
  <c r="AA26" i="19"/>
  <c r="AB26" i="19"/>
  <c r="AH28" i="10"/>
  <c r="AF28" i="10"/>
  <c r="AE28" i="10"/>
  <c r="AD73" i="7"/>
  <c r="AG73" i="7"/>
  <c r="AD30" i="15"/>
  <c r="AG30" i="15"/>
  <c r="AH72" i="7"/>
  <c r="AF72" i="7"/>
  <c r="AE72" i="7"/>
  <c r="AI26" i="9"/>
  <c r="AJ26" i="9"/>
  <c r="Z30" i="18"/>
  <c r="X30" i="18"/>
  <c r="W30" i="18"/>
  <c r="AB27" i="9"/>
  <c r="AA27" i="9"/>
  <c r="AC28" i="19"/>
  <c r="Y28" i="19"/>
  <c r="AG30" i="17"/>
  <c r="AD30" i="17"/>
  <c r="Y29" i="6"/>
  <c r="AC29" i="6"/>
  <c r="AE26" i="20"/>
  <c r="AF26" i="20"/>
  <c r="AH26" i="20"/>
  <c r="T29" i="20"/>
  <c r="Q29" i="20"/>
  <c r="R29" i="20"/>
  <c r="S29" i="20"/>
  <c r="U29" i="20"/>
  <c r="P30" i="20"/>
  <c r="V28" i="20"/>
  <c r="Z27" i="19"/>
  <c r="X27" i="19"/>
  <c r="W27" i="19"/>
  <c r="AC31" i="18"/>
  <c r="Y31" i="18"/>
  <c r="Y29" i="14"/>
  <c r="AC29" i="14"/>
  <c r="V29" i="14"/>
  <c r="Z27" i="8"/>
  <c r="X27" i="8"/>
  <c r="W27" i="8"/>
  <c r="P31" i="9"/>
  <c r="S30" i="9"/>
  <c r="T30" i="9"/>
  <c r="V30" i="9"/>
  <c r="Q30" i="9"/>
  <c r="R30" i="9"/>
  <c r="U30" i="9"/>
  <c r="AE29" i="17"/>
  <c r="AH29" i="17"/>
  <c r="AF29" i="17"/>
  <c r="V30" i="10"/>
  <c r="AB27" i="6"/>
  <c r="AA27" i="6"/>
  <c r="V31" i="15"/>
  <c r="S28" i="11"/>
  <c r="T28" i="11"/>
  <c r="Q28" i="11"/>
  <c r="R28" i="11"/>
  <c r="U28" i="11"/>
  <c r="P29" i="11"/>
  <c r="AH27" i="14"/>
  <c r="AF27" i="14"/>
  <c r="AE27" i="14"/>
  <c r="AH27" i="6"/>
  <c r="AF27" i="6"/>
  <c r="AE27" i="6"/>
  <c r="T29" i="19"/>
  <c r="V29" i="19"/>
  <c r="Q29" i="19"/>
  <c r="R29" i="19"/>
  <c r="S29" i="19"/>
  <c r="U29" i="19"/>
  <c r="P30" i="19"/>
  <c r="V30" i="12"/>
  <c r="U30" i="6"/>
  <c r="S30" i="6"/>
  <c r="P31" i="6"/>
  <c r="T30" i="6"/>
  <c r="Q30" i="6"/>
  <c r="R30" i="6"/>
  <c r="AJ24" i="11"/>
  <c r="AI24" i="11"/>
  <c r="AB27" i="14"/>
  <c r="AA27" i="14"/>
  <c r="T29" i="8"/>
  <c r="V29" i="8"/>
  <c r="Q29" i="8"/>
  <c r="R29" i="8"/>
  <c r="U29" i="8"/>
  <c r="S29" i="8"/>
  <c r="P30" i="8"/>
  <c r="AC28" i="8"/>
  <c r="Y28" i="8"/>
  <c r="P76" i="7"/>
  <c r="S75" i="7"/>
  <c r="U75" i="7"/>
  <c r="T75" i="7"/>
  <c r="Q75" i="7"/>
  <c r="R75" i="7"/>
  <c r="V74" i="7"/>
  <c r="AA26" i="8"/>
  <c r="AB26" i="8"/>
  <c r="Z31" i="15"/>
  <c r="X31" i="15"/>
  <c r="W31" i="15"/>
  <c r="AG29" i="14"/>
  <c r="AD29" i="14"/>
  <c r="U30" i="20"/>
  <c r="S30" i="20"/>
  <c r="T30" i="20"/>
  <c r="V30" i="20"/>
  <c r="Q30" i="20"/>
  <c r="R30" i="20"/>
  <c r="P31" i="20"/>
  <c r="V29" i="20"/>
  <c r="AG29" i="6"/>
  <c r="AD29" i="6"/>
  <c r="AA28" i="9"/>
  <c r="AB28" i="9"/>
  <c r="AB31" i="18"/>
  <c r="AA31" i="18"/>
  <c r="AB73" i="7"/>
  <c r="AA73" i="7"/>
  <c r="AH27" i="19"/>
  <c r="AF27" i="19"/>
  <c r="AE27" i="19"/>
  <c r="AJ29" i="18"/>
  <c r="AI29" i="18"/>
  <c r="AH29" i="12"/>
  <c r="AF29" i="12"/>
  <c r="AE29" i="12"/>
  <c r="Z32" i="15"/>
  <c r="X32" i="15"/>
  <c r="W32" i="15"/>
  <c r="AJ26" i="8"/>
  <c r="AI26" i="8"/>
  <c r="Z29" i="6"/>
  <c r="X29" i="6"/>
  <c r="W29" i="6"/>
  <c r="AG29" i="9"/>
  <c r="AD29" i="9"/>
  <c r="U33" i="18"/>
  <c r="S33" i="18"/>
  <c r="T33" i="18"/>
  <c r="V33" i="18"/>
  <c r="Q33" i="18"/>
  <c r="R33" i="18"/>
  <c r="P34" i="18"/>
  <c r="X32" i="18"/>
  <c r="W32" i="18"/>
  <c r="Z32" i="18"/>
  <c r="AB31" i="17"/>
  <c r="AA31" i="17"/>
  <c r="AG30" i="12"/>
  <c r="AD30" i="12"/>
  <c r="AH28" i="14"/>
  <c r="AF28" i="14"/>
  <c r="AE28" i="14"/>
  <c r="AB28" i="19"/>
  <c r="AA28" i="19"/>
  <c r="U33" i="17"/>
  <c r="S33" i="17"/>
  <c r="T33" i="17"/>
  <c r="Q33" i="17"/>
  <c r="R33" i="17"/>
  <c r="P34" i="17"/>
  <c r="Z32" i="17"/>
  <c r="X32" i="17"/>
  <c r="W32" i="17"/>
  <c r="Z31" i="10"/>
  <c r="X31" i="10"/>
  <c r="W31" i="10"/>
  <c r="Z29" i="19"/>
  <c r="X29" i="19"/>
  <c r="W29" i="19"/>
  <c r="Z74" i="7"/>
  <c r="X74" i="7"/>
  <c r="W74" i="7"/>
  <c r="T30" i="8"/>
  <c r="V30" i="8"/>
  <c r="Q30" i="8"/>
  <c r="R30" i="8"/>
  <c r="U30" i="8"/>
  <c r="S30" i="8"/>
  <c r="P31" i="8"/>
  <c r="AC30" i="6"/>
  <c r="Y30" i="6"/>
  <c r="Z30" i="9"/>
  <c r="X30" i="9"/>
  <c r="W30" i="9"/>
  <c r="AJ26" i="20"/>
  <c r="AI26" i="20"/>
  <c r="AD28" i="19"/>
  <c r="AG28" i="19"/>
  <c r="AH30" i="15"/>
  <c r="AF30" i="15"/>
  <c r="AE30" i="15"/>
  <c r="AI27" i="9"/>
  <c r="AJ27" i="9"/>
  <c r="AC32" i="15"/>
  <c r="Y32" i="15"/>
  <c r="AH29" i="10"/>
  <c r="AF29" i="10"/>
  <c r="AE29" i="10"/>
  <c r="AH28" i="9"/>
  <c r="AF28" i="9"/>
  <c r="AE28" i="9"/>
  <c r="Z28" i="8"/>
  <c r="X28" i="8"/>
  <c r="W28" i="8"/>
  <c r="AA27" i="11"/>
  <c r="AB27" i="11"/>
  <c r="Y32" i="18"/>
  <c r="AC32" i="18"/>
  <c r="AH27" i="20"/>
  <c r="AE27" i="20"/>
  <c r="AF27" i="20"/>
  <c r="V30" i="14"/>
  <c r="AH30" i="18"/>
  <c r="AF30" i="18"/>
  <c r="AE30" i="18"/>
  <c r="AI28" i="12"/>
  <c r="AJ28" i="12"/>
  <c r="Y32" i="17"/>
  <c r="AC32" i="17"/>
  <c r="AG27" i="11"/>
  <c r="AD27" i="11"/>
  <c r="T32" i="10"/>
  <c r="V32" i="10"/>
  <c r="Q32" i="10"/>
  <c r="R32" i="10"/>
  <c r="U32" i="10"/>
  <c r="S32" i="10"/>
  <c r="P33" i="10"/>
  <c r="AC31" i="10"/>
  <c r="Y31" i="10"/>
  <c r="AG28" i="8"/>
  <c r="AD28" i="8"/>
  <c r="U30" i="19"/>
  <c r="T30" i="19"/>
  <c r="Q30" i="19"/>
  <c r="R30" i="19"/>
  <c r="S30" i="19"/>
  <c r="P31" i="19"/>
  <c r="Y75" i="7"/>
  <c r="AC75" i="7"/>
  <c r="W29" i="8"/>
  <c r="Z29" i="8"/>
  <c r="X29" i="8"/>
  <c r="AJ29" i="17"/>
  <c r="AI29" i="17"/>
  <c r="S76" i="7"/>
  <c r="P77" i="7"/>
  <c r="T76" i="7"/>
  <c r="Q76" i="7"/>
  <c r="R76" i="7"/>
  <c r="U76" i="7"/>
  <c r="AC29" i="8"/>
  <c r="Y29" i="8"/>
  <c r="Y29" i="19"/>
  <c r="AC29" i="19"/>
  <c r="AI27" i="14"/>
  <c r="AJ27" i="14"/>
  <c r="V28" i="11"/>
  <c r="AC30" i="9"/>
  <c r="Y30" i="9"/>
  <c r="AA27" i="8"/>
  <c r="AB27" i="8"/>
  <c r="AB27" i="19"/>
  <c r="AA27" i="19"/>
  <c r="Y29" i="20"/>
  <c r="AC29" i="20"/>
  <c r="AF30" i="17"/>
  <c r="AE30" i="17"/>
  <c r="AH30" i="17"/>
  <c r="AB30" i="18"/>
  <c r="AA30" i="18"/>
  <c r="AI28" i="10"/>
  <c r="AJ28" i="10"/>
  <c r="AB26" i="11"/>
  <c r="AA26" i="11"/>
  <c r="AG74" i="7"/>
  <c r="AD74" i="7"/>
  <c r="S33" i="15"/>
  <c r="T33" i="15"/>
  <c r="V33" i="15"/>
  <c r="Q33" i="15"/>
  <c r="R33" i="15"/>
  <c r="U33" i="15"/>
  <c r="P34" i="15"/>
  <c r="AB30" i="15"/>
  <c r="AA30" i="15"/>
  <c r="AB28" i="14"/>
  <c r="AA28" i="14"/>
  <c r="AB30" i="17"/>
  <c r="AA30" i="17"/>
  <c r="AI25" i="11"/>
  <c r="AJ25" i="11"/>
  <c r="S31" i="14"/>
  <c r="T31" i="14"/>
  <c r="Q31" i="14"/>
  <c r="R31" i="14"/>
  <c r="U31" i="14"/>
  <c r="P32" i="14"/>
  <c r="AD31" i="17"/>
  <c r="AG31" i="17"/>
  <c r="V31" i="12"/>
  <c r="AE27" i="8"/>
  <c r="AH27" i="8"/>
  <c r="AF27" i="8"/>
  <c r="S31" i="6"/>
  <c r="T31" i="6"/>
  <c r="V31" i="6"/>
  <c r="Q31" i="6"/>
  <c r="R31" i="6"/>
  <c r="U31" i="6"/>
  <c r="P32" i="6"/>
  <c r="V75" i="7"/>
  <c r="V30" i="6"/>
  <c r="Z30" i="12"/>
  <c r="X30" i="12"/>
  <c r="W30" i="12"/>
  <c r="AI27" i="6"/>
  <c r="AJ27" i="6"/>
  <c r="S29" i="11"/>
  <c r="T29" i="11"/>
  <c r="V29" i="11"/>
  <c r="Q29" i="11"/>
  <c r="R29" i="11"/>
  <c r="U29" i="11"/>
  <c r="P30" i="11"/>
  <c r="Y28" i="11"/>
  <c r="AC28" i="11"/>
  <c r="Z30" i="10"/>
  <c r="X30" i="10"/>
  <c r="W30" i="10"/>
  <c r="P32" i="9"/>
  <c r="T31" i="9"/>
  <c r="Q31" i="9"/>
  <c r="R31" i="9"/>
  <c r="U31" i="9"/>
  <c r="S31" i="9"/>
  <c r="Z29" i="14"/>
  <c r="X29" i="14"/>
  <c r="W29" i="14"/>
  <c r="AD31" i="18"/>
  <c r="AG31" i="18"/>
  <c r="W28" i="20"/>
  <c r="Z28" i="20"/>
  <c r="X28" i="20"/>
  <c r="AI72" i="7"/>
  <c r="AJ72" i="7"/>
  <c r="AH73" i="7"/>
  <c r="AF73" i="7"/>
  <c r="AE73" i="7"/>
  <c r="AI29" i="15"/>
  <c r="AJ29" i="15"/>
  <c r="AD28" i="20"/>
  <c r="AG28" i="20"/>
  <c r="AH28" i="6"/>
  <c r="AF28" i="6"/>
  <c r="AE28" i="6"/>
  <c r="AB27" i="20"/>
  <c r="AA27" i="20"/>
  <c r="AA29" i="9"/>
  <c r="AB29" i="9"/>
  <c r="AJ26" i="19"/>
  <c r="AI26" i="19"/>
  <c r="AC30" i="14"/>
  <c r="Y30" i="14"/>
  <c r="AH26" i="11"/>
  <c r="AF26" i="11"/>
  <c r="AE26" i="11"/>
  <c r="T32" i="12"/>
  <c r="Q32" i="12"/>
  <c r="R32" i="12"/>
  <c r="U32" i="12"/>
  <c r="S32" i="12"/>
  <c r="P33" i="12"/>
  <c r="AC31" i="12"/>
  <c r="Y31" i="12"/>
  <c r="AG30" i="10"/>
  <c r="AD30" i="10"/>
  <c r="AG31" i="15"/>
  <c r="AD31" i="15"/>
  <c r="W29" i="11"/>
  <c r="X29" i="11"/>
  <c r="Z29" i="11"/>
  <c r="Z75" i="7"/>
  <c r="X75" i="7"/>
  <c r="W75" i="7"/>
  <c r="Z31" i="6"/>
  <c r="X31" i="6"/>
  <c r="W31" i="6"/>
  <c r="T32" i="14"/>
  <c r="Q32" i="14"/>
  <c r="R32" i="14"/>
  <c r="U32" i="14"/>
  <c r="S32" i="14"/>
  <c r="P33" i="14"/>
  <c r="AC31" i="14"/>
  <c r="Y31" i="14"/>
  <c r="Z33" i="15"/>
  <c r="X33" i="15"/>
  <c r="W33" i="15"/>
  <c r="AG30" i="9"/>
  <c r="AD30" i="9"/>
  <c r="AG29" i="19"/>
  <c r="AD29" i="19"/>
  <c r="AC76" i="7"/>
  <c r="Y76" i="7"/>
  <c r="AB29" i="8"/>
  <c r="AA29" i="8"/>
  <c r="S31" i="19"/>
  <c r="T31" i="19"/>
  <c r="Q31" i="19"/>
  <c r="R31" i="19"/>
  <c r="U31" i="19"/>
  <c r="P32" i="19"/>
  <c r="AG31" i="10"/>
  <c r="AD31" i="10"/>
  <c r="AG32" i="17"/>
  <c r="AD32" i="17"/>
  <c r="AJ28" i="9"/>
  <c r="AI28" i="9"/>
  <c r="AE28" i="19"/>
  <c r="AF28" i="19"/>
  <c r="AH28" i="19"/>
  <c r="U31" i="8"/>
  <c r="S31" i="8"/>
  <c r="T31" i="8"/>
  <c r="V31" i="8"/>
  <c r="Q31" i="8"/>
  <c r="R31" i="8"/>
  <c r="P32" i="8"/>
  <c r="Z30" i="8"/>
  <c r="X30" i="8"/>
  <c r="W30" i="8"/>
  <c r="AA32" i="17"/>
  <c r="AB32" i="17"/>
  <c r="AC33" i="17"/>
  <c r="Y33" i="17"/>
  <c r="Z33" i="18"/>
  <c r="X33" i="18"/>
  <c r="W33" i="18"/>
  <c r="AA32" i="15"/>
  <c r="AB32" i="15"/>
  <c r="AJ27" i="19"/>
  <c r="AI27" i="19"/>
  <c r="Z30" i="20"/>
  <c r="W30" i="20"/>
  <c r="X30" i="20"/>
  <c r="AC32" i="12"/>
  <c r="Y32" i="12"/>
  <c r="AG30" i="14"/>
  <c r="AD30" i="14"/>
  <c r="AI73" i="7"/>
  <c r="AJ73" i="7"/>
  <c r="AC29" i="11"/>
  <c r="Y29" i="11"/>
  <c r="T32" i="6"/>
  <c r="V32" i="6"/>
  <c r="Q32" i="6"/>
  <c r="R32" i="6"/>
  <c r="U32" i="6"/>
  <c r="S32" i="6"/>
  <c r="P33" i="6"/>
  <c r="AC31" i="6"/>
  <c r="Y31" i="6"/>
  <c r="Z31" i="12"/>
  <c r="X31" i="12"/>
  <c r="W31" i="12"/>
  <c r="P35" i="15"/>
  <c r="T34" i="15"/>
  <c r="V34" i="15"/>
  <c r="Q34" i="15"/>
  <c r="R34" i="15"/>
  <c r="U34" i="15"/>
  <c r="S34" i="15"/>
  <c r="AC33" i="15"/>
  <c r="Y33" i="15"/>
  <c r="AD29" i="20"/>
  <c r="AG29" i="20"/>
  <c r="Z28" i="11"/>
  <c r="X28" i="11"/>
  <c r="W28" i="11"/>
  <c r="AC30" i="19"/>
  <c r="Y30" i="19"/>
  <c r="AH28" i="8"/>
  <c r="AF28" i="8"/>
  <c r="AE28" i="8"/>
  <c r="T33" i="10"/>
  <c r="V33" i="10"/>
  <c r="Q33" i="10"/>
  <c r="R33" i="10"/>
  <c r="U33" i="10"/>
  <c r="P34" i="10"/>
  <c r="S33" i="10"/>
  <c r="W32" i="10"/>
  <c r="Z32" i="10"/>
  <c r="X32" i="10"/>
  <c r="AB28" i="8"/>
  <c r="AA28" i="8"/>
  <c r="AG32" i="15"/>
  <c r="AD32" i="15"/>
  <c r="AB30" i="9"/>
  <c r="AA30" i="9"/>
  <c r="Y30" i="8"/>
  <c r="AC30" i="8"/>
  <c r="AB31" i="10"/>
  <c r="AA31" i="10"/>
  <c r="S34" i="17"/>
  <c r="T34" i="17"/>
  <c r="Q34" i="17"/>
  <c r="R34" i="17"/>
  <c r="U34" i="17"/>
  <c r="P35" i="17"/>
  <c r="Y33" i="18"/>
  <c r="AC33" i="18"/>
  <c r="Z29" i="20"/>
  <c r="W29" i="20"/>
  <c r="X29" i="20"/>
  <c r="AC30" i="20"/>
  <c r="Y30" i="20"/>
  <c r="AB28" i="20"/>
  <c r="AA28" i="20"/>
  <c r="AH31" i="15"/>
  <c r="AF31" i="15"/>
  <c r="AE31" i="15"/>
  <c r="T30" i="11"/>
  <c r="Q30" i="11"/>
  <c r="R30" i="11"/>
  <c r="S30" i="11"/>
  <c r="U30" i="11"/>
  <c r="P31" i="11"/>
  <c r="AG31" i="12"/>
  <c r="AD31" i="12"/>
  <c r="AI26" i="11"/>
  <c r="AJ26" i="11"/>
  <c r="AA29" i="14"/>
  <c r="AB29" i="14"/>
  <c r="V31" i="9"/>
  <c r="AA30" i="10"/>
  <c r="AB30" i="10"/>
  <c r="AA30" i="12"/>
  <c r="AB30" i="12"/>
  <c r="AH74" i="7"/>
  <c r="AF74" i="7"/>
  <c r="AE74" i="7"/>
  <c r="AI30" i="17"/>
  <c r="AJ30" i="17"/>
  <c r="V76" i="7"/>
  <c r="AG75" i="7"/>
  <c r="AD75" i="7"/>
  <c r="AC32" i="10"/>
  <c r="Y32" i="10"/>
  <c r="AE27" i="11"/>
  <c r="AF27" i="11"/>
  <c r="AH27" i="11"/>
  <c r="AI30" i="18"/>
  <c r="AJ30" i="18"/>
  <c r="AI27" i="20"/>
  <c r="AJ27" i="20"/>
  <c r="AI30" i="15"/>
  <c r="AJ30" i="15"/>
  <c r="AA29" i="19"/>
  <c r="AB29" i="19"/>
  <c r="AI28" i="14"/>
  <c r="AJ28" i="14"/>
  <c r="S34" i="18"/>
  <c r="T34" i="18"/>
  <c r="Q34" i="18"/>
  <c r="R34" i="18"/>
  <c r="U34" i="18"/>
  <c r="P35" i="18"/>
  <c r="T31" i="20"/>
  <c r="S31" i="20"/>
  <c r="Q31" i="20"/>
  <c r="R31" i="20"/>
  <c r="U31" i="20"/>
  <c r="P32" i="20"/>
  <c r="AI28" i="6"/>
  <c r="AJ28" i="6"/>
  <c r="AE30" i="10"/>
  <c r="AH30" i="10"/>
  <c r="AF30" i="10"/>
  <c r="T33" i="12"/>
  <c r="V33" i="12"/>
  <c r="Q33" i="12"/>
  <c r="R33" i="12"/>
  <c r="U33" i="12"/>
  <c r="S33" i="12"/>
  <c r="P34" i="12"/>
  <c r="V32" i="12"/>
  <c r="AF28" i="20"/>
  <c r="AH28" i="20"/>
  <c r="AE28" i="20"/>
  <c r="AH31" i="18"/>
  <c r="AF31" i="18"/>
  <c r="AE31" i="18"/>
  <c r="AC31" i="9"/>
  <c r="Y31" i="9"/>
  <c r="T32" i="9"/>
  <c r="Q32" i="9"/>
  <c r="R32" i="9"/>
  <c r="U32" i="9"/>
  <c r="S32" i="9"/>
  <c r="P33" i="9"/>
  <c r="AG28" i="11"/>
  <c r="AD28" i="11"/>
  <c r="Z30" i="6"/>
  <c r="X30" i="6"/>
  <c r="W30" i="6"/>
  <c r="AJ27" i="8"/>
  <c r="AI27" i="8"/>
  <c r="AH31" i="17"/>
  <c r="AF31" i="17"/>
  <c r="AE31" i="17"/>
  <c r="V31" i="14"/>
  <c r="AD29" i="8"/>
  <c r="AG29" i="8"/>
  <c r="T77" i="7"/>
  <c r="V77" i="7"/>
  <c r="Q77" i="7"/>
  <c r="R77" i="7"/>
  <c r="U77" i="7"/>
  <c r="S77" i="7"/>
  <c r="V30" i="19"/>
  <c r="Z30" i="14"/>
  <c r="X30" i="14"/>
  <c r="W30" i="14"/>
  <c r="AD32" i="18"/>
  <c r="AG32" i="18"/>
  <c r="AJ29" i="10"/>
  <c r="AI29" i="10"/>
  <c r="AG30" i="6"/>
  <c r="AD30" i="6"/>
  <c r="AA74" i="7"/>
  <c r="AB74" i="7"/>
  <c r="V33" i="17"/>
  <c r="AE30" i="12"/>
  <c r="AF30" i="12"/>
  <c r="AH30" i="12"/>
  <c r="AA32" i="18"/>
  <c r="AB32" i="18"/>
  <c r="AE29" i="9"/>
  <c r="AH29" i="9"/>
  <c r="AF29" i="9"/>
  <c r="AA29" i="6"/>
  <c r="AB29" i="6"/>
  <c r="AJ29" i="12"/>
  <c r="AI29" i="12"/>
  <c r="AH29" i="6"/>
  <c r="AF29" i="6"/>
  <c r="AE29" i="6"/>
  <c r="AH29" i="14"/>
  <c r="AF29" i="14"/>
  <c r="AE29" i="14"/>
  <c r="AA31" i="15"/>
  <c r="AB31" i="15"/>
  <c r="AD31" i="9"/>
  <c r="AG31" i="9"/>
  <c r="U34" i="12"/>
  <c r="S34" i="12"/>
  <c r="T34" i="12"/>
  <c r="Q34" i="12"/>
  <c r="R34" i="12"/>
  <c r="P35" i="12"/>
  <c r="Z33" i="12"/>
  <c r="X33" i="12"/>
  <c r="W33" i="12"/>
  <c r="AH31" i="12"/>
  <c r="AF31" i="12"/>
  <c r="AE31" i="12"/>
  <c r="Y30" i="11"/>
  <c r="AC30" i="11"/>
  <c r="AA29" i="20"/>
  <c r="AB29" i="20"/>
  <c r="AI28" i="8"/>
  <c r="AJ28" i="8"/>
  <c r="T33" i="6"/>
  <c r="V33" i="6"/>
  <c r="Q33" i="6"/>
  <c r="R33" i="6"/>
  <c r="U33" i="6"/>
  <c r="P34" i="6"/>
  <c r="S33" i="6"/>
  <c r="W32" i="6"/>
  <c r="Z32" i="6"/>
  <c r="X32" i="6"/>
  <c r="AD32" i="12"/>
  <c r="AG32" i="12"/>
  <c r="AG33" i="17"/>
  <c r="AD33" i="17"/>
  <c r="Z31" i="8"/>
  <c r="X31" i="8"/>
  <c r="W31" i="8"/>
  <c r="AH32" i="17"/>
  <c r="AF32" i="17"/>
  <c r="AE32" i="17"/>
  <c r="U32" i="19"/>
  <c r="S32" i="19"/>
  <c r="T32" i="19"/>
  <c r="V32" i="19"/>
  <c r="Q32" i="19"/>
  <c r="R32" i="19"/>
  <c r="P33" i="19"/>
  <c r="Y31" i="19"/>
  <c r="AC31" i="19"/>
  <c r="AG76" i="7"/>
  <c r="AD76" i="7"/>
  <c r="AA75" i="7"/>
  <c r="AB75" i="7"/>
  <c r="W77" i="7"/>
  <c r="Z77" i="7"/>
  <c r="X77" i="7"/>
  <c r="AJ29" i="9"/>
  <c r="AI29" i="9"/>
  <c r="Y33" i="12"/>
  <c r="AC33" i="12"/>
  <c r="Y31" i="20"/>
  <c r="AC31" i="20"/>
  <c r="Z76" i="7"/>
  <c r="X76" i="7"/>
  <c r="W76" i="7"/>
  <c r="AJ31" i="15"/>
  <c r="AI31" i="15"/>
  <c r="AD30" i="20"/>
  <c r="AG30" i="20"/>
  <c r="AG33" i="18"/>
  <c r="AD33" i="18"/>
  <c r="Y33" i="10"/>
  <c r="AC33" i="10"/>
  <c r="Z33" i="10"/>
  <c r="X33" i="10"/>
  <c r="W33" i="10"/>
  <c r="AB28" i="11"/>
  <c r="AA28" i="11"/>
  <c r="AG33" i="15"/>
  <c r="AD33" i="15"/>
  <c r="W34" i="15"/>
  <c r="Z34" i="15"/>
  <c r="X34" i="15"/>
  <c r="AB31" i="12"/>
  <c r="AA31" i="12"/>
  <c r="AC32" i="6"/>
  <c r="Y32" i="6"/>
  <c r="AE30" i="14"/>
  <c r="AH30" i="14"/>
  <c r="AF30" i="14"/>
  <c r="AA30" i="8"/>
  <c r="AB30" i="8"/>
  <c r="AC31" i="8"/>
  <c r="Y31" i="8"/>
  <c r="AH29" i="19"/>
  <c r="AF29" i="19"/>
  <c r="AE29" i="19"/>
  <c r="AG31" i="14"/>
  <c r="AD31" i="14"/>
  <c r="AB31" i="6"/>
  <c r="AA31" i="6"/>
  <c r="AB29" i="11"/>
  <c r="AA29" i="11"/>
  <c r="AJ29" i="14"/>
  <c r="AI29" i="14"/>
  <c r="AH32" i="18"/>
  <c r="AF32" i="18"/>
  <c r="AE32" i="18"/>
  <c r="AF28" i="11"/>
  <c r="AH28" i="11"/>
  <c r="AE28" i="11"/>
  <c r="AJ30" i="12"/>
  <c r="AI30" i="12"/>
  <c r="AC77" i="7"/>
  <c r="Y77" i="7"/>
  <c r="AI28" i="20"/>
  <c r="AJ28" i="20"/>
  <c r="AH29" i="8"/>
  <c r="AF29" i="8"/>
  <c r="AE29" i="8"/>
  <c r="AI31" i="17"/>
  <c r="AJ31" i="17"/>
  <c r="U33" i="9"/>
  <c r="S33" i="9"/>
  <c r="T33" i="9"/>
  <c r="V33" i="9"/>
  <c r="Q33" i="9"/>
  <c r="R33" i="9"/>
  <c r="P34" i="9"/>
  <c r="V32" i="9"/>
  <c r="AJ30" i="10"/>
  <c r="AI30" i="10"/>
  <c r="U32" i="20"/>
  <c r="T32" i="20"/>
  <c r="Q32" i="20"/>
  <c r="R32" i="20"/>
  <c r="S32" i="20"/>
  <c r="P33" i="20"/>
  <c r="V31" i="20"/>
  <c r="V34" i="18"/>
  <c r="AJ27" i="11"/>
  <c r="AI27" i="11"/>
  <c r="AD32" i="10"/>
  <c r="AG32" i="10"/>
  <c r="AJ74" i="7"/>
  <c r="AI74" i="7"/>
  <c r="U31" i="11"/>
  <c r="S31" i="11"/>
  <c r="T31" i="11"/>
  <c r="Q31" i="11"/>
  <c r="R31" i="11"/>
  <c r="P32" i="11"/>
  <c r="V30" i="11"/>
  <c r="V34" i="17"/>
  <c r="AG30" i="8"/>
  <c r="AD30" i="8"/>
  <c r="AE32" i="15"/>
  <c r="AH32" i="15"/>
  <c r="AF32" i="15"/>
  <c r="U34" i="10"/>
  <c r="S34" i="10"/>
  <c r="P35" i="10"/>
  <c r="T34" i="10"/>
  <c r="Q34" i="10"/>
  <c r="R34" i="10"/>
  <c r="AD30" i="19"/>
  <c r="AG30" i="19"/>
  <c r="AC34" i="15"/>
  <c r="Y34" i="15"/>
  <c r="P36" i="15"/>
  <c r="S35" i="15"/>
  <c r="T35" i="15"/>
  <c r="U35" i="15"/>
  <c r="Q35" i="15"/>
  <c r="R35" i="15"/>
  <c r="AD29" i="11"/>
  <c r="AG29" i="11"/>
  <c r="AA33" i="18"/>
  <c r="AB33" i="18"/>
  <c r="S32" i="8"/>
  <c r="T32" i="8"/>
  <c r="Q32" i="8"/>
  <c r="R32" i="8"/>
  <c r="U32" i="8"/>
  <c r="P33" i="8"/>
  <c r="AH31" i="10"/>
  <c r="AF31" i="10"/>
  <c r="AE31" i="10"/>
  <c r="T33" i="14"/>
  <c r="Q33" i="14"/>
  <c r="R33" i="14"/>
  <c r="U33" i="14"/>
  <c r="P34" i="14"/>
  <c r="S33" i="14"/>
  <c r="V32" i="14"/>
  <c r="Z33" i="17"/>
  <c r="X33" i="17"/>
  <c r="W33" i="17"/>
  <c r="W30" i="19"/>
  <c r="Z30" i="19"/>
  <c r="X30" i="19"/>
  <c r="AJ29" i="6"/>
  <c r="AI29" i="6"/>
  <c r="AE30" i="6"/>
  <c r="AH30" i="6"/>
  <c r="AF30" i="6"/>
  <c r="AA30" i="14"/>
  <c r="AB30" i="14"/>
  <c r="Z31" i="14"/>
  <c r="X31" i="14"/>
  <c r="W31" i="14"/>
  <c r="AA30" i="6"/>
  <c r="AB30" i="6"/>
  <c r="Y32" i="9"/>
  <c r="AC32" i="9"/>
  <c r="AI31" i="18"/>
  <c r="AJ31" i="18"/>
  <c r="W32" i="12"/>
  <c r="Z32" i="12"/>
  <c r="X32" i="12"/>
  <c r="T35" i="18"/>
  <c r="V35" i="18"/>
  <c r="Q35" i="18"/>
  <c r="R35" i="18"/>
  <c r="S35" i="18"/>
  <c r="U35" i="18"/>
  <c r="P36" i="18"/>
  <c r="AC34" i="18"/>
  <c r="Y34" i="18"/>
  <c r="AF75" i="7"/>
  <c r="AH75" i="7"/>
  <c r="AE75" i="7"/>
  <c r="W31" i="9"/>
  <c r="Z31" i="9"/>
  <c r="X31" i="9"/>
  <c r="T35" i="17"/>
  <c r="Q35" i="17"/>
  <c r="R35" i="17"/>
  <c r="U35" i="17"/>
  <c r="S35" i="17"/>
  <c r="P36" i="17"/>
  <c r="AC34" i="17"/>
  <c r="Y34" i="17"/>
  <c r="AB32" i="10"/>
  <c r="AA32" i="10"/>
  <c r="AH29" i="20"/>
  <c r="AF29" i="20"/>
  <c r="AE29" i="20"/>
  <c r="AG31" i="6"/>
  <c r="AD31" i="6"/>
  <c r="AA30" i="20"/>
  <c r="AB30" i="20"/>
  <c r="AI28" i="19"/>
  <c r="AJ28" i="19"/>
  <c r="V31" i="19"/>
  <c r="AH30" i="9"/>
  <c r="AF30" i="9"/>
  <c r="AE30" i="9"/>
  <c r="AB33" i="15"/>
  <c r="AA33" i="15"/>
  <c r="AC32" i="14"/>
  <c r="Y32" i="14"/>
  <c r="W35" i="18"/>
  <c r="X35" i="18"/>
  <c r="Z35" i="18"/>
  <c r="U34" i="14"/>
  <c r="S34" i="14"/>
  <c r="P35" i="14"/>
  <c r="T34" i="14"/>
  <c r="Q34" i="14"/>
  <c r="R34" i="14"/>
  <c r="AE30" i="19"/>
  <c r="AF30" i="19"/>
  <c r="AH30" i="19"/>
  <c r="X30" i="11"/>
  <c r="Z30" i="11"/>
  <c r="W30" i="11"/>
  <c r="Z34" i="18"/>
  <c r="X34" i="18"/>
  <c r="W34" i="18"/>
  <c r="AG31" i="19"/>
  <c r="AD31" i="19"/>
  <c r="Z33" i="6"/>
  <c r="X33" i="6"/>
  <c r="W33" i="6"/>
  <c r="AA33" i="12"/>
  <c r="AB33" i="12"/>
  <c r="Z31" i="19"/>
  <c r="X31" i="19"/>
  <c r="W31" i="19"/>
  <c r="AH30" i="8"/>
  <c r="AF30" i="8"/>
  <c r="AE30" i="8"/>
  <c r="S32" i="11"/>
  <c r="T32" i="11"/>
  <c r="V32" i="11"/>
  <c r="Q32" i="11"/>
  <c r="R32" i="11"/>
  <c r="U32" i="11"/>
  <c r="P33" i="11"/>
  <c r="AH32" i="10"/>
  <c r="AF32" i="10"/>
  <c r="AE32" i="10"/>
  <c r="Z31" i="20"/>
  <c r="X31" i="20"/>
  <c r="W31" i="20"/>
  <c r="V32" i="20"/>
  <c r="Z32" i="9"/>
  <c r="X32" i="9"/>
  <c r="W32" i="9"/>
  <c r="AC33" i="9"/>
  <c r="Y33" i="9"/>
  <c r="AH33" i="15"/>
  <c r="AF33" i="15"/>
  <c r="AE33" i="15"/>
  <c r="AE30" i="20"/>
  <c r="AH30" i="20"/>
  <c r="AF30" i="20"/>
  <c r="AG33" i="12"/>
  <c r="AD33" i="12"/>
  <c r="AC32" i="19"/>
  <c r="Y32" i="19"/>
  <c r="AJ32" i="17"/>
  <c r="AI32" i="17"/>
  <c r="AE33" i="17"/>
  <c r="AF33" i="17"/>
  <c r="AH33" i="17"/>
  <c r="U34" i="6"/>
  <c r="S34" i="6"/>
  <c r="P35" i="6"/>
  <c r="T34" i="6"/>
  <c r="Q34" i="6"/>
  <c r="R34" i="6"/>
  <c r="AD30" i="11"/>
  <c r="AG30" i="11"/>
  <c r="AI31" i="12"/>
  <c r="AJ31" i="12"/>
  <c r="S35" i="12"/>
  <c r="T35" i="12"/>
  <c r="Q35" i="12"/>
  <c r="R35" i="12"/>
  <c r="U35" i="12"/>
  <c r="P36" i="12"/>
  <c r="S36" i="15"/>
  <c r="T36" i="15"/>
  <c r="Q36" i="15"/>
  <c r="R36" i="15"/>
  <c r="U36" i="15"/>
  <c r="P37" i="15"/>
  <c r="AG31" i="8"/>
  <c r="AD31" i="8"/>
  <c r="W32" i="19"/>
  <c r="Z32" i="19"/>
  <c r="X32" i="19"/>
  <c r="AA31" i="8"/>
  <c r="AB31" i="8"/>
  <c r="AH32" i="12"/>
  <c r="AF32" i="12"/>
  <c r="AE32" i="12"/>
  <c r="AC34" i="12"/>
  <c r="Y34" i="12"/>
  <c r="AB31" i="9"/>
  <c r="AA31" i="9"/>
  <c r="AA30" i="19"/>
  <c r="AB30" i="19"/>
  <c r="AA33" i="17"/>
  <c r="AB33" i="17"/>
  <c r="AG34" i="17"/>
  <c r="AD34" i="17"/>
  <c r="AC35" i="18"/>
  <c r="Y35" i="18"/>
  <c r="W32" i="14"/>
  <c r="Z32" i="14"/>
  <c r="X32" i="14"/>
  <c r="AI31" i="10"/>
  <c r="AJ31" i="10"/>
  <c r="V34" i="10"/>
  <c r="P35" i="9"/>
  <c r="S34" i="9"/>
  <c r="T34" i="9"/>
  <c r="V34" i="9"/>
  <c r="Q34" i="9"/>
  <c r="R34" i="9"/>
  <c r="U34" i="9"/>
  <c r="AE33" i="18"/>
  <c r="AF33" i="18"/>
  <c r="AH33" i="18"/>
  <c r="AB76" i="7"/>
  <c r="AA76" i="7"/>
  <c r="AF76" i="7"/>
  <c r="AE76" i="7"/>
  <c r="AH76" i="7"/>
  <c r="AB32" i="6"/>
  <c r="AA32" i="6"/>
  <c r="AI30" i="9"/>
  <c r="AJ30" i="9"/>
  <c r="AC35" i="17"/>
  <c r="Y35" i="17"/>
  <c r="AI75" i="7"/>
  <c r="AJ75" i="7"/>
  <c r="T36" i="18"/>
  <c r="V36" i="18"/>
  <c r="Q36" i="18"/>
  <c r="R36" i="18"/>
  <c r="U36" i="18"/>
  <c r="S36" i="18"/>
  <c r="P37" i="18"/>
  <c r="AB31" i="14"/>
  <c r="AA31" i="14"/>
  <c r="AJ30" i="6"/>
  <c r="AI30" i="6"/>
  <c r="AC34" i="10"/>
  <c r="Y34" i="10"/>
  <c r="AC31" i="11"/>
  <c r="Y31" i="11"/>
  <c r="Z33" i="9"/>
  <c r="X33" i="9"/>
  <c r="W33" i="9"/>
  <c r="AJ30" i="14"/>
  <c r="AI30" i="14"/>
  <c r="AG33" i="10"/>
  <c r="AD33" i="10"/>
  <c r="Y33" i="6"/>
  <c r="AC33" i="6"/>
  <c r="AH31" i="6"/>
  <c r="AF31" i="6"/>
  <c r="AE31" i="6"/>
  <c r="AJ29" i="20"/>
  <c r="AI29" i="20"/>
  <c r="AB32" i="12"/>
  <c r="AA32" i="12"/>
  <c r="AG32" i="9"/>
  <c r="AD32" i="9"/>
  <c r="V32" i="8"/>
  <c r="V35" i="15"/>
  <c r="AD34" i="15"/>
  <c r="AG34" i="15"/>
  <c r="S33" i="20"/>
  <c r="T33" i="20"/>
  <c r="V33" i="20"/>
  <c r="Q33" i="20"/>
  <c r="R33" i="20"/>
  <c r="U33" i="20"/>
  <c r="P34" i="20"/>
  <c r="AH31" i="14"/>
  <c r="AF31" i="14"/>
  <c r="AE31" i="14"/>
  <c r="AJ29" i="19"/>
  <c r="AI29" i="19"/>
  <c r="AB77" i="7"/>
  <c r="AA77" i="7"/>
  <c r="T33" i="19"/>
  <c r="Q33" i="19"/>
  <c r="R33" i="19"/>
  <c r="S33" i="19"/>
  <c r="U33" i="19"/>
  <c r="P34" i="19"/>
  <c r="AD32" i="14"/>
  <c r="AG32" i="14"/>
  <c r="T36" i="17"/>
  <c r="Q36" i="17"/>
  <c r="R36" i="17"/>
  <c r="U36" i="17"/>
  <c r="S36" i="17"/>
  <c r="P37" i="17"/>
  <c r="V35" i="17"/>
  <c r="AG34" i="18"/>
  <c r="AD34" i="18"/>
  <c r="Y33" i="14"/>
  <c r="AC33" i="14"/>
  <c r="V33" i="14"/>
  <c r="T33" i="8"/>
  <c r="V33" i="8"/>
  <c r="Q33" i="8"/>
  <c r="R33" i="8"/>
  <c r="U33" i="8"/>
  <c r="S33" i="8"/>
  <c r="P34" i="8"/>
  <c r="AC32" i="8"/>
  <c r="Y32" i="8"/>
  <c r="AH29" i="11"/>
  <c r="AE29" i="11"/>
  <c r="AF29" i="11"/>
  <c r="AC35" i="15"/>
  <c r="Y35" i="15"/>
  <c r="S35" i="10"/>
  <c r="T35" i="10"/>
  <c r="Q35" i="10"/>
  <c r="R35" i="10"/>
  <c r="U35" i="10"/>
  <c r="P36" i="10"/>
  <c r="AJ32" i="15"/>
  <c r="AI32" i="15"/>
  <c r="Z34" i="17"/>
  <c r="X34" i="17"/>
  <c r="W34" i="17"/>
  <c r="V31" i="11"/>
  <c r="AC32" i="20"/>
  <c r="Y32" i="20"/>
  <c r="AI29" i="8"/>
  <c r="AJ29" i="8"/>
  <c r="AD77" i="7"/>
  <c r="AG77" i="7"/>
  <c r="AJ28" i="11"/>
  <c r="AI28" i="11"/>
  <c r="AJ32" i="18"/>
  <c r="AI32" i="18"/>
  <c r="AD32" i="6"/>
  <c r="AG32" i="6"/>
  <c r="AB34" i="15"/>
  <c r="AA34" i="15"/>
  <c r="AA33" i="10"/>
  <c r="AB33" i="10"/>
  <c r="AG31" i="20"/>
  <c r="AD31" i="20"/>
  <c r="V34" i="12"/>
  <c r="AH31" i="9"/>
  <c r="AF31" i="9"/>
  <c r="AE31" i="9"/>
  <c r="W33" i="8"/>
  <c r="Z33" i="8"/>
  <c r="X33" i="8"/>
  <c r="Y36" i="17"/>
  <c r="AC36" i="17"/>
  <c r="Y33" i="19"/>
  <c r="AC33" i="19"/>
  <c r="AH34" i="15"/>
  <c r="AF34" i="15"/>
  <c r="AE34" i="15"/>
  <c r="AG33" i="6"/>
  <c r="AD33" i="6"/>
  <c r="AA33" i="9"/>
  <c r="AB33" i="9"/>
  <c r="AG34" i="10"/>
  <c r="AD34" i="10"/>
  <c r="Z34" i="9"/>
  <c r="X34" i="9"/>
  <c r="W34" i="9"/>
  <c r="AG34" i="12"/>
  <c r="AD34" i="12"/>
  <c r="T36" i="12"/>
  <c r="Q36" i="12"/>
  <c r="R36" i="12"/>
  <c r="U36" i="12"/>
  <c r="S36" i="12"/>
  <c r="P37" i="12"/>
  <c r="AC35" i="12"/>
  <c r="Y35" i="12"/>
  <c r="AH30" i="11"/>
  <c r="AF30" i="11"/>
  <c r="AE30" i="11"/>
  <c r="AC34" i="6"/>
  <c r="Y34" i="6"/>
  <c r="AD32" i="19"/>
  <c r="AG32" i="19"/>
  <c r="AJ30" i="20"/>
  <c r="AI30" i="20"/>
  <c r="AI33" i="15"/>
  <c r="AJ33" i="15"/>
  <c r="AI32" i="10"/>
  <c r="AJ32" i="10"/>
  <c r="Z32" i="11"/>
  <c r="X32" i="11"/>
  <c r="W32" i="11"/>
  <c r="AJ30" i="8"/>
  <c r="AI30" i="8"/>
  <c r="AA33" i="6"/>
  <c r="AB33" i="6"/>
  <c r="AC35" i="10"/>
  <c r="Y35" i="10"/>
  <c r="T34" i="8"/>
  <c r="V34" i="8"/>
  <c r="Q34" i="8"/>
  <c r="R34" i="8"/>
  <c r="U34" i="8"/>
  <c r="S34" i="8"/>
  <c r="P35" i="8"/>
  <c r="AH77" i="7"/>
  <c r="AF77" i="7"/>
  <c r="AE77" i="7"/>
  <c r="AD32" i="20"/>
  <c r="AG32" i="20"/>
  <c r="AB34" i="17"/>
  <c r="AA34" i="17"/>
  <c r="AI29" i="11"/>
  <c r="AJ29" i="11"/>
  <c r="AI31" i="14"/>
  <c r="AJ31" i="14"/>
  <c r="U37" i="18"/>
  <c r="S37" i="18"/>
  <c r="T37" i="18"/>
  <c r="Q37" i="18"/>
  <c r="R37" i="18"/>
  <c r="P38" i="18"/>
  <c r="X36" i="18"/>
  <c r="W36" i="18"/>
  <c r="Z36" i="18"/>
  <c r="AD35" i="17"/>
  <c r="AG35" i="17"/>
  <c r="AC34" i="9"/>
  <c r="Y34" i="9"/>
  <c r="AE31" i="8"/>
  <c r="AH31" i="8"/>
  <c r="AF31" i="8"/>
  <c r="AH33" i="12"/>
  <c r="AF33" i="12"/>
  <c r="AE33" i="12"/>
  <c r="AA32" i="9"/>
  <c r="AB32" i="9"/>
  <c r="AB31" i="20"/>
  <c r="AA31" i="20"/>
  <c r="U33" i="11"/>
  <c r="S33" i="11"/>
  <c r="T33" i="11"/>
  <c r="V33" i="11"/>
  <c r="Q33" i="11"/>
  <c r="R33" i="11"/>
  <c r="P34" i="11"/>
  <c r="AC32" i="11"/>
  <c r="Y32" i="11"/>
  <c r="AH31" i="19"/>
  <c r="AF31" i="19"/>
  <c r="AE31" i="19"/>
  <c r="AB34" i="18"/>
  <c r="AA34" i="18"/>
  <c r="AJ30" i="19"/>
  <c r="AI30" i="19"/>
  <c r="V34" i="14"/>
  <c r="AB35" i="18"/>
  <c r="AA35" i="18"/>
  <c r="AC33" i="8"/>
  <c r="Y33" i="8"/>
  <c r="Z33" i="14"/>
  <c r="X33" i="14"/>
  <c r="W33" i="14"/>
  <c r="AH32" i="14"/>
  <c r="AF32" i="14"/>
  <c r="AE32" i="14"/>
  <c r="W35" i="15"/>
  <c r="Z35" i="15"/>
  <c r="X35" i="15"/>
  <c r="AI31" i="9"/>
  <c r="AJ31" i="9"/>
  <c r="X31" i="11"/>
  <c r="Z31" i="11"/>
  <c r="W31" i="11"/>
  <c r="AD35" i="15"/>
  <c r="AG35" i="15"/>
  <c r="AG33" i="14"/>
  <c r="AD33" i="14"/>
  <c r="W35" i="17"/>
  <c r="Z35" i="17"/>
  <c r="X35" i="17"/>
  <c r="U34" i="19"/>
  <c r="S34" i="19"/>
  <c r="T34" i="19"/>
  <c r="V34" i="19"/>
  <c r="Q34" i="19"/>
  <c r="R34" i="19"/>
  <c r="P35" i="19"/>
  <c r="V33" i="19"/>
  <c r="U34" i="20"/>
  <c r="S34" i="20"/>
  <c r="T34" i="20"/>
  <c r="Q34" i="20"/>
  <c r="R34" i="20"/>
  <c r="P35" i="20"/>
  <c r="Y33" i="20"/>
  <c r="AC33" i="20"/>
  <c r="Z32" i="8"/>
  <c r="X32" i="8"/>
  <c r="W32" i="8"/>
  <c r="AH33" i="10"/>
  <c r="AF33" i="10"/>
  <c r="AE33" i="10"/>
  <c r="AD31" i="11"/>
  <c r="AG31" i="11"/>
  <c r="Y36" i="18"/>
  <c r="AC36" i="18"/>
  <c r="AI76" i="7"/>
  <c r="AJ76" i="7"/>
  <c r="P36" i="9"/>
  <c r="T35" i="9"/>
  <c r="V35" i="9"/>
  <c r="Q35" i="9"/>
  <c r="R35" i="9"/>
  <c r="U35" i="9"/>
  <c r="S35" i="9"/>
  <c r="AD35" i="18"/>
  <c r="AG35" i="18"/>
  <c r="V36" i="15"/>
  <c r="V34" i="6"/>
  <c r="AJ33" i="17"/>
  <c r="AI33" i="17"/>
  <c r="AG33" i="9"/>
  <c r="AD33" i="9"/>
  <c r="W32" i="20"/>
  <c r="X32" i="20"/>
  <c r="Z32" i="20"/>
  <c r="S35" i="14"/>
  <c r="T35" i="14"/>
  <c r="V35" i="14"/>
  <c r="Q35" i="14"/>
  <c r="R35" i="14"/>
  <c r="U35" i="14"/>
  <c r="P36" i="14"/>
  <c r="AH31" i="20"/>
  <c r="AF31" i="20"/>
  <c r="AE31" i="20"/>
  <c r="T36" i="10"/>
  <c r="Q36" i="10"/>
  <c r="R36" i="10"/>
  <c r="U36" i="10"/>
  <c r="S36" i="10"/>
  <c r="P37" i="10"/>
  <c r="AH34" i="18"/>
  <c r="AF34" i="18"/>
  <c r="AE34" i="18"/>
  <c r="Z33" i="20"/>
  <c r="X33" i="20"/>
  <c r="W33" i="20"/>
  <c r="Z34" i="12"/>
  <c r="X34" i="12"/>
  <c r="W34" i="12"/>
  <c r="AH32" i="6"/>
  <c r="AF32" i="6"/>
  <c r="AE32" i="6"/>
  <c r="V35" i="10"/>
  <c r="AG32" i="8"/>
  <c r="AD32" i="8"/>
  <c r="U37" i="17"/>
  <c r="S37" i="17"/>
  <c r="T37" i="17"/>
  <c r="V37" i="17"/>
  <c r="Q37" i="17"/>
  <c r="R37" i="17"/>
  <c r="P38" i="17"/>
  <c r="V36" i="17"/>
  <c r="AH32" i="9"/>
  <c r="AF32" i="9"/>
  <c r="AE32" i="9"/>
  <c r="AI31" i="6"/>
  <c r="AJ31" i="6"/>
  <c r="AJ33" i="18"/>
  <c r="AI33" i="18"/>
  <c r="Z34" i="10"/>
  <c r="X34" i="10"/>
  <c r="W34" i="10"/>
  <c r="AB32" i="14"/>
  <c r="AA32" i="14"/>
  <c r="AH34" i="17"/>
  <c r="AF34" i="17"/>
  <c r="AE34" i="17"/>
  <c r="AI32" i="12"/>
  <c r="AJ32" i="12"/>
  <c r="AB32" i="19"/>
  <c r="AA32" i="19"/>
  <c r="T37" i="15"/>
  <c r="V37" i="15"/>
  <c r="Q37" i="15"/>
  <c r="R37" i="15"/>
  <c r="U37" i="15"/>
  <c r="S37" i="15"/>
  <c r="P38" i="15"/>
  <c r="AC36" i="15"/>
  <c r="Y36" i="15"/>
  <c r="V35" i="12"/>
  <c r="S35" i="6"/>
  <c r="T35" i="6"/>
  <c r="V35" i="6"/>
  <c r="Q35" i="6"/>
  <c r="R35" i="6"/>
  <c r="U35" i="6"/>
  <c r="P36" i="6"/>
  <c r="AB31" i="19"/>
  <c r="AA31" i="19"/>
  <c r="AB30" i="11"/>
  <c r="AA30" i="11"/>
  <c r="AC34" i="14"/>
  <c r="Y34" i="14"/>
  <c r="AJ32" i="9"/>
  <c r="AI32" i="9"/>
  <c r="Z37" i="17"/>
  <c r="X37" i="17"/>
  <c r="W37" i="17"/>
  <c r="AI32" i="6"/>
  <c r="AJ32" i="6"/>
  <c r="AE31" i="11"/>
  <c r="AF31" i="11"/>
  <c r="AH31" i="11"/>
  <c r="AC34" i="20"/>
  <c r="Y34" i="20"/>
  <c r="AA31" i="11"/>
  <c r="AB31" i="11"/>
  <c r="AA33" i="14"/>
  <c r="AB33" i="14"/>
  <c r="AI31" i="19"/>
  <c r="AJ31" i="19"/>
  <c r="AJ31" i="8"/>
  <c r="AI31" i="8"/>
  <c r="Y37" i="18"/>
  <c r="AC37" i="18"/>
  <c r="AI77" i="7"/>
  <c r="AJ77" i="7"/>
  <c r="AG34" i="6"/>
  <c r="AD34" i="6"/>
  <c r="AE34" i="10"/>
  <c r="AH34" i="10"/>
  <c r="AF34" i="10"/>
  <c r="AH33" i="6"/>
  <c r="AF33" i="6"/>
  <c r="AE33" i="6"/>
  <c r="AI34" i="15"/>
  <c r="AJ34" i="15"/>
  <c r="AG34" i="14"/>
  <c r="AD34" i="14"/>
  <c r="AG36" i="15"/>
  <c r="AD36" i="15"/>
  <c r="AI34" i="17"/>
  <c r="AJ34" i="17"/>
  <c r="T36" i="6"/>
  <c r="Q36" i="6"/>
  <c r="R36" i="6"/>
  <c r="U36" i="6"/>
  <c r="S36" i="6"/>
  <c r="P37" i="6"/>
  <c r="W37" i="15"/>
  <c r="Z37" i="15"/>
  <c r="X37" i="15"/>
  <c r="Z36" i="17"/>
  <c r="X36" i="17"/>
  <c r="W36" i="17"/>
  <c r="Z35" i="10"/>
  <c r="X35" i="10"/>
  <c r="W35" i="10"/>
  <c r="AJ31" i="20"/>
  <c r="AI31" i="20"/>
  <c r="AH35" i="18"/>
  <c r="AF35" i="18"/>
  <c r="AE35" i="18"/>
  <c r="W35" i="9"/>
  <c r="Z35" i="9"/>
  <c r="X35" i="9"/>
  <c r="AD36" i="18"/>
  <c r="AG36" i="18"/>
  <c r="T35" i="20"/>
  <c r="Q35" i="20"/>
  <c r="R35" i="20"/>
  <c r="S35" i="20"/>
  <c r="U35" i="20"/>
  <c r="P36" i="20"/>
  <c r="W34" i="19"/>
  <c r="X34" i="19"/>
  <c r="Z34" i="19"/>
  <c r="AB35" i="17"/>
  <c r="AA35" i="17"/>
  <c r="AB35" i="15"/>
  <c r="AA35" i="15"/>
  <c r="AI32" i="14"/>
  <c r="AJ32" i="14"/>
  <c r="Z34" i="14"/>
  <c r="X34" i="14"/>
  <c r="W34" i="14"/>
  <c r="W33" i="11"/>
  <c r="X33" i="11"/>
  <c r="Z33" i="11"/>
  <c r="AH35" i="17"/>
  <c r="AF35" i="17"/>
  <c r="AE35" i="17"/>
  <c r="S38" i="18"/>
  <c r="T38" i="18"/>
  <c r="Q38" i="18"/>
  <c r="R38" i="18"/>
  <c r="U38" i="18"/>
  <c r="P39" i="18"/>
  <c r="AE32" i="20"/>
  <c r="AF32" i="20"/>
  <c r="AH32" i="20"/>
  <c r="U35" i="8"/>
  <c r="S35" i="8"/>
  <c r="T35" i="8"/>
  <c r="Q35" i="8"/>
  <c r="R35" i="8"/>
  <c r="P36" i="8"/>
  <c r="Z34" i="8"/>
  <c r="X34" i="8"/>
  <c r="W34" i="8"/>
  <c r="AG35" i="12"/>
  <c r="AD35" i="12"/>
  <c r="AG33" i="19"/>
  <c r="AD33" i="19"/>
  <c r="Z35" i="6"/>
  <c r="X35" i="6"/>
  <c r="W35" i="6"/>
  <c r="AC35" i="6"/>
  <c r="Y35" i="6"/>
  <c r="P39" i="15"/>
  <c r="T38" i="15"/>
  <c r="Q38" i="15"/>
  <c r="R38" i="15"/>
  <c r="U38" i="15"/>
  <c r="S38" i="15"/>
  <c r="AA34" i="10"/>
  <c r="AB34" i="10"/>
  <c r="AC37" i="17"/>
  <c r="Y37" i="17"/>
  <c r="AI34" i="18"/>
  <c r="AJ34" i="18"/>
  <c r="Z35" i="14"/>
  <c r="X35" i="14"/>
  <c r="W35" i="14"/>
  <c r="Z35" i="12"/>
  <c r="X35" i="12"/>
  <c r="W35" i="12"/>
  <c r="AC37" i="15"/>
  <c r="Y37" i="15"/>
  <c r="S38" i="17"/>
  <c r="T38" i="17"/>
  <c r="Q38" i="17"/>
  <c r="R38" i="17"/>
  <c r="U38" i="17"/>
  <c r="P39" i="17"/>
  <c r="AB33" i="20"/>
  <c r="AA33" i="20"/>
  <c r="T37" i="10"/>
  <c r="V37" i="10"/>
  <c r="Q37" i="10"/>
  <c r="R37" i="10"/>
  <c r="U37" i="10"/>
  <c r="P38" i="10"/>
  <c r="S37" i="10"/>
  <c r="V36" i="10"/>
  <c r="T36" i="14"/>
  <c r="Q36" i="14"/>
  <c r="R36" i="14"/>
  <c r="U36" i="14"/>
  <c r="S36" i="14"/>
  <c r="P37" i="14"/>
  <c r="AC35" i="14"/>
  <c r="Y35" i="14"/>
  <c r="AE33" i="9"/>
  <c r="AH33" i="9"/>
  <c r="AF33" i="9"/>
  <c r="Z34" i="6"/>
  <c r="X34" i="6"/>
  <c r="W34" i="6"/>
  <c r="AC35" i="9"/>
  <c r="Y35" i="9"/>
  <c r="T36" i="9"/>
  <c r="V36" i="9"/>
  <c r="Q36" i="9"/>
  <c r="R36" i="9"/>
  <c r="U36" i="9"/>
  <c r="S36" i="9"/>
  <c r="P37" i="9"/>
  <c r="AB32" i="8"/>
  <c r="AA32" i="8"/>
  <c r="Z33" i="19"/>
  <c r="X33" i="19"/>
  <c r="W33" i="19"/>
  <c r="AC34" i="19"/>
  <c r="Y34" i="19"/>
  <c r="AH35" i="15"/>
  <c r="AF35" i="15"/>
  <c r="AE35" i="15"/>
  <c r="AD33" i="8"/>
  <c r="AG33" i="8"/>
  <c r="AG32" i="11"/>
  <c r="AD32" i="11"/>
  <c r="AC33" i="11"/>
  <c r="Y33" i="11"/>
  <c r="AJ33" i="12"/>
  <c r="AI33" i="12"/>
  <c r="AA36" i="18"/>
  <c r="AB36" i="18"/>
  <c r="Y34" i="8"/>
  <c r="AC34" i="8"/>
  <c r="AA32" i="11"/>
  <c r="AB32" i="11"/>
  <c r="AE32" i="19"/>
  <c r="AH32" i="19"/>
  <c r="AF32" i="19"/>
  <c r="T37" i="12"/>
  <c r="Q37" i="12"/>
  <c r="R37" i="12"/>
  <c r="U37" i="12"/>
  <c r="S37" i="12"/>
  <c r="P38" i="12"/>
  <c r="V36" i="12"/>
  <c r="AB33" i="8"/>
  <c r="AA33" i="8"/>
  <c r="AH32" i="8"/>
  <c r="AF32" i="8"/>
  <c r="AE32" i="8"/>
  <c r="AA34" i="12"/>
  <c r="AB34" i="12"/>
  <c r="AC36" i="10"/>
  <c r="Y36" i="10"/>
  <c r="AA32" i="20"/>
  <c r="AB32" i="20"/>
  <c r="Z36" i="15"/>
  <c r="X36" i="15"/>
  <c r="W36" i="15"/>
  <c r="AJ33" i="10"/>
  <c r="AI33" i="10"/>
  <c r="AG33" i="20"/>
  <c r="AD33" i="20"/>
  <c r="V34" i="20"/>
  <c r="S35" i="19"/>
  <c r="T35" i="19"/>
  <c r="Q35" i="19"/>
  <c r="R35" i="19"/>
  <c r="U35" i="19"/>
  <c r="P36" i="19"/>
  <c r="AH33" i="14"/>
  <c r="AF33" i="14"/>
  <c r="AE33" i="14"/>
  <c r="T34" i="11"/>
  <c r="Q34" i="11"/>
  <c r="R34" i="11"/>
  <c r="U34" i="11"/>
  <c r="S34" i="11"/>
  <c r="P35" i="11"/>
  <c r="AG34" i="9"/>
  <c r="AD34" i="9"/>
  <c r="V37" i="18"/>
  <c r="AG35" i="10"/>
  <c r="AD35" i="10"/>
  <c r="AJ30" i="11"/>
  <c r="AI30" i="11"/>
  <c r="AC36" i="12"/>
  <c r="Y36" i="12"/>
  <c r="AE34" i="12"/>
  <c r="AH34" i="12"/>
  <c r="AF34" i="12"/>
  <c r="AB34" i="9"/>
  <c r="AA34" i="9"/>
  <c r="AG36" i="17"/>
  <c r="AD36" i="17"/>
  <c r="W34" i="20"/>
  <c r="Z34" i="20"/>
  <c r="X34" i="20"/>
  <c r="AI32" i="8"/>
  <c r="AJ32" i="8"/>
  <c r="U38" i="12"/>
  <c r="S38" i="12"/>
  <c r="T38" i="12"/>
  <c r="V38" i="12"/>
  <c r="Q38" i="12"/>
  <c r="R38" i="12"/>
  <c r="P39" i="12"/>
  <c r="V37" i="12"/>
  <c r="AI35" i="15"/>
  <c r="AJ35" i="15"/>
  <c r="U37" i="9"/>
  <c r="S37" i="9"/>
  <c r="T37" i="9"/>
  <c r="V37" i="9"/>
  <c r="Q37" i="9"/>
  <c r="R37" i="9"/>
  <c r="P38" i="9"/>
  <c r="Z36" i="9"/>
  <c r="X36" i="9"/>
  <c r="W36" i="9"/>
  <c r="AC36" i="14"/>
  <c r="Y36" i="14"/>
  <c r="W36" i="10"/>
  <c r="Z36" i="10"/>
  <c r="X36" i="10"/>
  <c r="T39" i="17"/>
  <c r="V39" i="17"/>
  <c r="Q39" i="17"/>
  <c r="R39" i="17"/>
  <c r="U39" i="17"/>
  <c r="S39" i="17"/>
  <c r="P40" i="17"/>
  <c r="AC38" i="17"/>
  <c r="Y38" i="17"/>
  <c r="AB35" i="14"/>
  <c r="AA35" i="14"/>
  <c r="AG37" i="17"/>
  <c r="AD37" i="17"/>
  <c r="AB35" i="6"/>
  <c r="AA35" i="6"/>
  <c r="S36" i="8"/>
  <c r="T36" i="8"/>
  <c r="Q36" i="8"/>
  <c r="R36" i="8"/>
  <c r="U36" i="8"/>
  <c r="P37" i="8"/>
  <c r="T39" i="18"/>
  <c r="Q39" i="18"/>
  <c r="R39" i="18"/>
  <c r="S39" i="18"/>
  <c r="U39" i="18"/>
  <c r="P40" i="18"/>
  <c r="AC38" i="18"/>
  <c r="Y38" i="18"/>
  <c r="AB33" i="11"/>
  <c r="AA33" i="11"/>
  <c r="AA34" i="19"/>
  <c r="AB34" i="19"/>
  <c r="AB35" i="10"/>
  <c r="AA35" i="10"/>
  <c r="AC36" i="6"/>
  <c r="Y36" i="6"/>
  <c r="AE34" i="14"/>
  <c r="AH34" i="14"/>
  <c r="AF34" i="14"/>
  <c r="AJ34" i="10"/>
  <c r="AI34" i="10"/>
  <c r="AJ34" i="12"/>
  <c r="AI34" i="12"/>
  <c r="Z37" i="18"/>
  <c r="X37" i="18"/>
  <c r="W37" i="18"/>
  <c r="AH34" i="9"/>
  <c r="AF34" i="9"/>
  <c r="AE34" i="9"/>
  <c r="AH33" i="20"/>
  <c r="AF33" i="20"/>
  <c r="AE33" i="20"/>
  <c r="Y37" i="12"/>
  <c r="AC37" i="12"/>
  <c r="AD33" i="11"/>
  <c r="AG33" i="11"/>
  <c r="AH33" i="8"/>
  <c r="AF33" i="8"/>
  <c r="AE33" i="8"/>
  <c r="AB33" i="19"/>
  <c r="AA33" i="19"/>
  <c r="Y36" i="9"/>
  <c r="AC36" i="9"/>
  <c r="AA34" i="6"/>
  <c r="AB34" i="6"/>
  <c r="Y37" i="10"/>
  <c r="AC37" i="10"/>
  <c r="Z37" i="10"/>
  <c r="X37" i="10"/>
  <c r="W37" i="10"/>
  <c r="AB35" i="12"/>
  <c r="AA35" i="12"/>
  <c r="AG35" i="6"/>
  <c r="AD35" i="6"/>
  <c r="AH33" i="19"/>
  <c r="AF33" i="19"/>
  <c r="AE33" i="19"/>
  <c r="AJ32" i="20"/>
  <c r="AI32" i="20"/>
  <c r="AA34" i="14"/>
  <c r="AB34" i="14"/>
  <c r="Y35" i="20"/>
  <c r="AC35" i="20"/>
  <c r="AH36" i="18"/>
  <c r="AF36" i="18"/>
  <c r="AE36" i="18"/>
  <c r="AB37" i="15"/>
  <c r="AA37" i="15"/>
  <c r="AD34" i="20"/>
  <c r="AG34" i="20"/>
  <c r="AA37" i="17"/>
  <c r="AB37" i="17"/>
  <c r="AH35" i="10"/>
  <c r="AF35" i="10"/>
  <c r="AE35" i="10"/>
  <c r="AI32" i="19"/>
  <c r="AJ32" i="19"/>
  <c r="AG34" i="8"/>
  <c r="AD34" i="8"/>
  <c r="AF32" i="11"/>
  <c r="AH32" i="11"/>
  <c r="AE32" i="11"/>
  <c r="AD34" i="19"/>
  <c r="AG34" i="19"/>
  <c r="AD35" i="9"/>
  <c r="AG35" i="9"/>
  <c r="AG35" i="14"/>
  <c r="AD35" i="14"/>
  <c r="U38" i="10"/>
  <c r="S38" i="10"/>
  <c r="P39" i="10"/>
  <c r="T38" i="10"/>
  <c r="Q38" i="10"/>
  <c r="R38" i="10"/>
  <c r="AD37" i="15"/>
  <c r="AG37" i="15"/>
  <c r="V38" i="15"/>
  <c r="V35" i="8"/>
  <c r="AH36" i="15"/>
  <c r="AF36" i="15"/>
  <c r="AE36" i="15"/>
  <c r="AJ33" i="6"/>
  <c r="AI33" i="6"/>
  <c r="AE34" i="6"/>
  <c r="AH34" i="6"/>
  <c r="AF34" i="6"/>
  <c r="AG37" i="18"/>
  <c r="AD37" i="18"/>
  <c r="AJ31" i="11"/>
  <c r="AI31" i="11"/>
  <c r="Y34" i="11"/>
  <c r="AC34" i="11"/>
  <c r="AJ33" i="14"/>
  <c r="AI33" i="14"/>
  <c r="V35" i="19"/>
  <c r="AH36" i="17"/>
  <c r="AF36" i="17"/>
  <c r="AE36" i="17"/>
  <c r="AD36" i="12"/>
  <c r="AG36" i="12"/>
  <c r="U35" i="11"/>
  <c r="T35" i="11"/>
  <c r="V35" i="11"/>
  <c r="Q35" i="11"/>
  <c r="R35" i="11"/>
  <c r="S35" i="11"/>
  <c r="P36" i="11"/>
  <c r="V34" i="11"/>
  <c r="U36" i="19"/>
  <c r="S36" i="19"/>
  <c r="T36" i="19"/>
  <c r="V36" i="19"/>
  <c r="Q36" i="19"/>
  <c r="R36" i="19"/>
  <c r="P37" i="19"/>
  <c r="Y35" i="19"/>
  <c r="AC35" i="19"/>
  <c r="AB36" i="15"/>
  <c r="AA36" i="15"/>
  <c r="AD36" i="10"/>
  <c r="AG36" i="10"/>
  <c r="W36" i="12"/>
  <c r="Z36" i="12"/>
  <c r="X36" i="12"/>
  <c r="AJ33" i="9"/>
  <c r="AI33" i="9"/>
  <c r="T37" i="14"/>
  <c r="Q37" i="14"/>
  <c r="R37" i="14"/>
  <c r="U37" i="14"/>
  <c r="P38" i="14"/>
  <c r="S37" i="14"/>
  <c r="V36" i="14"/>
  <c r="V38" i="17"/>
  <c r="Y38" i="15"/>
  <c r="AC38" i="15"/>
  <c r="U39" i="15"/>
  <c r="P40" i="15"/>
  <c r="S39" i="15"/>
  <c r="T39" i="15"/>
  <c r="V39" i="15"/>
  <c r="Q39" i="15"/>
  <c r="R39" i="15"/>
  <c r="AH35" i="12"/>
  <c r="AF35" i="12"/>
  <c r="AE35" i="12"/>
  <c r="AA34" i="8"/>
  <c r="AB34" i="8"/>
  <c r="AC35" i="8"/>
  <c r="Y35" i="8"/>
  <c r="V38" i="18"/>
  <c r="AI35" i="17"/>
  <c r="AJ35" i="17"/>
  <c r="U36" i="20"/>
  <c r="T36" i="20"/>
  <c r="Q36" i="20"/>
  <c r="R36" i="20"/>
  <c r="S36" i="20"/>
  <c r="P37" i="20"/>
  <c r="V35" i="20"/>
  <c r="AB35" i="9"/>
  <c r="AA35" i="9"/>
  <c r="AI35" i="18"/>
  <c r="AJ35" i="18"/>
  <c r="AA36" i="17"/>
  <c r="AB36" i="17"/>
  <c r="T37" i="6"/>
  <c r="Q37" i="6"/>
  <c r="R37" i="6"/>
  <c r="U37" i="6"/>
  <c r="P38" i="6"/>
  <c r="S37" i="6"/>
  <c r="V36" i="6"/>
  <c r="AC36" i="20"/>
  <c r="Y36" i="20"/>
  <c r="AG35" i="8"/>
  <c r="AD35" i="8"/>
  <c r="AC39" i="15"/>
  <c r="Y39" i="15"/>
  <c r="U38" i="14"/>
  <c r="S38" i="14"/>
  <c r="P39" i="14"/>
  <c r="T38" i="14"/>
  <c r="Q38" i="14"/>
  <c r="R38" i="14"/>
  <c r="X34" i="11"/>
  <c r="Z34" i="11"/>
  <c r="W34" i="11"/>
  <c r="X35" i="11"/>
  <c r="Z35" i="11"/>
  <c r="W35" i="11"/>
  <c r="Z35" i="8"/>
  <c r="X35" i="8"/>
  <c r="W35" i="8"/>
  <c r="AH35" i="9"/>
  <c r="AF35" i="9"/>
  <c r="AE35" i="9"/>
  <c r="AJ32" i="11"/>
  <c r="AI32" i="11"/>
  <c r="AI35" i="10"/>
  <c r="AJ35" i="10"/>
  <c r="AE34" i="20"/>
  <c r="AF34" i="20"/>
  <c r="AH34" i="20"/>
  <c r="AI33" i="8"/>
  <c r="AJ33" i="8"/>
  <c r="T37" i="8"/>
  <c r="Q37" i="8"/>
  <c r="R37" i="8"/>
  <c r="U37" i="8"/>
  <c r="P38" i="8"/>
  <c r="S37" i="8"/>
  <c r="AC36" i="8"/>
  <c r="Y36" i="8"/>
  <c r="AG38" i="17"/>
  <c r="AD38" i="17"/>
  <c r="Z37" i="9"/>
  <c r="X37" i="9"/>
  <c r="W37" i="9"/>
  <c r="Z38" i="12"/>
  <c r="X38" i="12"/>
  <c r="W38" i="12"/>
  <c r="AI35" i="12"/>
  <c r="AJ35" i="12"/>
  <c r="S40" i="15"/>
  <c r="T40" i="15"/>
  <c r="V40" i="15"/>
  <c r="Q40" i="15"/>
  <c r="R40" i="15"/>
  <c r="U40" i="15"/>
  <c r="P41" i="15"/>
  <c r="Z38" i="17"/>
  <c r="X38" i="17"/>
  <c r="W38" i="17"/>
  <c r="AG35" i="19"/>
  <c r="AD35" i="19"/>
  <c r="W36" i="19"/>
  <c r="X36" i="19"/>
  <c r="Z36" i="19"/>
  <c r="S36" i="11"/>
  <c r="T36" i="11"/>
  <c r="V36" i="11"/>
  <c r="Q36" i="11"/>
  <c r="R36" i="11"/>
  <c r="U36" i="11"/>
  <c r="P37" i="11"/>
  <c r="AJ34" i="6"/>
  <c r="AI34" i="6"/>
  <c r="Z38" i="15"/>
  <c r="X38" i="15"/>
  <c r="W38" i="15"/>
  <c r="V38" i="10"/>
  <c r="AH35" i="14"/>
  <c r="AF35" i="14"/>
  <c r="AE35" i="14"/>
  <c r="AJ36" i="18"/>
  <c r="AI36" i="18"/>
  <c r="AA37" i="10"/>
  <c r="AB37" i="10"/>
  <c r="AA37" i="18"/>
  <c r="AB37" i="18"/>
  <c r="AC39" i="18"/>
  <c r="Y39" i="18"/>
  <c r="T40" i="17"/>
  <c r="Q40" i="17"/>
  <c r="R40" i="17"/>
  <c r="U40" i="17"/>
  <c r="S40" i="17"/>
  <c r="P41" i="17"/>
  <c r="W39" i="17"/>
  <c r="Z39" i="17"/>
  <c r="X39" i="17"/>
  <c r="AA36" i="9"/>
  <c r="AB36" i="9"/>
  <c r="AC37" i="9"/>
  <c r="Y37" i="9"/>
  <c r="Z37" i="12"/>
  <c r="X37" i="12"/>
  <c r="W37" i="12"/>
  <c r="AC38" i="12"/>
  <c r="Y38" i="12"/>
  <c r="U38" i="6"/>
  <c r="S38" i="6"/>
  <c r="P39" i="6"/>
  <c r="T38" i="6"/>
  <c r="Q38" i="6"/>
  <c r="R38" i="6"/>
  <c r="W36" i="6"/>
  <c r="Z36" i="6"/>
  <c r="X36" i="6"/>
  <c r="Z35" i="20"/>
  <c r="X35" i="20"/>
  <c r="W35" i="20"/>
  <c r="V36" i="20"/>
  <c r="Z38" i="18"/>
  <c r="X38" i="18"/>
  <c r="W38" i="18"/>
  <c r="W36" i="14"/>
  <c r="Z36" i="14"/>
  <c r="X36" i="14"/>
  <c r="AH36" i="10"/>
  <c r="AF36" i="10"/>
  <c r="AE36" i="10"/>
  <c r="AC36" i="19"/>
  <c r="Y36" i="19"/>
  <c r="Y35" i="11"/>
  <c r="AC35" i="11"/>
  <c r="AJ36" i="17"/>
  <c r="AI36" i="17"/>
  <c r="AG34" i="11"/>
  <c r="AD34" i="11"/>
  <c r="AE37" i="18"/>
  <c r="AF37" i="18"/>
  <c r="AH37" i="18"/>
  <c r="S39" i="10"/>
  <c r="T39" i="10"/>
  <c r="V39" i="10"/>
  <c r="Q39" i="10"/>
  <c r="R39" i="10"/>
  <c r="U39" i="10"/>
  <c r="P40" i="10"/>
  <c r="AE34" i="19"/>
  <c r="AH34" i="19"/>
  <c r="AF34" i="19"/>
  <c r="AH34" i="8"/>
  <c r="AF34" i="8"/>
  <c r="AE34" i="8"/>
  <c r="AG35" i="20"/>
  <c r="AD35" i="20"/>
  <c r="AI33" i="19"/>
  <c r="AJ33" i="19"/>
  <c r="AG37" i="10"/>
  <c r="AD37" i="10"/>
  <c r="AG36" i="9"/>
  <c r="AD36" i="9"/>
  <c r="AF33" i="11"/>
  <c r="AH33" i="11"/>
  <c r="AE33" i="11"/>
  <c r="AI34" i="9"/>
  <c r="AJ34" i="9"/>
  <c r="AD36" i="6"/>
  <c r="AG36" i="6"/>
  <c r="AG38" i="18"/>
  <c r="AD38" i="18"/>
  <c r="AC39" i="17"/>
  <c r="Y39" i="17"/>
  <c r="AD36" i="14"/>
  <c r="AG36" i="14"/>
  <c r="P39" i="9"/>
  <c r="S38" i="9"/>
  <c r="T38" i="9"/>
  <c r="V38" i="9"/>
  <c r="Q38" i="9"/>
  <c r="R38" i="9"/>
  <c r="U38" i="9"/>
  <c r="S39" i="12"/>
  <c r="T39" i="12"/>
  <c r="V39" i="12"/>
  <c r="Q39" i="12"/>
  <c r="R39" i="12"/>
  <c r="U39" i="12"/>
  <c r="P40" i="12"/>
  <c r="AB34" i="20"/>
  <c r="AA34" i="20"/>
  <c r="Y37" i="6"/>
  <c r="AC37" i="6"/>
  <c r="V37" i="6"/>
  <c r="S37" i="20"/>
  <c r="T37" i="20"/>
  <c r="Q37" i="20"/>
  <c r="R37" i="20"/>
  <c r="U37" i="20"/>
  <c r="P38" i="20"/>
  <c r="Z39" i="15"/>
  <c r="X39" i="15"/>
  <c r="W39" i="15"/>
  <c r="AG38" i="15"/>
  <c r="AD38" i="15"/>
  <c r="Y37" i="14"/>
  <c r="AC37" i="14"/>
  <c r="V37" i="14"/>
  <c r="AB36" i="12"/>
  <c r="AA36" i="12"/>
  <c r="T37" i="19"/>
  <c r="V37" i="19"/>
  <c r="Q37" i="19"/>
  <c r="R37" i="19"/>
  <c r="S37" i="19"/>
  <c r="U37" i="19"/>
  <c r="P38" i="19"/>
  <c r="AH36" i="12"/>
  <c r="AF36" i="12"/>
  <c r="AE36" i="12"/>
  <c r="Z35" i="19"/>
  <c r="X35" i="19"/>
  <c r="W35" i="19"/>
  <c r="AI36" i="15"/>
  <c r="AJ36" i="15"/>
  <c r="AH37" i="15"/>
  <c r="AF37" i="15"/>
  <c r="AE37" i="15"/>
  <c r="AC38" i="10"/>
  <c r="Y38" i="10"/>
  <c r="AH35" i="6"/>
  <c r="AF35" i="6"/>
  <c r="AE35" i="6"/>
  <c r="AG37" i="12"/>
  <c r="AD37" i="12"/>
  <c r="AI33" i="20"/>
  <c r="AJ33" i="20"/>
  <c r="AJ34" i="14"/>
  <c r="AI34" i="14"/>
  <c r="T40" i="18"/>
  <c r="V40" i="18"/>
  <c r="Q40" i="18"/>
  <c r="R40" i="18"/>
  <c r="U40" i="18"/>
  <c r="S40" i="18"/>
  <c r="P41" i="18"/>
  <c r="V39" i="18"/>
  <c r="V36" i="8"/>
  <c r="AE37" i="17"/>
  <c r="AH37" i="17"/>
  <c r="AF37" i="17"/>
  <c r="AB36" i="10"/>
  <c r="AA36" i="10"/>
  <c r="Z37" i="19"/>
  <c r="X37" i="19"/>
  <c r="W37" i="19"/>
  <c r="Z37" i="6"/>
  <c r="X37" i="6"/>
  <c r="W37" i="6"/>
  <c r="AI36" i="10"/>
  <c r="AJ36" i="10"/>
  <c r="AB36" i="6"/>
  <c r="AA36" i="6"/>
  <c r="Z36" i="11"/>
  <c r="X36" i="11"/>
  <c r="W36" i="11"/>
  <c r="T38" i="8"/>
  <c r="Q38" i="8"/>
  <c r="R38" i="8"/>
  <c r="U38" i="8"/>
  <c r="S38" i="8"/>
  <c r="P39" i="8"/>
  <c r="X40" i="18"/>
  <c r="W40" i="18"/>
  <c r="Z40" i="18"/>
  <c r="T40" i="12"/>
  <c r="Q40" i="12"/>
  <c r="R40" i="12"/>
  <c r="U40" i="12"/>
  <c r="S40" i="12"/>
  <c r="P41" i="12"/>
  <c r="Z39" i="10"/>
  <c r="X39" i="10"/>
  <c r="W39" i="10"/>
  <c r="AD36" i="19"/>
  <c r="AG36" i="19"/>
  <c r="AC38" i="6"/>
  <c r="Y38" i="6"/>
  <c r="AG37" i="9"/>
  <c r="AD37" i="9"/>
  <c r="AB39" i="17"/>
  <c r="AA39" i="17"/>
  <c r="AD39" i="18"/>
  <c r="AG39" i="18"/>
  <c r="T37" i="11"/>
  <c r="V37" i="11"/>
  <c r="Q37" i="11"/>
  <c r="R37" i="11"/>
  <c r="U37" i="11"/>
  <c r="S37" i="11"/>
  <c r="P38" i="11"/>
  <c r="Y36" i="11"/>
  <c r="AC36" i="11"/>
  <c r="AH35" i="19"/>
  <c r="AF35" i="19"/>
  <c r="AE35" i="19"/>
  <c r="AB38" i="17"/>
  <c r="AA38" i="17"/>
  <c r="Z40" i="15"/>
  <c r="X40" i="15"/>
  <c r="W40" i="15"/>
  <c r="AG38" i="10"/>
  <c r="AD38" i="10"/>
  <c r="AB35" i="19"/>
  <c r="AA35" i="19"/>
  <c r="U38" i="19"/>
  <c r="T38" i="19"/>
  <c r="V38" i="19"/>
  <c r="Q38" i="19"/>
  <c r="R38" i="19"/>
  <c r="S38" i="19"/>
  <c r="P39" i="19"/>
  <c r="AG37" i="14"/>
  <c r="AD37" i="14"/>
  <c r="Z38" i="9"/>
  <c r="X38" i="9"/>
  <c r="W38" i="9"/>
  <c r="AG38" i="12"/>
  <c r="AD38" i="12"/>
  <c r="AA35" i="11"/>
  <c r="AB35" i="11"/>
  <c r="AE35" i="8"/>
  <c r="AH35" i="8"/>
  <c r="AF35" i="8"/>
  <c r="U41" i="18"/>
  <c r="S41" i="18"/>
  <c r="T41" i="18"/>
  <c r="Q41" i="18"/>
  <c r="R41" i="18"/>
  <c r="P42" i="18"/>
  <c r="AC39" i="12"/>
  <c r="Y39" i="12"/>
  <c r="AH37" i="12"/>
  <c r="AF37" i="12"/>
  <c r="AE37" i="12"/>
  <c r="P40" i="9"/>
  <c r="T39" i="9"/>
  <c r="V39" i="9"/>
  <c r="Q39" i="9"/>
  <c r="R39" i="9"/>
  <c r="U39" i="9"/>
  <c r="S39" i="9"/>
  <c r="AH37" i="10"/>
  <c r="AF37" i="10"/>
  <c r="AE37" i="10"/>
  <c r="AJ34" i="8"/>
  <c r="AI34" i="8"/>
  <c r="T40" i="10"/>
  <c r="V40" i="10"/>
  <c r="Q40" i="10"/>
  <c r="R40" i="10"/>
  <c r="U40" i="10"/>
  <c r="S40" i="10"/>
  <c r="P41" i="10"/>
  <c r="AG35" i="11"/>
  <c r="AD35" i="11"/>
  <c r="AB36" i="19"/>
  <c r="AA36" i="19"/>
  <c r="T41" i="15"/>
  <c r="Q41" i="15"/>
  <c r="R41" i="15"/>
  <c r="U41" i="15"/>
  <c r="S41" i="15"/>
  <c r="P42" i="15"/>
  <c r="AC40" i="15"/>
  <c r="Y40" i="15"/>
  <c r="AA37" i="9"/>
  <c r="AB37" i="9"/>
  <c r="AG36" i="8"/>
  <c r="AD36" i="8"/>
  <c r="AI34" i="20"/>
  <c r="AJ34" i="20"/>
  <c r="AA35" i="8"/>
  <c r="AB35" i="8"/>
  <c r="V38" i="14"/>
  <c r="W39" i="18"/>
  <c r="X39" i="18"/>
  <c r="Z39" i="18"/>
  <c r="Z39" i="12"/>
  <c r="X39" i="12"/>
  <c r="W39" i="12"/>
  <c r="AH36" i="14"/>
  <c r="AF36" i="14"/>
  <c r="AE36" i="14"/>
  <c r="AH36" i="9"/>
  <c r="AF36" i="9"/>
  <c r="AE36" i="9"/>
  <c r="AJ34" i="19"/>
  <c r="AI34" i="19"/>
  <c r="S39" i="6"/>
  <c r="T39" i="6"/>
  <c r="V39" i="6"/>
  <c r="Q39" i="6"/>
  <c r="R39" i="6"/>
  <c r="U39" i="6"/>
  <c r="P40" i="6"/>
  <c r="Y40" i="17"/>
  <c r="AC40" i="17"/>
  <c r="AC38" i="14"/>
  <c r="Y38" i="14"/>
  <c r="AJ37" i="17"/>
  <c r="AI37" i="17"/>
  <c r="AG37" i="6"/>
  <c r="AD37" i="6"/>
  <c r="AC38" i="9"/>
  <c r="Y38" i="9"/>
  <c r="Y40" i="18"/>
  <c r="AC40" i="18"/>
  <c r="AI35" i="6"/>
  <c r="AJ35" i="6"/>
  <c r="Y37" i="19"/>
  <c r="AC37" i="19"/>
  <c r="AH38" i="15"/>
  <c r="AF38" i="15"/>
  <c r="AE38" i="15"/>
  <c r="AA39" i="15"/>
  <c r="AB39" i="15"/>
  <c r="V37" i="20"/>
  <c r="AD39" i="17"/>
  <c r="AG39" i="17"/>
  <c r="AH36" i="6"/>
  <c r="AF36" i="6"/>
  <c r="AE36" i="6"/>
  <c r="AI33" i="11"/>
  <c r="AJ33" i="11"/>
  <c r="AH35" i="20"/>
  <c r="AF35" i="20"/>
  <c r="AE35" i="20"/>
  <c r="AC39" i="10"/>
  <c r="Y39" i="10"/>
  <c r="AH34" i="11"/>
  <c r="AF34" i="11"/>
  <c r="AE34" i="11"/>
  <c r="AB36" i="14"/>
  <c r="AA36" i="14"/>
  <c r="AB38" i="18"/>
  <c r="AA38" i="18"/>
  <c r="AA35" i="20"/>
  <c r="AB35" i="20"/>
  <c r="AI35" i="14"/>
  <c r="AJ35" i="14"/>
  <c r="AA38" i="15"/>
  <c r="AB38" i="15"/>
  <c r="Z36" i="8"/>
  <c r="X36" i="8"/>
  <c r="W36" i="8"/>
  <c r="AI37" i="15"/>
  <c r="AJ37" i="15"/>
  <c r="AI36" i="12"/>
  <c r="AJ36" i="12"/>
  <c r="Z37" i="14"/>
  <c r="X37" i="14"/>
  <c r="W37" i="14"/>
  <c r="U38" i="20"/>
  <c r="S38" i="20"/>
  <c r="T38" i="20"/>
  <c r="V38" i="20"/>
  <c r="Q38" i="20"/>
  <c r="R38" i="20"/>
  <c r="P39" i="20"/>
  <c r="Y37" i="20"/>
  <c r="AC37" i="20"/>
  <c r="AH38" i="18"/>
  <c r="AF38" i="18"/>
  <c r="AE38" i="18"/>
  <c r="AJ37" i="18"/>
  <c r="AI37" i="18"/>
  <c r="W36" i="20"/>
  <c r="Z36" i="20"/>
  <c r="X36" i="20"/>
  <c r="V38" i="6"/>
  <c r="AA37" i="12"/>
  <c r="AB37" i="12"/>
  <c r="U41" i="17"/>
  <c r="S41" i="17"/>
  <c r="T41" i="17"/>
  <c r="Q41" i="17"/>
  <c r="R41" i="17"/>
  <c r="P42" i="17"/>
  <c r="V40" i="17"/>
  <c r="Z38" i="10"/>
  <c r="X38" i="10"/>
  <c r="W38" i="10"/>
  <c r="AA38" i="12"/>
  <c r="AB38" i="12"/>
  <c r="AH38" i="17"/>
  <c r="AF38" i="17"/>
  <c r="AE38" i="17"/>
  <c r="AC37" i="8"/>
  <c r="Y37" i="8"/>
  <c r="V37" i="8"/>
  <c r="AI35" i="9"/>
  <c r="AJ35" i="9"/>
  <c r="AB34" i="11"/>
  <c r="AA34" i="11"/>
  <c r="S39" i="14"/>
  <c r="T39" i="14"/>
  <c r="Q39" i="14"/>
  <c r="R39" i="14"/>
  <c r="U39" i="14"/>
  <c r="P40" i="14"/>
  <c r="AG39" i="15"/>
  <c r="AD39" i="15"/>
  <c r="AD36" i="20"/>
  <c r="AG36" i="20"/>
  <c r="AC41" i="17"/>
  <c r="Y41" i="17"/>
  <c r="Z39" i="6"/>
  <c r="X39" i="6"/>
  <c r="W39" i="6"/>
  <c r="AC41" i="15"/>
  <c r="Y41" i="15"/>
  <c r="T41" i="10"/>
  <c r="V41" i="10"/>
  <c r="Q41" i="10"/>
  <c r="R41" i="10"/>
  <c r="U41" i="10"/>
  <c r="P42" i="10"/>
  <c r="S41" i="10"/>
  <c r="W37" i="11"/>
  <c r="Z37" i="11"/>
  <c r="X37" i="11"/>
  <c r="AA37" i="6"/>
  <c r="AB37" i="6"/>
  <c r="AE36" i="20"/>
  <c r="AH36" i="20"/>
  <c r="AF36" i="20"/>
  <c r="S42" i="17"/>
  <c r="T42" i="17"/>
  <c r="Q42" i="17"/>
  <c r="R42" i="17"/>
  <c r="U42" i="17"/>
  <c r="AG37" i="20"/>
  <c r="AD37" i="20"/>
  <c r="AB36" i="8"/>
  <c r="AA36" i="8"/>
  <c r="AH37" i="6"/>
  <c r="AF37" i="6"/>
  <c r="AE37" i="6"/>
  <c r="AC40" i="10"/>
  <c r="Y40" i="10"/>
  <c r="AJ37" i="10"/>
  <c r="AI37" i="10"/>
  <c r="W39" i="9"/>
  <c r="Z39" i="9"/>
  <c r="X39" i="9"/>
  <c r="AJ37" i="12"/>
  <c r="AI37" i="12"/>
  <c r="S39" i="19"/>
  <c r="T39" i="19"/>
  <c r="Q39" i="19"/>
  <c r="R39" i="19"/>
  <c r="U39" i="19"/>
  <c r="P40" i="19"/>
  <c r="AJ35" i="19"/>
  <c r="AI35" i="19"/>
  <c r="AC37" i="11"/>
  <c r="Y37" i="11"/>
  <c r="AE37" i="9"/>
  <c r="AH37" i="9"/>
  <c r="AF37" i="9"/>
  <c r="AB39" i="10"/>
  <c r="AA39" i="10"/>
  <c r="AB36" i="11"/>
  <c r="AA36" i="11"/>
  <c r="T40" i="14"/>
  <c r="Q40" i="14"/>
  <c r="R40" i="14"/>
  <c r="U40" i="14"/>
  <c r="S40" i="14"/>
  <c r="P41" i="14"/>
  <c r="Z38" i="6"/>
  <c r="X38" i="6"/>
  <c r="W38" i="6"/>
  <c r="AI38" i="18"/>
  <c r="AJ38" i="18"/>
  <c r="W40" i="10"/>
  <c r="Z40" i="10"/>
  <c r="X40" i="10"/>
  <c r="AD40" i="18"/>
  <c r="AG40" i="18"/>
  <c r="T40" i="6"/>
  <c r="V40" i="6"/>
  <c r="Q40" i="6"/>
  <c r="R40" i="6"/>
  <c r="U40" i="6"/>
  <c r="S40" i="6"/>
  <c r="P41" i="6"/>
  <c r="AI36" i="14"/>
  <c r="AJ36" i="14"/>
  <c r="AE39" i="15"/>
  <c r="AH39" i="15"/>
  <c r="AF39" i="15"/>
  <c r="AI38" i="17"/>
  <c r="AJ38" i="17"/>
  <c r="AA36" i="20"/>
  <c r="AB36" i="20"/>
  <c r="AG38" i="14"/>
  <c r="AD38" i="14"/>
  <c r="T40" i="9"/>
  <c r="V40" i="9"/>
  <c r="Q40" i="9"/>
  <c r="R40" i="9"/>
  <c r="U40" i="9"/>
  <c r="S40" i="9"/>
  <c r="P41" i="9"/>
  <c r="AJ35" i="8"/>
  <c r="AI35" i="8"/>
  <c r="AB38" i="9"/>
  <c r="AA38" i="9"/>
  <c r="AH39" i="18"/>
  <c r="AF39" i="18"/>
  <c r="AE39" i="18"/>
  <c r="AE36" i="19"/>
  <c r="AF36" i="19"/>
  <c r="AH36" i="19"/>
  <c r="T41" i="12"/>
  <c r="V41" i="12"/>
  <c r="Q41" i="12"/>
  <c r="R41" i="12"/>
  <c r="U41" i="12"/>
  <c r="S41" i="12"/>
  <c r="P42" i="12"/>
  <c r="V40" i="12"/>
  <c r="U39" i="8"/>
  <c r="S39" i="8"/>
  <c r="T39" i="8"/>
  <c r="V39" i="8"/>
  <c r="Q39" i="8"/>
  <c r="R39" i="8"/>
  <c r="P40" i="8"/>
  <c r="V38" i="8"/>
  <c r="AC39" i="14"/>
  <c r="Y39" i="14"/>
  <c r="Z40" i="17"/>
  <c r="X40" i="17"/>
  <c r="W40" i="17"/>
  <c r="AG39" i="10"/>
  <c r="AD39" i="10"/>
  <c r="AI36" i="6"/>
  <c r="AJ36" i="6"/>
  <c r="AJ38" i="15"/>
  <c r="AI38" i="15"/>
  <c r="AG38" i="9"/>
  <c r="AD38" i="9"/>
  <c r="AB39" i="12"/>
  <c r="AA39" i="12"/>
  <c r="Z38" i="14"/>
  <c r="X38" i="14"/>
  <c r="W38" i="14"/>
  <c r="S42" i="18"/>
  <c r="T42" i="18"/>
  <c r="Q42" i="18"/>
  <c r="R42" i="18"/>
  <c r="U42" i="18"/>
  <c r="P43" i="18"/>
  <c r="W38" i="19"/>
  <c r="Z38" i="19"/>
  <c r="X38" i="19"/>
  <c r="AE38" i="10"/>
  <c r="AH38" i="10"/>
  <c r="AF38" i="10"/>
  <c r="AB40" i="15"/>
  <c r="AA40" i="15"/>
  <c r="T38" i="11"/>
  <c r="Q38" i="11"/>
  <c r="R38" i="11"/>
  <c r="U38" i="11"/>
  <c r="S38" i="11"/>
  <c r="P39" i="11"/>
  <c r="AG38" i="6"/>
  <c r="AD38" i="6"/>
  <c r="W37" i="8"/>
  <c r="Z37" i="8"/>
  <c r="X37" i="8"/>
  <c r="W38" i="20"/>
  <c r="X38" i="20"/>
  <c r="Z38" i="20"/>
  <c r="AG37" i="19"/>
  <c r="AD37" i="19"/>
  <c r="AC39" i="6"/>
  <c r="Y39" i="6"/>
  <c r="AB39" i="18"/>
  <c r="AA39" i="18"/>
  <c r="AH36" i="8"/>
  <c r="AF36" i="8"/>
  <c r="AE36" i="8"/>
  <c r="AC38" i="20"/>
  <c r="Y38" i="20"/>
  <c r="AA37" i="14"/>
  <c r="AB37" i="14"/>
  <c r="AI34" i="11"/>
  <c r="AJ34" i="11"/>
  <c r="AH39" i="17"/>
  <c r="AF39" i="17"/>
  <c r="AE39" i="17"/>
  <c r="AJ36" i="9"/>
  <c r="AI36" i="9"/>
  <c r="AG40" i="15"/>
  <c r="AD40" i="15"/>
  <c r="AE35" i="11"/>
  <c r="AF35" i="11"/>
  <c r="AH35" i="11"/>
  <c r="AC39" i="9"/>
  <c r="Y39" i="9"/>
  <c r="V41" i="18"/>
  <c r="AE38" i="12"/>
  <c r="AF38" i="12"/>
  <c r="AH38" i="12"/>
  <c r="AC38" i="19"/>
  <c r="Y38" i="19"/>
  <c r="AG36" i="11"/>
  <c r="AD36" i="11"/>
  <c r="V39" i="14"/>
  <c r="AD37" i="8"/>
  <c r="AG37" i="8"/>
  <c r="AA38" i="10"/>
  <c r="AB38" i="10"/>
  <c r="V41" i="17"/>
  <c r="T39" i="20"/>
  <c r="V39" i="20"/>
  <c r="Q39" i="20"/>
  <c r="R39" i="20"/>
  <c r="S39" i="20"/>
  <c r="U39" i="20"/>
  <c r="P40" i="20"/>
  <c r="AJ35" i="20"/>
  <c r="AI35" i="20"/>
  <c r="Z37" i="20"/>
  <c r="X37" i="20"/>
  <c r="W37" i="20"/>
  <c r="AG40" i="17"/>
  <c r="AD40" i="17"/>
  <c r="P43" i="15"/>
  <c r="T42" i="15"/>
  <c r="Q42" i="15"/>
  <c r="R42" i="15"/>
  <c r="U42" i="15"/>
  <c r="S42" i="15"/>
  <c r="V41" i="15"/>
  <c r="AG39" i="12"/>
  <c r="AD39" i="12"/>
  <c r="Y41" i="18"/>
  <c r="AC41" i="18"/>
  <c r="AH37" i="14"/>
  <c r="AF37" i="14"/>
  <c r="AE37" i="14"/>
  <c r="AC40" i="12"/>
  <c r="Y40" i="12"/>
  <c r="AA40" i="18"/>
  <c r="AB40" i="18"/>
  <c r="Y38" i="8"/>
  <c r="AC38" i="8"/>
  <c r="AA37" i="19"/>
  <c r="AB37" i="19"/>
  <c r="Y42" i="15"/>
  <c r="AC42" i="15"/>
  <c r="U40" i="20"/>
  <c r="T40" i="20"/>
  <c r="V40" i="20"/>
  <c r="Q40" i="20"/>
  <c r="R40" i="20"/>
  <c r="S40" i="20"/>
  <c r="P41" i="20"/>
  <c r="AH40" i="15"/>
  <c r="AF40" i="15"/>
  <c r="AE40" i="15"/>
  <c r="AD38" i="20"/>
  <c r="AG38" i="20"/>
  <c r="AE38" i="6"/>
  <c r="AH38" i="6"/>
  <c r="AF38" i="6"/>
  <c r="W40" i="12"/>
  <c r="Z40" i="12"/>
  <c r="X40" i="12"/>
  <c r="AD40" i="10"/>
  <c r="AG40" i="10"/>
  <c r="AH38" i="9"/>
  <c r="AF38" i="9"/>
  <c r="AE38" i="9"/>
  <c r="Z39" i="8"/>
  <c r="X39" i="8"/>
  <c r="W39" i="8"/>
  <c r="U42" i="12"/>
  <c r="S42" i="12"/>
  <c r="T42" i="12"/>
  <c r="Q42" i="12"/>
  <c r="R42" i="12"/>
  <c r="P43" i="12"/>
  <c r="Z41" i="12"/>
  <c r="X41" i="12"/>
  <c r="W41" i="12"/>
  <c r="Y40" i="9"/>
  <c r="AC40" i="9"/>
  <c r="AE38" i="14"/>
  <c r="AH38" i="14"/>
  <c r="AF38" i="14"/>
  <c r="AC40" i="6"/>
  <c r="Y40" i="6"/>
  <c r="AJ37" i="9"/>
  <c r="AI37" i="9"/>
  <c r="AJ36" i="20"/>
  <c r="AI36" i="20"/>
  <c r="U42" i="10"/>
  <c r="S42" i="10"/>
  <c r="P43" i="10"/>
  <c r="T42" i="10"/>
  <c r="Q42" i="10"/>
  <c r="R42" i="10"/>
  <c r="AB39" i="6"/>
  <c r="AA39" i="6"/>
  <c r="U43" i="15"/>
  <c r="P44" i="15"/>
  <c r="S43" i="15"/>
  <c r="T43" i="15"/>
  <c r="V43" i="15"/>
  <c r="Q43" i="15"/>
  <c r="R43" i="15"/>
  <c r="AH37" i="19"/>
  <c r="AF37" i="19"/>
  <c r="AE37" i="19"/>
  <c r="Z40" i="9"/>
  <c r="X40" i="9"/>
  <c r="W40" i="9"/>
  <c r="AJ39" i="15"/>
  <c r="AI39" i="15"/>
  <c r="T41" i="6"/>
  <c r="Q41" i="6"/>
  <c r="R41" i="6"/>
  <c r="U41" i="6"/>
  <c r="P42" i="6"/>
  <c r="S41" i="6"/>
  <c r="AB40" i="10"/>
  <c r="AA40" i="10"/>
  <c r="Y41" i="10"/>
  <c r="AC41" i="10"/>
  <c r="Z41" i="17"/>
  <c r="X41" i="17"/>
  <c r="W41" i="17"/>
  <c r="AA38" i="19"/>
  <c r="AB38" i="19"/>
  <c r="AJ37" i="14"/>
  <c r="AI37" i="14"/>
  <c r="AD38" i="19"/>
  <c r="AG38" i="19"/>
  <c r="U39" i="11"/>
  <c r="S39" i="11"/>
  <c r="T39" i="11"/>
  <c r="Q39" i="11"/>
  <c r="R39" i="11"/>
  <c r="P40" i="11"/>
  <c r="AH40" i="18"/>
  <c r="AF40" i="18"/>
  <c r="AE40" i="18"/>
  <c r="AA38" i="6"/>
  <c r="AB38" i="6"/>
  <c r="V39" i="19"/>
  <c r="AH37" i="20"/>
  <c r="AF37" i="20"/>
  <c r="AE37" i="20"/>
  <c r="V42" i="17"/>
  <c r="AB37" i="11"/>
  <c r="AA37" i="11"/>
  <c r="AD41" i="15"/>
  <c r="AG41" i="15"/>
  <c r="Z39" i="20"/>
  <c r="X39" i="20"/>
  <c r="W39" i="20"/>
  <c r="AD39" i="9"/>
  <c r="AG39" i="9"/>
  <c r="U41" i="9"/>
  <c r="S41" i="9"/>
  <c r="T41" i="9"/>
  <c r="Q41" i="9"/>
  <c r="R41" i="9"/>
  <c r="P42" i="9"/>
  <c r="W40" i="6"/>
  <c r="Z40" i="6"/>
  <c r="X40" i="6"/>
  <c r="AC40" i="14"/>
  <c r="Y40" i="14"/>
  <c r="AD37" i="11"/>
  <c r="AG37" i="11"/>
  <c r="Z41" i="10"/>
  <c r="X41" i="10"/>
  <c r="W41" i="10"/>
  <c r="AH39" i="12"/>
  <c r="AF39" i="12"/>
  <c r="AE39" i="12"/>
  <c r="AH40" i="17"/>
  <c r="AF40" i="17"/>
  <c r="AE40" i="17"/>
  <c r="AB37" i="20"/>
  <c r="AA37" i="20"/>
  <c r="AH37" i="8"/>
  <c r="AF37" i="8"/>
  <c r="AE37" i="8"/>
  <c r="AJ35" i="11"/>
  <c r="AI35" i="11"/>
  <c r="AG39" i="14"/>
  <c r="AD39" i="14"/>
  <c r="AG38" i="8"/>
  <c r="AD38" i="8"/>
  <c r="Y39" i="20"/>
  <c r="AC39" i="20"/>
  <c r="Z39" i="14"/>
  <c r="X39" i="14"/>
  <c r="W39" i="14"/>
  <c r="Z41" i="18"/>
  <c r="X41" i="18"/>
  <c r="W41" i="18"/>
  <c r="AI39" i="17"/>
  <c r="AJ39" i="17"/>
  <c r="AB38" i="20"/>
  <c r="AA38" i="20"/>
  <c r="AB37" i="8"/>
  <c r="AA37" i="8"/>
  <c r="V38" i="11"/>
  <c r="AJ38" i="10"/>
  <c r="AI38" i="10"/>
  <c r="V42" i="18"/>
  <c r="AA38" i="14"/>
  <c r="AB38" i="14"/>
  <c r="Z38" i="8"/>
  <c r="X38" i="8"/>
  <c r="W38" i="8"/>
  <c r="AC39" i="8"/>
  <c r="Y39" i="8"/>
  <c r="Y41" i="12"/>
  <c r="AC41" i="12"/>
  <c r="AI36" i="19"/>
  <c r="AJ36" i="19"/>
  <c r="AD40" i="12"/>
  <c r="AG40" i="12"/>
  <c r="AG41" i="18"/>
  <c r="AD41" i="18"/>
  <c r="W41" i="15"/>
  <c r="Z41" i="15"/>
  <c r="X41" i="15"/>
  <c r="V42" i="15"/>
  <c r="AF36" i="11"/>
  <c r="AH36" i="11"/>
  <c r="AE36" i="11"/>
  <c r="AJ38" i="12"/>
  <c r="AI38" i="12"/>
  <c r="AI36" i="8"/>
  <c r="AJ36" i="8"/>
  <c r="AG39" i="6"/>
  <c r="AD39" i="6"/>
  <c r="Y38" i="11"/>
  <c r="AC38" i="11"/>
  <c r="T43" i="18"/>
  <c r="V43" i="18"/>
  <c r="Q43" i="18"/>
  <c r="R43" i="18"/>
  <c r="S43" i="18"/>
  <c r="U43" i="18"/>
  <c r="P44" i="18"/>
  <c r="AC42" i="18"/>
  <c r="Y42" i="18"/>
  <c r="AH39" i="10"/>
  <c r="AF39" i="10"/>
  <c r="AE39" i="10"/>
  <c r="AA40" i="17"/>
  <c r="AB40" i="17"/>
  <c r="S40" i="8"/>
  <c r="T40" i="8"/>
  <c r="Q40" i="8"/>
  <c r="R40" i="8"/>
  <c r="U40" i="8"/>
  <c r="P41" i="8"/>
  <c r="AI39" i="18"/>
  <c r="AJ39" i="18"/>
  <c r="T41" i="14"/>
  <c r="V41" i="14"/>
  <c r="Q41" i="14"/>
  <c r="R41" i="14"/>
  <c r="U41" i="14"/>
  <c r="P42" i="14"/>
  <c r="S41" i="14"/>
  <c r="V40" i="14"/>
  <c r="U40" i="19"/>
  <c r="T40" i="19"/>
  <c r="V40" i="19"/>
  <c r="Q40" i="19"/>
  <c r="R40" i="19"/>
  <c r="S40" i="19"/>
  <c r="P41" i="19"/>
  <c r="Y39" i="19"/>
  <c r="AC39" i="19"/>
  <c r="AB39" i="9"/>
  <c r="AA39" i="9"/>
  <c r="AJ37" i="6"/>
  <c r="AI37" i="6"/>
  <c r="AC42" i="17"/>
  <c r="Y42" i="17"/>
  <c r="AG41" i="17"/>
  <c r="AD41" i="17"/>
  <c r="AG42" i="17"/>
  <c r="AD42" i="17"/>
  <c r="W40" i="14"/>
  <c r="Z40" i="14"/>
  <c r="X40" i="14"/>
  <c r="T41" i="8"/>
  <c r="Q41" i="8"/>
  <c r="R41" i="8"/>
  <c r="U41" i="8"/>
  <c r="P42" i="8"/>
  <c r="S41" i="8"/>
  <c r="AE41" i="18"/>
  <c r="AF41" i="18"/>
  <c r="AH41" i="18"/>
  <c r="AC42" i="12"/>
  <c r="Y42" i="12"/>
  <c r="AE41" i="17"/>
  <c r="AF41" i="17"/>
  <c r="AH41" i="17"/>
  <c r="AG39" i="19"/>
  <c r="AD39" i="19"/>
  <c r="Z41" i="14"/>
  <c r="X41" i="14"/>
  <c r="W41" i="14"/>
  <c r="AI39" i="10"/>
  <c r="AJ39" i="10"/>
  <c r="AI37" i="8"/>
  <c r="AJ37" i="8"/>
  <c r="AA39" i="20"/>
  <c r="AB39" i="20"/>
  <c r="AA41" i="17"/>
  <c r="AB41" i="17"/>
  <c r="AC43" i="15"/>
  <c r="Y43" i="15"/>
  <c r="AC42" i="10"/>
  <c r="Y42" i="10"/>
  <c r="S43" i="12"/>
  <c r="T43" i="12"/>
  <c r="Q43" i="12"/>
  <c r="R43" i="12"/>
  <c r="U43" i="12"/>
  <c r="P44" i="12"/>
  <c r="AH40" i="10"/>
  <c r="AF40" i="10"/>
  <c r="AE40" i="10"/>
  <c r="AE38" i="20"/>
  <c r="AH38" i="20"/>
  <c r="AF38" i="20"/>
  <c r="S41" i="20"/>
  <c r="T41" i="20"/>
  <c r="V41" i="20"/>
  <c r="Q41" i="20"/>
  <c r="R41" i="20"/>
  <c r="U41" i="20"/>
  <c r="P42" i="20"/>
  <c r="AC40" i="19"/>
  <c r="Y40" i="19"/>
  <c r="AC40" i="8"/>
  <c r="Y40" i="8"/>
  <c r="T44" i="18"/>
  <c r="V44" i="18"/>
  <c r="Q44" i="18"/>
  <c r="R44" i="18"/>
  <c r="U44" i="18"/>
  <c r="S44" i="18"/>
  <c r="P45" i="18"/>
  <c r="Z42" i="15"/>
  <c r="X42" i="15"/>
  <c r="W42" i="15"/>
  <c r="AA41" i="10"/>
  <c r="AB41" i="10"/>
  <c r="AD40" i="14"/>
  <c r="AG40" i="14"/>
  <c r="P43" i="9"/>
  <c r="S42" i="9"/>
  <c r="T42" i="9"/>
  <c r="Q42" i="9"/>
  <c r="R42" i="9"/>
  <c r="U42" i="9"/>
  <c r="S40" i="11"/>
  <c r="T40" i="11"/>
  <c r="Q40" i="11"/>
  <c r="R40" i="11"/>
  <c r="U40" i="11"/>
  <c r="P41" i="11"/>
  <c r="Z43" i="15"/>
  <c r="X43" i="15"/>
  <c r="W43" i="15"/>
  <c r="AD40" i="6"/>
  <c r="AG40" i="6"/>
  <c r="W40" i="20"/>
  <c r="X40" i="20"/>
  <c r="Z40" i="20"/>
  <c r="W40" i="19"/>
  <c r="Z40" i="19"/>
  <c r="X40" i="19"/>
  <c r="U42" i="14"/>
  <c r="S42" i="14"/>
  <c r="P43" i="14"/>
  <c r="T42" i="14"/>
  <c r="V42" i="14"/>
  <c r="Q42" i="14"/>
  <c r="R42" i="14"/>
  <c r="AB41" i="15"/>
  <c r="AA41" i="15"/>
  <c r="AB39" i="14"/>
  <c r="AA39" i="14"/>
  <c r="AH37" i="11"/>
  <c r="AF37" i="11"/>
  <c r="AE37" i="11"/>
  <c r="V39" i="11"/>
  <c r="Y41" i="6"/>
  <c r="AC41" i="6"/>
  <c r="AJ38" i="14"/>
  <c r="AI38" i="14"/>
  <c r="AJ38" i="6"/>
  <c r="AI38" i="6"/>
  <c r="AC40" i="20"/>
  <c r="Y40" i="20"/>
  <c r="AG42" i="15"/>
  <c r="AD42" i="15"/>
  <c r="W43" i="18"/>
  <c r="X43" i="18"/>
  <c r="Z43" i="18"/>
  <c r="AA38" i="8"/>
  <c r="AB38" i="8"/>
  <c r="S43" i="10"/>
  <c r="T43" i="10"/>
  <c r="Q43" i="10"/>
  <c r="R43" i="10"/>
  <c r="U43" i="10"/>
  <c r="P44" i="10"/>
  <c r="AG40" i="9"/>
  <c r="AD40" i="9"/>
  <c r="AA41" i="12"/>
  <c r="AB41" i="12"/>
  <c r="AA39" i="8"/>
  <c r="AB39" i="8"/>
  <c r="AI40" i="15"/>
  <c r="AJ40" i="15"/>
  <c r="Y41" i="14"/>
  <c r="AC41" i="14"/>
  <c r="AG38" i="11"/>
  <c r="AD38" i="11"/>
  <c r="AG39" i="8"/>
  <c r="AD39" i="8"/>
  <c r="AH38" i="8"/>
  <c r="AF38" i="8"/>
  <c r="AE38" i="8"/>
  <c r="AI39" i="12"/>
  <c r="AJ39" i="12"/>
  <c r="AI37" i="20"/>
  <c r="AJ37" i="20"/>
  <c r="AC43" i="18"/>
  <c r="Y43" i="18"/>
  <c r="AJ36" i="11"/>
  <c r="AI36" i="11"/>
  <c r="AG41" i="12"/>
  <c r="AD41" i="12"/>
  <c r="Z38" i="11"/>
  <c r="X38" i="11"/>
  <c r="W38" i="11"/>
  <c r="AJ40" i="17"/>
  <c r="AI40" i="17"/>
  <c r="AB40" i="6"/>
  <c r="AA40" i="6"/>
  <c r="V41" i="9"/>
  <c r="AH39" i="9"/>
  <c r="AF39" i="9"/>
  <c r="AE39" i="9"/>
  <c r="Z42" i="17"/>
  <c r="X42" i="17"/>
  <c r="W42" i="17"/>
  <c r="Z39" i="19"/>
  <c r="X39" i="19"/>
  <c r="W39" i="19"/>
  <c r="AE38" i="19"/>
  <c r="AF38" i="19"/>
  <c r="AH38" i="19"/>
  <c r="AG41" i="10"/>
  <c r="AD41" i="10"/>
  <c r="V41" i="6"/>
  <c r="AJ37" i="19"/>
  <c r="AI37" i="19"/>
  <c r="S44" i="15"/>
  <c r="T44" i="15"/>
  <c r="V44" i="15"/>
  <c r="Q44" i="15"/>
  <c r="R44" i="15"/>
  <c r="U44" i="15"/>
  <c r="P45" i="15"/>
  <c r="T41" i="19"/>
  <c r="V41" i="19"/>
  <c r="Q41" i="19"/>
  <c r="R41" i="19"/>
  <c r="S41" i="19"/>
  <c r="U41" i="19"/>
  <c r="P42" i="19"/>
  <c r="V40" i="8"/>
  <c r="AG42" i="18"/>
  <c r="AD42" i="18"/>
  <c r="AH39" i="6"/>
  <c r="AF39" i="6"/>
  <c r="AE39" i="6"/>
  <c r="AH40" i="12"/>
  <c r="AF40" i="12"/>
  <c r="AE40" i="12"/>
  <c r="Z42" i="18"/>
  <c r="X42" i="18"/>
  <c r="W42" i="18"/>
  <c r="AA41" i="18"/>
  <c r="AB41" i="18"/>
  <c r="AG39" i="20"/>
  <c r="AD39" i="20"/>
  <c r="AH39" i="14"/>
  <c r="AF39" i="14"/>
  <c r="AE39" i="14"/>
  <c r="AC41" i="9"/>
  <c r="Y41" i="9"/>
  <c r="AH41" i="15"/>
  <c r="AF41" i="15"/>
  <c r="AE41" i="15"/>
  <c r="AJ40" i="18"/>
  <c r="AI40" i="18"/>
  <c r="AC39" i="11"/>
  <c r="Y39" i="11"/>
  <c r="U42" i="6"/>
  <c r="S42" i="6"/>
  <c r="P43" i="6"/>
  <c r="T42" i="6"/>
  <c r="Q42" i="6"/>
  <c r="R42" i="6"/>
  <c r="AA40" i="9"/>
  <c r="AB40" i="9"/>
  <c r="V42" i="10"/>
  <c r="V42" i="12"/>
  <c r="AI38" i="9"/>
  <c r="AJ38" i="9"/>
  <c r="AB40" i="12"/>
  <c r="AA40" i="12"/>
  <c r="Z42" i="12"/>
  <c r="X42" i="12"/>
  <c r="W42" i="12"/>
  <c r="AJ38" i="19"/>
  <c r="AI38" i="19"/>
  <c r="AB42" i="17"/>
  <c r="AA42" i="17"/>
  <c r="AJ38" i="8"/>
  <c r="AI38" i="8"/>
  <c r="Z42" i="14"/>
  <c r="X42" i="14"/>
  <c r="W42" i="14"/>
  <c r="X44" i="18"/>
  <c r="W44" i="18"/>
  <c r="Z44" i="18"/>
  <c r="AD40" i="19"/>
  <c r="AG40" i="19"/>
  <c r="T44" i="12"/>
  <c r="Q44" i="12"/>
  <c r="R44" i="12"/>
  <c r="U44" i="12"/>
  <c r="S44" i="12"/>
  <c r="P45" i="12"/>
  <c r="AG43" i="15"/>
  <c r="AD43" i="15"/>
  <c r="Z42" i="10"/>
  <c r="X42" i="10"/>
  <c r="W42" i="10"/>
  <c r="Z44" i="15"/>
  <c r="X44" i="15"/>
  <c r="W44" i="15"/>
  <c r="AB40" i="19"/>
  <c r="AA40" i="19"/>
  <c r="Y44" i="18"/>
  <c r="AC44" i="18"/>
  <c r="U42" i="20"/>
  <c r="S42" i="20"/>
  <c r="T42" i="20"/>
  <c r="Q42" i="20"/>
  <c r="R42" i="20"/>
  <c r="P43" i="20"/>
  <c r="Y41" i="20"/>
  <c r="AC41" i="20"/>
  <c r="Z40" i="8"/>
  <c r="X40" i="8"/>
  <c r="W40" i="8"/>
  <c r="Z41" i="9"/>
  <c r="X41" i="9"/>
  <c r="W41" i="9"/>
  <c r="AH41" i="12"/>
  <c r="AF41" i="12"/>
  <c r="AE41" i="12"/>
  <c r="P44" i="9"/>
  <c r="T43" i="9"/>
  <c r="V43" i="9"/>
  <c r="Q43" i="9"/>
  <c r="R43" i="9"/>
  <c r="U43" i="9"/>
  <c r="S43" i="9"/>
  <c r="U45" i="18"/>
  <c r="S45" i="18"/>
  <c r="T45" i="18"/>
  <c r="Q45" i="18"/>
  <c r="R45" i="18"/>
  <c r="P46" i="18"/>
  <c r="AC43" i="12"/>
  <c r="Y43" i="12"/>
  <c r="AH39" i="19"/>
  <c r="AF39" i="19"/>
  <c r="AE39" i="19"/>
  <c r="AB40" i="14"/>
  <c r="AA40" i="14"/>
  <c r="Z41" i="19"/>
  <c r="X41" i="19"/>
  <c r="W41" i="19"/>
  <c r="AA39" i="19"/>
  <c r="AB39" i="19"/>
  <c r="AG41" i="14"/>
  <c r="AD41" i="14"/>
  <c r="AH41" i="10"/>
  <c r="AF41" i="10"/>
  <c r="AE41" i="10"/>
  <c r="V40" i="11"/>
  <c r="AG40" i="8"/>
  <c r="AD40" i="8"/>
  <c r="AG42" i="10"/>
  <c r="AD42" i="10"/>
  <c r="AJ41" i="17"/>
  <c r="AI41" i="17"/>
  <c r="AG42" i="12"/>
  <c r="AD42" i="12"/>
  <c r="AC41" i="8"/>
  <c r="Y41" i="8"/>
  <c r="V41" i="8"/>
  <c r="AH42" i="17"/>
  <c r="AF42" i="17"/>
  <c r="AE42" i="17"/>
  <c r="AI39" i="14"/>
  <c r="AJ39" i="14"/>
  <c r="AD40" i="20"/>
  <c r="AG40" i="20"/>
  <c r="Z41" i="20"/>
  <c r="X41" i="20"/>
  <c r="W41" i="20"/>
  <c r="V42" i="6"/>
  <c r="AG41" i="9"/>
  <c r="AD41" i="9"/>
  <c r="AH39" i="20"/>
  <c r="AF39" i="20"/>
  <c r="AE39" i="20"/>
  <c r="AI39" i="6"/>
  <c r="AJ39" i="6"/>
  <c r="U42" i="19"/>
  <c r="S42" i="19"/>
  <c r="T42" i="19"/>
  <c r="Q42" i="19"/>
  <c r="R42" i="19"/>
  <c r="P43" i="19"/>
  <c r="Z41" i="6"/>
  <c r="X41" i="6"/>
  <c r="W41" i="6"/>
  <c r="AD43" i="18"/>
  <c r="AG43" i="18"/>
  <c r="AE39" i="8"/>
  <c r="AH39" i="8"/>
  <c r="AF39" i="8"/>
  <c r="AH40" i="9"/>
  <c r="AF40" i="9"/>
  <c r="AE40" i="9"/>
  <c r="AH42" i="15"/>
  <c r="AF42" i="15"/>
  <c r="AE42" i="15"/>
  <c r="AG41" i="6"/>
  <c r="AD41" i="6"/>
  <c r="S43" i="14"/>
  <c r="T43" i="14"/>
  <c r="Q43" i="14"/>
  <c r="R43" i="14"/>
  <c r="U43" i="14"/>
  <c r="P44" i="14"/>
  <c r="S43" i="6"/>
  <c r="T43" i="6"/>
  <c r="V43" i="6"/>
  <c r="Q43" i="6"/>
  <c r="R43" i="6"/>
  <c r="U43" i="6"/>
  <c r="P44" i="6"/>
  <c r="AG39" i="11"/>
  <c r="AD39" i="11"/>
  <c r="AI40" i="12"/>
  <c r="AJ40" i="12"/>
  <c r="AH42" i="18"/>
  <c r="AF42" i="18"/>
  <c r="AE42" i="18"/>
  <c r="T45" i="15"/>
  <c r="Q45" i="15"/>
  <c r="R45" i="15"/>
  <c r="U45" i="15"/>
  <c r="S45" i="15"/>
  <c r="P46" i="15"/>
  <c r="AC44" i="15"/>
  <c r="Y44" i="15"/>
  <c r="V43" i="10"/>
  <c r="AB43" i="18"/>
  <c r="AA43" i="18"/>
  <c r="AI37" i="11"/>
  <c r="AJ37" i="11"/>
  <c r="AC42" i="14"/>
  <c r="Y42" i="14"/>
  <c r="AA43" i="15"/>
  <c r="AB43" i="15"/>
  <c r="V42" i="9"/>
  <c r="AH40" i="14"/>
  <c r="AF40" i="14"/>
  <c r="AE40" i="14"/>
  <c r="AC42" i="6"/>
  <c r="Y42" i="6"/>
  <c r="AI41" i="15"/>
  <c r="AJ41" i="15"/>
  <c r="AB42" i="18"/>
  <c r="AA42" i="18"/>
  <c r="Y41" i="19"/>
  <c r="AC41" i="19"/>
  <c r="AI39" i="9"/>
  <c r="AJ39" i="9"/>
  <c r="AA38" i="11"/>
  <c r="AB38" i="11"/>
  <c r="AH38" i="11"/>
  <c r="AF38" i="11"/>
  <c r="AE38" i="11"/>
  <c r="T44" i="10"/>
  <c r="Q44" i="10"/>
  <c r="R44" i="10"/>
  <c r="U44" i="10"/>
  <c r="S44" i="10"/>
  <c r="P45" i="10"/>
  <c r="AC43" i="10"/>
  <c r="Y43" i="10"/>
  <c r="Z39" i="11"/>
  <c r="X39" i="11"/>
  <c r="W39" i="11"/>
  <c r="AA40" i="20"/>
  <c r="AB40" i="20"/>
  <c r="AH40" i="6"/>
  <c r="AF40" i="6"/>
  <c r="AE40" i="6"/>
  <c r="T41" i="11"/>
  <c r="V41" i="11"/>
  <c r="Q41" i="11"/>
  <c r="R41" i="11"/>
  <c r="U41" i="11"/>
  <c r="S41" i="11"/>
  <c r="P42" i="11"/>
  <c r="AC40" i="11"/>
  <c r="Y40" i="11"/>
  <c r="AC42" i="9"/>
  <c r="Y42" i="9"/>
  <c r="AA42" i="15"/>
  <c r="AB42" i="15"/>
  <c r="AI38" i="20"/>
  <c r="AJ38" i="20"/>
  <c r="AI40" i="10"/>
  <c r="AJ40" i="10"/>
  <c r="V43" i="12"/>
  <c r="AA41" i="14"/>
  <c r="AB41" i="14"/>
  <c r="AJ41" i="18"/>
  <c r="AI41" i="18"/>
  <c r="T42" i="8"/>
  <c r="V42" i="8"/>
  <c r="Q42" i="8"/>
  <c r="R42" i="8"/>
  <c r="U42" i="8"/>
  <c r="S42" i="8"/>
  <c r="P43" i="8"/>
  <c r="W41" i="11"/>
  <c r="X41" i="11"/>
  <c r="Z41" i="11"/>
  <c r="AJ42" i="15"/>
  <c r="AI42" i="15"/>
  <c r="AH43" i="18"/>
  <c r="AF43" i="18"/>
  <c r="AE43" i="18"/>
  <c r="Z42" i="6"/>
  <c r="X42" i="6"/>
  <c r="W42" i="6"/>
  <c r="AH40" i="8"/>
  <c r="AF40" i="8"/>
  <c r="AE40" i="8"/>
  <c r="AB41" i="19"/>
  <c r="AA41" i="19"/>
  <c r="S46" i="18"/>
  <c r="U46" i="18"/>
  <c r="Q46" i="18"/>
  <c r="R46" i="18"/>
  <c r="T46" i="18"/>
  <c r="V46" i="18"/>
  <c r="AC42" i="20"/>
  <c r="Y42" i="20"/>
  <c r="AE43" i="15"/>
  <c r="AH43" i="15"/>
  <c r="AF43" i="15"/>
  <c r="AI42" i="18"/>
  <c r="AJ42" i="18"/>
  <c r="AJ39" i="8"/>
  <c r="AI39" i="8"/>
  <c r="AJ39" i="20"/>
  <c r="AI39" i="20"/>
  <c r="AE40" i="20"/>
  <c r="AF40" i="20"/>
  <c r="AH40" i="20"/>
  <c r="AD41" i="8"/>
  <c r="AG41" i="8"/>
  <c r="AJ41" i="10"/>
  <c r="AI41" i="10"/>
  <c r="AI39" i="19"/>
  <c r="AJ39" i="19"/>
  <c r="AC43" i="9"/>
  <c r="Y43" i="9"/>
  <c r="T44" i="9"/>
  <c r="V44" i="9"/>
  <c r="Q44" i="9"/>
  <c r="R44" i="9"/>
  <c r="U44" i="9"/>
  <c r="S44" i="9"/>
  <c r="P45" i="9"/>
  <c r="T43" i="20"/>
  <c r="Q43" i="20"/>
  <c r="R43" i="20"/>
  <c r="S43" i="20"/>
  <c r="U43" i="20"/>
  <c r="P44" i="20"/>
  <c r="AA44" i="18"/>
  <c r="AB44" i="18"/>
  <c r="Z42" i="8"/>
  <c r="X42" i="8"/>
  <c r="W42" i="8"/>
  <c r="AC44" i="10"/>
  <c r="Y44" i="10"/>
  <c r="AH41" i="6"/>
  <c r="AF41" i="6"/>
  <c r="AE41" i="6"/>
  <c r="S43" i="19"/>
  <c r="T43" i="19"/>
  <c r="V43" i="19"/>
  <c r="Q43" i="19"/>
  <c r="R43" i="19"/>
  <c r="U43" i="19"/>
  <c r="P44" i="19"/>
  <c r="W43" i="9"/>
  <c r="Z43" i="9"/>
  <c r="X43" i="9"/>
  <c r="AJ41" i="12"/>
  <c r="AI41" i="12"/>
  <c r="AB44" i="15"/>
  <c r="AA44" i="15"/>
  <c r="AE40" i="19"/>
  <c r="AH40" i="19"/>
  <c r="AF40" i="19"/>
  <c r="AG42" i="9"/>
  <c r="AD42" i="9"/>
  <c r="AI40" i="14"/>
  <c r="AJ40" i="14"/>
  <c r="AG44" i="15"/>
  <c r="AD44" i="15"/>
  <c r="AG43" i="10"/>
  <c r="AD43" i="10"/>
  <c r="Z42" i="9"/>
  <c r="X42" i="9"/>
  <c r="W42" i="9"/>
  <c r="P47" i="15"/>
  <c r="T46" i="15"/>
  <c r="Q46" i="15"/>
  <c r="R46" i="15"/>
  <c r="U46" i="15"/>
  <c r="S46" i="15"/>
  <c r="T44" i="6"/>
  <c r="Q44" i="6"/>
  <c r="R44" i="6"/>
  <c r="U44" i="6"/>
  <c r="S44" i="6"/>
  <c r="P45" i="6"/>
  <c r="V42" i="19"/>
  <c r="AE42" i="12"/>
  <c r="AH42" i="12"/>
  <c r="AF42" i="12"/>
  <c r="AB40" i="8"/>
  <c r="AA40" i="8"/>
  <c r="AD44" i="18"/>
  <c r="AG44" i="18"/>
  <c r="T45" i="12"/>
  <c r="V45" i="12"/>
  <c r="Q45" i="12"/>
  <c r="R45" i="12"/>
  <c r="U45" i="12"/>
  <c r="S45" i="12"/>
  <c r="P46" i="12"/>
  <c r="V44" i="12"/>
  <c r="AA42" i="14"/>
  <c r="AB42" i="14"/>
  <c r="U43" i="8"/>
  <c r="S43" i="8"/>
  <c r="T43" i="8"/>
  <c r="Q43" i="8"/>
  <c r="R43" i="8"/>
  <c r="P44" i="8"/>
  <c r="T42" i="11"/>
  <c r="V42" i="11"/>
  <c r="Q42" i="11"/>
  <c r="R42" i="11"/>
  <c r="U42" i="11"/>
  <c r="S42" i="11"/>
  <c r="P43" i="11"/>
  <c r="AA39" i="11"/>
  <c r="AB39" i="11"/>
  <c r="AE39" i="11"/>
  <c r="AH39" i="11"/>
  <c r="AF39" i="11"/>
  <c r="Y42" i="8"/>
  <c r="AC42" i="8"/>
  <c r="Z43" i="12"/>
  <c r="X43" i="12"/>
  <c r="W43" i="12"/>
  <c r="AC41" i="11"/>
  <c r="Y41" i="11"/>
  <c r="Z43" i="6"/>
  <c r="X43" i="6"/>
  <c r="W43" i="6"/>
  <c r="AJ38" i="11"/>
  <c r="AI38" i="11"/>
  <c r="AG42" i="6"/>
  <c r="AD42" i="6"/>
  <c r="AG42" i="14"/>
  <c r="AD42" i="14"/>
  <c r="V45" i="15"/>
  <c r="AC43" i="6"/>
  <c r="Y43" i="6"/>
  <c r="V43" i="14"/>
  <c r="AE41" i="9"/>
  <c r="AH41" i="9"/>
  <c r="AF41" i="9"/>
  <c r="AI42" i="17"/>
  <c r="AJ42" i="17"/>
  <c r="AE42" i="10"/>
  <c r="AH42" i="10"/>
  <c r="AF42" i="10"/>
  <c r="Z40" i="11"/>
  <c r="X40" i="11"/>
  <c r="W40" i="11"/>
  <c r="AH41" i="14"/>
  <c r="AF41" i="14"/>
  <c r="AE41" i="14"/>
  <c r="V45" i="18"/>
  <c r="AG40" i="11"/>
  <c r="AD40" i="11"/>
  <c r="AI40" i="6"/>
  <c r="AJ40" i="6"/>
  <c r="T45" i="10"/>
  <c r="Q45" i="10"/>
  <c r="R45" i="10"/>
  <c r="U45" i="10"/>
  <c r="S45" i="10"/>
  <c r="V44" i="10"/>
  <c r="AG41" i="19"/>
  <c r="AD41" i="19"/>
  <c r="Z43" i="10"/>
  <c r="X43" i="10"/>
  <c r="W43" i="10"/>
  <c r="AC45" i="15"/>
  <c r="Y45" i="15"/>
  <c r="T44" i="14"/>
  <c r="Q44" i="14"/>
  <c r="R44" i="14"/>
  <c r="U44" i="14"/>
  <c r="S44" i="14"/>
  <c r="P45" i="14"/>
  <c r="AC43" i="14"/>
  <c r="Y43" i="14"/>
  <c r="AJ40" i="9"/>
  <c r="AI40" i="9"/>
  <c r="AA41" i="6"/>
  <c r="AB41" i="6"/>
  <c r="AC42" i="19"/>
  <c r="Y42" i="19"/>
  <c r="AB41" i="20"/>
  <c r="AA41" i="20"/>
  <c r="W41" i="8"/>
  <c r="Z41" i="8"/>
  <c r="X41" i="8"/>
  <c r="AG43" i="12"/>
  <c r="AD43" i="12"/>
  <c r="Y45" i="18"/>
  <c r="AC45" i="18"/>
  <c r="AA41" i="9"/>
  <c r="AB41" i="9"/>
  <c r="AG41" i="20"/>
  <c r="AD41" i="20"/>
  <c r="V42" i="20"/>
  <c r="AA42" i="10"/>
  <c r="AB42" i="10"/>
  <c r="AC44" i="12"/>
  <c r="Y44" i="12"/>
  <c r="AA42" i="12"/>
  <c r="AB42" i="12"/>
  <c r="Y45" i="10"/>
  <c r="AC45" i="10"/>
  <c r="Z45" i="18"/>
  <c r="X45" i="18"/>
  <c r="W45" i="18"/>
  <c r="AJ42" i="10"/>
  <c r="AI42" i="10"/>
  <c r="AB43" i="12"/>
  <c r="AA43" i="12"/>
  <c r="AJ39" i="11"/>
  <c r="AI39" i="11"/>
  <c r="U43" i="11"/>
  <c r="S43" i="11"/>
  <c r="T43" i="11"/>
  <c r="Q43" i="11"/>
  <c r="R43" i="11"/>
  <c r="P44" i="11"/>
  <c r="Z42" i="11"/>
  <c r="X42" i="11"/>
  <c r="W42" i="11"/>
  <c r="AC43" i="8"/>
  <c r="Y43" i="8"/>
  <c r="W44" i="12"/>
  <c r="Z44" i="12"/>
  <c r="X44" i="12"/>
  <c r="AI40" i="19"/>
  <c r="AJ40" i="19"/>
  <c r="Z43" i="19"/>
  <c r="X43" i="19"/>
  <c r="W43" i="19"/>
  <c r="AJ41" i="6"/>
  <c r="AI41" i="6"/>
  <c r="U44" i="20"/>
  <c r="T44" i="20"/>
  <c r="Q44" i="20"/>
  <c r="R44" i="20"/>
  <c r="S44" i="20"/>
  <c r="P45" i="20"/>
  <c r="V43" i="20"/>
  <c r="AJ43" i="15"/>
  <c r="AI43" i="15"/>
  <c r="X46" i="18"/>
  <c r="W46" i="18"/>
  <c r="Z46" i="18"/>
  <c r="AI40" i="8"/>
  <c r="AJ40" i="8"/>
  <c r="AH43" i="12"/>
  <c r="AF43" i="12"/>
  <c r="AE43" i="12"/>
  <c r="AE42" i="6"/>
  <c r="AH42" i="6"/>
  <c r="AF42" i="6"/>
  <c r="Y42" i="11"/>
  <c r="AC42" i="11"/>
  <c r="S44" i="8"/>
  <c r="T44" i="8"/>
  <c r="Q44" i="8"/>
  <c r="R44" i="8"/>
  <c r="U44" i="8"/>
  <c r="P45" i="8"/>
  <c r="U46" i="12"/>
  <c r="S46" i="12"/>
  <c r="T46" i="12"/>
  <c r="V46" i="12"/>
  <c r="Q46" i="12"/>
  <c r="R46" i="12"/>
  <c r="P47" i="12"/>
  <c r="Z45" i="12"/>
  <c r="X45" i="12"/>
  <c r="W45" i="12"/>
  <c r="W42" i="19"/>
  <c r="X42" i="19"/>
  <c r="Z42" i="19"/>
  <c r="AH44" i="15"/>
  <c r="AF44" i="15"/>
  <c r="AE44" i="15"/>
  <c r="AH42" i="9"/>
  <c r="AF42" i="9"/>
  <c r="AE42" i="9"/>
  <c r="U44" i="19"/>
  <c r="S44" i="19"/>
  <c r="T44" i="19"/>
  <c r="Q44" i="19"/>
  <c r="R44" i="19"/>
  <c r="P45" i="19"/>
  <c r="Y43" i="19"/>
  <c r="AC43" i="19"/>
  <c r="AA42" i="8"/>
  <c r="AB42" i="8"/>
  <c r="U45" i="9"/>
  <c r="S45" i="9"/>
  <c r="T45" i="9"/>
  <c r="Q45" i="9"/>
  <c r="R45" i="9"/>
  <c r="P46" i="9"/>
  <c r="Z44" i="9"/>
  <c r="X44" i="9"/>
  <c r="W44" i="9"/>
  <c r="AH41" i="8"/>
  <c r="AF41" i="8"/>
  <c r="AE41" i="8"/>
  <c r="AB41" i="11"/>
  <c r="AA41" i="11"/>
  <c r="AC44" i="14"/>
  <c r="Y44" i="14"/>
  <c r="AB43" i="10"/>
  <c r="AA43" i="10"/>
  <c r="W42" i="20"/>
  <c r="Z42" i="20"/>
  <c r="X42" i="20"/>
  <c r="AD45" i="15"/>
  <c r="AG45" i="15"/>
  <c r="AG43" i="6"/>
  <c r="AD43" i="6"/>
  <c r="AD41" i="11"/>
  <c r="AG41" i="11"/>
  <c r="AH41" i="20"/>
  <c r="AF41" i="20"/>
  <c r="AE41" i="20"/>
  <c r="AG45" i="18"/>
  <c r="AD45" i="18"/>
  <c r="AG43" i="14"/>
  <c r="AD43" i="14"/>
  <c r="AH40" i="11"/>
  <c r="AF40" i="11"/>
  <c r="AE40" i="11"/>
  <c r="AB40" i="11"/>
  <c r="AA40" i="11"/>
  <c r="W45" i="15"/>
  <c r="Z45" i="15"/>
  <c r="X45" i="15"/>
  <c r="Y45" i="12"/>
  <c r="AC45" i="12"/>
  <c r="T45" i="6"/>
  <c r="V45" i="6"/>
  <c r="Q45" i="6"/>
  <c r="R45" i="6"/>
  <c r="U45" i="6"/>
  <c r="P46" i="6"/>
  <c r="S45" i="6"/>
  <c r="V44" i="6"/>
  <c r="V46" i="15"/>
  <c r="AB42" i="9"/>
  <c r="AA42" i="9"/>
  <c r="AD44" i="10"/>
  <c r="AG44" i="10"/>
  <c r="Y43" i="20"/>
  <c r="AC43" i="20"/>
  <c r="Y44" i="9"/>
  <c r="AC44" i="9"/>
  <c r="AJ40" i="20"/>
  <c r="AI40" i="20"/>
  <c r="AI43" i="18"/>
  <c r="AJ43" i="18"/>
  <c r="AD42" i="19"/>
  <c r="AG42" i="19"/>
  <c r="AH41" i="19"/>
  <c r="AF41" i="19"/>
  <c r="AE41" i="19"/>
  <c r="AJ41" i="9"/>
  <c r="AI41" i="9"/>
  <c r="AG42" i="8"/>
  <c r="AD42" i="8"/>
  <c r="AD44" i="12"/>
  <c r="AG44" i="12"/>
  <c r="AB41" i="8"/>
  <c r="AA41" i="8"/>
  <c r="T45" i="14"/>
  <c r="V45" i="14"/>
  <c r="Q45" i="14"/>
  <c r="R45" i="14"/>
  <c r="U45" i="14"/>
  <c r="S45" i="14"/>
  <c r="V44" i="14"/>
  <c r="W44" i="10"/>
  <c r="Z44" i="10"/>
  <c r="X44" i="10"/>
  <c r="V45" i="10"/>
  <c r="AJ41" i="14"/>
  <c r="AI41" i="14"/>
  <c r="Z43" i="14"/>
  <c r="X43" i="14"/>
  <c r="W43" i="14"/>
  <c r="AE42" i="14"/>
  <c r="AH42" i="14"/>
  <c r="AF42" i="14"/>
  <c r="AB43" i="6"/>
  <c r="AA43" i="6"/>
  <c r="V43" i="8"/>
  <c r="AH44" i="18"/>
  <c r="AF44" i="18"/>
  <c r="AE44" i="18"/>
  <c r="AJ42" i="12"/>
  <c r="AI42" i="12"/>
  <c r="AC44" i="6"/>
  <c r="Y44" i="6"/>
  <c r="Y46" i="15"/>
  <c r="AC46" i="15"/>
  <c r="U47" i="15"/>
  <c r="P48" i="15"/>
  <c r="S47" i="15"/>
  <c r="T47" i="15"/>
  <c r="Q47" i="15"/>
  <c r="R47" i="15"/>
  <c r="AH43" i="10"/>
  <c r="AF43" i="10"/>
  <c r="AE43" i="10"/>
  <c r="AB43" i="9"/>
  <c r="AA43" i="9"/>
  <c r="AD43" i="9"/>
  <c r="AG43" i="9"/>
  <c r="AD42" i="20"/>
  <c r="AG42" i="20"/>
  <c r="AC46" i="18"/>
  <c r="Y46" i="18"/>
  <c r="AA42" i="6"/>
  <c r="AB42" i="6"/>
  <c r="AJ41" i="19"/>
  <c r="AI41" i="19"/>
  <c r="W44" i="6"/>
  <c r="Z44" i="6"/>
  <c r="X44" i="6"/>
  <c r="AH41" i="11"/>
  <c r="AF41" i="11"/>
  <c r="AE41" i="11"/>
  <c r="AC44" i="19"/>
  <c r="Y44" i="19"/>
  <c r="Z46" i="12"/>
  <c r="X46" i="12"/>
  <c r="W46" i="12"/>
  <c r="AG42" i="11"/>
  <c r="AD42" i="11"/>
  <c r="S45" i="20"/>
  <c r="T45" i="20"/>
  <c r="Q45" i="20"/>
  <c r="R45" i="20"/>
  <c r="U45" i="20"/>
  <c r="P46" i="20"/>
  <c r="AG43" i="8"/>
  <c r="AD43" i="8"/>
  <c r="AG46" i="15"/>
  <c r="AD46" i="15"/>
  <c r="W44" i="14"/>
  <c r="Z44" i="14"/>
  <c r="X44" i="14"/>
  <c r="AA45" i="12"/>
  <c r="AB45" i="12"/>
  <c r="AC46" i="12"/>
  <c r="Y46" i="12"/>
  <c r="AC44" i="20"/>
  <c r="Y44" i="20"/>
  <c r="AB43" i="19"/>
  <c r="AA43" i="19"/>
  <c r="AB44" i="12"/>
  <c r="AA44" i="12"/>
  <c r="AA45" i="18"/>
  <c r="AB45" i="18"/>
  <c r="AE42" i="20"/>
  <c r="AF42" i="20"/>
  <c r="AH42" i="20"/>
  <c r="AH44" i="10"/>
  <c r="AF44" i="10"/>
  <c r="AE44" i="10"/>
  <c r="AH43" i="14"/>
  <c r="AF43" i="14"/>
  <c r="AE43" i="14"/>
  <c r="AH45" i="15"/>
  <c r="AF45" i="15"/>
  <c r="AE45" i="15"/>
  <c r="AI41" i="8"/>
  <c r="AJ41" i="8"/>
  <c r="P47" i="9"/>
  <c r="S46" i="9"/>
  <c r="T46" i="9"/>
  <c r="V46" i="9"/>
  <c r="Q46" i="9"/>
  <c r="R46" i="9"/>
  <c r="U46" i="9"/>
  <c r="T44" i="11"/>
  <c r="V44" i="11"/>
  <c r="Q44" i="11"/>
  <c r="R44" i="11"/>
  <c r="U44" i="11"/>
  <c r="S44" i="11"/>
  <c r="Z45" i="14"/>
  <c r="X45" i="14"/>
  <c r="W45" i="14"/>
  <c r="Y45" i="6"/>
  <c r="AC45" i="6"/>
  <c r="AG46" i="18"/>
  <c r="AD46" i="18"/>
  <c r="AJ42" i="14"/>
  <c r="AI42" i="14"/>
  <c r="AE42" i="19"/>
  <c r="AH42" i="19"/>
  <c r="AF42" i="19"/>
  <c r="AG45" i="12"/>
  <c r="AD45" i="12"/>
  <c r="AI41" i="20"/>
  <c r="AJ41" i="20"/>
  <c r="S47" i="12"/>
  <c r="T47" i="12"/>
  <c r="V47" i="12"/>
  <c r="Q47" i="12"/>
  <c r="R47" i="12"/>
  <c r="U47" i="12"/>
  <c r="P48" i="12"/>
  <c r="V43" i="11"/>
  <c r="AG45" i="10"/>
  <c r="AD45" i="10"/>
  <c r="AD44" i="6"/>
  <c r="AG44" i="6"/>
  <c r="AI42" i="9"/>
  <c r="AJ42" i="9"/>
  <c r="AA42" i="19"/>
  <c r="AB42" i="19"/>
  <c r="V47" i="15"/>
  <c r="AJ44" i="18"/>
  <c r="AI44" i="18"/>
  <c r="Z45" i="10"/>
  <c r="X45" i="10"/>
  <c r="W45" i="10"/>
  <c r="AH44" i="12"/>
  <c r="AF44" i="12"/>
  <c r="AE44" i="12"/>
  <c r="AG43" i="20"/>
  <c r="AD43" i="20"/>
  <c r="Z45" i="6"/>
  <c r="X45" i="6"/>
  <c r="W45" i="6"/>
  <c r="AB45" i="15"/>
  <c r="AA45" i="15"/>
  <c r="AH43" i="6"/>
  <c r="AF43" i="6"/>
  <c r="AE43" i="6"/>
  <c r="T45" i="19"/>
  <c r="V45" i="19"/>
  <c r="Q45" i="19"/>
  <c r="R45" i="19"/>
  <c r="S45" i="19"/>
  <c r="U45" i="19"/>
  <c r="P46" i="19"/>
  <c r="AH43" i="9"/>
  <c r="AF43" i="9"/>
  <c r="AE43" i="9"/>
  <c r="AC47" i="15"/>
  <c r="Y47" i="15"/>
  <c r="Z43" i="8"/>
  <c r="X43" i="8"/>
  <c r="W43" i="8"/>
  <c r="AB43" i="14"/>
  <c r="AA43" i="14"/>
  <c r="Y45" i="14"/>
  <c r="AC45" i="14"/>
  <c r="AH42" i="8"/>
  <c r="AF42" i="8"/>
  <c r="AE42" i="8"/>
  <c r="U46" i="6"/>
  <c r="S46" i="6"/>
  <c r="P47" i="6"/>
  <c r="T46" i="6"/>
  <c r="Q46" i="6"/>
  <c r="R46" i="6"/>
  <c r="AE45" i="18"/>
  <c r="AF45" i="18"/>
  <c r="AH45" i="18"/>
  <c r="AB42" i="20"/>
  <c r="AA42" i="20"/>
  <c r="V45" i="9"/>
  <c r="V44" i="8"/>
  <c r="AA46" i="18"/>
  <c r="AB46" i="18"/>
  <c r="AI43" i="10"/>
  <c r="AJ43" i="10"/>
  <c r="S48" i="15"/>
  <c r="T48" i="15"/>
  <c r="Q48" i="15"/>
  <c r="R48" i="15"/>
  <c r="U48" i="15"/>
  <c r="P49" i="15"/>
  <c r="AB44" i="10"/>
  <c r="AA44" i="10"/>
  <c r="AG44" i="9"/>
  <c r="AD44" i="9"/>
  <c r="Z46" i="15"/>
  <c r="X46" i="15"/>
  <c r="W46" i="15"/>
  <c r="AI40" i="11"/>
  <c r="AJ40" i="11"/>
  <c r="AD44" i="14"/>
  <c r="AG44" i="14"/>
  <c r="AA44" i="9"/>
  <c r="AB44" i="9"/>
  <c r="AC45" i="9"/>
  <c r="Y45" i="9"/>
  <c r="AG43" i="19"/>
  <c r="AD43" i="19"/>
  <c r="V44" i="19"/>
  <c r="AI44" i="15"/>
  <c r="AJ44" i="15"/>
  <c r="T45" i="8"/>
  <c r="Q45" i="8"/>
  <c r="R45" i="8"/>
  <c r="U45" i="8"/>
  <c r="P46" i="8"/>
  <c r="S45" i="8"/>
  <c r="AC44" i="8"/>
  <c r="Y44" i="8"/>
  <c r="AJ42" i="6"/>
  <c r="AI42" i="6"/>
  <c r="AI43" i="12"/>
  <c r="AJ43" i="12"/>
  <c r="Z43" i="20"/>
  <c r="X43" i="20"/>
  <c r="W43" i="20"/>
  <c r="V44" i="20"/>
  <c r="AA42" i="11"/>
  <c r="AB42" i="11"/>
  <c r="AC43" i="11"/>
  <c r="Y43" i="11"/>
  <c r="AG45" i="14"/>
  <c r="AD45" i="14"/>
  <c r="U46" i="19"/>
  <c r="T46" i="19"/>
  <c r="V46" i="19"/>
  <c r="Q46" i="19"/>
  <c r="R46" i="19"/>
  <c r="S46" i="19"/>
  <c r="P47" i="19"/>
  <c r="Z47" i="12"/>
  <c r="X47" i="12"/>
  <c r="W47" i="12"/>
  <c r="Y45" i="20"/>
  <c r="AC45" i="20"/>
  <c r="W44" i="20"/>
  <c r="Z44" i="20"/>
  <c r="X44" i="20"/>
  <c r="V46" i="6"/>
  <c r="AC47" i="12"/>
  <c r="Y47" i="12"/>
  <c r="AG45" i="6"/>
  <c r="AD45" i="6"/>
  <c r="AA45" i="14"/>
  <c r="AB45" i="14"/>
  <c r="Z44" i="11"/>
  <c r="X44" i="11"/>
  <c r="W44" i="11"/>
  <c r="AC46" i="9"/>
  <c r="Y46" i="9"/>
  <c r="AI44" i="10"/>
  <c r="AJ44" i="10"/>
  <c r="AH42" i="11"/>
  <c r="AF42" i="11"/>
  <c r="AE42" i="11"/>
  <c r="AA46" i="12"/>
  <c r="AB46" i="12"/>
  <c r="AC48" i="15"/>
  <c r="Y48" i="15"/>
  <c r="Z45" i="19"/>
  <c r="X45" i="19"/>
  <c r="W45" i="19"/>
  <c r="Z46" i="9"/>
  <c r="X46" i="9"/>
  <c r="W46" i="9"/>
  <c r="Z44" i="8"/>
  <c r="X44" i="8"/>
  <c r="W44" i="8"/>
  <c r="AJ45" i="18"/>
  <c r="AI45" i="18"/>
  <c r="AH44" i="6"/>
  <c r="AF44" i="6"/>
  <c r="AE44" i="6"/>
  <c r="AG44" i="8"/>
  <c r="AD44" i="8"/>
  <c r="S47" i="6"/>
  <c r="T47" i="6"/>
  <c r="Q47" i="6"/>
  <c r="R47" i="6"/>
  <c r="U47" i="6"/>
  <c r="P48" i="6"/>
  <c r="AA43" i="8"/>
  <c r="AB43" i="8"/>
  <c r="AH45" i="10"/>
  <c r="AF45" i="10"/>
  <c r="AE45" i="10"/>
  <c r="Y44" i="11"/>
  <c r="AC44" i="11"/>
  <c r="AI41" i="11"/>
  <c r="AJ41" i="11"/>
  <c r="AA43" i="20"/>
  <c r="AB43" i="20"/>
  <c r="T46" i="8"/>
  <c r="Q46" i="8"/>
  <c r="R46" i="8"/>
  <c r="U46" i="8"/>
  <c r="S46" i="8"/>
  <c r="P47" i="8"/>
  <c r="AH44" i="9"/>
  <c r="AF44" i="9"/>
  <c r="AE44" i="9"/>
  <c r="T49" i="15"/>
  <c r="Q49" i="15"/>
  <c r="R49" i="15"/>
  <c r="U49" i="15"/>
  <c r="S49" i="15"/>
  <c r="P50" i="15"/>
  <c r="AG47" i="15"/>
  <c r="AD47" i="15"/>
  <c r="AA45" i="6"/>
  <c r="AB45" i="6"/>
  <c r="AA45" i="10"/>
  <c r="AB45" i="10"/>
  <c r="Z43" i="11"/>
  <c r="X43" i="11"/>
  <c r="W43" i="11"/>
  <c r="AH45" i="12"/>
  <c r="AF45" i="12"/>
  <c r="AE45" i="12"/>
  <c r="AD44" i="20"/>
  <c r="AG44" i="20"/>
  <c r="AH46" i="15"/>
  <c r="AF46" i="15"/>
  <c r="AE46" i="15"/>
  <c r="U46" i="20"/>
  <c r="S46" i="20"/>
  <c r="T46" i="20"/>
  <c r="Q46" i="20"/>
  <c r="R46" i="20"/>
  <c r="P47" i="20"/>
  <c r="AB44" i="6"/>
  <c r="AA44" i="6"/>
  <c r="AH43" i="20"/>
  <c r="AF43" i="20"/>
  <c r="AE43" i="20"/>
  <c r="AI44" i="12"/>
  <c r="AJ44" i="12"/>
  <c r="T48" i="12"/>
  <c r="V48" i="12"/>
  <c r="Q48" i="12"/>
  <c r="R48" i="12"/>
  <c r="U48" i="12"/>
  <c r="S48" i="12"/>
  <c r="P49" i="12"/>
  <c r="AG43" i="11"/>
  <c r="AD43" i="11"/>
  <c r="W44" i="19"/>
  <c r="Z44" i="19"/>
  <c r="X44" i="19"/>
  <c r="AG45" i="9"/>
  <c r="AD45" i="9"/>
  <c r="AH44" i="14"/>
  <c r="AF44" i="14"/>
  <c r="AE44" i="14"/>
  <c r="Z45" i="9"/>
  <c r="X45" i="9"/>
  <c r="W45" i="9"/>
  <c r="Y45" i="19"/>
  <c r="AC45" i="19"/>
  <c r="P48" i="9"/>
  <c r="T47" i="9"/>
  <c r="V47" i="9"/>
  <c r="Q47" i="9"/>
  <c r="R47" i="9"/>
  <c r="U47" i="9"/>
  <c r="S47" i="9"/>
  <c r="AI43" i="14"/>
  <c r="AJ43" i="14"/>
  <c r="AI42" i="20"/>
  <c r="AJ42" i="20"/>
  <c r="AG46" i="12"/>
  <c r="AD46" i="12"/>
  <c r="AB44" i="14"/>
  <c r="AA44" i="14"/>
  <c r="AE43" i="8"/>
  <c r="AH43" i="8"/>
  <c r="AF43" i="8"/>
  <c r="AC45" i="8"/>
  <c r="Y45" i="8"/>
  <c r="V45" i="8"/>
  <c r="AH43" i="19"/>
  <c r="AF43" i="19"/>
  <c r="AE43" i="19"/>
  <c r="AA46" i="15"/>
  <c r="AB46" i="15"/>
  <c r="V48" i="15"/>
  <c r="AC46" i="6"/>
  <c r="Y46" i="6"/>
  <c r="AJ42" i="8"/>
  <c r="AI42" i="8"/>
  <c r="AI43" i="9"/>
  <c r="AJ43" i="9"/>
  <c r="AI43" i="6"/>
  <c r="AJ43" i="6"/>
  <c r="Z47" i="15"/>
  <c r="X47" i="15"/>
  <c r="W47" i="15"/>
  <c r="AJ42" i="19"/>
  <c r="AI42" i="19"/>
  <c r="AF46" i="18"/>
  <c r="AH46" i="18"/>
  <c r="AE46" i="18"/>
  <c r="AI45" i="15"/>
  <c r="AJ45" i="15"/>
  <c r="V45" i="20"/>
  <c r="AD44" i="19"/>
  <c r="AG44" i="19"/>
  <c r="AG46" i="6"/>
  <c r="AD46" i="6"/>
  <c r="AC46" i="20"/>
  <c r="Y46" i="20"/>
  <c r="AA43" i="11"/>
  <c r="AB43" i="11"/>
  <c r="Z46" i="6"/>
  <c r="X46" i="6"/>
  <c r="W46" i="6"/>
  <c r="AG45" i="20"/>
  <c r="AD45" i="20"/>
  <c r="AE47" i="15"/>
  <c r="AH47" i="15"/>
  <c r="AF47" i="15"/>
  <c r="AB44" i="8"/>
  <c r="AA44" i="8"/>
  <c r="AG48" i="15"/>
  <c r="AD48" i="15"/>
  <c r="AA44" i="11"/>
  <c r="AB44" i="11"/>
  <c r="S47" i="19"/>
  <c r="T47" i="19"/>
  <c r="Q47" i="19"/>
  <c r="R47" i="19"/>
  <c r="U47" i="19"/>
  <c r="P48" i="19"/>
  <c r="AG44" i="11"/>
  <c r="AD44" i="11"/>
  <c r="AI44" i="6"/>
  <c r="AJ44" i="6"/>
  <c r="W46" i="19"/>
  <c r="X46" i="19"/>
  <c r="Z46" i="19"/>
  <c r="AC47" i="9"/>
  <c r="Y47" i="9"/>
  <c r="AI44" i="14"/>
  <c r="AJ44" i="14"/>
  <c r="AB44" i="19"/>
  <c r="AA44" i="19"/>
  <c r="T49" i="12"/>
  <c r="V49" i="12"/>
  <c r="Q49" i="12"/>
  <c r="R49" i="12"/>
  <c r="U49" i="12"/>
  <c r="S49" i="12"/>
  <c r="P50" i="12"/>
  <c r="AA45" i="9"/>
  <c r="AB45" i="9"/>
  <c r="AJ43" i="20"/>
  <c r="AI43" i="20"/>
  <c r="AJ44" i="9"/>
  <c r="AI44" i="9"/>
  <c r="AC46" i="19"/>
  <c r="Y46" i="19"/>
  <c r="AH45" i="14"/>
  <c r="AF45" i="14"/>
  <c r="AE45" i="14"/>
  <c r="AA47" i="15"/>
  <c r="AB47" i="15"/>
  <c r="W47" i="9"/>
  <c r="Z47" i="9"/>
  <c r="X47" i="9"/>
  <c r="AJ46" i="15"/>
  <c r="AI46" i="15"/>
  <c r="AC49" i="15"/>
  <c r="Y49" i="15"/>
  <c r="Y46" i="8"/>
  <c r="AC46" i="8"/>
  <c r="AJ45" i="10"/>
  <c r="AI45" i="10"/>
  <c r="AH44" i="8"/>
  <c r="AF44" i="8"/>
  <c r="AE44" i="8"/>
  <c r="AB46" i="9"/>
  <c r="AA46" i="9"/>
  <c r="AH45" i="6"/>
  <c r="AF45" i="6"/>
  <c r="AE45" i="6"/>
  <c r="AB47" i="12"/>
  <c r="AA47" i="12"/>
  <c r="AE44" i="19"/>
  <c r="AF44" i="19"/>
  <c r="AH44" i="19"/>
  <c r="Z48" i="15"/>
  <c r="X48" i="15"/>
  <c r="W48" i="15"/>
  <c r="AD45" i="8"/>
  <c r="AG45" i="8"/>
  <c r="T48" i="9"/>
  <c r="Q48" i="9"/>
  <c r="R48" i="9"/>
  <c r="U48" i="9"/>
  <c r="S48" i="9"/>
  <c r="P49" i="9"/>
  <c r="W48" i="12"/>
  <c r="Z48" i="12"/>
  <c r="X48" i="12"/>
  <c r="T47" i="20"/>
  <c r="V47" i="20"/>
  <c r="Q47" i="20"/>
  <c r="R47" i="20"/>
  <c r="S47" i="20"/>
  <c r="U47" i="20"/>
  <c r="P48" i="20"/>
  <c r="AJ45" i="12"/>
  <c r="AI45" i="12"/>
  <c r="Z45" i="20"/>
  <c r="X45" i="20"/>
  <c r="W45" i="20"/>
  <c r="AJ46" i="18"/>
  <c r="AI46" i="18"/>
  <c r="AJ43" i="19"/>
  <c r="AI43" i="19"/>
  <c r="AG45" i="19"/>
  <c r="AD45" i="19"/>
  <c r="AE45" i="9"/>
  <c r="AH45" i="9"/>
  <c r="AF45" i="9"/>
  <c r="AC48" i="12"/>
  <c r="Y48" i="12"/>
  <c r="AE44" i="20"/>
  <c r="AH44" i="20"/>
  <c r="AF44" i="20"/>
  <c r="V47" i="6"/>
  <c r="AJ42" i="11"/>
  <c r="AI42" i="11"/>
  <c r="AG46" i="9"/>
  <c r="AD46" i="9"/>
  <c r="AA44" i="20"/>
  <c r="AB44" i="20"/>
  <c r="W45" i="8"/>
  <c r="Z45" i="8"/>
  <c r="X45" i="8"/>
  <c r="AJ43" i="8"/>
  <c r="AI43" i="8"/>
  <c r="AE46" i="12"/>
  <c r="AF46" i="12"/>
  <c r="AH46" i="12"/>
  <c r="AE43" i="11"/>
  <c r="AH43" i="11"/>
  <c r="AF43" i="11"/>
  <c r="V46" i="20"/>
  <c r="S50" i="15"/>
  <c r="T50" i="15"/>
  <c r="Q50" i="15"/>
  <c r="R50" i="15"/>
  <c r="U50" i="15"/>
  <c r="V49" i="15"/>
  <c r="U47" i="8"/>
  <c r="S47" i="8"/>
  <c r="T47" i="8"/>
  <c r="V47" i="8"/>
  <c r="Q47" i="8"/>
  <c r="R47" i="8"/>
  <c r="P48" i="8"/>
  <c r="V46" i="8"/>
  <c r="T48" i="6"/>
  <c r="V48" i="6"/>
  <c r="Q48" i="6"/>
  <c r="R48" i="6"/>
  <c r="U48" i="6"/>
  <c r="S48" i="6"/>
  <c r="P49" i="6"/>
  <c r="AC47" i="6"/>
  <c r="Y47" i="6"/>
  <c r="AB45" i="19"/>
  <c r="AA45" i="19"/>
  <c r="AG47" i="12"/>
  <c r="AD47" i="12"/>
  <c r="W48" i="6"/>
  <c r="Z48" i="6"/>
  <c r="X48" i="6"/>
  <c r="AI44" i="19"/>
  <c r="AJ44" i="19"/>
  <c r="AI44" i="8"/>
  <c r="AJ44" i="8"/>
  <c r="AJ45" i="14"/>
  <c r="AI45" i="14"/>
  <c r="AA46" i="19"/>
  <c r="AB46" i="19"/>
  <c r="AC48" i="6"/>
  <c r="Y48" i="6"/>
  <c r="Z46" i="8"/>
  <c r="X46" i="8"/>
  <c r="W46" i="8"/>
  <c r="U50" i="12"/>
  <c r="S50" i="12"/>
  <c r="T50" i="12"/>
  <c r="V50" i="12"/>
  <c r="Q50" i="12"/>
  <c r="R50" i="12"/>
  <c r="P51" i="12"/>
  <c r="Z49" i="12"/>
  <c r="X49" i="12"/>
  <c r="W49" i="12"/>
  <c r="AH44" i="11"/>
  <c r="AF44" i="11"/>
  <c r="AE44" i="11"/>
  <c r="AH45" i="20"/>
  <c r="AF45" i="20"/>
  <c r="AE45" i="20"/>
  <c r="AA46" i="6"/>
  <c r="AB46" i="6"/>
  <c r="AD46" i="20"/>
  <c r="AG46" i="20"/>
  <c r="T49" i="6"/>
  <c r="V49" i="6"/>
  <c r="Q49" i="6"/>
  <c r="R49" i="6"/>
  <c r="U49" i="6"/>
  <c r="P50" i="6"/>
  <c r="S49" i="6"/>
  <c r="Z47" i="8"/>
  <c r="X47" i="8"/>
  <c r="W47" i="8"/>
  <c r="W46" i="20"/>
  <c r="X46" i="20"/>
  <c r="Z46" i="20"/>
  <c r="AC47" i="8"/>
  <c r="Y47" i="8"/>
  <c r="AH46" i="9"/>
  <c r="AF46" i="9"/>
  <c r="AE46" i="9"/>
  <c r="U48" i="20"/>
  <c r="S48" i="20"/>
  <c r="T48" i="20"/>
  <c r="Q48" i="20"/>
  <c r="R48" i="20"/>
  <c r="P49" i="20"/>
  <c r="S49" i="9"/>
  <c r="U49" i="9"/>
  <c r="T49" i="9"/>
  <c r="V49" i="9"/>
  <c r="Q49" i="9"/>
  <c r="R49" i="9"/>
  <c r="P50" i="9"/>
  <c r="AE46" i="6"/>
  <c r="AH46" i="6"/>
  <c r="AF46" i="6"/>
  <c r="AJ46" i="12"/>
  <c r="AI46" i="12"/>
  <c r="AJ44" i="20"/>
  <c r="AI44" i="20"/>
  <c r="Y47" i="20"/>
  <c r="AC47" i="20"/>
  <c r="AB48" i="12"/>
  <c r="AA48" i="12"/>
  <c r="AH45" i="8"/>
  <c r="AF45" i="8"/>
  <c r="AE45" i="8"/>
  <c r="AJ45" i="9"/>
  <c r="AI45" i="9"/>
  <c r="AH47" i="12"/>
  <c r="AF47" i="12"/>
  <c r="AE47" i="12"/>
  <c r="S48" i="8"/>
  <c r="T48" i="8"/>
  <c r="Q48" i="8"/>
  <c r="R48" i="8"/>
  <c r="U48" i="8"/>
  <c r="P49" i="8"/>
  <c r="V50" i="15"/>
  <c r="AJ43" i="11"/>
  <c r="AI43" i="11"/>
  <c r="AB45" i="8"/>
  <c r="AA45" i="8"/>
  <c r="Z47" i="6"/>
  <c r="X47" i="6"/>
  <c r="W47" i="6"/>
  <c r="Z47" i="20"/>
  <c r="X47" i="20"/>
  <c r="W47" i="20"/>
  <c r="V48" i="9"/>
  <c r="AD49" i="15"/>
  <c r="AG49" i="15"/>
  <c r="AB47" i="9"/>
  <c r="AA47" i="9"/>
  <c r="AD46" i="19"/>
  <c r="AG46" i="19"/>
  <c r="Y49" i="12"/>
  <c r="AC49" i="12"/>
  <c r="V47" i="19"/>
  <c r="AH48" i="15"/>
  <c r="AF48" i="15"/>
  <c r="AE48" i="15"/>
  <c r="AG47" i="6"/>
  <c r="AD47" i="6"/>
  <c r="W49" i="15"/>
  <c r="Z49" i="15"/>
  <c r="X49" i="15"/>
  <c r="AC50" i="15"/>
  <c r="Y50" i="15"/>
  <c r="AD48" i="12"/>
  <c r="AG48" i="12"/>
  <c r="AH45" i="19"/>
  <c r="AF45" i="19"/>
  <c r="AE45" i="19"/>
  <c r="AB45" i="20"/>
  <c r="AA45" i="20"/>
  <c r="Y48" i="9"/>
  <c r="AC48" i="9"/>
  <c r="AB48" i="15"/>
  <c r="AA48" i="15"/>
  <c r="AJ45" i="6"/>
  <c r="AI45" i="6"/>
  <c r="AG46" i="8"/>
  <c r="AD46" i="8"/>
  <c r="AD47" i="9"/>
  <c r="AG47" i="9"/>
  <c r="T48" i="19"/>
  <c r="Q48" i="19"/>
  <c r="R48" i="19"/>
  <c r="U48" i="19"/>
  <c r="S48" i="19"/>
  <c r="P49" i="19"/>
  <c r="AC47" i="19"/>
  <c r="Y47" i="19"/>
  <c r="AJ47" i="15"/>
  <c r="AI47" i="15"/>
  <c r="AH48" i="12"/>
  <c r="AF48" i="12"/>
  <c r="AE48" i="12"/>
  <c r="AC48" i="8"/>
  <c r="Y48" i="8"/>
  <c r="S50" i="9"/>
  <c r="P51" i="9"/>
  <c r="T50" i="9"/>
  <c r="V50" i="9"/>
  <c r="Q50" i="9"/>
  <c r="R50" i="9"/>
  <c r="U50" i="9"/>
  <c r="AI46" i="9"/>
  <c r="AJ46" i="9"/>
  <c r="AA47" i="8"/>
  <c r="AB47" i="8"/>
  <c r="AI45" i="20"/>
  <c r="AJ45" i="20"/>
  <c r="Y49" i="6"/>
  <c r="AC49" i="6"/>
  <c r="Z49" i="6"/>
  <c r="X49" i="6"/>
  <c r="W49" i="6"/>
  <c r="Z50" i="12"/>
  <c r="X50" i="12"/>
  <c r="W50" i="12"/>
  <c r="AC48" i="19"/>
  <c r="Y48" i="19"/>
  <c r="AG48" i="9"/>
  <c r="AD48" i="9"/>
  <c r="AC49" i="9"/>
  <c r="Y49" i="9"/>
  <c r="AG50" i="15"/>
  <c r="AD50" i="15"/>
  <c r="AB47" i="6"/>
  <c r="AA47" i="6"/>
  <c r="Z49" i="9"/>
  <c r="X49" i="9"/>
  <c r="W49" i="9"/>
  <c r="AA49" i="12"/>
  <c r="AB49" i="12"/>
  <c r="AB48" i="6"/>
  <c r="AA48" i="6"/>
  <c r="AB49" i="15"/>
  <c r="AA49" i="15"/>
  <c r="AG49" i="12"/>
  <c r="AD49" i="12"/>
  <c r="Z48" i="9"/>
  <c r="X48" i="9"/>
  <c r="W48" i="9"/>
  <c r="T49" i="8"/>
  <c r="V49" i="8"/>
  <c r="Q49" i="8"/>
  <c r="R49" i="8"/>
  <c r="U49" i="8"/>
  <c r="P50" i="8"/>
  <c r="S49" i="8"/>
  <c r="AI45" i="8"/>
  <c r="AJ45" i="8"/>
  <c r="AC48" i="20"/>
  <c r="Y48" i="20"/>
  <c r="AD48" i="6"/>
  <c r="AG48" i="6"/>
  <c r="AH47" i="9"/>
  <c r="AF47" i="9"/>
  <c r="AE47" i="9"/>
  <c r="T49" i="20"/>
  <c r="Q49" i="20"/>
  <c r="R49" i="20"/>
  <c r="U49" i="20"/>
  <c r="S49" i="20"/>
  <c r="P50" i="20"/>
  <c r="AG47" i="19"/>
  <c r="AD47" i="19"/>
  <c r="AH46" i="8"/>
  <c r="AF46" i="8"/>
  <c r="AE46" i="8"/>
  <c r="AI45" i="19"/>
  <c r="AJ45" i="19"/>
  <c r="AH47" i="6"/>
  <c r="AF47" i="6"/>
  <c r="AE47" i="6"/>
  <c r="AI48" i="15"/>
  <c r="AJ48" i="15"/>
  <c r="AJ46" i="6"/>
  <c r="AI46" i="6"/>
  <c r="AG47" i="8"/>
  <c r="AD47" i="8"/>
  <c r="U50" i="6"/>
  <c r="S50" i="6"/>
  <c r="P51" i="6"/>
  <c r="T50" i="6"/>
  <c r="Q50" i="6"/>
  <c r="R50" i="6"/>
  <c r="AC50" i="12"/>
  <c r="Y50" i="12"/>
  <c r="AA46" i="8"/>
  <c r="AB46" i="8"/>
  <c r="S49" i="19"/>
  <c r="Q49" i="19"/>
  <c r="R49" i="19"/>
  <c r="T49" i="19"/>
  <c r="U49" i="19"/>
  <c r="P50" i="19"/>
  <c r="V48" i="19"/>
  <c r="Z47" i="19"/>
  <c r="X47" i="19"/>
  <c r="W47" i="19"/>
  <c r="AE46" i="19"/>
  <c r="AH46" i="19"/>
  <c r="AF46" i="19"/>
  <c r="AH49" i="15"/>
  <c r="AF49" i="15"/>
  <c r="AE49" i="15"/>
  <c r="AA47" i="20"/>
  <c r="AB47" i="20"/>
  <c r="Z50" i="15"/>
  <c r="X50" i="15"/>
  <c r="W50" i="15"/>
  <c r="V48" i="8"/>
  <c r="AI47" i="12"/>
  <c r="AJ47" i="12"/>
  <c r="AG47" i="20"/>
  <c r="AD47" i="20"/>
  <c r="V48" i="20"/>
  <c r="AB46" i="20"/>
  <c r="AA46" i="20"/>
  <c r="AE46" i="20"/>
  <c r="AH46" i="20"/>
  <c r="AF46" i="20"/>
  <c r="AJ44" i="11"/>
  <c r="AI44" i="11"/>
  <c r="S51" i="12"/>
  <c r="T51" i="12"/>
  <c r="Q51" i="12"/>
  <c r="R51" i="12"/>
  <c r="U51" i="12"/>
  <c r="P52" i="12"/>
  <c r="AI47" i="9"/>
  <c r="AJ47" i="9"/>
  <c r="AD48" i="20"/>
  <c r="AG48" i="20"/>
  <c r="T50" i="8"/>
  <c r="Q50" i="8"/>
  <c r="R50" i="8"/>
  <c r="U50" i="8"/>
  <c r="S50" i="8"/>
  <c r="P51" i="8"/>
  <c r="AH50" i="15"/>
  <c r="AF50" i="15"/>
  <c r="AE50" i="15"/>
  <c r="AH48" i="9"/>
  <c r="AF48" i="9"/>
  <c r="AE48" i="9"/>
  <c r="Z50" i="9"/>
  <c r="X50" i="9"/>
  <c r="W50" i="9"/>
  <c r="AG48" i="8"/>
  <c r="AD48" i="8"/>
  <c r="V51" i="12"/>
  <c r="AJ46" i="19"/>
  <c r="AI46" i="19"/>
  <c r="AB47" i="19"/>
  <c r="AA47" i="19"/>
  <c r="V49" i="19"/>
  <c r="V50" i="6"/>
  <c r="AE47" i="8"/>
  <c r="AH47" i="8"/>
  <c r="AF47" i="8"/>
  <c r="AI47" i="6"/>
  <c r="AJ47" i="6"/>
  <c r="U50" i="20"/>
  <c r="T50" i="20"/>
  <c r="V50" i="20"/>
  <c r="Q50" i="20"/>
  <c r="R50" i="20"/>
  <c r="S50" i="20"/>
  <c r="P51" i="20"/>
  <c r="V49" i="20"/>
  <c r="AA49" i="9"/>
  <c r="AB49" i="9"/>
  <c r="AA49" i="6"/>
  <c r="AB49" i="6"/>
  <c r="T51" i="9"/>
  <c r="V51" i="9"/>
  <c r="Q51" i="9"/>
  <c r="R51" i="9"/>
  <c r="U51" i="9"/>
  <c r="P52" i="9"/>
  <c r="S51" i="9"/>
  <c r="T52" i="12"/>
  <c r="V52" i="12"/>
  <c r="Q52" i="12"/>
  <c r="R52" i="12"/>
  <c r="U52" i="12"/>
  <c r="S52" i="12"/>
  <c r="P53" i="12"/>
  <c r="AC51" i="12"/>
  <c r="Y51" i="12"/>
  <c r="AI46" i="20"/>
  <c r="AJ46" i="20"/>
  <c r="W48" i="20"/>
  <c r="Z48" i="20"/>
  <c r="X48" i="20"/>
  <c r="AB50" i="15"/>
  <c r="AA50" i="15"/>
  <c r="W48" i="19"/>
  <c r="Z48" i="19"/>
  <c r="X48" i="19"/>
  <c r="S51" i="6"/>
  <c r="T51" i="6"/>
  <c r="Q51" i="6"/>
  <c r="R51" i="6"/>
  <c r="U51" i="6"/>
  <c r="P52" i="6"/>
  <c r="AJ46" i="8"/>
  <c r="AI46" i="8"/>
  <c r="Y49" i="20"/>
  <c r="AC49" i="20"/>
  <c r="AH48" i="6"/>
  <c r="AF48" i="6"/>
  <c r="AE48" i="6"/>
  <c r="AA48" i="9"/>
  <c r="AB48" i="9"/>
  <c r="AA50" i="12"/>
  <c r="AB50" i="12"/>
  <c r="AG49" i="6"/>
  <c r="AD49" i="6"/>
  <c r="AC50" i="9"/>
  <c r="Y50" i="9"/>
  <c r="AH47" i="20"/>
  <c r="AF47" i="20"/>
  <c r="AE47" i="20"/>
  <c r="Z48" i="8"/>
  <c r="X48" i="8"/>
  <c r="W48" i="8"/>
  <c r="AI49" i="15"/>
  <c r="AJ49" i="15"/>
  <c r="U50" i="19"/>
  <c r="T50" i="19"/>
  <c r="V50" i="19"/>
  <c r="Q50" i="19"/>
  <c r="R50" i="19"/>
  <c r="S50" i="19"/>
  <c r="P51" i="19"/>
  <c r="AC49" i="19"/>
  <c r="Y49" i="19"/>
  <c r="AG50" i="12"/>
  <c r="AD50" i="12"/>
  <c r="AC50" i="6"/>
  <c r="Y50" i="6"/>
  <c r="AH47" i="19"/>
  <c r="AF47" i="19"/>
  <c r="AE47" i="19"/>
  <c r="AC49" i="8"/>
  <c r="Y49" i="8"/>
  <c r="W49" i="8"/>
  <c r="Z49" i="8"/>
  <c r="X49" i="8"/>
  <c r="AH49" i="12"/>
  <c r="AF49" i="12"/>
  <c r="AE49" i="12"/>
  <c r="AG49" i="9"/>
  <c r="AD49" i="9"/>
  <c r="AD48" i="19"/>
  <c r="AG48" i="19"/>
  <c r="AI48" i="12"/>
  <c r="AJ48" i="12"/>
  <c r="AC50" i="19"/>
  <c r="Y50" i="19"/>
  <c r="AC50" i="20"/>
  <c r="Y50" i="20"/>
  <c r="AH48" i="8"/>
  <c r="AF48" i="8"/>
  <c r="AE48" i="8"/>
  <c r="AD49" i="8"/>
  <c r="AG49" i="8"/>
  <c r="AB48" i="19"/>
  <c r="AA48" i="19"/>
  <c r="AC52" i="12"/>
  <c r="Y52" i="12"/>
  <c r="AC51" i="9"/>
  <c r="Y51" i="9"/>
  <c r="W51" i="9"/>
  <c r="Z51" i="9"/>
  <c r="X51" i="9"/>
  <c r="Z50" i="6"/>
  <c r="X50" i="6"/>
  <c r="W50" i="6"/>
  <c r="AE48" i="20"/>
  <c r="AH48" i="20"/>
  <c r="AF48" i="20"/>
  <c r="AJ49" i="12"/>
  <c r="AI49" i="12"/>
  <c r="AI47" i="19"/>
  <c r="AJ47" i="19"/>
  <c r="AB48" i="8"/>
  <c r="AA48" i="8"/>
  <c r="AB50" i="9"/>
  <c r="AA50" i="9"/>
  <c r="AG50" i="9"/>
  <c r="AD50" i="9"/>
  <c r="AG50" i="6"/>
  <c r="AD50" i="6"/>
  <c r="AG49" i="19"/>
  <c r="AD49" i="19"/>
  <c r="V51" i="6"/>
  <c r="AA48" i="20"/>
  <c r="AB48" i="20"/>
  <c r="T52" i="9"/>
  <c r="Q52" i="9"/>
  <c r="R52" i="9"/>
  <c r="U52" i="9"/>
  <c r="S52" i="9"/>
  <c r="P53" i="9"/>
  <c r="X49" i="20"/>
  <c r="Z49" i="20"/>
  <c r="W49" i="20"/>
  <c r="X50" i="20"/>
  <c r="Z50" i="20"/>
  <c r="W50" i="20"/>
  <c r="Z49" i="19"/>
  <c r="X49" i="19"/>
  <c r="W49" i="19"/>
  <c r="AI50" i="15"/>
  <c r="AJ50" i="15"/>
  <c r="AE49" i="9"/>
  <c r="AH49" i="9"/>
  <c r="AF49" i="9"/>
  <c r="T53" i="12"/>
  <c r="Q53" i="12"/>
  <c r="R53" i="12"/>
  <c r="U53" i="12"/>
  <c r="S53" i="12"/>
  <c r="P54" i="12"/>
  <c r="W52" i="12"/>
  <c r="Z52" i="12"/>
  <c r="X52" i="12"/>
  <c r="Y50" i="8"/>
  <c r="AC50" i="8"/>
  <c r="AB49" i="8"/>
  <c r="AA49" i="8"/>
  <c r="W50" i="19"/>
  <c r="Z50" i="19"/>
  <c r="X50" i="19"/>
  <c r="AH49" i="6"/>
  <c r="AF49" i="6"/>
  <c r="AE49" i="6"/>
  <c r="AI48" i="6"/>
  <c r="AJ48" i="6"/>
  <c r="AH48" i="19"/>
  <c r="AF48" i="19"/>
  <c r="AE48" i="19"/>
  <c r="AE50" i="12"/>
  <c r="AH50" i="12"/>
  <c r="AF50" i="12"/>
  <c r="S51" i="19"/>
  <c r="T51" i="19"/>
  <c r="V51" i="19"/>
  <c r="Q51" i="19"/>
  <c r="R51" i="19"/>
  <c r="U51" i="19"/>
  <c r="P52" i="19"/>
  <c r="AJ47" i="20"/>
  <c r="AI47" i="20"/>
  <c r="AG49" i="20"/>
  <c r="AD49" i="20"/>
  <c r="T52" i="6"/>
  <c r="V52" i="6"/>
  <c r="Q52" i="6"/>
  <c r="R52" i="6"/>
  <c r="U52" i="6"/>
  <c r="S52" i="6"/>
  <c r="P53" i="6"/>
  <c r="AC51" i="6"/>
  <c r="Y51" i="6"/>
  <c r="AG51" i="12"/>
  <c r="AD51" i="12"/>
  <c r="S51" i="20"/>
  <c r="U51" i="20"/>
  <c r="T51" i="20"/>
  <c r="V51" i="20"/>
  <c r="Q51" i="20"/>
  <c r="R51" i="20"/>
  <c r="P52" i="20"/>
  <c r="AJ47" i="8"/>
  <c r="AI47" i="8"/>
  <c r="Z51" i="12"/>
  <c r="X51" i="12"/>
  <c r="W51" i="12"/>
  <c r="AJ48" i="9"/>
  <c r="AI48" i="9"/>
  <c r="U51" i="8"/>
  <c r="S51" i="8"/>
  <c r="T51" i="8"/>
  <c r="V51" i="8"/>
  <c r="Q51" i="8"/>
  <c r="R51" i="8"/>
  <c r="P52" i="8"/>
  <c r="V50" i="8"/>
  <c r="T53" i="6"/>
  <c r="Q53" i="6"/>
  <c r="R53" i="6"/>
  <c r="U53" i="6"/>
  <c r="P54" i="6"/>
  <c r="S53" i="6"/>
  <c r="Y53" i="12"/>
  <c r="AC53" i="12"/>
  <c r="AB49" i="20"/>
  <c r="AA49" i="20"/>
  <c r="AE50" i="6"/>
  <c r="AH50" i="6"/>
  <c r="AF50" i="6"/>
  <c r="AD52" i="12"/>
  <c r="AG52" i="12"/>
  <c r="AH49" i="8"/>
  <c r="AF49" i="8"/>
  <c r="AE49" i="8"/>
  <c r="AB51" i="12"/>
  <c r="AA51" i="12"/>
  <c r="AH51" i="12"/>
  <c r="AF51" i="12"/>
  <c r="AE51" i="12"/>
  <c r="Z51" i="20"/>
  <c r="X51" i="20"/>
  <c r="W51" i="20"/>
  <c r="Y51" i="19"/>
  <c r="AC51" i="19"/>
  <c r="AJ48" i="20"/>
  <c r="AI48" i="20"/>
  <c r="AA50" i="6"/>
  <c r="AB50" i="6"/>
  <c r="AG50" i="20"/>
  <c r="AD50" i="20"/>
  <c r="Z51" i="19"/>
  <c r="X51" i="19"/>
  <c r="W51" i="19"/>
  <c r="AJ49" i="6"/>
  <c r="AI49" i="6"/>
  <c r="AA50" i="19"/>
  <c r="AB50" i="19"/>
  <c r="AG50" i="8"/>
  <c r="AD50" i="8"/>
  <c r="U53" i="9"/>
  <c r="S53" i="9"/>
  <c r="T53" i="9"/>
  <c r="Q53" i="9"/>
  <c r="R53" i="9"/>
  <c r="P54" i="9"/>
  <c r="V52" i="9"/>
  <c r="AF49" i="19"/>
  <c r="AE49" i="19"/>
  <c r="AH49" i="19"/>
  <c r="AF50" i="9"/>
  <c r="AE50" i="9"/>
  <c r="AH50" i="9"/>
  <c r="AD51" i="9"/>
  <c r="AG51" i="9"/>
  <c r="W52" i="6"/>
  <c r="Z52" i="6"/>
  <c r="X52" i="6"/>
  <c r="Z51" i="8"/>
  <c r="X51" i="8"/>
  <c r="W51" i="8"/>
  <c r="AC52" i="6"/>
  <c r="Y52" i="6"/>
  <c r="AH49" i="20"/>
  <c r="AF49" i="20"/>
  <c r="AE49" i="20"/>
  <c r="U52" i="19"/>
  <c r="S52" i="19"/>
  <c r="T52" i="19"/>
  <c r="V52" i="19"/>
  <c r="Q52" i="19"/>
  <c r="R52" i="19"/>
  <c r="P53" i="19"/>
  <c r="AB52" i="12"/>
  <c r="AA52" i="12"/>
  <c r="AJ49" i="9"/>
  <c r="AI49" i="9"/>
  <c r="AA50" i="20"/>
  <c r="AB50" i="20"/>
  <c r="Z51" i="6"/>
  <c r="X51" i="6"/>
  <c r="W51" i="6"/>
  <c r="Z50" i="8"/>
  <c r="X50" i="8"/>
  <c r="W50" i="8"/>
  <c r="AC51" i="8"/>
  <c r="Y51" i="8"/>
  <c r="S52" i="8"/>
  <c r="T52" i="8"/>
  <c r="Q52" i="8"/>
  <c r="R52" i="8"/>
  <c r="U52" i="8"/>
  <c r="P53" i="8"/>
  <c r="T52" i="20"/>
  <c r="Q52" i="20"/>
  <c r="R52" i="20"/>
  <c r="S52" i="20"/>
  <c r="U52" i="20"/>
  <c r="P53" i="20"/>
  <c r="Y51" i="20"/>
  <c r="AC51" i="20"/>
  <c r="AG51" i="6"/>
  <c r="AD51" i="6"/>
  <c r="AJ50" i="12"/>
  <c r="AI50" i="12"/>
  <c r="AI48" i="19"/>
  <c r="AJ48" i="19"/>
  <c r="U54" i="12"/>
  <c r="S54" i="12"/>
  <c r="T54" i="12"/>
  <c r="V54" i="12"/>
  <c r="Q54" i="12"/>
  <c r="R54" i="12"/>
  <c r="P55" i="12"/>
  <c r="V53" i="12"/>
  <c r="AA49" i="19"/>
  <c r="AB49" i="19"/>
  <c r="Y52" i="9"/>
  <c r="AC52" i="9"/>
  <c r="AB51" i="9"/>
  <c r="AA51" i="9"/>
  <c r="AI48" i="8"/>
  <c r="AJ48" i="8"/>
  <c r="AD50" i="19"/>
  <c r="AG50" i="19"/>
  <c r="S55" i="12"/>
  <c r="T55" i="12"/>
  <c r="Q55" i="12"/>
  <c r="R55" i="12"/>
  <c r="U55" i="12"/>
  <c r="P56" i="12"/>
  <c r="AH51" i="6"/>
  <c r="AF51" i="6"/>
  <c r="AE51" i="6"/>
  <c r="T53" i="20"/>
  <c r="Q53" i="20"/>
  <c r="R53" i="20"/>
  <c r="S53" i="20"/>
  <c r="U53" i="20"/>
  <c r="P54" i="20"/>
  <c r="V52" i="20"/>
  <c r="V52" i="8"/>
  <c r="T53" i="19"/>
  <c r="V53" i="19"/>
  <c r="Q53" i="19"/>
  <c r="R53" i="19"/>
  <c r="S53" i="19"/>
  <c r="U53" i="19"/>
  <c r="P54" i="19"/>
  <c r="AA51" i="8"/>
  <c r="AB51" i="8"/>
  <c r="Z52" i="9"/>
  <c r="X52" i="9"/>
  <c r="W52" i="9"/>
  <c r="AC53" i="9"/>
  <c r="Y53" i="9"/>
  <c r="AI51" i="12"/>
  <c r="AJ51" i="12"/>
  <c r="U54" i="6"/>
  <c r="S54" i="6"/>
  <c r="P55" i="6"/>
  <c r="T54" i="6"/>
  <c r="Q54" i="6"/>
  <c r="R54" i="6"/>
  <c r="AE50" i="19"/>
  <c r="AH50" i="19"/>
  <c r="AF50" i="19"/>
  <c r="T53" i="8"/>
  <c r="Q53" i="8"/>
  <c r="R53" i="8"/>
  <c r="U53" i="8"/>
  <c r="P54" i="8"/>
  <c r="S53" i="8"/>
  <c r="AC52" i="8"/>
  <c r="Y52" i="8"/>
  <c r="AB51" i="6"/>
  <c r="AA51" i="6"/>
  <c r="AD52" i="6"/>
  <c r="AG52" i="6"/>
  <c r="AH51" i="9"/>
  <c r="AF51" i="9"/>
  <c r="AE51" i="9"/>
  <c r="AI49" i="19"/>
  <c r="AJ49" i="19"/>
  <c r="S54" i="9"/>
  <c r="P55" i="9"/>
  <c r="T54" i="9"/>
  <c r="Q54" i="9"/>
  <c r="R54" i="9"/>
  <c r="U54" i="9"/>
  <c r="AG51" i="19"/>
  <c r="AD51" i="19"/>
  <c r="AB51" i="20"/>
  <c r="AA51" i="20"/>
  <c r="AI49" i="8"/>
  <c r="AJ49" i="8"/>
  <c r="AJ50" i="6"/>
  <c r="AI50" i="6"/>
  <c r="AG53" i="12"/>
  <c r="AD53" i="12"/>
  <c r="Z54" i="12"/>
  <c r="X54" i="12"/>
  <c r="W54" i="12"/>
  <c r="AG52" i="9"/>
  <c r="AD52" i="9"/>
  <c r="Z53" i="12"/>
  <c r="X53" i="12"/>
  <c r="W53" i="12"/>
  <c r="AC54" i="12"/>
  <c r="Y54" i="12"/>
  <c r="AG51" i="20"/>
  <c r="AD51" i="20"/>
  <c r="AC52" i="20"/>
  <c r="Y52" i="20"/>
  <c r="AA50" i="8"/>
  <c r="AB50" i="8"/>
  <c r="W52" i="19"/>
  <c r="Z52" i="19"/>
  <c r="X52" i="19"/>
  <c r="AB52" i="6"/>
  <c r="AA52" i="6"/>
  <c r="AI50" i="9"/>
  <c r="AJ50" i="9"/>
  <c r="AH50" i="8"/>
  <c r="AF50" i="8"/>
  <c r="AE50" i="8"/>
  <c r="AA51" i="19"/>
  <c r="AB51" i="19"/>
  <c r="AG51" i="8"/>
  <c r="AD51" i="8"/>
  <c r="AC52" i="19"/>
  <c r="Y52" i="19"/>
  <c r="AJ49" i="20"/>
  <c r="AI49" i="20"/>
  <c r="V53" i="9"/>
  <c r="AE50" i="20"/>
  <c r="AF50" i="20"/>
  <c r="AH50" i="20"/>
  <c r="AH52" i="12"/>
  <c r="AF52" i="12"/>
  <c r="AE52" i="12"/>
  <c r="Y53" i="6"/>
  <c r="AC53" i="6"/>
  <c r="V53" i="6"/>
  <c r="AE51" i="8"/>
  <c r="AH51" i="8"/>
  <c r="AF51" i="8"/>
  <c r="AB52" i="19"/>
  <c r="AA52" i="19"/>
  <c r="AA53" i="12"/>
  <c r="AB53" i="12"/>
  <c r="Z53" i="6"/>
  <c r="X53" i="6"/>
  <c r="W53" i="6"/>
  <c r="AJ50" i="8"/>
  <c r="AI50" i="8"/>
  <c r="AH51" i="20"/>
  <c r="AE51" i="20"/>
  <c r="AF51" i="20"/>
  <c r="AH53" i="12"/>
  <c r="AF53" i="12"/>
  <c r="AE53" i="12"/>
  <c r="AH51" i="19"/>
  <c r="AF51" i="19"/>
  <c r="AE51" i="19"/>
  <c r="V54" i="9"/>
  <c r="AJ50" i="19"/>
  <c r="AI50" i="19"/>
  <c r="S55" i="6"/>
  <c r="T55" i="6"/>
  <c r="Q55" i="6"/>
  <c r="R55" i="6"/>
  <c r="U55" i="6"/>
  <c r="P56" i="6"/>
  <c r="U54" i="19"/>
  <c r="T54" i="19"/>
  <c r="V54" i="19"/>
  <c r="Q54" i="19"/>
  <c r="R54" i="19"/>
  <c r="S54" i="19"/>
  <c r="P55" i="19"/>
  <c r="Z53" i="19"/>
  <c r="X53" i="19"/>
  <c r="W53" i="19"/>
  <c r="AJ50" i="20"/>
  <c r="AI50" i="20"/>
  <c r="AG53" i="6"/>
  <c r="AD53" i="6"/>
  <c r="AI52" i="12"/>
  <c r="AJ52" i="12"/>
  <c r="Z53" i="9"/>
  <c r="X53" i="9"/>
  <c r="W53" i="9"/>
  <c r="AD52" i="19"/>
  <c r="AG52" i="19"/>
  <c r="T55" i="9"/>
  <c r="Q55" i="9"/>
  <c r="R55" i="9"/>
  <c r="U55" i="9"/>
  <c r="P56" i="9"/>
  <c r="S55" i="9"/>
  <c r="AH52" i="6"/>
  <c r="AF52" i="6"/>
  <c r="AE52" i="6"/>
  <c r="AG52" i="8"/>
  <c r="AD52" i="8"/>
  <c r="AC54" i="6"/>
  <c r="Y54" i="6"/>
  <c r="AA52" i="9"/>
  <c r="AB52" i="9"/>
  <c r="Z52" i="8"/>
  <c r="X52" i="8"/>
  <c r="W52" i="8"/>
  <c r="Y53" i="20"/>
  <c r="AC53" i="20"/>
  <c r="V53" i="8"/>
  <c r="AG53" i="9"/>
  <c r="AD53" i="9"/>
  <c r="Y53" i="19"/>
  <c r="AC53" i="19"/>
  <c r="W52" i="20"/>
  <c r="Z52" i="20"/>
  <c r="X52" i="20"/>
  <c r="AI51" i="6"/>
  <c r="AJ51" i="6"/>
  <c r="V55" i="12"/>
  <c r="AC54" i="9"/>
  <c r="Y54" i="9"/>
  <c r="AC53" i="8"/>
  <c r="Y53" i="8"/>
  <c r="AD52" i="20"/>
  <c r="AG52" i="20"/>
  <c r="AG54" i="12"/>
  <c r="AD54" i="12"/>
  <c r="AH52" i="9"/>
  <c r="AF52" i="9"/>
  <c r="AE52" i="9"/>
  <c r="AA54" i="12"/>
  <c r="AB54" i="12"/>
  <c r="AI51" i="9"/>
  <c r="AJ51" i="9"/>
  <c r="T54" i="8"/>
  <c r="Q54" i="8"/>
  <c r="R54" i="8"/>
  <c r="U54" i="8"/>
  <c r="S54" i="8"/>
  <c r="P55" i="8"/>
  <c r="V54" i="6"/>
  <c r="U54" i="20"/>
  <c r="S54" i="20"/>
  <c r="T54" i="20"/>
  <c r="Q54" i="20"/>
  <c r="R54" i="20"/>
  <c r="P55" i="20"/>
  <c r="V53" i="20"/>
  <c r="T56" i="12"/>
  <c r="Q56" i="12"/>
  <c r="R56" i="12"/>
  <c r="U56" i="12"/>
  <c r="S56" i="12"/>
  <c r="P57" i="12"/>
  <c r="AC55" i="12"/>
  <c r="Y55" i="12"/>
  <c r="S55" i="20"/>
  <c r="T55" i="20"/>
  <c r="Q55" i="20"/>
  <c r="R55" i="20"/>
  <c r="U55" i="20"/>
  <c r="P56" i="20"/>
  <c r="W53" i="8"/>
  <c r="Z53" i="8"/>
  <c r="X53" i="8"/>
  <c r="AJ53" i="12"/>
  <c r="AI53" i="12"/>
  <c r="AJ52" i="9"/>
  <c r="AI52" i="9"/>
  <c r="AF52" i="20"/>
  <c r="AH52" i="20"/>
  <c r="AE52" i="20"/>
  <c r="AG54" i="9"/>
  <c r="AD54" i="9"/>
  <c r="AG53" i="20"/>
  <c r="AD53" i="20"/>
  <c r="AB52" i="8"/>
  <c r="AA52" i="8"/>
  <c r="AG54" i="6"/>
  <c r="AD54" i="6"/>
  <c r="AE52" i="19"/>
  <c r="AF52" i="19"/>
  <c r="AH52" i="19"/>
  <c r="AB53" i="19"/>
  <c r="AA53" i="19"/>
  <c r="W54" i="19"/>
  <c r="Z54" i="19"/>
  <c r="X54" i="19"/>
  <c r="T57" i="12"/>
  <c r="V57" i="12"/>
  <c r="Q57" i="12"/>
  <c r="R57" i="12"/>
  <c r="U57" i="12"/>
  <c r="S57" i="12"/>
  <c r="P58" i="12"/>
  <c r="V54" i="20"/>
  <c r="V54" i="8"/>
  <c r="AE54" i="12"/>
  <c r="AF54" i="12"/>
  <c r="AH54" i="12"/>
  <c r="Z55" i="12"/>
  <c r="X55" i="12"/>
  <c r="W55" i="12"/>
  <c r="AB52" i="20"/>
  <c r="AA52" i="20"/>
  <c r="AE53" i="9"/>
  <c r="AH53" i="9"/>
  <c r="AF53" i="9"/>
  <c r="AH52" i="8"/>
  <c r="AF52" i="8"/>
  <c r="AE52" i="8"/>
  <c r="AI52" i="6"/>
  <c r="AJ52" i="6"/>
  <c r="S55" i="19"/>
  <c r="T55" i="19"/>
  <c r="V55" i="19"/>
  <c r="Q55" i="19"/>
  <c r="R55" i="19"/>
  <c r="U55" i="19"/>
  <c r="P56" i="19"/>
  <c r="V55" i="6"/>
  <c r="Z54" i="9"/>
  <c r="X54" i="9"/>
  <c r="W54" i="9"/>
  <c r="AJ51" i="8"/>
  <c r="AI51" i="8"/>
  <c r="AG53" i="19"/>
  <c r="AD53" i="19"/>
  <c r="T56" i="9"/>
  <c r="V56" i="9"/>
  <c r="Q56" i="9"/>
  <c r="R56" i="9"/>
  <c r="U56" i="9"/>
  <c r="S56" i="9"/>
  <c r="P57" i="9"/>
  <c r="AA53" i="9"/>
  <c r="AB53" i="9"/>
  <c r="AA53" i="6"/>
  <c r="AB53" i="6"/>
  <c r="AG55" i="12"/>
  <c r="AD55" i="12"/>
  <c r="Z54" i="6"/>
  <c r="X54" i="6"/>
  <c r="W54" i="6"/>
  <c r="AJ51" i="19"/>
  <c r="AI51" i="19"/>
  <c r="V56" i="12"/>
  <c r="U55" i="8"/>
  <c r="S55" i="8"/>
  <c r="T55" i="8"/>
  <c r="V55" i="8"/>
  <c r="Q55" i="8"/>
  <c r="R55" i="8"/>
  <c r="P56" i="8"/>
  <c r="AC56" i="12"/>
  <c r="Y56" i="12"/>
  <c r="Z53" i="20"/>
  <c r="X53" i="20"/>
  <c r="W53" i="20"/>
  <c r="AC54" i="20"/>
  <c r="Y54" i="20"/>
  <c r="Y54" i="8"/>
  <c r="AC54" i="8"/>
  <c r="AD53" i="8"/>
  <c r="AG53" i="8"/>
  <c r="AC55" i="9"/>
  <c r="Y55" i="9"/>
  <c r="V55" i="9"/>
  <c r="AH53" i="6"/>
  <c r="AF53" i="6"/>
  <c r="AE53" i="6"/>
  <c r="AC54" i="19"/>
  <c r="Y54" i="19"/>
  <c r="U56" i="6"/>
  <c r="S56" i="6"/>
  <c r="T56" i="6"/>
  <c r="V56" i="6"/>
  <c r="Q56" i="6"/>
  <c r="R56" i="6"/>
  <c r="AC55" i="6"/>
  <c r="Y55" i="6"/>
  <c r="AI51" i="20"/>
  <c r="AJ51" i="20"/>
  <c r="U57" i="9"/>
  <c r="S57" i="9"/>
  <c r="T57" i="9"/>
  <c r="Q57" i="9"/>
  <c r="R57" i="9"/>
  <c r="P58" i="9"/>
  <c r="Z55" i="19"/>
  <c r="X55" i="19"/>
  <c r="W55" i="19"/>
  <c r="AJ53" i="9"/>
  <c r="AI53" i="9"/>
  <c r="AD54" i="19"/>
  <c r="AG54" i="19"/>
  <c r="AH53" i="8"/>
  <c r="AF53" i="8"/>
  <c r="AE53" i="8"/>
  <c r="AG54" i="20"/>
  <c r="AD54" i="20"/>
  <c r="AA54" i="6"/>
  <c r="AB54" i="6"/>
  <c r="AH53" i="19"/>
  <c r="AF53" i="19"/>
  <c r="AE53" i="19"/>
  <c r="U56" i="19"/>
  <c r="S56" i="19"/>
  <c r="T56" i="19"/>
  <c r="Q56" i="19"/>
  <c r="R56" i="19"/>
  <c r="P57" i="19"/>
  <c r="AE54" i="6"/>
  <c r="AH54" i="6"/>
  <c r="AF54" i="6"/>
  <c r="AH53" i="20"/>
  <c r="AF53" i="20"/>
  <c r="AE53" i="20"/>
  <c r="AB53" i="8"/>
  <c r="AA53" i="8"/>
  <c r="AC56" i="6"/>
  <c r="Y56" i="6"/>
  <c r="AG54" i="8"/>
  <c r="AD54" i="8"/>
  <c r="AI52" i="8"/>
  <c r="AJ52" i="8"/>
  <c r="AB55" i="12"/>
  <c r="AA55" i="12"/>
  <c r="Z54" i="8"/>
  <c r="X54" i="8"/>
  <c r="W54" i="8"/>
  <c r="AA54" i="19"/>
  <c r="AB54" i="19"/>
  <c r="AI52" i="19"/>
  <c r="AJ52" i="19"/>
  <c r="AI52" i="20"/>
  <c r="AJ52" i="20"/>
  <c r="V55" i="20"/>
  <c r="AJ53" i="6"/>
  <c r="AI53" i="6"/>
  <c r="AB53" i="20"/>
  <c r="AA53" i="20"/>
  <c r="W56" i="12"/>
  <c r="Z56" i="12"/>
  <c r="X56" i="12"/>
  <c r="Z56" i="9"/>
  <c r="X56" i="9"/>
  <c r="W56" i="9"/>
  <c r="Z55" i="6"/>
  <c r="X55" i="6"/>
  <c r="W55" i="6"/>
  <c r="U58" i="12"/>
  <c r="S58" i="12"/>
  <c r="T58" i="12"/>
  <c r="Q58" i="12"/>
  <c r="R58" i="12"/>
  <c r="P59" i="12"/>
  <c r="Z57" i="12"/>
  <c r="X57" i="12"/>
  <c r="W57" i="12"/>
  <c r="Z56" i="6"/>
  <c r="X56" i="6"/>
  <c r="W56" i="6"/>
  <c r="W55" i="9"/>
  <c r="Z55" i="9"/>
  <c r="X55" i="9"/>
  <c r="Z55" i="8"/>
  <c r="X55" i="8"/>
  <c r="W55" i="8"/>
  <c r="Y56" i="9"/>
  <c r="AC56" i="9"/>
  <c r="Y55" i="19"/>
  <c r="AC55" i="19"/>
  <c r="Y57" i="12"/>
  <c r="AC57" i="12"/>
  <c r="AD56" i="12"/>
  <c r="AG56" i="12"/>
  <c r="AC55" i="8"/>
  <c r="Y55" i="8"/>
  <c r="AH55" i="12"/>
  <c r="AF55" i="12"/>
  <c r="AE55" i="12"/>
  <c r="AG55" i="6"/>
  <c r="AD55" i="6"/>
  <c r="AD55" i="9"/>
  <c r="AG55" i="9"/>
  <c r="S56" i="8"/>
  <c r="T56" i="8"/>
  <c r="V56" i="8"/>
  <c r="Q56" i="8"/>
  <c r="R56" i="8"/>
  <c r="U56" i="8"/>
  <c r="P57" i="8"/>
  <c r="AB54" i="9"/>
  <c r="AA54" i="9"/>
  <c r="AJ54" i="12"/>
  <c r="AI54" i="12"/>
  <c r="Z54" i="20"/>
  <c r="X54" i="20"/>
  <c r="W54" i="20"/>
  <c r="AH54" i="9"/>
  <c r="AF54" i="9"/>
  <c r="AE54" i="9"/>
  <c r="T56" i="20"/>
  <c r="Q56" i="20"/>
  <c r="R56" i="20"/>
  <c r="U56" i="20"/>
  <c r="S56" i="20"/>
  <c r="P57" i="20"/>
  <c r="AC55" i="20"/>
  <c r="Y55" i="20"/>
  <c r="AA54" i="20"/>
  <c r="AB54" i="20"/>
  <c r="AG55" i="20"/>
  <c r="AD55" i="20"/>
  <c r="AI54" i="9"/>
  <c r="AJ54" i="9"/>
  <c r="AC56" i="8"/>
  <c r="Y56" i="8"/>
  <c r="T57" i="20"/>
  <c r="Q57" i="20"/>
  <c r="R57" i="20"/>
  <c r="U57" i="20"/>
  <c r="S57" i="20"/>
  <c r="P58" i="20"/>
  <c r="V56" i="20"/>
  <c r="AG55" i="8"/>
  <c r="AD55" i="8"/>
  <c r="AA57" i="12"/>
  <c r="AB57" i="12"/>
  <c r="AC58" i="12"/>
  <c r="Y58" i="12"/>
  <c r="AB55" i="6"/>
  <c r="AA55" i="6"/>
  <c r="AA54" i="8"/>
  <c r="AB54" i="8"/>
  <c r="AG56" i="6"/>
  <c r="AD56" i="6"/>
  <c r="AC56" i="19"/>
  <c r="Y56" i="19"/>
  <c r="AI53" i="19"/>
  <c r="AJ53" i="19"/>
  <c r="AG55" i="19"/>
  <c r="AD55" i="19"/>
  <c r="AB55" i="9"/>
  <c r="AA55" i="9"/>
  <c r="AA56" i="6"/>
  <c r="AB56" i="6"/>
  <c r="S59" i="12"/>
  <c r="T59" i="12"/>
  <c r="Q59" i="12"/>
  <c r="R59" i="12"/>
  <c r="U59" i="12"/>
  <c r="P60" i="12"/>
  <c r="AB56" i="12"/>
  <c r="AA56" i="12"/>
  <c r="AH54" i="8"/>
  <c r="AF54" i="8"/>
  <c r="AE54" i="8"/>
  <c r="AI53" i="20"/>
  <c r="AJ53" i="20"/>
  <c r="T57" i="19"/>
  <c r="Q57" i="19"/>
  <c r="R57" i="19"/>
  <c r="S57" i="19"/>
  <c r="U57" i="19"/>
  <c r="P58" i="19"/>
  <c r="AE54" i="19"/>
  <c r="AH54" i="19"/>
  <c r="AF54" i="19"/>
  <c r="V57" i="9"/>
  <c r="AC56" i="20"/>
  <c r="Y56" i="20"/>
  <c r="Z56" i="8"/>
  <c r="X56" i="8"/>
  <c r="W56" i="8"/>
  <c r="AH55" i="6"/>
  <c r="AF55" i="6"/>
  <c r="AE55" i="6"/>
  <c r="AI55" i="12"/>
  <c r="AJ55" i="12"/>
  <c r="AH56" i="12"/>
  <c r="AF56" i="12"/>
  <c r="AE56" i="12"/>
  <c r="AA55" i="19"/>
  <c r="AB55" i="19"/>
  <c r="AC57" i="9"/>
  <c r="Y57" i="9"/>
  <c r="AH55" i="9"/>
  <c r="AF55" i="9"/>
  <c r="AE55" i="9"/>
  <c r="T57" i="8"/>
  <c r="Q57" i="8"/>
  <c r="R57" i="8"/>
  <c r="U57" i="8"/>
  <c r="P58" i="8"/>
  <c r="S57" i="8"/>
  <c r="AG57" i="12"/>
  <c r="AD57" i="12"/>
  <c r="AG56" i="9"/>
  <c r="AD56" i="9"/>
  <c r="AA55" i="8"/>
  <c r="AB55" i="8"/>
  <c r="V58" i="12"/>
  <c r="AA56" i="9"/>
  <c r="AB56" i="9"/>
  <c r="Z55" i="20"/>
  <c r="X55" i="20"/>
  <c r="W55" i="20"/>
  <c r="AJ54" i="6"/>
  <c r="AI54" i="6"/>
  <c r="V56" i="19"/>
  <c r="AE54" i="20"/>
  <c r="AH54" i="20"/>
  <c r="AF54" i="20"/>
  <c r="AI53" i="8"/>
  <c r="AJ53" i="8"/>
  <c r="S58" i="9"/>
  <c r="P59" i="9"/>
  <c r="T58" i="9"/>
  <c r="Q58" i="9"/>
  <c r="R58" i="9"/>
  <c r="U58" i="9"/>
  <c r="AH57" i="12"/>
  <c r="AF57" i="12"/>
  <c r="AE57" i="12"/>
  <c r="AJ54" i="8"/>
  <c r="AI54" i="8"/>
  <c r="AH55" i="19"/>
  <c r="AF55" i="19"/>
  <c r="AE55" i="19"/>
  <c r="AE55" i="8"/>
  <c r="AH55" i="8"/>
  <c r="AF55" i="8"/>
  <c r="Y57" i="20"/>
  <c r="AC57" i="20"/>
  <c r="AH55" i="20"/>
  <c r="AF55" i="20"/>
  <c r="AE55" i="20"/>
  <c r="Y57" i="19"/>
  <c r="AC57" i="19"/>
  <c r="AD56" i="19"/>
  <c r="AG56" i="19"/>
  <c r="AG58" i="12"/>
  <c r="AD58" i="12"/>
  <c r="AG56" i="8"/>
  <c r="AD56" i="8"/>
  <c r="AJ54" i="20"/>
  <c r="AI54" i="20"/>
  <c r="AI55" i="9"/>
  <c r="AJ55" i="9"/>
  <c r="AH56" i="9"/>
  <c r="AF56" i="9"/>
  <c r="AE56" i="9"/>
  <c r="AC57" i="8"/>
  <c r="Y57" i="8"/>
  <c r="V57" i="8"/>
  <c r="AD56" i="20"/>
  <c r="AG56" i="20"/>
  <c r="V59" i="12"/>
  <c r="AE56" i="6"/>
  <c r="AH56" i="6"/>
  <c r="AF56" i="6"/>
  <c r="W56" i="20"/>
  <c r="X56" i="20"/>
  <c r="Z56" i="20"/>
  <c r="T59" i="9"/>
  <c r="Q59" i="9"/>
  <c r="R59" i="9"/>
  <c r="U59" i="9"/>
  <c r="P60" i="9"/>
  <c r="S59" i="9"/>
  <c r="AB55" i="20"/>
  <c r="AA55" i="20"/>
  <c r="AI56" i="12"/>
  <c r="AJ56" i="12"/>
  <c r="AB56" i="8"/>
  <c r="AA56" i="8"/>
  <c r="AC58" i="9"/>
  <c r="Y58" i="9"/>
  <c r="AI55" i="6"/>
  <c r="AJ55" i="6"/>
  <c r="AJ54" i="19"/>
  <c r="AI54" i="19"/>
  <c r="V58" i="9"/>
  <c r="W56" i="19"/>
  <c r="Z56" i="19"/>
  <c r="X56" i="19"/>
  <c r="Z58" i="12"/>
  <c r="X58" i="12"/>
  <c r="W58" i="12"/>
  <c r="T58" i="8"/>
  <c r="Q58" i="8"/>
  <c r="R58" i="8"/>
  <c r="U58" i="8"/>
  <c r="S58" i="8"/>
  <c r="P59" i="8"/>
  <c r="AG57" i="9"/>
  <c r="AD57" i="9"/>
  <c r="Z57" i="9"/>
  <c r="X57" i="9"/>
  <c r="W57" i="9"/>
  <c r="U58" i="19"/>
  <c r="T58" i="19"/>
  <c r="Q58" i="19"/>
  <c r="R58" i="19"/>
  <c r="S58" i="19"/>
  <c r="P59" i="19"/>
  <c r="V57" i="19"/>
  <c r="T60" i="12"/>
  <c r="Q60" i="12"/>
  <c r="R60" i="12"/>
  <c r="U60" i="12"/>
  <c r="S60" i="12"/>
  <c r="P61" i="12"/>
  <c r="AC59" i="12"/>
  <c r="Y59" i="12"/>
  <c r="S58" i="20"/>
  <c r="T58" i="20"/>
  <c r="U58" i="20"/>
  <c r="Q58" i="20"/>
  <c r="R58" i="20"/>
  <c r="P59" i="20"/>
  <c r="V57" i="20"/>
  <c r="AG59" i="12"/>
  <c r="AD59" i="12"/>
  <c r="Z57" i="20"/>
  <c r="X57" i="20"/>
  <c r="W57" i="20"/>
  <c r="V60" i="12"/>
  <c r="U59" i="8"/>
  <c r="S59" i="8"/>
  <c r="T59" i="8"/>
  <c r="Q59" i="8"/>
  <c r="R59" i="8"/>
  <c r="P60" i="8"/>
  <c r="V58" i="8"/>
  <c r="AC59" i="9"/>
  <c r="Y59" i="9"/>
  <c r="V59" i="9"/>
  <c r="AD57" i="8"/>
  <c r="AG57" i="8"/>
  <c r="AH56" i="8"/>
  <c r="AF56" i="8"/>
  <c r="AE56" i="8"/>
  <c r="V58" i="20"/>
  <c r="T61" i="12"/>
  <c r="Q61" i="12"/>
  <c r="R61" i="12"/>
  <c r="U61" i="12"/>
  <c r="S61" i="12"/>
  <c r="P62" i="12"/>
  <c r="U59" i="20"/>
  <c r="S59" i="20"/>
  <c r="T59" i="20"/>
  <c r="Q59" i="20"/>
  <c r="R59" i="20"/>
  <c r="P60" i="20"/>
  <c r="AC58" i="20"/>
  <c r="Y58" i="20"/>
  <c r="AC60" i="12"/>
  <c r="Y60" i="12"/>
  <c r="Z57" i="19"/>
  <c r="X57" i="19"/>
  <c r="W57" i="19"/>
  <c r="V58" i="19"/>
  <c r="AA57" i="9"/>
  <c r="AB57" i="9"/>
  <c r="Y58" i="8"/>
  <c r="AC58" i="8"/>
  <c r="AB56" i="19"/>
  <c r="AA56" i="19"/>
  <c r="AG58" i="9"/>
  <c r="AD58" i="9"/>
  <c r="T60" i="9"/>
  <c r="V60" i="9"/>
  <c r="Q60" i="9"/>
  <c r="R60" i="9"/>
  <c r="U60" i="9"/>
  <c r="S60" i="9"/>
  <c r="P61" i="9"/>
  <c r="AB56" i="20"/>
  <c r="AA56" i="20"/>
  <c r="AJ56" i="6"/>
  <c r="AI56" i="6"/>
  <c r="AH56" i="20"/>
  <c r="AF56" i="20"/>
  <c r="AE56" i="20"/>
  <c r="AE56" i="19"/>
  <c r="AH56" i="19"/>
  <c r="AF56" i="19"/>
  <c r="S59" i="19"/>
  <c r="T59" i="19"/>
  <c r="V59" i="19"/>
  <c r="Q59" i="19"/>
  <c r="R59" i="19"/>
  <c r="U59" i="19"/>
  <c r="P60" i="19"/>
  <c r="AE57" i="9"/>
  <c r="AH57" i="9"/>
  <c r="AF57" i="9"/>
  <c r="W57" i="8"/>
  <c r="Z57" i="8"/>
  <c r="X57" i="8"/>
  <c r="AE58" i="12"/>
  <c r="AH58" i="12"/>
  <c r="AF58" i="12"/>
  <c r="AG57" i="19"/>
  <c r="AD57" i="19"/>
  <c r="AI55" i="20"/>
  <c r="AJ55" i="20"/>
  <c r="AJ55" i="8"/>
  <c r="AI55" i="8"/>
  <c r="AJ55" i="19"/>
  <c r="AI55" i="19"/>
  <c r="AC58" i="19"/>
  <c r="Y58" i="19"/>
  <c r="AA58" i="12"/>
  <c r="AB58" i="12"/>
  <c r="Z58" i="9"/>
  <c r="X58" i="9"/>
  <c r="W58" i="9"/>
  <c r="Z59" i="12"/>
  <c r="X59" i="12"/>
  <c r="W59" i="12"/>
  <c r="AJ56" i="9"/>
  <c r="AI56" i="9"/>
  <c r="AG57" i="20"/>
  <c r="AD57" i="20"/>
  <c r="AJ57" i="12"/>
  <c r="AI57" i="12"/>
  <c r="Z58" i="8"/>
  <c r="X58" i="8"/>
  <c r="W58" i="8"/>
  <c r="Y59" i="19"/>
  <c r="AC59" i="19"/>
  <c r="AH58" i="9"/>
  <c r="AF58" i="9"/>
  <c r="AE58" i="9"/>
  <c r="W59" i="9"/>
  <c r="Z59" i="9"/>
  <c r="X59" i="9"/>
  <c r="S60" i="8"/>
  <c r="T60" i="8"/>
  <c r="Q60" i="8"/>
  <c r="R60" i="8"/>
  <c r="U60" i="8"/>
  <c r="P61" i="8"/>
  <c r="AA57" i="20"/>
  <c r="AB57" i="20"/>
  <c r="AB57" i="8"/>
  <c r="AA57" i="8"/>
  <c r="U61" i="9"/>
  <c r="S61" i="9"/>
  <c r="T61" i="9"/>
  <c r="V61" i="9"/>
  <c r="Q61" i="9"/>
  <c r="R61" i="9"/>
  <c r="P62" i="9"/>
  <c r="AC59" i="20"/>
  <c r="Y59" i="20"/>
  <c r="AH57" i="8"/>
  <c r="AF57" i="8"/>
  <c r="AE57" i="8"/>
  <c r="V61" i="12"/>
  <c r="AI56" i="8"/>
  <c r="AJ56" i="8"/>
  <c r="W60" i="12"/>
  <c r="Z60" i="12"/>
  <c r="X60" i="12"/>
  <c r="AH59" i="12"/>
  <c r="AF59" i="12"/>
  <c r="AE59" i="12"/>
  <c r="AB59" i="12"/>
  <c r="AA59" i="12"/>
  <c r="Z59" i="19"/>
  <c r="X59" i="19"/>
  <c r="W59" i="19"/>
  <c r="Z60" i="9"/>
  <c r="X60" i="9"/>
  <c r="W60" i="9"/>
  <c r="AB57" i="19"/>
  <c r="AA57" i="19"/>
  <c r="AG58" i="20"/>
  <c r="AD58" i="20"/>
  <c r="AC59" i="8"/>
  <c r="Y59" i="8"/>
  <c r="AJ58" i="12"/>
  <c r="AI58" i="12"/>
  <c r="U60" i="19"/>
  <c r="S60" i="19"/>
  <c r="T60" i="19"/>
  <c r="Q60" i="19"/>
  <c r="R60" i="19"/>
  <c r="P61" i="19"/>
  <c r="Y60" i="9"/>
  <c r="AC60" i="9"/>
  <c r="AG58" i="8"/>
  <c r="AD58" i="8"/>
  <c r="W58" i="19"/>
  <c r="Z58" i="19"/>
  <c r="X58" i="19"/>
  <c r="T60" i="20"/>
  <c r="V60" i="20"/>
  <c r="Q60" i="20"/>
  <c r="R60" i="20"/>
  <c r="U60" i="20"/>
  <c r="S60" i="20"/>
  <c r="P61" i="20"/>
  <c r="AH57" i="20"/>
  <c r="AF57" i="20"/>
  <c r="AE57" i="20"/>
  <c r="AH57" i="19"/>
  <c r="AF57" i="19"/>
  <c r="AE57" i="19"/>
  <c r="AD60" i="12"/>
  <c r="AG60" i="12"/>
  <c r="U62" i="12"/>
  <c r="S62" i="12"/>
  <c r="T62" i="12"/>
  <c r="V62" i="12"/>
  <c r="Q62" i="12"/>
  <c r="R62" i="12"/>
  <c r="P63" i="12"/>
  <c r="AB58" i="9"/>
  <c r="AA58" i="9"/>
  <c r="AD58" i="19"/>
  <c r="AG58" i="19"/>
  <c r="AJ57" i="9"/>
  <c r="AI57" i="9"/>
  <c r="AI56" i="19"/>
  <c r="AJ56" i="19"/>
  <c r="AI56" i="20"/>
  <c r="AJ56" i="20"/>
  <c r="V59" i="20"/>
  <c r="Y61" i="12"/>
  <c r="AC61" i="12"/>
  <c r="Z58" i="20"/>
  <c r="X58" i="20"/>
  <c r="W58" i="20"/>
  <c r="AD59" i="9"/>
  <c r="AG59" i="9"/>
  <c r="V59" i="8"/>
  <c r="AG59" i="8"/>
  <c r="AD59" i="8"/>
  <c r="AI57" i="8"/>
  <c r="AJ57" i="8"/>
  <c r="T61" i="8"/>
  <c r="Q61" i="8"/>
  <c r="R61" i="8"/>
  <c r="U61" i="8"/>
  <c r="P62" i="8"/>
  <c r="S61" i="8"/>
  <c r="AC60" i="8"/>
  <c r="Y60" i="8"/>
  <c r="AE58" i="19"/>
  <c r="AH58" i="19"/>
  <c r="AF58" i="19"/>
  <c r="T61" i="20"/>
  <c r="V61" i="20"/>
  <c r="Q61" i="20"/>
  <c r="R61" i="20"/>
  <c r="U61" i="20"/>
  <c r="S61" i="20"/>
  <c r="P62" i="20"/>
  <c r="T61" i="19"/>
  <c r="Q61" i="19"/>
  <c r="R61" i="19"/>
  <c r="S61" i="19"/>
  <c r="U61" i="19"/>
  <c r="P62" i="19"/>
  <c r="Z61" i="12"/>
  <c r="X61" i="12"/>
  <c r="W61" i="12"/>
  <c r="Z59" i="8"/>
  <c r="X59" i="8"/>
  <c r="W59" i="8"/>
  <c r="W59" i="20"/>
  <c r="X59" i="20"/>
  <c r="Z59" i="20"/>
  <c r="X60" i="20"/>
  <c r="Z60" i="20"/>
  <c r="W60" i="20"/>
  <c r="Z62" i="12"/>
  <c r="X62" i="12"/>
  <c r="W62" i="12"/>
  <c r="AH60" i="12"/>
  <c r="AF60" i="12"/>
  <c r="AE60" i="12"/>
  <c r="AF58" i="20"/>
  <c r="AH58" i="20"/>
  <c r="AE58" i="20"/>
  <c r="Z61" i="9"/>
  <c r="X61" i="9"/>
  <c r="W61" i="9"/>
  <c r="AH59" i="9"/>
  <c r="AF59" i="9"/>
  <c r="AE59" i="9"/>
  <c r="AG61" i="12"/>
  <c r="AD61" i="12"/>
  <c r="AC62" i="12"/>
  <c r="Y62" i="12"/>
  <c r="AA58" i="19"/>
  <c r="AB58" i="19"/>
  <c r="AG60" i="9"/>
  <c r="AD60" i="9"/>
  <c r="V60" i="19"/>
  <c r="AA59" i="19"/>
  <c r="AB59" i="19"/>
  <c r="AD59" i="20"/>
  <c r="AG59" i="20"/>
  <c r="AC61" i="9"/>
  <c r="Y61" i="9"/>
  <c r="AB59" i="9"/>
  <c r="AA59" i="9"/>
  <c r="AI58" i="9"/>
  <c r="AJ58" i="9"/>
  <c r="AI57" i="19"/>
  <c r="AJ57" i="19"/>
  <c r="AH58" i="8"/>
  <c r="AF58" i="8"/>
  <c r="AE58" i="8"/>
  <c r="AA58" i="20"/>
  <c r="AB58" i="20"/>
  <c r="Y60" i="20"/>
  <c r="AC60" i="20"/>
  <c r="AB60" i="12"/>
  <c r="AA60" i="12"/>
  <c r="S63" i="12"/>
  <c r="T63" i="12"/>
  <c r="V63" i="12"/>
  <c r="Q63" i="12"/>
  <c r="R63" i="12"/>
  <c r="U63" i="12"/>
  <c r="P64" i="12"/>
  <c r="AJ57" i="20"/>
  <c r="AI57" i="20"/>
  <c r="AC60" i="19"/>
  <c r="Y60" i="19"/>
  <c r="AA60" i="9"/>
  <c r="AB60" i="9"/>
  <c r="AI59" i="12"/>
  <c r="AJ59" i="12"/>
  <c r="S62" i="9"/>
  <c r="P63" i="9"/>
  <c r="T62" i="9"/>
  <c r="Q62" i="9"/>
  <c r="R62" i="9"/>
  <c r="U62" i="9"/>
  <c r="V60" i="8"/>
  <c r="AG59" i="19"/>
  <c r="AD59" i="19"/>
  <c r="AA58" i="8"/>
  <c r="AB58" i="8"/>
  <c r="Z60" i="8"/>
  <c r="X60" i="8"/>
  <c r="W60" i="8"/>
  <c r="T63" i="9"/>
  <c r="Q63" i="9"/>
  <c r="R63" i="9"/>
  <c r="U63" i="9"/>
  <c r="P64" i="9"/>
  <c r="S63" i="9"/>
  <c r="W60" i="19"/>
  <c r="Z60" i="19"/>
  <c r="X60" i="19"/>
  <c r="AJ58" i="20"/>
  <c r="AI58" i="20"/>
  <c r="AI60" i="12"/>
  <c r="AJ60" i="12"/>
  <c r="AA59" i="8"/>
  <c r="AB59" i="8"/>
  <c r="U62" i="19"/>
  <c r="T62" i="19"/>
  <c r="Q62" i="19"/>
  <c r="R62" i="19"/>
  <c r="S62" i="19"/>
  <c r="P63" i="19"/>
  <c r="V61" i="19"/>
  <c r="T62" i="8"/>
  <c r="Q62" i="8"/>
  <c r="R62" i="8"/>
  <c r="U62" i="8"/>
  <c r="S62" i="8"/>
  <c r="P63" i="8"/>
  <c r="AC62" i="9"/>
  <c r="Y62" i="9"/>
  <c r="AG60" i="20"/>
  <c r="AD60" i="20"/>
  <c r="AF59" i="20"/>
  <c r="AH59" i="20"/>
  <c r="AE59" i="20"/>
  <c r="AB60" i="20"/>
  <c r="AA60" i="20"/>
  <c r="U62" i="20"/>
  <c r="S62" i="20"/>
  <c r="T62" i="20"/>
  <c r="Q62" i="20"/>
  <c r="R62" i="20"/>
  <c r="P63" i="20"/>
  <c r="W61" i="20"/>
  <c r="Z61" i="20"/>
  <c r="X61" i="20"/>
  <c r="Z63" i="12"/>
  <c r="X63" i="12"/>
  <c r="W63" i="12"/>
  <c r="AH60" i="9"/>
  <c r="AF60" i="9"/>
  <c r="AE60" i="9"/>
  <c r="AH59" i="19"/>
  <c r="AF59" i="19"/>
  <c r="AE59" i="19"/>
  <c r="T64" i="12"/>
  <c r="Q64" i="12"/>
  <c r="R64" i="12"/>
  <c r="U64" i="12"/>
  <c r="S64" i="12"/>
  <c r="P65" i="12"/>
  <c r="AC63" i="12"/>
  <c r="Y63" i="12"/>
  <c r="AG62" i="12"/>
  <c r="AD62" i="12"/>
  <c r="AA61" i="9"/>
  <c r="AB61" i="9"/>
  <c r="Y61" i="19"/>
  <c r="AC61" i="19"/>
  <c r="Y61" i="20"/>
  <c r="AC61" i="20"/>
  <c r="AG60" i="8"/>
  <c r="AD60" i="8"/>
  <c r="AE59" i="8"/>
  <c r="AH59" i="8"/>
  <c r="AF59" i="8"/>
  <c r="V62" i="9"/>
  <c r="AD60" i="19"/>
  <c r="AG60" i="19"/>
  <c r="AJ58" i="8"/>
  <c r="AI58" i="8"/>
  <c r="AG61" i="9"/>
  <c r="AD61" i="9"/>
  <c r="AH61" i="12"/>
  <c r="AF61" i="12"/>
  <c r="AE61" i="12"/>
  <c r="AI59" i="9"/>
  <c r="AJ59" i="9"/>
  <c r="AA62" i="12"/>
  <c r="AB62" i="12"/>
  <c r="AB59" i="20"/>
  <c r="AA59" i="20"/>
  <c r="AA61" i="12"/>
  <c r="AB61" i="12"/>
  <c r="AJ58" i="19"/>
  <c r="AI58" i="19"/>
  <c r="AC61" i="8"/>
  <c r="Y61" i="8"/>
  <c r="V61" i="8"/>
  <c r="AJ59" i="8"/>
  <c r="AI59" i="8"/>
  <c r="AG63" i="12"/>
  <c r="AD63" i="12"/>
  <c r="AJ59" i="19"/>
  <c r="AI59" i="19"/>
  <c r="AA61" i="20"/>
  <c r="AB61" i="20"/>
  <c r="V62" i="20"/>
  <c r="AH60" i="20"/>
  <c r="AF60" i="20"/>
  <c r="AE60" i="20"/>
  <c r="U63" i="8"/>
  <c r="S63" i="8"/>
  <c r="T63" i="8"/>
  <c r="V63" i="8"/>
  <c r="Q63" i="8"/>
  <c r="R63" i="8"/>
  <c r="P64" i="8"/>
  <c r="V62" i="8"/>
  <c r="AC63" i="9"/>
  <c r="Y63" i="9"/>
  <c r="V63" i="9"/>
  <c r="AJ61" i="12"/>
  <c r="AI61" i="12"/>
  <c r="W61" i="8"/>
  <c r="Z61" i="8"/>
  <c r="X61" i="8"/>
  <c r="AD61" i="20"/>
  <c r="AG61" i="20"/>
  <c r="AE60" i="19"/>
  <c r="AF60" i="19"/>
  <c r="AH60" i="19"/>
  <c r="AD61" i="8"/>
  <c r="AG61" i="8"/>
  <c r="Z62" i="9"/>
  <c r="X62" i="9"/>
  <c r="W62" i="9"/>
  <c r="AH60" i="8"/>
  <c r="AF60" i="8"/>
  <c r="AE60" i="8"/>
  <c r="AG61" i="19"/>
  <c r="AD61" i="19"/>
  <c r="AE62" i="12"/>
  <c r="AF62" i="12"/>
  <c r="AH62" i="12"/>
  <c r="T65" i="12"/>
  <c r="Q65" i="12"/>
  <c r="R65" i="12"/>
  <c r="U65" i="12"/>
  <c r="S65" i="12"/>
  <c r="P66" i="12"/>
  <c r="V64" i="12"/>
  <c r="AC62" i="20"/>
  <c r="Y62" i="20"/>
  <c r="Y62" i="8"/>
  <c r="AC62" i="8"/>
  <c r="Z61" i="19"/>
  <c r="X61" i="19"/>
  <c r="W61" i="19"/>
  <c r="V62" i="19"/>
  <c r="T64" i="9"/>
  <c r="V64" i="9"/>
  <c r="Q64" i="9"/>
  <c r="R64" i="9"/>
  <c r="U64" i="9"/>
  <c r="S64" i="9"/>
  <c r="P65" i="9"/>
  <c r="AC64" i="12"/>
  <c r="Y64" i="12"/>
  <c r="AB63" i="12"/>
  <c r="AA63" i="12"/>
  <c r="S63" i="20"/>
  <c r="T63" i="20"/>
  <c r="Q63" i="20"/>
  <c r="R63" i="20"/>
  <c r="U63" i="20"/>
  <c r="P64" i="20"/>
  <c r="AI59" i="20"/>
  <c r="AJ59" i="20"/>
  <c r="S63" i="19"/>
  <c r="T63" i="19"/>
  <c r="Q63" i="19"/>
  <c r="R63" i="19"/>
  <c r="U63" i="19"/>
  <c r="P64" i="19"/>
  <c r="AB60" i="19"/>
  <c r="AA60" i="19"/>
  <c r="AE61" i="9"/>
  <c r="AH61" i="9"/>
  <c r="AF61" i="9"/>
  <c r="AJ60" i="9"/>
  <c r="AI60" i="9"/>
  <c r="AG62" i="9"/>
  <c r="AD62" i="9"/>
  <c r="AC62" i="19"/>
  <c r="Y62" i="19"/>
  <c r="AB60" i="8"/>
  <c r="AA60" i="8"/>
  <c r="Y63" i="19"/>
  <c r="AC63" i="19"/>
  <c r="AH62" i="9"/>
  <c r="AF62" i="9"/>
  <c r="AE62" i="9"/>
  <c r="V63" i="19"/>
  <c r="T64" i="20"/>
  <c r="V64" i="20"/>
  <c r="Q64" i="20"/>
  <c r="R64" i="20"/>
  <c r="S64" i="20"/>
  <c r="U64" i="20"/>
  <c r="P65" i="20"/>
  <c r="AC63" i="20"/>
  <c r="Y63" i="20"/>
  <c r="AD64" i="12"/>
  <c r="AG64" i="12"/>
  <c r="Y65" i="12"/>
  <c r="AC65" i="12"/>
  <c r="AJ62" i="12"/>
  <c r="AI62" i="12"/>
  <c r="AH61" i="8"/>
  <c r="AF61" i="8"/>
  <c r="AE61" i="8"/>
  <c r="AH63" i="12"/>
  <c r="AF63" i="12"/>
  <c r="AE63" i="12"/>
  <c r="U65" i="9"/>
  <c r="S65" i="9"/>
  <c r="T65" i="9"/>
  <c r="V65" i="9"/>
  <c r="Q65" i="9"/>
  <c r="R65" i="9"/>
  <c r="P66" i="9"/>
  <c r="Z64" i="9"/>
  <c r="X64" i="9"/>
  <c r="W64" i="9"/>
  <c r="AB61" i="19"/>
  <c r="AA61" i="19"/>
  <c r="AG62" i="20"/>
  <c r="AD62" i="20"/>
  <c r="AI60" i="19"/>
  <c r="AJ60" i="19"/>
  <c r="AH61" i="20"/>
  <c r="AF61" i="20"/>
  <c r="AE61" i="20"/>
  <c r="AD63" i="9"/>
  <c r="AG63" i="9"/>
  <c r="Z63" i="8"/>
  <c r="X63" i="8"/>
  <c r="W63" i="8"/>
  <c r="Y64" i="9"/>
  <c r="AC64" i="9"/>
  <c r="W62" i="19"/>
  <c r="Z62" i="19"/>
  <c r="X62" i="19"/>
  <c r="AG62" i="8"/>
  <c r="AD62" i="8"/>
  <c r="W64" i="12"/>
  <c r="Z64" i="12"/>
  <c r="X64" i="12"/>
  <c r="AB62" i="9"/>
  <c r="AA62" i="9"/>
  <c r="Z62" i="8"/>
  <c r="X62" i="8"/>
  <c r="W62" i="8"/>
  <c r="AC63" i="8"/>
  <c r="Y63" i="8"/>
  <c r="AI60" i="20"/>
  <c r="AJ60" i="20"/>
  <c r="AJ61" i="9"/>
  <c r="AI61" i="9"/>
  <c r="AD62" i="19"/>
  <c r="AG62" i="19"/>
  <c r="V63" i="20"/>
  <c r="U66" i="12"/>
  <c r="S66" i="12"/>
  <c r="T66" i="12"/>
  <c r="Q66" i="12"/>
  <c r="R66" i="12"/>
  <c r="P67" i="12"/>
  <c r="V65" i="12"/>
  <c r="AH61" i="19"/>
  <c r="AF61" i="19"/>
  <c r="AE61" i="19"/>
  <c r="AI60" i="8"/>
  <c r="AJ60" i="8"/>
  <c r="AB61" i="8"/>
  <c r="AA61" i="8"/>
  <c r="W63" i="9"/>
  <c r="Z63" i="9"/>
  <c r="X63" i="9"/>
  <c r="S64" i="8"/>
  <c r="T64" i="8"/>
  <c r="Q64" i="8"/>
  <c r="R64" i="8"/>
  <c r="U64" i="8"/>
  <c r="P65" i="8"/>
  <c r="Z62" i="20"/>
  <c r="X62" i="20"/>
  <c r="W62" i="20"/>
  <c r="AA62" i="8"/>
  <c r="AB62" i="8"/>
  <c r="AB64" i="12"/>
  <c r="AA64" i="12"/>
  <c r="AJ61" i="20"/>
  <c r="AI61" i="20"/>
  <c r="Z65" i="9"/>
  <c r="X65" i="9"/>
  <c r="W65" i="9"/>
  <c r="AI61" i="8"/>
  <c r="AJ61" i="8"/>
  <c r="AG63" i="20"/>
  <c r="AD63" i="20"/>
  <c r="AC64" i="8"/>
  <c r="Y64" i="8"/>
  <c r="S67" i="12"/>
  <c r="T67" i="12"/>
  <c r="Q67" i="12"/>
  <c r="R67" i="12"/>
  <c r="U67" i="12"/>
  <c r="P68" i="12"/>
  <c r="AG63" i="8"/>
  <c r="AD63" i="8"/>
  <c r="AA62" i="19"/>
  <c r="AB62" i="19"/>
  <c r="AH63" i="9"/>
  <c r="AF63" i="9"/>
  <c r="AE63" i="9"/>
  <c r="AA64" i="9"/>
  <c r="AB64" i="9"/>
  <c r="AC65" i="9"/>
  <c r="Y65" i="9"/>
  <c r="AI63" i="12"/>
  <c r="AJ63" i="12"/>
  <c r="T65" i="20"/>
  <c r="Q65" i="20"/>
  <c r="R65" i="20"/>
  <c r="U65" i="20"/>
  <c r="S65" i="20"/>
  <c r="P66" i="20"/>
  <c r="W64" i="20"/>
  <c r="X64" i="20"/>
  <c r="Z64" i="20"/>
  <c r="AI62" i="9"/>
  <c r="AJ62" i="9"/>
  <c r="Z63" i="20"/>
  <c r="X63" i="20"/>
  <c r="W63" i="20"/>
  <c r="V66" i="12"/>
  <c r="AH62" i="8"/>
  <c r="AF62" i="8"/>
  <c r="AE62" i="8"/>
  <c r="S66" i="9"/>
  <c r="P67" i="9"/>
  <c r="T66" i="9"/>
  <c r="Q66" i="9"/>
  <c r="R66" i="9"/>
  <c r="U66" i="9"/>
  <c r="AH64" i="12"/>
  <c r="AF64" i="12"/>
  <c r="AE64" i="12"/>
  <c r="Z63" i="19"/>
  <c r="X63" i="19"/>
  <c r="W63" i="19"/>
  <c r="AG63" i="19"/>
  <c r="AD63" i="19"/>
  <c r="T65" i="8"/>
  <c r="V65" i="8"/>
  <c r="Q65" i="8"/>
  <c r="R65" i="8"/>
  <c r="U65" i="8"/>
  <c r="P66" i="8"/>
  <c r="S65" i="8"/>
  <c r="AB63" i="9"/>
  <c r="AA63" i="9"/>
  <c r="AI61" i="19"/>
  <c r="AJ61" i="19"/>
  <c r="AA62" i="20"/>
  <c r="AB62" i="20"/>
  <c r="V64" i="8"/>
  <c r="Z65" i="12"/>
  <c r="X65" i="12"/>
  <c r="W65" i="12"/>
  <c r="AC66" i="12"/>
  <c r="Y66" i="12"/>
  <c r="AE62" i="19"/>
  <c r="AH62" i="19"/>
  <c r="AF62" i="19"/>
  <c r="AG64" i="9"/>
  <c r="AD64" i="9"/>
  <c r="AA63" i="8"/>
  <c r="AB63" i="8"/>
  <c r="AE62" i="20"/>
  <c r="AF62" i="20"/>
  <c r="AH62" i="20"/>
  <c r="AG65" i="12"/>
  <c r="AD65" i="12"/>
  <c r="AC64" i="20"/>
  <c r="Y64" i="20"/>
  <c r="W65" i="8"/>
  <c r="Z65" i="8"/>
  <c r="X65" i="8"/>
  <c r="T67" i="9"/>
  <c r="V67" i="9"/>
  <c r="Q67" i="9"/>
  <c r="R67" i="9"/>
  <c r="U67" i="9"/>
  <c r="P68" i="9"/>
  <c r="S67" i="9"/>
  <c r="AB63" i="20"/>
  <c r="AA63" i="20"/>
  <c r="T68" i="12"/>
  <c r="V68" i="12"/>
  <c r="Q68" i="12"/>
  <c r="R68" i="12"/>
  <c r="U68" i="12"/>
  <c r="S68" i="12"/>
  <c r="P69" i="12"/>
  <c r="AC66" i="9"/>
  <c r="Y66" i="9"/>
  <c r="AA65" i="9"/>
  <c r="AB65" i="9"/>
  <c r="AH65" i="12"/>
  <c r="AF65" i="12"/>
  <c r="AE65" i="12"/>
  <c r="AA65" i="12"/>
  <c r="AB65" i="12"/>
  <c r="AJ62" i="8"/>
  <c r="AI62" i="8"/>
  <c r="Z66" i="12"/>
  <c r="X66" i="12"/>
  <c r="W66" i="12"/>
  <c r="V65" i="20"/>
  <c r="AE63" i="8"/>
  <c r="AH63" i="8"/>
  <c r="AF63" i="8"/>
  <c r="AC65" i="8"/>
  <c r="Y65" i="8"/>
  <c r="AI64" i="12"/>
  <c r="AJ64" i="12"/>
  <c r="AC67" i="12"/>
  <c r="Y67" i="12"/>
  <c r="AG66" i="12"/>
  <c r="AD66" i="12"/>
  <c r="Z64" i="8"/>
  <c r="X64" i="8"/>
  <c r="W64" i="8"/>
  <c r="T66" i="8"/>
  <c r="Q66" i="8"/>
  <c r="R66" i="8"/>
  <c r="U66" i="8"/>
  <c r="S66" i="8"/>
  <c r="P67" i="8"/>
  <c r="AH63" i="19"/>
  <c r="AF63" i="19"/>
  <c r="AE63" i="19"/>
  <c r="AA63" i="19"/>
  <c r="AB63" i="19"/>
  <c r="AJ62" i="20"/>
  <c r="AI62" i="20"/>
  <c r="AJ62" i="19"/>
  <c r="AI62" i="19"/>
  <c r="U66" i="20"/>
  <c r="S66" i="20"/>
  <c r="T66" i="20"/>
  <c r="Q66" i="20"/>
  <c r="R66" i="20"/>
  <c r="P67" i="20"/>
  <c r="AG65" i="9"/>
  <c r="AD65" i="9"/>
  <c r="AG64" i="8"/>
  <c r="AD64" i="8"/>
  <c r="AD64" i="20"/>
  <c r="AG64" i="20"/>
  <c r="AH64" i="9"/>
  <c r="AF64" i="9"/>
  <c r="AE64" i="9"/>
  <c r="V66" i="9"/>
  <c r="AB64" i="20"/>
  <c r="AA64" i="20"/>
  <c r="Y65" i="20"/>
  <c r="AC65" i="20"/>
  <c r="AI63" i="9"/>
  <c r="AJ63" i="9"/>
  <c r="V67" i="12"/>
  <c r="AH63" i="20"/>
  <c r="AF63" i="20"/>
  <c r="AE63" i="20"/>
  <c r="Z67" i="12"/>
  <c r="X67" i="12"/>
  <c r="W67" i="12"/>
  <c r="AC67" i="9"/>
  <c r="Y67" i="9"/>
  <c r="W67" i="9"/>
  <c r="Z67" i="9"/>
  <c r="X67" i="9"/>
  <c r="AH64" i="20"/>
  <c r="AF64" i="20"/>
  <c r="AE64" i="20"/>
  <c r="W68" i="12"/>
  <c r="Z68" i="12"/>
  <c r="X68" i="12"/>
  <c r="T68" i="9"/>
  <c r="V68" i="9"/>
  <c r="Q68" i="9"/>
  <c r="R68" i="9"/>
  <c r="U68" i="9"/>
  <c r="S68" i="9"/>
  <c r="P69" i="9"/>
  <c r="Y66" i="20"/>
  <c r="AC66" i="20"/>
  <c r="AG66" i="9"/>
  <c r="AD66" i="9"/>
  <c r="AA66" i="12"/>
  <c r="AB66" i="12"/>
  <c r="T69" i="12"/>
  <c r="Q69" i="12"/>
  <c r="R69" i="12"/>
  <c r="U69" i="12"/>
  <c r="S69" i="12"/>
  <c r="P70" i="12"/>
  <c r="AJ63" i="19"/>
  <c r="AI63" i="19"/>
  <c r="AB64" i="8"/>
  <c r="AA64" i="8"/>
  <c r="AG67" i="12"/>
  <c r="AD67" i="12"/>
  <c r="AD65" i="8"/>
  <c r="AG65" i="8"/>
  <c r="X65" i="20"/>
  <c r="W65" i="20"/>
  <c r="Z65" i="20"/>
  <c r="AC68" i="12"/>
  <c r="Y68" i="12"/>
  <c r="AB65" i="8"/>
  <c r="AA65" i="8"/>
  <c r="Y66" i="8"/>
  <c r="AC66" i="8"/>
  <c r="AJ63" i="8"/>
  <c r="AI63" i="8"/>
  <c r="AJ65" i="12"/>
  <c r="AI65" i="12"/>
  <c r="AH64" i="8"/>
  <c r="AF64" i="8"/>
  <c r="AE64" i="8"/>
  <c r="U67" i="20"/>
  <c r="S67" i="20"/>
  <c r="T67" i="20"/>
  <c r="Q67" i="20"/>
  <c r="R67" i="20"/>
  <c r="P68" i="20"/>
  <c r="Q68" i="20"/>
  <c r="R68" i="20"/>
  <c r="AJ64" i="9"/>
  <c r="AI64" i="9"/>
  <c r="AI63" i="20"/>
  <c r="AJ63" i="20"/>
  <c r="AD65" i="20"/>
  <c r="AG65" i="20"/>
  <c r="Z66" i="9"/>
  <c r="X66" i="9"/>
  <c r="W66" i="9"/>
  <c r="AE65" i="9"/>
  <c r="AH65" i="9"/>
  <c r="AF65" i="9"/>
  <c r="V66" i="20"/>
  <c r="U67" i="8"/>
  <c r="S67" i="8"/>
  <c r="T67" i="8"/>
  <c r="V67" i="8"/>
  <c r="Q67" i="8"/>
  <c r="R67" i="8"/>
  <c r="P68" i="8"/>
  <c r="V66" i="8"/>
  <c r="AE66" i="12"/>
  <c r="AH66" i="12"/>
  <c r="AF66" i="12"/>
  <c r="Z66" i="20"/>
  <c r="X66" i="20"/>
  <c r="W66" i="20"/>
  <c r="AC67" i="20"/>
  <c r="Y67" i="20"/>
  <c r="AI64" i="8"/>
  <c r="AJ64" i="8"/>
  <c r="AH67" i="12"/>
  <c r="AF67" i="12"/>
  <c r="AE67" i="12"/>
  <c r="AD67" i="9"/>
  <c r="AG67" i="9"/>
  <c r="AJ66" i="12"/>
  <c r="AI66" i="12"/>
  <c r="Z67" i="8"/>
  <c r="X67" i="8"/>
  <c r="W67" i="8"/>
  <c r="AG66" i="8"/>
  <c r="AD66" i="8"/>
  <c r="AH66" i="9"/>
  <c r="AF66" i="9"/>
  <c r="AE66" i="9"/>
  <c r="U69" i="9"/>
  <c r="S69" i="9"/>
  <c r="T69" i="9"/>
  <c r="Q69" i="9"/>
  <c r="R69" i="9"/>
  <c r="P70" i="9"/>
  <c r="Z68" i="9"/>
  <c r="X68" i="9"/>
  <c r="W68" i="9"/>
  <c r="AB67" i="9"/>
  <c r="AA67" i="9"/>
  <c r="Z66" i="8"/>
  <c r="X66" i="8"/>
  <c r="W66" i="8"/>
  <c r="AC67" i="8"/>
  <c r="Y67" i="8"/>
  <c r="AJ65" i="9"/>
  <c r="AI65" i="9"/>
  <c r="AB66" i="9"/>
  <c r="AA66" i="9"/>
  <c r="AD68" i="12"/>
  <c r="AG68" i="12"/>
  <c r="U70" i="12"/>
  <c r="S70" i="12"/>
  <c r="T70" i="12"/>
  <c r="Q70" i="12"/>
  <c r="R70" i="12"/>
  <c r="P71" i="12"/>
  <c r="V69" i="12"/>
  <c r="Y68" i="9"/>
  <c r="AC68" i="9"/>
  <c r="AH65" i="20"/>
  <c r="AF65" i="20"/>
  <c r="AE65" i="20"/>
  <c r="S68" i="8"/>
  <c r="T68" i="8"/>
  <c r="V68" i="8"/>
  <c r="Q68" i="8"/>
  <c r="R68" i="8"/>
  <c r="U68" i="8"/>
  <c r="P69" i="8"/>
  <c r="V67" i="20"/>
  <c r="AA65" i="20"/>
  <c r="AB65" i="20"/>
  <c r="AH65" i="8"/>
  <c r="AF65" i="8"/>
  <c r="AE65" i="8"/>
  <c r="Y69" i="12"/>
  <c r="AC69" i="12"/>
  <c r="AG66" i="20"/>
  <c r="AD66" i="20"/>
  <c r="AB68" i="12"/>
  <c r="AA68" i="12"/>
  <c r="AI64" i="20"/>
  <c r="AJ64" i="20"/>
  <c r="AB67" i="12"/>
  <c r="AA67" i="12"/>
  <c r="Z67" i="20"/>
  <c r="X67" i="20"/>
  <c r="W67" i="20"/>
  <c r="S71" i="12"/>
  <c r="T71" i="12"/>
  <c r="Q71" i="12"/>
  <c r="R71" i="12"/>
  <c r="U71" i="12"/>
  <c r="P72" i="12"/>
  <c r="AA68" i="9"/>
  <c r="AB68" i="9"/>
  <c r="AI67" i="12"/>
  <c r="AJ67" i="12"/>
  <c r="AG67" i="20"/>
  <c r="AD67" i="20"/>
  <c r="AC69" i="9"/>
  <c r="Y69" i="9"/>
  <c r="T69" i="8"/>
  <c r="Q69" i="8"/>
  <c r="R69" i="8"/>
  <c r="U69" i="8"/>
  <c r="P70" i="8"/>
  <c r="S69" i="8"/>
  <c r="AG69" i="12"/>
  <c r="AD69" i="12"/>
  <c r="AI65" i="8"/>
  <c r="AJ65" i="8"/>
  <c r="AG68" i="9"/>
  <c r="AD68" i="9"/>
  <c r="S70" i="9"/>
  <c r="P71" i="9"/>
  <c r="T70" i="9"/>
  <c r="V70" i="9"/>
  <c r="Q70" i="9"/>
  <c r="R70" i="9"/>
  <c r="U70" i="9"/>
  <c r="AH66" i="8"/>
  <c r="AF66" i="8"/>
  <c r="AE66" i="8"/>
  <c r="AA67" i="8"/>
  <c r="AB67" i="8"/>
  <c r="V70" i="12"/>
  <c r="AH68" i="12"/>
  <c r="AF68" i="12"/>
  <c r="AE68" i="12"/>
  <c r="Z68" i="8"/>
  <c r="X68" i="8"/>
  <c r="W68" i="8"/>
  <c r="AJ65" i="20"/>
  <c r="AI65" i="20"/>
  <c r="AG67" i="8"/>
  <c r="AD67" i="8"/>
  <c r="AI66" i="9"/>
  <c r="AJ66" i="9"/>
  <c r="AC68" i="8"/>
  <c r="Y68" i="8"/>
  <c r="AH67" i="9"/>
  <c r="AF67" i="9"/>
  <c r="AE67" i="9"/>
  <c r="AE66" i="20"/>
  <c r="AF66" i="20"/>
  <c r="AH66" i="20"/>
  <c r="Z69" i="12"/>
  <c r="X69" i="12"/>
  <c r="W69" i="12"/>
  <c r="AC70" i="12"/>
  <c r="Y70" i="12"/>
  <c r="AA66" i="8"/>
  <c r="AB66" i="8"/>
  <c r="V69" i="9"/>
  <c r="AA66" i="20"/>
  <c r="AB66" i="20"/>
  <c r="AG68" i="8"/>
  <c r="AD68" i="8"/>
  <c r="AE67" i="8"/>
  <c r="AH67" i="8"/>
  <c r="AF67" i="8"/>
  <c r="AC70" i="9"/>
  <c r="Y70" i="9"/>
  <c r="T70" i="8"/>
  <c r="V70" i="8"/>
  <c r="Q70" i="8"/>
  <c r="R70" i="8"/>
  <c r="U70" i="8"/>
  <c r="S70" i="8"/>
  <c r="P71" i="8"/>
  <c r="T72" i="12"/>
  <c r="Q72" i="12"/>
  <c r="R72" i="12"/>
  <c r="U72" i="12"/>
  <c r="S72" i="12"/>
  <c r="P73" i="12"/>
  <c r="AC71" i="12"/>
  <c r="Y71" i="12"/>
  <c r="AI68" i="12"/>
  <c r="AJ68" i="12"/>
  <c r="AH68" i="9"/>
  <c r="AF68" i="9"/>
  <c r="AE68" i="9"/>
  <c r="AH69" i="12"/>
  <c r="AF69" i="12"/>
  <c r="AE69" i="12"/>
  <c r="AG69" i="9"/>
  <c r="AD69" i="9"/>
  <c r="Z69" i="9"/>
  <c r="X69" i="9"/>
  <c r="W69" i="9"/>
  <c r="AJ66" i="20"/>
  <c r="AI66" i="20"/>
  <c r="Z70" i="12"/>
  <c r="X70" i="12"/>
  <c r="W70" i="12"/>
  <c r="Z70" i="9"/>
  <c r="X70" i="9"/>
  <c r="W70" i="9"/>
  <c r="AE67" i="20"/>
  <c r="AH67" i="20"/>
  <c r="AF67" i="20"/>
  <c r="AA69" i="12"/>
  <c r="AB69" i="12"/>
  <c r="AG70" i="12"/>
  <c r="AD70" i="12"/>
  <c r="AB68" i="8"/>
  <c r="AA68" i="8"/>
  <c r="AI67" i="9"/>
  <c r="AJ67" i="9"/>
  <c r="AJ66" i="8"/>
  <c r="AI66" i="8"/>
  <c r="T71" i="9"/>
  <c r="Q71" i="9"/>
  <c r="R71" i="9"/>
  <c r="U71" i="9"/>
  <c r="P72" i="9"/>
  <c r="S71" i="9"/>
  <c r="AC69" i="8"/>
  <c r="Y69" i="8"/>
  <c r="V69" i="8"/>
  <c r="V71" i="12"/>
  <c r="AA67" i="20"/>
  <c r="AB67" i="20"/>
  <c r="AC72" i="12"/>
  <c r="Y72" i="12"/>
  <c r="U71" i="8"/>
  <c r="S71" i="8"/>
  <c r="T71" i="8"/>
  <c r="V71" i="8"/>
  <c r="Q71" i="8"/>
  <c r="R71" i="8"/>
  <c r="P72" i="8"/>
  <c r="Z70" i="8"/>
  <c r="X70" i="8"/>
  <c r="W70" i="8"/>
  <c r="AJ67" i="8"/>
  <c r="AI67" i="8"/>
  <c r="AE70" i="12"/>
  <c r="AF70" i="12"/>
  <c r="AH70" i="12"/>
  <c r="Y70" i="8"/>
  <c r="AC70" i="8"/>
  <c r="AC71" i="9"/>
  <c r="Y71" i="9"/>
  <c r="AJ67" i="20"/>
  <c r="AI67" i="20"/>
  <c r="AA69" i="9"/>
  <c r="AB69" i="9"/>
  <c r="AJ68" i="9"/>
  <c r="AI68" i="9"/>
  <c r="AG71" i="12"/>
  <c r="AD71" i="12"/>
  <c r="AG70" i="9"/>
  <c r="AD70" i="9"/>
  <c r="AH68" i="8"/>
  <c r="AF68" i="8"/>
  <c r="AE68" i="8"/>
  <c r="AD69" i="8"/>
  <c r="AG69" i="8"/>
  <c r="AA70" i="12"/>
  <c r="AB70" i="12"/>
  <c r="Z71" i="12"/>
  <c r="X71" i="12"/>
  <c r="W71" i="12"/>
  <c r="V71" i="9"/>
  <c r="AB70" i="9"/>
  <c r="AA70" i="9"/>
  <c r="W69" i="8"/>
  <c r="Z69" i="8"/>
  <c r="X69" i="8"/>
  <c r="T72" i="9"/>
  <c r="V72" i="9"/>
  <c r="Q72" i="9"/>
  <c r="R72" i="9"/>
  <c r="U72" i="9"/>
  <c r="S72" i="9"/>
  <c r="P73" i="9"/>
  <c r="AE69" i="9"/>
  <c r="AH69" i="9"/>
  <c r="AF69" i="9"/>
  <c r="AJ69" i="12"/>
  <c r="AI69" i="12"/>
  <c r="T73" i="12"/>
  <c r="Q73" i="12"/>
  <c r="R73" i="12"/>
  <c r="U73" i="12"/>
  <c r="S73" i="12"/>
  <c r="P74" i="12"/>
  <c r="V72" i="12"/>
  <c r="V73" i="12"/>
  <c r="AJ69" i="9"/>
  <c r="AI69" i="9"/>
  <c r="AB69" i="8"/>
  <c r="AA69" i="8"/>
  <c r="W71" i="9"/>
  <c r="Z71" i="9"/>
  <c r="X71" i="9"/>
  <c r="AA70" i="8"/>
  <c r="AB70" i="8"/>
  <c r="AC71" i="8"/>
  <c r="Y71" i="8"/>
  <c r="U73" i="9"/>
  <c r="S73" i="9"/>
  <c r="T73" i="9"/>
  <c r="V73" i="9"/>
  <c r="Q73" i="9"/>
  <c r="R73" i="9"/>
  <c r="P74" i="9"/>
  <c r="W72" i="12"/>
  <c r="Z72" i="12"/>
  <c r="X72" i="12"/>
  <c r="U74" i="12"/>
  <c r="S74" i="12"/>
  <c r="T74" i="12"/>
  <c r="V74" i="12"/>
  <c r="Q74" i="12"/>
  <c r="R74" i="12"/>
  <c r="P75" i="12"/>
  <c r="Y73" i="12"/>
  <c r="AC73" i="12"/>
  <c r="AH71" i="12"/>
  <c r="AF71" i="12"/>
  <c r="AE71" i="12"/>
  <c r="AJ70" i="12"/>
  <c r="AI70" i="12"/>
  <c r="S72" i="8"/>
  <c r="T72" i="8"/>
  <c r="Q72" i="8"/>
  <c r="R72" i="8"/>
  <c r="U72" i="8"/>
  <c r="P73" i="8"/>
  <c r="Z72" i="9"/>
  <c r="X72" i="9"/>
  <c r="W72" i="9"/>
  <c r="AI68" i="8"/>
  <c r="AJ68" i="8"/>
  <c r="AD71" i="9"/>
  <c r="AG71" i="9"/>
  <c r="Y72" i="9"/>
  <c r="AC72" i="9"/>
  <c r="AB71" i="12"/>
  <c r="AA71" i="12"/>
  <c r="AH69" i="8"/>
  <c r="AF69" i="8"/>
  <c r="AE69" i="8"/>
  <c r="AH70" i="9"/>
  <c r="AF70" i="9"/>
  <c r="AE70" i="9"/>
  <c r="AG70" i="8"/>
  <c r="AD70" i="8"/>
  <c r="Z71" i="8"/>
  <c r="X71" i="8"/>
  <c r="W71" i="8"/>
  <c r="AD72" i="12"/>
  <c r="AG72" i="12"/>
  <c r="AH71" i="9"/>
  <c r="AF71" i="9"/>
  <c r="AE71" i="9"/>
  <c r="Z74" i="12"/>
  <c r="X74" i="12"/>
  <c r="W74" i="12"/>
  <c r="AB72" i="12"/>
  <c r="AA72" i="12"/>
  <c r="AH70" i="8"/>
  <c r="AF70" i="8"/>
  <c r="AE70" i="8"/>
  <c r="AI70" i="9"/>
  <c r="AJ70" i="9"/>
  <c r="AG73" i="12"/>
  <c r="AD73" i="12"/>
  <c r="Z73" i="9"/>
  <c r="X73" i="9"/>
  <c r="W73" i="9"/>
  <c r="AG71" i="8"/>
  <c r="AD71" i="8"/>
  <c r="AB71" i="9"/>
  <c r="AA71" i="9"/>
  <c r="AG72" i="9"/>
  <c r="AD72" i="9"/>
  <c r="AA72" i="9"/>
  <c r="AB72" i="9"/>
  <c r="V72" i="8"/>
  <c r="AC74" i="12"/>
  <c r="Y74" i="12"/>
  <c r="AC73" i="9"/>
  <c r="Y73" i="9"/>
  <c r="AH72" i="12"/>
  <c r="AF72" i="12"/>
  <c r="AE72" i="12"/>
  <c r="AI71" i="12"/>
  <c r="AJ71" i="12"/>
  <c r="AA71" i="8"/>
  <c r="AB71" i="8"/>
  <c r="AI69" i="8"/>
  <c r="AJ69" i="8"/>
  <c r="T73" i="8"/>
  <c r="Q73" i="8"/>
  <c r="R73" i="8"/>
  <c r="U73" i="8"/>
  <c r="P74" i="8"/>
  <c r="S73" i="8"/>
  <c r="AC72" i="8"/>
  <c r="Y72" i="8"/>
  <c r="S75" i="12"/>
  <c r="T75" i="12"/>
  <c r="Q75" i="12"/>
  <c r="R75" i="12"/>
  <c r="U75" i="12"/>
  <c r="P76" i="12"/>
  <c r="S74" i="9"/>
  <c r="P75" i="9"/>
  <c r="T74" i="9"/>
  <c r="Q74" i="9"/>
  <c r="R74" i="9"/>
  <c r="U74" i="9"/>
  <c r="Z73" i="12"/>
  <c r="X73" i="12"/>
  <c r="W73" i="12"/>
  <c r="T76" i="12"/>
  <c r="Q76" i="12"/>
  <c r="R76" i="12"/>
  <c r="U76" i="12"/>
  <c r="S76" i="12"/>
  <c r="P77" i="12"/>
  <c r="AC75" i="12"/>
  <c r="Y75" i="12"/>
  <c r="T74" i="8"/>
  <c r="Q74" i="8"/>
  <c r="R74" i="8"/>
  <c r="U74" i="8"/>
  <c r="S74" i="8"/>
  <c r="P75" i="8"/>
  <c r="AI72" i="12"/>
  <c r="AJ72" i="12"/>
  <c r="AG74" i="12"/>
  <c r="AD74" i="12"/>
  <c r="AH72" i="9"/>
  <c r="AF72" i="9"/>
  <c r="AE72" i="9"/>
  <c r="AE71" i="8"/>
  <c r="AH71" i="8"/>
  <c r="AF71" i="8"/>
  <c r="AA73" i="9"/>
  <c r="AB73" i="9"/>
  <c r="AA74" i="12"/>
  <c r="AB74" i="12"/>
  <c r="V74" i="9"/>
  <c r="Z72" i="8"/>
  <c r="X72" i="8"/>
  <c r="W72" i="8"/>
  <c r="AH73" i="12"/>
  <c r="AF73" i="12"/>
  <c r="AE73" i="12"/>
  <c r="AA73" i="12"/>
  <c r="AB73" i="12"/>
  <c r="T75" i="9"/>
  <c r="Q75" i="9"/>
  <c r="R75" i="9"/>
  <c r="U75" i="9"/>
  <c r="P76" i="9"/>
  <c r="S75" i="9"/>
  <c r="AG72" i="8"/>
  <c r="AD72" i="8"/>
  <c r="AG73" i="9"/>
  <c r="AD73" i="9"/>
  <c r="AC74" i="9"/>
  <c r="Y74" i="9"/>
  <c r="V75" i="12"/>
  <c r="AC73" i="8"/>
  <c r="Y73" i="8"/>
  <c r="V73" i="8"/>
  <c r="AJ70" i="8"/>
  <c r="AI70" i="8"/>
  <c r="AI71" i="9"/>
  <c r="AJ71" i="9"/>
  <c r="AH72" i="8"/>
  <c r="AF72" i="8"/>
  <c r="AE72" i="8"/>
  <c r="AD73" i="8"/>
  <c r="AG73" i="8"/>
  <c r="AE73" i="9"/>
  <c r="AH73" i="9"/>
  <c r="AF73" i="9"/>
  <c r="AC75" i="9"/>
  <c r="Y75" i="9"/>
  <c r="V75" i="9"/>
  <c r="AB72" i="8"/>
  <c r="AA72" i="8"/>
  <c r="AE74" i="12"/>
  <c r="AH74" i="12"/>
  <c r="AF74" i="12"/>
  <c r="U75" i="8"/>
  <c r="S75" i="8"/>
  <c r="T75" i="8"/>
  <c r="V75" i="8"/>
  <c r="Q75" i="8"/>
  <c r="R75" i="8"/>
  <c r="V74" i="8"/>
  <c r="AC76" i="12"/>
  <c r="Y76" i="12"/>
  <c r="AG74" i="9"/>
  <c r="AD74" i="9"/>
  <c r="Z75" i="12"/>
  <c r="X75" i="12"/>
  <c r="W75" i="12"/>
  <c r="S76" i="9"/>
  <c r="T76" i="9"/>
  <c r="Q76" i="9"/>
  <c r="R76" i="9"/>
  <c r="U76" i="9"/>
  <c r="AJ73" i="12"/>
  <c r="AI73" i="12"/>
  <c r="Z74" i="9"/>
  <c r="X74" i="9"/>
  <c r="W74" i="9"/>
  <c r="Y74" i="8"/>
  <c r="AC74" i="8"/>
  <c r="AG75" i="12"/>
  <c r="AD75" i="12"/>
  <c r="W73" i="8"/>
  <c r="Z73" i="8"/>
  <c r="X73" i="8"/>
  <c r="AJ71" i="8"/>
  <c r="AI71" i="8"/>
  <c r="AJ72" i="9"/>
  <c r="AI72" i="9"/>
  <c r="T77" i="12"/>
  <c r="Q77" i="12"/>
  <c r="R77" i="12"/>
  <c r="U77" i="12"/>
  <c r="S77" i="12"/>
  <c r="V76" i="12"/>
  <c r="Y77" i="12"/>
  <c r="AC77" i="12"/>
  <c r="AH73" i="8"/>
  <c r="AF73" i="8"/>
  <c r="AE73" i="8"/>
  <c r="AB73" i="8"/>
  <c r="AA73" i="8"/>
  <c r="AG74" i="8"/>
  <c r="AD74" i="8"/>
  <c r="AB74" i="9"/>
  <c r="AA74" i="9"/>
  <c r="Z75" i="8"/>
  <c r="X75" i="8"/>
  <c r="W75" i="8"/>
  <c r="AJ74" i="12"/>
  <c r="AI74" i="12"/>
  <c r="W75" i="9"/>
  <c r="Z75" i="9"/>
  <c r="X75" i="9"/>
  <c r="AJ73" i="9"/>
  <c r="AI73" i="9"/>
  <c r="V76" i="9"/>
  <c r="AB75" i="12"/>
  <c r="AA75" i="12"/>
  <c r="AD76" i="12"/>
  <c r="AG76" i="12"/>
  <c r="AC75" i="8"/>
  <c r="Y75" i="8"/>
  <c r="W76" i="12"/>
  <c r="Z76" i="12"/>
  <c r="X76" i="12"/>
  <c r="V77" i="12"/>
  <c r="AH75" i="12"/>
  <c r="AF75" i="12"/>
  <c r="AE75" i="12"/>
  <c r="AC76" i="9"/>
  <c r="Y76" i="9"/>
  <c r="AH74" i="9"/>
  <c r="AF74" i="9"/>
  <c r="AE74" i="9"/>
  <c r="Z74" i="8"/>
  <c r="X74" i="8"/>
  <c r="W74" i="8"/>
  <c r="AD75" i="9"/>
  <c r="AG75" i="9"/>
  <c r="AI72" i="8"/>
  <c r="AJ72" i="8"/>
  <c r="AH75" i="9"/>
  <c r="AF75" i="9"/>
  <c r="AE75" i="9"/>
  <c r="AG76" i="9"/>
  <c r="AD76" i="9"/>
  <c r="Z77" i="12"/>
  <c r="X77" i="12"/>
  <c r="W77" i="12"/>
  <c r="AA75" i="8"/>
  <c r="AB75" i="8"/>
  <c r="AA74" i="8"/>
  <c r="AB74" i="8"/>
  <c r="AG75" i="8"/>
  <c r="AD75" i="8"/>
  <c r="AI73" i="8"/>
  <c r="AJ73" i="8"/>
  <c r="AI74" i="9"/>
  <c r="AJ74" i="9"/>
  <c r="AB76" i="12"/>
  <c r="AA76" i="12"/>
  <c r="Z76" i="9"/>
  <c r="X76" i="9"/>
  <c r="W76" i="9"/>
  <c r="AB75" i="9"/>
  <c r="AA75" i="9"/>
  <c r="AG77" i="12"/>
  <c r="AD77" i="12"/>
  <c r="AI75" i="12"/>
  <c r="AJ75" i="12"/>
  <c r="AH76" i="12"/>
  <c r="AF76" i="12"/>
  <c r="AE76" i="12"/>
  <c r="AH74" i="8"/>
  <c r="AF74" i="8"/>
  <c r="AE74" i="8"/>
  <c r="AI76" i="12"/>
  <c r="AJ76" i="12"/>
  <c r="AA77" i="12"/>
  <c r="AB77" i="12"/>
  <c r="AH77" i="12"/>
  <c r="AF77" i="12"/>
  <c r="AE77" i="12"/>
  <c r="AE75" i="8"/>
  <c r="AH75" i="8"/>
  <c r="AF75" i="8"/>
  <c r="AJ74" i="8"/>
  <c r="AI74" i="8"/>
  <c r="AB76" i="9"/>
  <c r="AA76" i="9"/>
  <c r="AH76" i="9"/>
  <c r="AF76" i="9"/>
  <c r="AE76" i="9"/>
  <c r="AI75" i="9"/>
  <c r="AJ75" i="9"/>
  <c r="AI76" i="9"/>
  <c r="AJ76" i="9"/>
  <c r="AJ75" i="8"/>
  <c r="AI75" i="8"/>
  <c r="AJ77" i="12"/>
  <c r="AI77" i="12"/>
  <c r="V14" i="3" l="1"/>
  <c r="AH15" i="3"/>
  <c r="AH17" i="3"/>
  <c r="U6" i="3"/>
  <c r="U16" i="3"/>
  <c r="W16" i="3" s="1"/>
  <c r="U5" i="3"/>
  <c r="W5" i="3" s="1"/>
  <c r="AA8" i="3"/>
  <c r="AC8" i="3" s="1"/>
  <c r="AH18" i="3"/>
  <c r="AI18" i="3" s="1"/>
  <c r="AG16" i="3"/>
  <c r="AI16" i="3" s="1"/>
  <c r="AA5" i="3"/>
  <c r="AC5" i="3" s="1"/>
  <c r="U12" i="3"/>
  <c r="W12" i="3" s="1"/>
  <c r="AI15" i="3"/>
  <c r="AB9" i="3"/>
  <c r="AC9" i="3" s="1"/>
  <c r="AB16" i="3"/>
  <c r="AC16" i="3" s="1"/>
  <c r="AA11" i="3"/>
  <c r="AG6" i="3"/>
  <c r="AI6" i="3" s="1"/>
  <c r="V17" i="3"/>
  <c r="W17" i="3" s="1"/>
  <c r="W6" i="3"/>
  <c r="AI7" i="3"/>
  <c r="U4" i="3"/>
  <c r="W4" i="3" s="1"/>
  <c r="V13" i="3"/>
  <c r="W13" i="3" s="1"/>
  <c r="AH10" i="3"/>
  <c r="AI10" i="3" s="1"/>
  <c r="U8" i="3"/>
  <c r="W8" i="3" s="1"/>
  <c r="AG7" i="3"/>
  <c r="AA7" i="3"/>
  <c r="AI17" i="3"/>
  <c r="AC7" i="3"/>
  <c r="W18" i="3"/>
  <c r="W7" i="3"/>
  <c r="W14" i="3"/>
  <c r="AA12" i="3"/>
  <c r="AC12" i="3" s="1"/>
  <c r="AA6" i="3"/>
  <c r="AC6" i="3" s="1"/>
  <c r="U9" i="3"/>
  <c r="W9" i="3" s="1"/>
  <c r="AB10" i="3"/>
  <c r="AC10" i="3" s="1"/>
  <c r="U7" i="3"/>
  <c r="U10" i="3"/>
  <c r="W10" i="3" s="1"/>
  <c r="AC11" i="3"/>
  <c r="AB17" i="3"/>
  <c r="AC17" i="3" s="1"/>
  <c r="U11" i="3"/>
  <c r="W11" i="3" s="1"/>
  <c r="AA18" i="3"/>
  <c r="AC18" i="3" s="1"/>
  <c r="AB4" i="3"/>
  <c r="AC4" i="3" s="1"/>
  <c r="AA14" i="3"/>
  <c r="AC14" i="3" s="1"/>
  <c r="V15" i="3"/>
  <c r="W15" i="3" s="1"/>
  <c r="AA15" i="3"/>
  <c r="AC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 Hernandez Goldstein</author>
  </authors>
  <commentList>
    <comment ref="A6" authorId="0" shapeId="0" xr:uid="{FE9B09AF-9D4E-6545-8FD6-CC16AF2B2B6D}">
      <text>
        <r>
          <rPr>
            <b/>
            <sz val="9"/>
            <color indexed="81"/>
            <rFont val="Arial"/>
            <family val="2"/>
          </rPr>
          <t>Emily Hernandez Goldstein:</t>
        </r>
        <r>
          <rPr>
            <sz val="9"/>
            <color indexed="81"/>
            <rFont val="Arial"/>
            <family val="2"/>
          </rPr>
          <t xml:space="preserve">
Input measured spike blank value
</t>
        </r>
      </text>
    </comment>
    <comment ref="G7" authorId="0" shapeId="0" xr:uid="{3B8F3381-A76C-9743-B583-F60CF9025834}">
      <text>
        <r>
          <rPr>
            <b/>
            <sz val="9"/>
            <color indexed="81"/>
            <rFont val="Arial"/>
            <family val="2"/>
          </rPr>
          <t>Emily Hernandez Goldstein:</t>
        </r>
        <r>
          <rPr>
            <sz val="9"/>
            <color indexed="81"/>
            <rFont val="Arial"/>
            <family val="2"/>
          </rPr>
          <t xml:space="preserve">
Natural ratio in standard soln</t>
        </r>
      </text>
    </comment>
    <comment ref="H7" authorId="0" shapeId="0" xr:uid="{6F08DB9F-009A-734B-9BB3-EEBE36B4395B}">
      <text>
        <r>
          <rPr>
            <b/>
            <sz val="9"/>
            <color indexed="81"/>
            <rFont val="Arial"/>
            <family val="2"/>
          </rPr>
          <t>Emily Hernandez Goldstein:</t>
        </r>
        <r>
          <rPr>
            <sz val="9"/>
            <color indexed="81"/>
            <rFont val="Arial"/>
            <family val="2"/>
          </rPr>
          <t xml:space="preserve">
Spike Ratio</t>
        </r>
      </text>
    </comment>
    <comment ref="A11" authorId="0" shapeId="0" xr:uid="{9F4170BB-305C-B440-B218-15C1B81505AB}">
      <text>
        <r>
          <rPr>
            <b/>
            <sz val="9"/>
            <color indexed="81"/>
            <rFont val="Arial"/>
            <family val="2"/>
          </rPr>
          <t>Emily Hernandez Goldstein:</t>
        </r>
        <r>
          <rPr>
            <sz val="9"/>
            <color indexed="81"/>
            <rFont val="Arial"/>
            <family val="2"/>
          </rPr>
          <t xml:space="preserve">
Input measured spike blank value
</t>
        </r>
      </text>
    </comment>
    <comment ref="G19" authorId="0" shapeId="0" xr:uid="{448E6464-B809-8F46-9605-0ECBBAF3DB79}">
      <text>
        <r>
          <rPr>
            <b/>
            <sz val="9"/>
            <color indexed="81"/>
            <rFont val="Arial"/>
            <family val="2"/>
          </rPr>
          <t>Emily Hernandez Goldstein:</t>
        </r>
        <r>
          <rPr>
            <sz val="9"/>
            <color indexed="81"/>
            <rFont val="Arial"/>
            <family val="2"/>
          </rPr>
          <t xml:space="preserve">
Goal seak by changing this cell
</t>
        </r>
      </text>
    </comment>
    <comment ref="L22" authorId="0" shapeId="0" xr:uid="{4DB634F0-C59B-BA41-B55F-1AAC20635C70}">
      <text>
        <r>
          <rPr>
            <b/>
            <sz val="9"/>
            <color rgb="FF000000"/>
            <rFont val="Arial"/>
            <family val="2"/>
          </rPr>
          <t>Emily Hernandez Goldstein: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How do you decide the number of reps?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Ursula Ginster</author>
  </authors>
  <commentList>
    <comment ref="D56" authorId="0" shapeId="0" xr:uid="{7CEBEAE1-9DEF-7647-BCF6-E30CD352EBFD}">
      <text>
        <r>
          <rPr>
            <b/>
            <sz val="9"/>
            <color rgb="FF000000"/>
            <rFont val="Tahoma"/>
            <family val="2"/>
          </rPr>
          <t>Ursula Ginster: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 cooling rate in this cell
</t>
        </r>
      </text>
    </comment>
  </commentList>
</comments>
</file>

<file path=xl/sharedStrings.xml><?xml version="1.0" encoding="utf-8"?>
<sst xmlns="http://schemas.openxmlformats.org/spreadsheetml/2006/main" count="2561" uniqueCount="699">
  <si>
    <r>
      <t>Values for E</t>
    </r>
    <r>
      <rPr>
        <b/>
        <vertAlign val="subscript"/>
        <sz val="18"/>
        <color theme="1"/>
        <rFont val="Calibri"/>
        <family val="2"/>
        <scheme val="minor"/>
      </rPr>
      <t>a</t>
    </r>
    <r>
      <rPr>
        <b/>
        <sz val="18"/>
        <color theme="1"/>
        <rFont val="Calibri"/>
        <family val="2"/>
        <scheme val="minor"/>
      </rPr>
      <t xml:space="preserve"> and D</t>
    </r>
    <r>
      <rPr>
        <b/>
        <vertAlign val="subscript"/>
        <sz val="18"/>
        <color theme="1"/>
        <rFont val="Calibri"/>
        <family val="2"/>
        <scheme val="minor"/>
      </rPr>
      <t>0</t>
    </r>
    <r>
      <rPr>
        <b/>
        <sz val="18"/>
        <color theme="1"/>
        <rFont val="Calibri"/>
        <family val="2"/>
        <scheme val="minor"/>
      </rPr>
      <t xml:space="preserve"> derived by linear regression of ln(D/a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>) on (10</t>
    </r>
    <r>
      <rPr>
        <b/>
        <vertAlign val="superscript"/>
        <sz val="18"/>
        <color theme="1"/>
        <rFont val="Calibri"/>
        <family val="2"/>
        <scheme val="minor"/>
      </rPr>
      <t>4</t>
    </r>
    <r>
      <rPr>
        <b/>
        <sz val="18"/>
        <color theme="1"/>
        <rFont val="Calibri"/>
        <family val="2"/>
        <scheme val="minor"/>
      </rPr>
      <t>/T)</t>
    </r>
  </si>
  <si>
    <t>Closure temperature iterative calcuation</t>
  </si>
  <si>
    <t>Tc upper error iterative calcuation</t>
  </si>
  <si>
    <t>Tc lower error iterative calcuation</t>
  </si>
  <si>
    <r>
      <t>E</t>
    </r>
    <r>
      <rPr>
        <vertAlign val="subscript"/>
        <sz val="16"/>
        <color theme="1"/>
        <rFont val="Calibri (Body)"/>
      </rPr>
      <t>a</t>
    </r>
  </si>
  <si>
    <t>1σ</t>
  </si>
  <si>
    <t>Rel. 1σ</t>
  </si>
  <si>
    <r>
      <t>D</t>
    </r>
    <r>
      <rPr>
        <vertAlign val="subscript"/>
        <sz val="16"/>
        <color theme="1"/>
        <rFont val="Calibri (Body)"/>
      </rPr>
      <t>0</t>
    </r>
  </si>
  <si>
    <t>e [U]</t>
  </si>
  <si>
    <t>Tc guess</t>
  </si>
  <si>
    <t>Tc (1)</t>
  </si>
  <si>
    <t>Tc (2)</t>
  </si>
  <si>
    <t>Tc</t>
  </si>
  <si>
    <t>Tc upper error</t>
  </si>
  <si>
    <t>Tc lower error</t>
  </si>
  <si>
    <t>Shock  level</t>
  </si>
  <si>
    <t>kJ/mol</t>
  </si>
  <si>
    <r>
      <t>cm</t>
    </r>
    <r>
      <rPr>
        <vertAlign val="superscript"/>
        <sz val="16"/>
        <color theme="1"/>
        <rFont val="Calibri (Body)"/>
      </rPr>
      <t>2</t>
    </r>
    <r>
      <rPr>
        <sz val="16"/>
        <color theme="1"/>
        <rFont val="Calibri (Body)"/>
      </rPr>
      <t>/s</t>
    </r>
  </si>
  <si>
    <r>
      <t>cm</t>
    </r>
    <r>
      <rPr>
        <vertAlign val="superscript"/>
        <sz val="16"/>
        <color theme="0" tint="-0.499984740745262"/>
        <rFont val="Calibri (Body)"/>
      </rPr>
      <t>2</t>
    </r>
    <r>
      <rPr>
        <sz val="16"/>
        <color theme="0" tint="-0.499984740745262"/>
        <rFont val="Calibri (Body)"/>
      </rPr>
      <t>/s</t>
    </r>
  </si>
  <si>
    <t>ppm</t>
  </si>
  <si>
    <t>deg C</t>
  </si>
  <si>
    <t>1st  prograde regression line</t>
  </si>
  <si>
    <t>IODP364-62-70</t>
  </si>
  <si>
    <t>IODP364-93-14</t>
  </si>
  <si>
    <t>IODP364-145-51</t>
  </si>
  <si>
    <t>IODP364-145-84a</t>
  </si>
  <si>
    <t>IODP364-93-10</t>
  </si>
  <si>
    <t>RIES01-3</t>
  </si>
  <si>
    <t>RIES02-14</t>
  </si>
  <si>
    <t>RIES04-2</t>
  </si>
  <si>
    <t>RIES04-7</t>
  </si>
  <si>
    <t>RIES04-10</t>
  </si>
  <si>
    <t>RIES04-13</t>
  </si>
  <si>
    <t>Ries02-6</t>
  </si>
  <si>
    <t>RIES01-9</t>
  </si>
  <si>
    <t>RIES02-11</t>
  </si>
  <si>
    <t>RIES02-13</t>
  </si>
  <si>
    <t>2nd  retrograde regression line</t>
  </si>
  <si>
    <t>3rd  prograde regression line</t>
  </si>
  <si>
    <t>R</t>
  </si>
  <si>
    <t>A</t>
  </si>
  <si>
    <t>dT/dt</t>
  </si>
  <si>
    <t>a</t>
  </si>
  <si>
    <t>kJ/mol-K</t>
  </si>
  <si>
    <t>deg/Ma</t>
  </si>
  <si>
    <t>K/s</t>
  </si>
  <si>
    <t>um</t>
  </si>
  <si>
    <t>cm</t>
  </si>
  <si>
    <t>1st regression through prograde steps</t>
  </si>
  <si>
    <t>2nd regression through retrograde steps</t>
  </si>
  <si>
    <t>3rd regression through 2nd prograde steps</t>
  </si>
  <si>
    <t>Activation energies and frequency factors from 1st regression line</t>
  </si>
  <si>
    <t>Activation energies and frequency factors from 2nd regression line</t>
  </si>
  <si>
    <t>Activation energies and frequency factors from 3rd regression line</t>
  </si>
  <si>
    <t>From 1st regression</t>
  </si>
  <si>
    <t>From 2nd regression</t>
  </si>
  <si>
    <t>From 3rd  regression</t>
  </si>
  <si>
    <t>Sample Name</t>
  </si>
  <si>
    <t>Shock</t>
  </si>
  <si>
    <t>1st fit slope</t>
  </si>
  <si>
    <t>1st slope error</t>
  </si>
  <si>
    <t>1st fit intercept</t>
  </si>
  <si>
    <t>1st fit intercept error</t>
  </si>
  <si>
    <t xml:space="preserve">2nd fit slope </t>
  </si>
  <si>
    <t xml:space="preserve">2nd fit slope error </t>
  </si>
  <si>
    <t>2nd fit intercept</t>
  </si>
  <si>
    <t>2nd fit intercept error</t>
  </si>
  <si>
    <t>3rd fit slope</t>
  </si>
  <si>
    <t>3rd fit slope intercept</t>
  </si>
  <si>
    <t>3rd fit intercept</t>
  </si>
  <si>
    <t>3rd fit intercept error</t>
  </si>
  <si>
    <t>4th slope</t>
  </si>
  <si>
    <t>4th slope error</t>
  </si>
  <si>
    <t>4th intercept</t>
  </si>
  <si>
    <t>4th intercept error</t>
  </si>
  <si>
    <r>
      <t>D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>/a</t>
    </r>
    <r>
      <rPr>
        <vertAlign val="superscript"/>
        <sz val="12"/>
        <color theme="1"/>
        <rFont val="Calibri (Body)"/>
      </rPr>
      <t>2</t>
    </r>
  </si>
  <si>
    <r>
      <t>D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>/a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error 1σ</t>
    </r>
  </si>
  <si>
    <r>
      <t>D</t>
    </r>
    <r>
      <rPr>
        <vertAlign val="subscript"/>
        <sz val="12"/>
        <color theme="1"/>
        <rFont val="Calibri (Body)"/>
      </rPr>
      <t>0</t>
    </r>
  </si>
  <si>
    <r>
      <t>D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error 1σ</t>
    </r>
  </si>
  <si>
    <r>
      <t>E</t>
    </r>
    <r>
      <rPr>
        <vertAlign val="sub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error 1σ</t>
    </r>
  </si>
  <si>
    <r>
      <t>E</t>
    </r>
    <r>
      <rPr>
        <vertAlign val="subscript"/>
        <sz val="12"/>
        <color theme="1"/>
        <rFont val="Calibri (Body)"/>
      </rPr>
      <t>a1</t>
    </r>
  </si>
  <si>
    <r>
      <t>D</t>
    </r>
    <r>
      <rPr>
        <vertAlign val="subscript"/>
        <sz val="12"/>
        <color rgb="FF000000"/>
        <rFont val="Calibri"/>
        <family val="2"/>
        <scheme val="minor"/>
      </rPr>
      <t>0</t>
    </r>
    <r>
      <rPr>
        <sz val="12"/>
        <color rgb="FF000000"/>
        <rFont val="Calibri"/>
        <family val="2"/>
        <scheme val="minor"/>
      </rPr>
      <t>/a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 error 1σ</t>
    </r>
  </si>
  <si>
    <t xml:space="preserve">Do </t>
  </si>
  <si>
    <t>Do error 1σ</t>
  </si>
  <si>
    <t>Ea2 error 1σ</t>
  </si>
  <si>
    <t>Ea2</t>
  </si>
  <si>
    <t>do3/a2 error 1σ</t>
  </si>
  <si>
    <t>Ea3 error 1σ</t>
  </si>
  <si>
    <t>Ea3</t>
  </si>
  <si>
    <t>Diffusion domain error  1σ</t>
  </si>
  <si>
    <t xml:space="preserve">Diffusion domain </t>
  </si>
  <si>
    <t>Diffusion domain</t>
  </si>
  <si>
    <t>Grain size</t>
  </si>
  <si>
    <r>
      <t>s</t>
    </r>
    <r>
      <rPr>
        <vertAlign val="superscript"/>
        <sz val="12"/>
        <color theme="1"/>
        <rFont val="Calibri (Body)"/>
      </rPr>
      <t>-1</t>
    </r>
  </si>
  <si>
    <r>
      <t>cm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/s</t>
    </r>
  </si>
  <si>
    <t>μm</t>
  </si>
  <si>
    <t>granular</t>
  </si>
  <si>
    <t>partial granular</t>
  </si>
  <si>
    <t>none</t>
  </si>
  <si>
    <t>fractured</t>
  </si>
  <si>
    <t>planar</t>
  </si>
  <si>
    <t>fractured/granular</t>
  </si>
  <si>
    <t>none, euhedral</t>
  </si>
  <si>
    <t xml:space="preserve">none </t>
  </si>
  <si>
    <t>pdf/1 fracture</t>
  </si>
  <si>
    <t>small fracture</t>
  </si>
  <si>
    <t xml:space="preserve">R = </t>
  </si>
  <si>
    <t>kcal/mol-K</t>
  </si>
  <si>
    <t>Source file</t>
  </si>
  <si>
    <t>DateTime</t>
  </si>
  <si>
    <t>Date</t>
  </si>
  <si>
    <t>Time</t>
  </si>
  <si>
    <t>Duration(s)</t>
  </si>
  <si>
    <t>Comments</t>
  </si>
  <si>
    <t>Total points</t>
  </si>
  <si>
    <t>Selection type</t>
  </si>
  <si>
    <t>Components</t>
  </si>
  <si>
    <t>Si29_CPS</t>
  </si>
  <si>
    <t>Si29_CPS_Int2SE</t>
  </si>
  <si>
    <t>IntStdWv</t>
  </si>
  <si>
    <t>IntStdWv_Int2SE</t>
  </si>
  <si>
    <t>Th_ppm_m232</t>
  </si>
  <si>
    <t>Th_ppm_m232_Int2SE</t>
  </si>
  <si>
    <t>U_ppm_m238</t>
  </si>
  <si>
    <t>U_ppm_m238_Int2SE</t>
  </si>
  <si>
    <t>G_NIST610_1</t>
  </si>
  <si>
    <t>NIST610-1.FIN2</t>
  </si>
  <si>
    <t>04/03/2022 (6) 18:07:38.00</t>
  </si>
  <si>
    <t>04/03/2022 (6)</t>
  </si>
  <si>
    <t>Normal</t>
  </si>
  <si>
    <t>G_NIST610_2</t>
  </si>
  <si>
    <t>NIST610-2.FIN2</t>
  </si>
  <si>
    <t>04/03/2022 (6) 18:08:34.00</t>
  </si>
  <si>
    <t>G_NIST610_3</t>
  </si>
  <si>
    <t>NIST610-3.FIN2</t>
  </si>
  <si>
    <t>04/03/2022 (6) 18:09:29.00</t>
  </si>
  <si>
    <t>G_NIST610_4</t>
  </si>
  <si>
    <t>NIST610-4.FIN2</t>
  </si>
  <si>
    <t>04/03/2022 (6) 18:10:25.00</t>
  </si>
  <si>
    <t>G_NIST610_5</t>
  </si>
  <si>
    <t>NIST610-5.FIN2</t>
  </si>
  <si>
    <t>04/03/2022 (6) 18:12:16.00</t>
  </si>
  <si>
    <t>G_NIST610_6</t>
  </si>
  <si>
    <t>NIST610-6.FIN2</t>
  </si>
  <si>
    <t>04/03/2022 (6) 18:13:12.00</t>
  </si>
  <si>
    <t>G_NIST610_7</t>
  </si>
  <si>
    <t>NIST610-7.FIN2</t>
  </si>
  <si>
    <t>04/03/2022 (6) 18:24:14.00</t>
  </si>
  <si>
    <t>G_NIST610_8</t>
  </si>
  <si>
    <t>NIST610-8.FIN2</t>
  </si>
  <si>
    <t>04/03/2022 (6) 18:30:46.00</t>
  </si>
  <si>
    <t>G_NIST610_9</t>
  </si>
  <si>
    <t>NIST610-9.FIN2</t>
  </si>
  <si>
    <t>04/03/2022 (6) 18:36:34.00</t>
  </si>
  <si>
    <t>G_NIST610_10</t>
  </si>
  <si>
    <t>NIST610-10.FIN2</t>
  </si>
  <si>
    <t>04/03/2022 (6) 18:45:17.00</t>
  </si>
  <si>
    <t>G_NIST610_11</t>
  </si>
  <si>
    <t>NIST610-11.FIN2</t>
  </si>
  <si>
    <t>04/03/2022 (6) 18:52:33.00</t>
  </si>
  <si>
    <t>G_NIST610_12</t>
  </si>
  <si>
    <t>NIST610-20.FIN2</t>
  </si>
  <si>
    <t>04/03/2022 (6) 18:53:16.00</t>
  </si>
  <si>
    <t>G_NIST610_13</t>
  </si>
  <si>
    <t>NIST610-12.FIN2</t>
  </si>
  <si>
    <t>04/03/2022 (6) 18:59:48.00</t>
  </si>
  <si>
    <t>G_NIST610_14</t>
  </si>
  <si>
    <t>NIST610-13.FIN2</t>
  </si>
  <si>
    <t>04/03/2022 (6) 19:05:36.00</t>
  </si>
  <si>
    <t>G_NIST610_15</t>
  </si>
  <si>
    <t>NIST610-19.FIN2</t>
  </si>
  <si>
    <t>04/03/2022 (6) 19:06:20.00</t>
  </si>
  <si>
    <t>G_NIST610_16</t>
  </si>
  <si>
    <t>NIST610-14.FIN2</t>
  </si>
  <si>
    <t>04/03/2022 (6) 19:16:30.00</t>
  </si>
  <si>
    <t>G_NIST610_17</t>
  </si>
  <si>
    <t>NIST610-15.FIN2</t>
  </si>
  <si>
    <t>04/03/2022 (6) 19:21:35.00</t>
  </si>
  <si>
    <t>G_NIST610_18</t>
  </si>
  <si>
    <t>NIST610-17.FIN2</t>
  </si>
  <si>
    <t>04/03/2022 (6) 19:23:45.00</t>
  </si>
  <si>
    <t>G_NIST610_19</t>
  </si>
  <si>
    <t>NIST610-18.FIN2</t>
  </si>
  <si>
    <t>04/03/2022 (6) 19:24:29.00</t>
  </si>
  <si>
    <t>G_NIST610_20</t>
  </si>
  <si>
    <t>NIST610-16.FIN2</t>
  </si>
  <si>
    <t>04/03/2022 (6) 19:28:06.00</t>
  </si>
  <si>
    <t>G_NIST610_21</t>
  </si>
  <si>
    <t>NIST610-21.FIN2</t>
  </si>
  <si>
    <t>04/03/2022 (6) 19:33:11.00</t>
  </si>
  <si>
    <t>G_NIST610_22</t>
  </si>
  <si>
    <t>NIST610-22.FIN2</t>
  </si>
  <si>
    <t>04/03/2022 (6) 19:33:55.00</t>
  </si>
  <si>
    <t>G_NIST610_23</t>
  </si>
  <si>
    <t>NIST610-23.FIN2</t>
  </si>
  <si>
    <t>04/03/2022 (6) 19:34:38.00</t>
  </si>
  <si>
    <t>G_NIST610_24</t>
  </si>
  <si>
    <t>NIST610-24.FIN2</t>
  </si>
  <si>
    <t>04/03/2022 (6) 19:35:22.00</t>
  </si>
  <si>
    <t>G_NIST610_25</t>
  </si>
  <si>
    <t>NIST610-25.FIN2</t>
  </si>
  <si>
    <t>04/03/2022 (6) 19:36:05.00</t>
  </si>
  <si>
    <t>Kennedy_1</t>
  </si>
  <si>
    <t>Kennedy-1.FIN2</t>
  </si>
  <si>
    <t>04/03/2022 (6) 18:17:02.00</t>
  </si>
  <si>
    <t>Kennedy_2</t>
  </si>
  <si>
    <t>Kennedy-2.FIN2</t>
  </si>
  <si>
    <t>04/03/2022 (6) 18:17:58.00</t>
  </si>
  <si>
    <t>Kennedy_3</t>
  </si>
  <si>
    <t>Kennedy-3.FIN2</t>
  </si>
  <si>
    <t>04/03/2022 (6) 18:18:54.00</t>
  </si>
  <si>
    <t>Kennedy_4</t>
  </si>
  <si>
    <t>Kennedy-4.FIN2</t>
  </si>
  <si>
    <t>04/03/2022 (6) 18:37:18.00</t>
  </si>
  <si>
    <t>Kennedy_5</t>
  </si>
  <si>
    <t>Kennedy-5.FIN2</t>
  </si>
  <si>
    <t>04/03/2022 (6) 18:38:01.00</t>
  </si>
  <si>
    <t>Kennedy_6</t>
  </si>
  <si>
    <t>Kennedy-6.FIN2</t>
  </si>
  <si>
    <t>04/03/2022 (6) 18:54:00.00</t>
  </si>
  <si>
    <t>Kennedy_7</t>
  </si>
  <si>
    <t>Kennedy-7.FIN2</t>
  </si>
  <si>
    <t>04/03/2022 (6) 18:54:43.00</t>
  </si>
  <si>
    <t>Kennedy_8</t>
  </si>
  <si>
    <t>Kennedy-8.FIN2</t>
  </si>
  <si>
    <t>04/03/2022 (6) 19:07:04.00</t>
  </si>
  <si>
    <t>Kennedy_9</t>
  </si>
  <si>
    <t>Kennedy-9.FIN2</t>
  </si>
  <si>
    <t>04/03/2022 (6) 19:07:47.00</t>
  </si>
  <si>
    <t>Kennedy_10</t>
  </si>
  <si>
    <t>Kennedy-10.FIN2</t>
  </si>
  <si>
    <t>04/03/2022 (6) 19:20:07.00</t>
  </si>
  <si>
    <t>Kennedy_11</t>
  </si>
  <si>
    <t>Kennedy-11.FIN2</t>
  </si>
  <si>
    <t>04/03/2022 (6) 19:20:51.00</t>
  </si>
  <si>
    <t>Kennedy_12</t>
  </si>
  <si>
    <t>Kennedy-12.FIN2</t>
  </si>
  <si>
    <t>04/03/2022 (6) 19:31:01.00</t>
  </si>
  <si>
    <t>Kennedy_13</t>
  </si>
  <si>
    <t>Kennedy-13.FIN2</t>
  </si>
  <si>
    <t>04/03/2022 (6) 19:31:44.00</t>
  </si>
  <si>
    <t>Kennedy_14</t>
  </si>
  <si>
    <t>Kennedy-14.FIN2</t>
  </si>
  <si>
    <t>04/03/2022 (6) 19:32:28.00</t>
  </si>
  <si>
    <t>Spot_1</t>
  </si>
  <si>
    <t>Spot 1.FIN2</t>
  </si>
  <si>
    <t>04/03/2022 (6) 18:19:52.00</t>
  </si>
  <si>
    <t>Row1Grain1</t>
  </si>
  <si>
    <t>Spot_2</t>
  </si>
  <si>
    <t>Spot 2.FIN2</t>
  </si>
  <si>
    <t>04/03/2022 (6) 18:20:36.00</t>
  </si>
  <si>
    <t>Spot_3</t>
  </si>
  <si>
    <t>Spot 3.FIN2</t>
  </si>
  <si>
    <t>04/03/2022 (6) 18:21:19.00</t>
  </si>
  <si>
    <t>Spot_4</t>
  </si>
  <si>
    <t>Spot 4.FIN2</t>
  </si>
  <si>
    <t>04/03/2022 (6) 18:22:03.00</t>
  </si>
  <si>
    <t>Spot_5</t>
  </si>
  <si>
    <t>Spot 5.FIN2</t>
  </si>
  <si>
    <t>04/03/2022 (6) 18:22:47.00</t>
  </si>
  <si>
    <t>Th ppm average</t>
  </si>
  <si>
    <t>U ppm average</t>
  </si>
  <si>
    <t>th std dev ppm</t>
  </si>
  <si>
    <t>u std dev ppm</t>
  </si>
  <si>
    <t>Spot_6</t>
  </si>
  <si>
    <t>Spot 6.FIN2</t>
  </si>
  <si>
    <t>04/03/2022 (6) 18:23:30.00</t>
  </si>
  <si>
    <t>Spot_7</t>
  </si>
  <si>
    <t>Spot 7.FIN2</t>
  </si>
  <si>
    <t>04/03/2022 (6) 18:24:57.00</t>
  </si>
  <si>
    <t>Row1Grain2</t>
  </si>
  <si>
    <t>Spot_8</t>
  </si>
  <si>
    <t>Spot 8.FIN2</t>
  </si>
  <si>
    <t>04/03/2022 (6) 18:25:41.00</t>
  </si>
  <si>
    <t>Spot_9</t>
  </si>
  <si>
    <t>Spot 9.FIN2</t>
  </si>
  <si>
    <t>04/03/2022 (6) 18:26:24.00</t>
  </si>
  <si>
    <t>Spot_10</t>
  </si>
  <si>
    <t>Spot 10.FIN2</t>
  </si>
  <si>
    <t>04/03/2022 (6) 18:27:08.00</t>
  </si>
  <si>
    <t>Spot_11</t>
  </si>
  <si>
    <t>Spot 11.FIN2</t>
  </si>
  <si>
    <t>04/03/2022 (6) 18:27:52.00</t>
  </si>
  <si>
    <t>Spot_12</t>
  </si>
  <si>
    <t>Spot 12.FIN2</t>
  </si>
  <si>
    <t>04/03/2022 (6) 18:28:35.00</t>
  </si>
  <si>
    <t>Spot_13</t>
  </si>
  <si>
    <t>Spot 13.FIN2</t>
  </si>
  <si>
    <t>04/03/2022 (6) 18:29:19.00</t>
  </si>
  <si>
    <t>Spot_14</t>
  </si>
  <si>
    <t>Spot 14.FIN2</t>
  </si>
  <si>
    <t>04/03/2022 (6) 18:30:02.00</t>
  </si>
  <si>
    <t>Spot_15</t>
  </si>
  <si>
    <t>Spot 15.FIN2</t>
  </si>
  <si>
    <t>04/03/2022 (6) 18:31:29.00</t>
  </si>
  <si>
    <t>Row1Grain3</t>
  </si>
  <si>
    <t>Spot_16</t>
  </si>
  <si>
    <t>Spot 16.FIN2</t>
  </si>
  <si>
    <t>04/03/2022 (6) 18:32:13.00</t>
  </si>
  <si>
    <t>Spot_17</t>
  </si>
  <si>
    <t>Spot 17.FIN2</t>
  </si>
  <si>
    <t>04/03/2022 (6) 18:32:56.00</t>
  </si>
  <si>
    <t>Spot_18</t>
  </si>
  <si>
    <t>Spot 18.FIN2</t>
  </si>
  <si>
    <t>04/03/2022 (6) 18:33:40.00</t>
  </si>
  <si>
    <t>Spot_19</t>
  </si>
  <si>
    <t>Spot 19.FIN2</t>
  </si>
  <si>
    <t>04/03/2022 (6) 18:34:24.00</t>
  </si>
  <si>
    <t>Spot_20</t>
  </si>
  <si>
    <t>Spot 20.FIN2</t>
  </si>
  <si>
    <t>04/03/2022 (6) 18:35:07.00</t>
  </si>
  <si>
    <t>Spot_21</t>
  </si>
  <si>
    <t>Spot 21.FIN2</t>
  </si>
  <si>
    <t>04/03/2022 (6) 18:35:51.00</t>
  </si>
  <si>
    <t>Spot_22</t>
  </si>
  <si>
    <t>Spot 22.FIN2</t>
  </si>
  <si>
    <t>04/03/2022 (6) 18:38:45.00</t>
  </si>
  <si>
    <t>Row1Grain4</t>
  </si>
  <si>
    <t>Spot_23</t>
  </si>
  <si>
    <t>Spot 23.FIN2</t>
  </si>
  <si>
    <t>04/03/2022 (6) 18:39:28.00</t>
  </si>
  <si>
    <t>Spot_24</t>
  </si>
  <si>
    <t>Spot 24.FIN2</t>
  </si>
  <si>
    <t>04/03/2022 (6) 18:40:12.00</t>
  </si>
  <si>
    <t>Spot_25</t>
  </si>
  <si>
    <t>Spot 25.FIN2</t>
  </si>
  <si>
    <t>04/03/2022 (6) 18:40:56.00</t>
  </si>
  <si>
    <t>Spot_26</t>
  </si>
  <si>
    <t>Spot 26.FIN2</t>
  </si>
  <si>
    <t>04/03/2022 (6) 18:41:39.00</t>
  </si>
  <si>
    <t>Spot_27</t>
  </si>
  <si>
    <t>Spot 27.FIN2</t>
  </si>
  <si>
    <t>04/03/2022 (6) 18:42:23.00</t>
  </si>
  <si>
    <t>Spot_28</t>
  </si>
  <si>
    <t>Spot 28.FIN2</t>
  </si>
  <si>
    <t>04/03/2022 (6) 18:43:06.00</t>
  </si>
  <si>
    <t>Spot_29</t>
  </si>
  <si>
    <t>Spot 29.FIN2</t>
  </si>
  <si>
    <t>04/03/2022 (6) 18:43:50.00</t>
  </si>
  <si>
    <t>Spot_30</t>
  </si>
  <si>
    <t>Spot 30.FIN2</t>
  </si>
  <si>
    <t>04/03/2022 (6) 18:44:33.00</t>
  </si>
  <si>
    <t>Spot_31</t>
  </si>
  <si>
    <t>Spot 31.FIN2</t>
  </si>
  <si>
    <t>04/03/2022 (6) 18:46:01.00</t>
  </si>
  <si>
    <t>Row1Grain5</t>
  </si>
  <si>
    <t>Spot_32</t>
  </si>
  <si>
    <t>Spot 32.FIN2</t>
  </si>
  <si>
    <t>04/03/2022 (6) 18:46:44.00</t>
  </si>
  <si>
    <t>Spot_33</t>
  </si>
  <si>
    <t>Spot 33.FIN2</t>
  </si>
  <si>
    <t>04/03/2022 (6) 18:47:28.00</t>
  </si>
  <si>
    <t>Spot_34</t>
  </si>
  <si>
    <t>Spot 34.FIN2</t>
  </si>
  <si>
    <t>04/03/2022 (6) 18:48:11.00</t>
  </si>
  <si>
    <t>Spot_35</t>
  </si>
  <si>
    <t>Spot 35.FIN2</t>
  </si>
  <si>
    <t>04/03/2022 (6) 18:48:55.00</t>
  </si>
  <si>
    <t>Spot_36</t>
  </si>
  <si>
    <t>Spot 36.FIN2</t>
  </si>
  <si>
    <t>04/03/2022 (6) 18:49:38.00</t>
  </si>
  <si>
    <t>Spot_37</t>
  </si>
  <si>
    <t>Spot 37.FIN2</t>
  </si>
  <si>
    <t>04/03/2022 (6) 18:50:22.00</t>
  </si>
  <si>
    <t>Spot_38</t>
  </si>
  <si>
    <t>Spot 38.FIN2</t>
  </si>
  <si>
    <t>04/03/2022 (6) 18:51:05.00</t>
  </si>
  <si>
    <t>Spot_39</t>
  </si>
  <si>
    <t>Spot 39.FIN2</t>
  </si>
  <si>
    <t>04/03/2022 (6) 18:51:49.00</t>
  </si>
  <si>
    <t>Spot_40</t>
  </si>
  <si>
    <t>Spot 40.FIN2</t>
  </si>
  <si>
    <t>04/03/2022 (6) 18:55:27.00</t>
  </si>
  <si>
    <t>Row2Grain1</t>
  </si>
  <si>
    <t>Spot_41</t>
  </si>
  <si>
    <t>Spot 41.FIN2</t>
  </si>
  <si>
    <t>04/03/2022 (6) 18:56:10.00</t>
  </si>
  <si>
    <t>Spot_42</t>
  </si>
  <si>
    <t>Spot 42.FIN2</t>
  </si>
  <si>
    <t>04/03/2022 (6) 18:56:54.00</t>
  </si>
  <si>
    <t>Spot_43</t>
  </si>
  <si>
    <t>Spot 43.FIN2</t>
  </si>
  <si>
    <t>04/03/2022 (6) 18:57:37.00</t>
  </si>
  <si>
    <t>Spot_44</t>
  </si>
  <si>
    <t>Spot 44.FIN2</t>
  </si>
  <si>
    <t>04/03/2022 (6) 18:58:21.00</t>
  </si>
  <si>
    <t>Spot_45</t>
  </si>
  <si>
    <t>Spot 45.FIN2</t>
  </si>
  <si>
    <t>04/03/2022 (6) 18:59:04.00</t>
  </si>
  <si>
    <t>Spot_46</t>
  </si>
  <si>
    <t>Spot 46.FIN2</t>
  </si>
  <si>
    <t>04/03/2022 (6) 19:00:31.00</t>
  </si>
  <si>
    <t>Row2Grain2</t>
  </si>
  <si>
    <t>Spot_47</t>
  </si>
  <si>
    <t>Spot 47.FIN2</t>
  </si>
  <si>
    <t>04/03/2022 (6) 19:01:15.00</t>
  </si>
  <si>
    <t>Spot_48</t>
  </si>
  <si>
    <t>Spot 48.FIN2</t>
  </si>
  <si>
    <t>04/03/2022 (6) 19:01:59.00</t>
  </si>
  <si>
    <t>Spot_49</t>
  </si>
  <si>
    <t>Spot 49.FIN2</t>
  </si>
  <si>
    <t>04/03/2022 (6) 19:02:42.00</t>
  </si>
  <si>
    <t>Spot_50</t>
  </si>
  <si>
    <t>Spot 50.FIN2</t>
  </si>
  <si>
    <t>04/03/2022 (6) 19:03:26.00</t>
  </si>
  <si>
    <t>Spot_51</t>
  </si>
  <si>
    <t>Spot 51.FIN2</t>
  </si>
  <si>
    <t>04/03/2022 (6) 19:04:09.00</t>
  </si>
  <si>
    <t>Spot_52</t>
  </si>
  <si>
    <t>Spot 52.FIN2</t>
  </si>
  <si>
    <t>04/03/2022 (6) 19:04:53.00</t>
  </si>
  <si>
    <t>Spot_53</t>
  </si>
  <si>
    <t>Spot 53.FIN2</t>
  </si>
  <si>
    <t>04/03/2022 (6) 19:08:31.00</t>
  </si>
  <si>
    <t>Row2Grain4</t>
  </si>
  <si>
    <t>Spot_54</t>
  </si>
  <si>
    <t>Spot 54.FIN2</t>
  </si>
  <si>
    <t>04/03/2022 (6) 19:09:14.00</t>
  </si>
  <si>
    <t>Spot_55</t>
  </si>
  <si>
    <t>Spot 55.FIN2</t>
  </si>
  <si>
    <t>04/03/2022 (6) 19:09:58.00</t>
  </si>
  <si>
    <t>Spot_56</t>
  </si>
  <si>
    <t>Spot 56.FIN2</t>
  </si>
  <si>
    <t>04/03/2022 (6) 19:10:41.00</t>
  </si>
  <si>
    <t>Spot_57</t>
  </si>
  <si>
    <t>Spot 57.FIN2</t>
  </si>
  <si>
    <t>04/03/2022 (6) 19:11:25.00</t>
  </si>
  <si>
    <t>Spot_58</t>
  </si>
  <si>
    <t>Spot 58.FIN2</t>
  </si>
  <si>
    <t>04/03/2022 (6) 19:12:08.00</t>
  </si>
  <si>
    <t>Spot_59</t>
  </si>
  <si>
    <t>Spot 59.FIN2</t>
  </si>
  <si>
    <t>04/03/2022 (6) 19:12:52.00</t>
  </si>
  <si>
    <t>Spot_60</t>
  </si>
  <si>
    <t>Spot 60.FIN2</t>
  </si>
  <si>
    <t>04/03/2022 (6) 19:13:35.00</t>
  </si>
  <si>
    <t>Spot_61</t>
  </si>
  <si>
    <t>Spot 61.FIN2</t>
  </si>
  <si>
    <t>04/03/2022 (6) 19:14:19.00</t>
  </si>
  <si>
    <t>Spot_62</t>
  </si>
  <si>
    <t>Spot 62.FIN2</t>
  </si>
  <si>
    <t>04/03/2022 (6) 19:15:02.00</t>
  </si>
  <si>
    <t>Spot_63</t>
  </si>
  <si>
    <t>Spot 63.FIN2</t>
  </si>
  <si>
    <t>04/03/2022 (6) 19:15:46.00</t>
  </si>
  <si>
    <t>Spot_64</t>
  </si>
  <si>
    <t>Spot 64.FIN2</t>
  </si>
  <si>
    <t>04/03/2022 (6) 19:17:13.00</t>
  </si>
  <si>
    <t>Row2Grain5</t>
  </si>
  <si>
    <t>Spot_65</t>
  </si>
  <si>
    <t>Spot 65.FIN2</t>
  </si>
  <si>
    <t>04/03/2022 (6) 19:17:57.00</t>
  </si>
  <si>
    <t>Spot_66</t>
  </si>
  <si>
    <t>Spot 66.FIN2</t>
  </si>
  <si>
    <t>04/03/2022 (6) 19:18:40.00</t>
  </si>
  <si>
    <t>Spot_67</t>
  </si>
  <si>
    <t>Spot 67.FIN2</t>
  </si>
  <si>
    <t>04/03/2022 (6) 19:19:24.00</t>
  </si>
  <si>
    <t>Spot_68</t>
  </si>
  <si>
    <t>Spot 68.FIN2</t>
  </si>
  <si>
    <t>04/03/2022 (6) 19:22:18.00</t>
  </si>
  <si>
    <t>Row2Grain3</t>
  </si>
  <si>
    <t>Spot_69</t>
  </si>
  <si>
    <t>Spot 69.FIN2</t>
  </si>
  <si>
    <t>04/03/2022 (6) 19:23:02.00</t>
  </si>
  <si>
    <t>Spot_70</t>
  </si>
  <si>
    <t>Spot 70.FIN2</t>
  </si>
  <si>
    <t>04/03/2022 (6) 19:25:12.00</t>
  </si>
  <si>
    <t>Row2Grain6</t>
  </si>
  <si>
    <t>Spot_71</t>
  </si>
  <si>
    <t>Spot 71.FIN2</t>
  </si>
  <si>
    <t>04/03/2022 (6) 19:25:56.00</t>
  </si>
  <si>
    <t>Spot_72</t>
  </si>
  <si>
    <t>Spot 72.FIN2</t>
  </si>
  <si>
    <t>04/03/2022 (6) 19:26:40.00</t>
  </si>
  <si>
    <t>Spot_73</t>
  </si>
  <si>
    <t>Spot 73.FIN2</t>
  </si>
  <si>
    <t>04/03/2022 (6) 19:27:23.00</t>
  </si>
  <si>
    <t>Spot_74</t>
  </si>
  <si>
    <t>Spot 74.FIN2</t>
  </si>
  <si>
    <t>04/03/2022 (6) 19:28:50.00</t>
  </si>
  <si>
    <t>Row3Grain1</t>
  </si>
  <si>
    <t>Spot_75</t>
  </si>
  <si>
    <t>Spot 75.FIN2</t>
  </si>
  <si>
    <t>04/03/2022 (6) 19:29:34.00</t>
  </si>
  <si>
    <t>Spot_76</t>
  </si>
  <si>
    <t>Spot 76.FIN2</t>
  </si>
  <si>
    <t>04/03/2022 (6) 19:30:17.00</t>
  </si>
  <si>
    <t>051914_1</t>
  </si>
  <si>
    <t>yr-1</t>
  </si>
  <si>
    <t>Ref#</t>
  </si>
  <si>
    <t>ncc</t>
  </si>
  <si>
    <t>Spike</t>
  </si>
  <si>
    <t>M2</t>
  </si>
  <si>
    <t>lambda 238</t>
  </si>
  <si>
    <t>New Normal</t>
  </si>
  <si>
    <t>lambda 235</t>
  </si>
  <si>
    <t>lambda 232</t>
  </si>
  <si>
    <t>Measured Spike Data</t>
  </si>
  <si>
    <t>+/-</t>
  </si>
  <si>
    <t>lambda 147</t>
  </si>
  <si>
    <t>238U/235U Spike</t>
  </si>
  <si>
    <t>232Th/230Th Spike</t>
  </si>
  <si>
    <t>Natural Ratio (Std)</t>
  </si>
  <si>
    <t>Meas. Spike Ratio</t>
  </si>
  <si>
    <t>ppm in NN</t>
  </si>
  <si>
    <t>147/149Sm Spike</t>
  </si>
  <si>
    <t>U</t>
  </si>
  <si>
    <t>Total Error</t>
  </si>
  <si>
    <t>Th</t>
  </si>
  <si>
    <t>Measured New Normal Data</t>
  </si>
  <si>
    <t>Sm</t>
  </si>
  <si>
    <t>238U/235U NN</t>
  </si>
  <si>
    <t>232Th/230Th NN</t>
  </si>
  <si>
    <t>147/149Sm NN</t>
  </si>
  <si>
    <t>New Normal Data:</t>
  </si>
  <si>
    <t>NN atoms/ml</t>
  </si>
  <si>
    <t>NN meas. atoms/ml</t>
  </si>
  <si>
    <t>Goal Seek to 1</t>
  </si>
  <si>
    <t>Spike Data:</t>
  </si>
  <si>
    <t>ng/ml</t>
  </si>
  <si>
    <t>atoms/ml</t>
  </si>
  <si>
    <t>238 U</t>
  </si>
  <si>
    <t xml:space="preserve">235 Spike </t>
  </si>
  <si>
    <t>232 Th</t>
  </si>
  <si>
    <t xml:space="preserve">230 Spike </t>
  </si>
  <si>
    <t>147 Sm</t>
  </si>
  <si>
    <t>149 Spike</t>
  </si>
  <si>
    <t>230/235 spike</t>
  </si>
  <si>
    <t>Sample</t>
  </si>
  <si>
    <t>Ratio U</t>
  </si>
  <si>
    <t>abs +/-</t>
  </si>
  <si>
    <t>Ratio Th</t>
  </si>
  <si>
    <t>Ratio Sm</t>
  </si>
  <si>
    <t>4He (ncc)</t>
  </si>
  <si>
    <t>4He +/-</t>
  </si>
  <si>
    <t>Mass (ug)</t>
  </si>
  <si>
    <t xml:space="preserve">  Ft</t>
  </si>
  <si>
    <t xml:space="preserve"> No.Reps </t>
  </si>
  <si>
    <t>age (Ma)</t>
  </si>
  <si>
    <t>+/-abs</t>
  </si>
  <si>
    <t>Uncorrected Age (Ma)</t>
  </si>
  <si>
    <t>Ft age (Ma)</t>
  </si>
  <si>
    <t>U (ppb)</t>
  </si>
  <si>
    <t>Th (ppb)</t>
  </si>
  <si>
    <t>Sm (ppb)</t>
  </si>
  <si>
    <t>He (ncc)/mg</t>
  </si>
  <si>
    <t>Ft</t>
  </si>
  <si>
    <t>Th/U</t>
  </si>
  <si>
    <t>U (at)</t>
  </si>
  <si>
    <t>Th (at)</t>
  </si>
  <si>
    <t>Sm (at)</t>
  </si>
  <si>
    <t>4He(at)</t>
  </si>
  <si>
    <t>EabsTop</t>
  </si>
  <si>
    <t>Eabsbot</t>
  </si>
  <si>
    <t>Ea/a</t>
  </si>
  <si>
    <t>Ec</t>
  </si>
  <si>
    <t>Taylor1</t>
  </si>
  <si>
    <t>TayAtom</t>
  </si>
  <si>
    <t>TayErr</t>
  </si>
  <si>
    <t>AgeErr</t>
  </si>
  <si>
    <t>TAge</t>
  </si>
  <si>
    <t>Errb</t>
  </si>
  <si>
    <t>ErrAge</t>
  </si>
  <si>
    <t>4He Err</t>
  </si>
  <si>
    <t>Err in Abs amt (ncc)</t>
  </si>
  <si>
    <t>Spherical Geometry</t>
  </si>
  <si>
    <t>The domain size is half the sheet thickness</t>
  </si>
  <si>
    <t>Analytical Error Propagation</t>
  </si>
  <si>
    <r>
      <t xml:space="preserve">a, </t>
    </r>
    <r>
      <rPr>
        <sz val="11"/>
        <color theme="1"/>
        <rFont val="Calibri"/>
        <family val="2"/>
      </rPr>
      <t>μm</t>
    </r>
  </si>
  <si>
    <r>
      <t xml:space="preserve">1σ, </t>
    </r>
    <r>
      <rPr>
        <sz val="11"/>
        <color theme="1" tint="0.499984740745262"/>
        <rFont val="Calibri"/>
        <family val="2"/>
      </rPr>
      <t>μm</t>
    </r>
  </si>
  <si>
    <r>
      <t>Relative 1</t>
    </r>
    <r>
      <rPr>
        <sz val="11"/>
        <color theme="1" tint="0.499984740745262"/>
        <rFont val="Calibri"/>
        <family val="2"/>
      </rPr>
      <t>σ</t>
    </r>
    <r>
      <rPr>
        <sz val="11"/>
        <color theme="1" tint="0.499984740745262"/>
        <rFont val="Calibri"/>
        <family val="2"/>
        <scheme val="minor"/>
      </rPr>
      <t>, %</t>
    </r>
  </si>
  <si>
    <t>Step Temperature</t>
  </si>
  <si>
    <t>Step Duration</t>
  </si>
  <si>
    <t>Gas fraction</t>
  </si>
  <si>
    <t>Cumultive gas fraction</t>
  </si>
  <si>
    <t>Diffusivity divided by diffusion domain size square</t>
  </si>
  <si>
    <r>
      <t>Natural Log of (D/a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)</t>
    </r>
  </si>
  <si>
    <t xml:space="preserve">Diffusivity </t>
  </si>
  <si>
    <r>
      <t>Natural Log of (D</t>
    </r>
    <r>
      <rPr>
        <b/>
        <sz val="11"/>
        <rFont val="Calibri"/>
        <family val="2"/>
        <scheme val="minor"/>
      </rPr>
      <t>)</t>
    </r>
  </si>
  <si>
    <t>Step</t>
  </si>
  <si>
    <t>t cum, h</t>
  </si>
  <si>
    <t>T</t>
  </si>
  <si>
    <r>
      <t>δ(T</t>
    </r>
    <r>
      <rPr>
        <vertAlign val="subscript"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)(1σ)</t>
    </r>
  </si>
  <si>
    <r>
      <t>10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/T</t>
    </r>
  </si>
  <si>
    <r>
      <t>σ (10</t>
    </r>
    <r>
      <rPr>
        <vertAlign val="superscript"/>
        <sz val="11"/>
        <color theme="0" tint="-0.499984740745262"/>
        <rFont val="Calibri"/>
        <family val="2"/>
        <scheme val="minor"/>
      </rPr>
      <t>4</t>
    </r>
    <r>
      <rPr>
        <sz val="11"/>
        <color theme="0" tint="-0.499984740745262"/>
        <rFont val="Calibri"/>
        <family val="2"/>
        <scheme val="minor"/>
      </rPr>
      <t>/T</t>
    </r>
    <r>
      <rPr>
        <vertAlign val="subscript"/>
        <sz val="11"/>
        <color theme="0" tint="-0.499984740745262"/>
        <rFont val="Calibri"/>
        <family val="2"/>
        <scheme val="minor"/>
      </rPr>
      <t>n</t>
    </r>
    <r>
      <rPr>
        <sz val="11"/>
        <color theme="0" tint="-0.499984740745262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</si>
  <si>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Δ</t>
    </r>
    <r>
      <rPr>
        <sz val="12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>n</t>
    </r>
  </si>
  <si>
    <r>
      <t>δΔt</t>
    </r>
    <r>
      <rPr>
        <vertAlign val="subscript"/>
        <sz val="12"/>
        <color theme="1" tint="0.499984740745262"/>
        <rFont val="Calibri"/>
        <family val="2"/>
        <scheme val="minor"/>
      </rPr>
      <t>n</t>
    </r>
    <r>
      <rPr>
        <sz val="12"/>
        <color theme="1" tint="0.499984740745262"/>
        <rFont val="Calibri"/>
        <family val="2"/>
        <scheme val="minor"/>
      </rPr>
      <t xml:space="preserve"> (1</t>
    </r>
    <r>
      <rPr>
        <sz val="12"/>
        <color theme="1" tint="0.499984740745262"/>
        <rFont val="Calibri"/>
        <family val="2"/>
      </rPr>
      <t>σ)</t>
    </r>
  </si>
  <si>
    <r>
      <t>X</t>
    </r>
    <r>
      <rPr>
        <vertAlign val="subscript"/>
        <sz val="11"/>
        <color theme="1"/>
        <rFont val="Calibri"/>
        <family val="2"/>
        <scheme val="minor"/>
      </rPr>
      <t>n</t>
    </r>
  </si>
  <si>
    <r>
      <rPr>
        <sz val="11"/>
        <color theme="1" tint="0.499984740745262"/>
        <rFont val="Calibri"/>
        <family val="2"/>
      </rPr>
      <t>δX</t>
    </r>
    <r>
      <rPr>
        <vertAlign val="subscript"/>
        <sz val="11"/>
        <color theme="1" tint="0.499984740745262"/>
        <rFont val="Calibri"/>
        <family val="2"/>
      </rPr>
      <t>n</t>
    </r>
    <r>
      <rPr>
        <sz val="11"/>
        <color theme="1" tint="0.499984740745262"/>
        <rFont val="Calibri"/>
        <family val="2"/>
      </rPr>
      <t xml:space="preserve"> (</t>
    </r>
    <r>
      <rPr>
        <sz val="11"/>
        <color theme="1" tint="0.499984740745262"/>
        <rFont val="Calibri"/>
        <family val="2"/>
        <scheme val="minor"/>
      </rPr>
      <t>1σ)</t>
    </r>
  </si>
  <si>
    <t>RSD</t>
  </si>
  <si>
    <r>
      <t>X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/X</t>
    </r>
    <r>
      <rPr>
        <vertAlign val="subscript"/>
        <sz val="11"/>
        <color theme="1"/>
        <rFont val="Calibri"/>
        <family val="2"/>
        <scheme val="minor"/>
      </rPr>
      <t>T</t>
    </r>
  </si>
  <si>
    <r>
      <t>X</t>
    </r>
    <r>
      <rPr>
        <vertAlign val="subscript"/>
        <sz val="11"/>
        <color theme="1" tint="0.499984740745262"/>
        <rFont val="Calibri"/>
        <family val="2"/>
        <scheme val="minor"/>
      </rPr>
      <t>n</t>
    </r>
    <r>
      <rPr>
        <sz val="11"/>
        <color theme="1" tint="0.499984740745262"/>
        <rFont val="Calibri"/>
        <family val="2"/>
        <scheme val="minor"/>
      </rPr>
      <t>/X</t>
    </r>
    <r>
      <rPr>
        <vertAlign val="subscript"/>
        <sz val="11"/>
        <color theme="1" tint="0.499984740745262"/>
        <rFont val="Calibri"/>
        <family val="2"/>
        <scheme val="minor"/>
      </rPr>
      <t>T</t>
    </r>
    <r>
      <rPr>
        <sz val="11"/>
        <color theme="1" tint="0.499984740745262"/>
        <rFont val="Calibri"/>
        <family val="2"/>
        <scheme val="minor"/>
      </rPr>
      <t xml:space="preserve"> (1</t>
    </r>
    <r>
      <rPr>
        <sz val="11"/>
        <color theme="1" tint="0.499984740745262"/>
        <rFont val="Calibri"/>
        <family val="2"/>
      </rPr>
      <t>δ)</t>
    </r>
  </si>
  <si>
    <r>
      <t>f</t>
    </r>
    <r>
      <rPr>
        <vertAlign val="subscript"/>
        <sz val="11"/>
        <color theme="1"/>
        <rFont val="Calibri"/>
        <family val="2"/>
        <scheme val="minor"/>
      </rPr>
      <t>(n)</t>
    </r>
  </si>
  <si>
    <r>
      <rPr>
        <sz val="11"/>
        <color theme="1" tint="0.499984740745262"/>
        <rFont val="Calibri"/>
        <family val="2"/>
      </rPr>
      <t>δ</t>
    </r>
    <r>
      <rPr>
        <sz val="11"/>
        <color theme="1" tint="0.499984740745262"/>
        <rFont val="Calibri"/>
        <family val="2"/>
        <scheme val="minor"/>
      </rPr>
      <t>f</t>
    </r>
    <r>
      <rPr>
        <vertAlign val="subscript"/>
        <sz val="11"/>
        <color theme="1" tint="0.499984740745262"/>
        <rFont val="Calibri"/>
        <family val="2"/>
        <scheme val="minor"/>
      </rPr>
      <t>(n)</t>
    </r>
    <r>
      <rPr>
        <sz val="11"/>
        <color theme="1" tint="0.499984740745262"/>
        <rFont val="Calibri"/>
        <family val="2"/>
        <scheme val="minor"/>
      </rPr>
      <t xml:space="preserve"> (1σ)</t>
    </r>
  </si>
  <si>
    <r>
      <t>(D/a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  <r>
      <rPr>
        <vertAlign val="subscript"/>
        <sz val="11"/>
        <rFont val="Calibri"/>
        <family val="2"/>
        <scheme val="minor"/>
      </rPr>
      <t>n</t>
    </r>
  </si>
  <si>
    <r>
      <rPr>
        <sz val="11"/>
        <color theme="1" tint="0.499984740745262"/>
        <rFont val="Calibri"/>
        <family val="2"/>
      </rPr>
      <t>δ(</t>
    </r>
    <r>
      <rPr>
        <sz val="11"/>
        <color theme="1" tint="0.499984740745262"/>
        <rFont val="Calibri"/>
        <family val="2"/>
        <scheme val="minor"/>
      </rPr>
      <t>D/a</t>
    </r>
    <r>
      <rPr>
        <vertAlign val="superscript"/>
        <sz val="11"/>
        <color theme="1" tint="0.499984740745262"/>
        <rFont val="Calibri"/>
        <family val="2"/>
        <scheme val="minor"/>
      </rPr>
      <t>2</t>
    </r>
    <r>
      <rPr>
        <sz val="11"/>
        <color theme="1" tint="0.499984740745262"/>
        <rFont val="Calibri"/>
        <family val="2"/>
        <scheme val="minor"/>
      </rPr>
      <t>)</t>
    </r>
    <r>
      <rPr>
        <vertAlign val="subscript"/>
        <sz val="11"/>
        <color theme="1" tint="0.499984740745262"/>
        <rFont val="Calibri"/>
        <family val="2"/>
        <scheme val="minor"/>
      </rPr>
      <t>(</t>
    </r>
    <r>
      <rPr>
        <vertAlign val="subscript"/>
        <sz val="11"/>
        <color theme="1" tint="0.499984740745262"/>
        <rFont val="Calibri"/>
        <family val="2"/>
      </rPr>
      <t>Δtn</t>
    </r>
    <r>
      <rPr>
        <vertAlign val="subscript"/>
        <sz val="11"/>
        <color theme="1" tint="0.499984740745262"/>
        <rFont val="Calibri"/>
        <family val="2"/>
        <scheme val="minor"/>
      </rPr>
      <t>)</t>
    </r>
  </si>
  <si>
    <r>
      <rPr>
        <sz val="11"/>
        <color theme="1" tint="0.499984740745262"/>
        <rFont val="Calibri"/>
        <family val="2"/>
      </rPr>
      <t>δ(</t>
    </r>
    <r>
      <rPr>
        <sz val="11"/>
        <color theme="1" tint="0.499984740745262"/>
        <rFont val="Calibri"/>
        <family val="2"/>
        <scheme val="minor"/>
      </rPr>
      <t>D/a</t>
    </r>
    <r>
      <rPr>
        <vertAlign val="superscript"/>
        <sz val="11"/>
        <color theme="1" tint="0.499984740745262"/>
        <rFont val="Calibri"/>
        <family val="2"/>
        <scheme val="minor"/>
      </rPr>
      <t>2</t>
    </r>
    <r>
      <rPr>
        <sz val="11"/>
        <color theme="1" tint="0.499984740745262"/>
        <rFont val="Calibri"/>
        <family val="2"/>
        <scheme val="minor"/>
      </rPr>
      <t>)</t>
    </r>
    <r>
      <rPr>
        <vertAlign val="subscript"/>
        <sz val="11"/>
        <color theme="1" tint="0.499984740745262"/>
        <rFont val="Calibri"/>
        <family val="2"/>
        <scheme val="minor"/>
      </rPr>
      <t>(Xi)</t>
    </r>
  </si>
  <si>
    <r>
      <rPr>
        <sz val="11"/>
        <color theme="1" tint="0.499984740745262"/>
        <rFont val="Calibri"/>
        <family val="2"/>
      </rPr>
      <t>δ(</t>
    </r>
    <r>
      <rPr>
        <sz val="11"/>
        <color theme="1" tint="0.499984740745262"/>
        <rFont val="Calibri"/>
        <family val="2"/>
        <scheme val="minor"/>
      </rPr>
      <t>D/a</t>
    </r>
    <r>
      <rPr>
        <vertAlign val="superscript"/>
        <sz val="11"/>
        <color theme="1" tint="0.499984740745262"/>
        <rFont val="Calibri"/>
        <family val="2"/>
        <scheme val="minor"/>
      </rPr>
      <t>2</t>
    </r>
    <r>
      <rPr>
        <sz val="11"/>
        <color theme="1" tint="0.499984740745262"/>
        <rFont val="Calibri"/>
        <family val="2"/>
        <scheme val="minor"/>
      </rPr>
      <t>)(1σ)</t>
    </r>
  </si>
  <si>
    <t>2σ</t>
  </si>
  <si>
    <r>
      <t>ln(D/a²)</t>
    </r>
    <r>
      <rPr>
        <vertAlign val="subscript"/>
        <sz val="11"/>
        <rFont val="Calibri"/>
        <family val="2"/>
        <scheme val="minor"/>
      </rPr>
      <t>n</t>
    </r>
  </si>
  <si>
    <r>
      <rPr>
        <sz val="11"/>
        <color theme="1" tint="0.499984740745262"/>
        <rFont val="Calibri"/>
        <family val="2"/>
      </rPr>
      <t>δ(ln(</t>
    </r>
    <r>
      <rPr>
        <sz val="11"/>
        <color theme="1" tint="0.499984740745262"/>
        <rFont val="Calibri"/>
        <family val="2"/>
        <scheme val="minor"/>
      </rPr>
      <t>D/a²))(1σ)</t>
    </r>
  </si>
  <si>
    <t>ln(D/a²)n 2σ</t>
  </si>
  <si>
    <r>
      <t>D</t>
    </r>
    <r>
      <rPr>
        <vertAlign val="subscript"/>
        <sz val="11"/>
        <rFont val="Calibri"/>
        <family val="2"/>
        <scheme val="minor"/>
      </rPr>
      <t>n</t>
    </r>
  </si>
  <si>
    <r>
      <t>Ln(D)</t>
    </r>
    <r>
      <rPr>
        <vertAlign val="subscript"/>
        <sz val="11"/>
        <rFont val="Calibri"/>
        <family val="2"/>
        <scheme val="minor"/>
      </rPr>
      <t>n</t>
    </r>
  </si>
  <si>
    <t>h</t>
  </si>
  <si>
    <r>
      <rPr>
        <sz val="11"/>
        <color theme="1"/>
        <rFont val="Calibri"/>
        <family val="2"/>
      </rPr>
      <t>°</t>
    </r>
    <r>
      <rPr>
        <sz val="12"/>
        <color theme="1"/>
        <rFont val="Calibri"/>
        <family val="2"/>
        <scheme val="minor"/>
      </rPr>
      <t>C</t>
    </r>
  </si>
  <si>
    <t>°C</t>
  </si>
  <si>
    <r>
      <t xml:space="preserve"> K</t>
    </r>
    <r>
      <rPr>
        <vertAlign val="superscript"/>
        <sz val="11"/>
        <color theme="1"/>
        <rFont val="Calibri"/>
        <family val="2"/>
      </rPr>
      <t>¯¹</t>
    </r>
  </si>
  <si>
    <r>
      <t xml:space="preserve"> K</t>
    </r>
    <r>
      <rPr>
        <vertAlign val="superscript"/>
        <sz val="11"/>
        <color theme="0" tint="-0.499984740745262"/>
        <rFont val="Calibri"/>
        <family val="2"/>
      </rPr>
      <t>¯¹</t>
    </r>
  </si>
  <si>
    <t>s</t>
  </si>
  <si>
    <t>%</t>
  </si>
  <si>
    <r>
      <t>s</t>
    </r>
    <r>
      <rPr>
        <vertAlign val="superscript"/>
        <sz val="11"/>
        <rFont val="Calibri"/>
        <family val="2"/>
        <scheme val="minor"/>
      </rPr>
      <t>-1</t>
    </r>
  </si>
  <si>
    <r>
      <t>s</t>
    </r>
    <r>
      <rPr>
        <vertAlign val="superscript"/>
        <sz val="11"/>
        <color theme="1" tint="0.499984740745262"/>
        <rFont val="Calibri"/>
        <family val="2"/>
        <scheme val="minor"/>
      </rPr>
      <t>-1</t>
    </r>
  </si>
  <si>
    <r>
      <t>ln(s</t>
    </r>
    <r>
      <rPr>
        <sz val="11"/>
        <rFont val="Calibri"/>
        <family val="2"/>
      </rPr>
      <t>¯</t>
    </r>
    <r>
      <rPr>
        <sz val="11"/>
        <rFont val="Calibri"/>
        <family val="2"/>
        <scheme val="minor"/>
      </rPr>
      <t>¹)</t>
    </r>
  </si>
  <si>
    <r>
      <t>ln(s</t>
    </r>
    <r>
      <rPr>
        <sz val="11"/>
        <color theme="1" tint="0.499984740745262"/>
        <rFont val="Calibri"/>
        <family val="2"/>
      </rPr>
      <t>¯</t>
    </r>
    <r>
      <rPr>
        <sz val="11"/>
        <color theme="1" tint="0.499984740745262"/>
        <rFont val="Calibri"/>
        <family val="2"/>
        <scheme val="minor"/>
      </rPr>
      <t>¹)</t>
    </r>
  </si>
  <si>
    <r>
      <t>cm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/s</t>
    </r>
    <r>
      <rPr>
        <vertAlign val="superscript"/>
        <sz val="11"/>
        <rFont val="Calibri"/>
        <family val="2"/>
        <scheme val="minor"/>
      </rPr>
      <t>-1</t>
    </r>
  </si>
  <si>
    <r>
      <t>cm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/s</t>
    </r>
    <r>
      <rPr>
        <vertAlign val="superscript"/>
        <sz val="11"/>
        <color theme="0" tint="-0.499984740745262"/>
        <rFont val="Calibri"/>
        <family val="2"/>
        <scheme val="minor"/>
      </rPr>
      <t>-1</t>
    </r>
  </si>
  <si>
    <r>
      <t>Ln(cm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/s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</si>
  <si>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Ln(cm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/s</t>
    </r>
    <r>
      <rPr>
        <vertAlign val="superscript"/>
        <sz val="11"/>
        <color theme="0" tint="-0.499984740745262"/>
        <rFont val="Calibri"/>
        <family val="2"/>
        <scheme val="minor"/>
      </rPr>
      <t>-1</t>
    </r>
    <r>
      <rPr>
        <sz val="11"/>
        <color theme="0" tint="-0.499984740745262"/>
        <rFont val="Calibri"/>
        <family val="2"/>
        <scheme val="minor"/>
      </rPr>
      <t>)</t>
    </r>
  </si>
  <si>
    <t>He, ncc (cold blk corr.)</t>
  </si>
  <si>
    <t>He ncc (cold blk corr.)</t>
  </si>
  <si>
    <t>Ncc</t>
  </si>
  <si>
    <t>He,ncc (cold blk corr.)</t>
  </si>
  <si>
    <t>mineral</t>
  </si>
  <si>
    <t>Age_Ma</t>
  </si>
  <si>
    <t>err_Ma</t>
  </si>
  <si>
    <t>U_(ppm)</t>
  </si>
  <si>
    <t>Th_(ppm)</t>
  </si>
  <si>
    <t>147Sm_(ppm)</t>
  </si>
  <si>
    <t>[U]e</t>
  </si>
  <si>
    <t>He_(nmol/g)</t>
  </si>
  <si>
    <t>mass_(ug)</t>
  </si>
  <si>
    <t>He (ncc) correct?</t>
  </si>
  <si>
    <t>ESR</t>
  </si>
  <si>
    <t>z18RIES01-10</t>
  </si>
  <si>
    <t>zircon</t>
  </si>
  <si>
    <t>z18RIES01-11</t>
  </si>
  <si>
    <t>z18RIES01-15</t>
  </si>
  <si>
    <t>z18RIES01-2</t>
  </si>
  <si>
    <t>z18RIES01-4</t>
  </si>
  <si>
    <t>z18RIES01-5</t>
  </si>
  <si>
    <t>z18RIES02-10</t>
  </si>
  <si>
    <t>z18RIES02-16</t>
  </si>
  <si>
    <t>z18RIES02-17</t>
  </si>
  <si>
    <t>z18RIES02-18</t>
  </si>
  <si>
    <t>z18RIES02-19</t>
  </si>
  <si>
    <t>z18RIES02-20</t>
  </si>
  <si>
    <t>z18RIES02-21</t>
  </si>
  <si>
    <t>z18RIES02-22</t>
  </si>
  <si>
    <t>z18RIES02-23</t>
  </si>
  <si>
    <t>z18RIES02-24</t>
  </si>
  <si>
    <t>z18RIES02-25</t>
  </si>
  <si>
    <t>z18RIES02-3</t>
  </si>
  <si>
    <t>z18RIES02-4</t>
  </si>
  <si>
    <t>z18RIES02-5</t>
  </si>
  <si>
    <t>z18RIES02-7</t>
  </si>
  <si>
    <t>z18RIES03-16</t>
  </si>
  <si>
    <t>z18RIES04-11</t>
  </si>
  <si>
    <t>z18RIES04-14</t>
  </si>
  <si>
    <t>z18RIES04-15</t>
  </si>
  <si>
    <t>z18RIES04-16</t>
  </si>
  <si>
    <t>z18RIES04-17</t>
  </si>
  <si>
    <t>z18RIES04-18</t>
  </si>
  <si>
    <t>z18RIES04-19</t>
  </si>
  <si>
    <t>z18RIES04-20</t>
  </si>
  <si>
    <t>z18RIES04-21</t>
  </si>
  <si>
    <t>z18RIES04-22</t>
  </si>
  <si>
    <t>z18RIES04-23</t>
  </si>
  <si>
    <t>z18RIES04-25</t>
  </si>
  <si>
    <t>z18RIES04-4</t>
  </si>
  <si>
    <t>z18RIES04-8</t>
  </si>
  <si>
    <t>z18RIES04-9</t>
  </si>
  <si>
    <t>Low counts</t>
  </si>
  <si>
    <t>Location</t>
  </si>
  <si>
    <t>Type</t>
  </si>
  <si>
    <t>19RIES01</t>
  </si>
  <si>
    <t>Meyerskeller</t>
  </si>
  <si>
    <t>highly shocked variscan basement from the crystalline ring</t>
  </si>
  <si>
    <t>19RIES02</t>
  </si>
  <si>
    <t>Polsingen</t>
  </si>
  <si>
    <t>clast rich impact melt or impact melt breccia</t>
  </si>
  <si>
    <t>19RIES03</t>
  </si>
  <si>
    <t>monomict breccia from variscan basement within a suevite flow</t>
  </si>
  <si>
    <t>19RIES04</t>
  </si>
  <si>
    <t>Auhmule</t>
  </si>
  <si>
    <t>suevite</t>
  </si>
  <si>
    <t>Latitude/Longtitude</t>
  </si>
  <si>
    <t>48.841150, 10.493516</t>
  </si>
  <si>
    <t>49.0291667, 10.8269444</t>
  </si>
  <si>
    <t>48.9325, 10.79388</t>
  </si>
  <si>
    <t>Unterwilflingen</t>
  </si>
  <si>
    <t>48.855833, 10.333056</t>
  </si>
  <si>
    <t>IODP364</t>
  </si>
  <si>
    <t>Crater</t>
  </si>
  <si>
    <t>Ries</t>
  </si>
  <si>
    <t>Chicxulub</t>
  </si>
  <si>
    <t>21.450150, -89.949367</t>
  </si>
  <si>
    <t>Meters below seafloor (mbsf)+F1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</si>
</sst>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E+00"/>
    <numFmt numFmtId="165" formatCode="0.000E+00"/>
    <numFmt numFmtId="166" formatCode="0.0000"/>
    <numFmt numFmtId="167" formatCode="0.000000"/>
    <numFmt numFmtId="168" formatCode="0E+00"/>
    <numFmt numFmtId="169" formatCode="0.00000"/>
    <numFmt numFmtId="170" formatCode="0.0"/>
    <numFmt numFmtId="171" formatCode="0.0E+00;\_x0000_"/>
    <numFmt numFmtId="172" formatCode="0.000"/>
  </numFmts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 (Body)"/>
    </font>
    <font>
      <sz val="16"/>
      <color theme="1"/>
      <name val="Calibri (Body)"/>
    </font>
    <font>
      <vertAlign val="subscript"/>
      <sz val="16"/>
      <color theme="1"/>
      <name val="Calibri (Body)"/>
    </font>
    <font>
      <sz val="16"/>
      <color theme="0" tint="-0.499984740745262"/>
      <name val="Calibri (Body)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 (Body)"/>
    </font>
    <font>
      <vertAlign val="superscript"/>
      <sz val="16"/>
      <color theme="0" tint="-0.499984740745262"/>
      <name val="Calibri (Body)"/>
    </font>
    <font>
      <sz val="14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499984740745262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vertAlign val="subscript"/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Arial"/>
      <family val="2"/>
    </font>
    <font>
      <sz val="10"/>
      <color indexed="10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sz val="8.25"/>
      <color indexed="8"/>
      <name val="Arial"/>
      <family val="2"/>
    </font>
    <font>
      <i/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color rgb="FF0000FF"/>
      <name val="Arial"/>
      <family val="2"/>
    </font>
    <font>
      <b/>
      <sz val="10"/>
      <color rgb="FFFF0000"/>
      <name val="Times New Roman"/>
      <family val="1"/>
    </font>
    <font>
      <b/>
      <i/>
      <sz val="10"/>
      <name val="Times New Roman"/>
      <family val="1"/>
    </font>
    <font>
      <sz val="10"/>
      <color theme="1"/>
      <name val="Arial"/>
      <family val="2"/>
    </font>
    <font>
      <i/>
      <strike/>
      <sz val="10"/>
      <name val="Times New Roman"/>
      <family val="1"/>
    </font>
    <font>
      <strike/>
      <sz val="10"/>
      <name val="Times New Roman"/>
      <family val="1"/>
    </font>
    <font>
      <b/>
      <strike/>
      <sz val="10"/>
      <name val="Times New Roman"/>
      <family val="1"/>
    </font>
    <font>
      <b/>
      <i/>
      <sz val="10"/>
      <color indexed="10"/>
      <name val="Times New Roman"/>
      <family val="1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vertAlign val="subscript"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</font>
    <font>
      <vertAlign val="subscript"/>
      <sz val="11"/>
      <color theme="1" tint="0.499984740745262"/>
      <name val="Calibri"/>
      <family val="2"/>
    </font>
    <font>
      <vertAlign val="subscript"/>
      <sz val="11"/>
      <color theme="1" tint="0.499984740745262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color theme="1" tint="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0" tint="-0.499984740745262"/>
      <name val="Calibri"/>
      <family val="2"/>
    </font>
    <font>
      <sz val="11"/>
      <color theme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rgb="FF202124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0212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3" fillId="0" borderId="0"/>
  </cellStyleXfs>
  <cellXfs count="395">
    <xf numFmtId="0" fontId="0" fillId="0" borderId="0" xfId="0"/>
    <xf numFmtId="0" fontId="3" fillId="0" borderId="0" xfId="1"/>
    <xf numFmtId="0" fontId="4" fillId="0" borderId="0" xfId="1" applyFont="1"/>
    <xf numFmtId="0" fontId="7" fillId="0" borderId="0" xfId="1" applyFont="1"/>
    <xf numFmtId="0" fontId="9" fillId="0" borderId="0" xfId="1" applyFont="1"/>
    <xf numFmtId="0" fontId="10" fillId="0" borderId="0" xfId="1" applyFont="1"/>
    <xf numFmtId="0" fontId="10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wrapText="1"/>
    </xf>
    <xf numFmtId="0" fontId="13" fillId="0" borderId="0" xfId="1" applyFont="1" applyAlignment="1">
      <alignment horizontal="center" wrapText="1"/>
    </xf>
    <xf numFmtId="0" fontId="12" fillId="0" borderId="0" xfId="1" applyFont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6" fillId="2" borderId="6" xfId="1" applyFont="1" applyFill="1" applyBorder="1"/>
    <xf numFmtId="0" fontId="16" fillId="2" borderId="2" xfId="1" applyFont="1" applyFill="1" applyBorder="1"/>
    <xf numFmtId="1" fontId="16" fillId="2" borderId="2" xfId="1" applyNumberFormat="1" applyFont="1" applyFill="1" applyBorder="1" applyAlignment="1">
      <alignment horizontal="center" vertical="center"/>
    </xf>
    <xf numFmtId="2" fontId="16" fillId="2" borderId="2" xfId="1" applyNumberFormat="1" applyFont="1" applyFill="1" applyBorder="1" applyAlignment="1">
      <alignment horizontal="center" vertical="center"/>
    </xf>
    <xf numFmtId="164" fontId="16" fillId="2" borderId="2" xfId="1" applyNumberFormat="1" applyFont="1" applyFill="1" applyBorder="1" applyAlignment="1">
      <alignment horizontal="center" vertical="center"/>
    </xf>
    <xf numFmtId="1" fontId="16" fillId="2" borderId="2" xfId="1" applyNumberFormat="1" applyFont="1" applyFill="1" applyBorder="1"/>
    <xf numFmtId="1" fontId="16" fillId="2" borderId="7" xfId="1" applyNumberFormat="1" applyFont="1" applyFill="1" applyBorder="1"/>
    <xf numFmtId="1" fontId="16" fillId="2" borderId="2" xfId="0" applyNumberFormat="1" applyFont="1" applyFill="1" applyBorder="1"/>
    <xf numFmtId="0" fontId="3" fillId="2" borderId="0" xfId="1" applyFill="1"/>
    <xf numFmtId="0" fontId="16" fillId="2" borderId="1" xfId="1" applyFont="1" applyFill="1" applyBorder="1"/>
    <xf numFmtId="0" fontId="16" fillId="2" borderId="0" xfId="1" applyFont="1" applyFill="1"/>
    <xf numFmtId="1" fontId="16" fillId="2" borderId="0" xfId="1" applyNumberFormat="1" applyFont="1" applyFill="1" applyAlignment="1">
      <alignment horizontal="center" vertical="center"/>
    </xf>
    <xf numFmtId="2" fontId="16" fillId="2" borderId="0" xfId="1" applyNumberFormat="1" applyFont="1" applyFill="1" applyAlignment="1">
      <alignment horizontal="center" vertical="center"/>
    </xf>
    <xf numFmtId="164" fontId="16" fillId="2" borderId="0" xfId="1" applyNumberFormat="1" applyFont="1" applyFill="1" applyAlignment="1">
      <alignment horizontal="center" vertical="center"/>
    </xf>
    <xf numFmtId="1" fontId="16" fillId="2" borderId="0" xfId="1" applyNumberFormat="1" applyFont="1" applyFill="1"/>
    <xf numFmtId="1" fontId="16" fillId="2" borderId="4" xfId="1" applyNumberFormat="1" applyFont="1" applyFill="1" applyBorder="1"/>
    <xf numFmtId="1" fontId="16" fillId="2" borderId="0" xfId="0" applyNumberFormat="1" applyFont="1" applyFill="1"/>
    <xf numFmtId="2" fontId="16" fillId="2" borderId="0" xfId="1" applyNumberFormat="1" applyFont="1" applyFill="1" applyAlignment="1">
      <alignment horizontal="center" vertical="center" wrapText="1"/>
    </xf>
    <xf numFmtId="0" fontId="16" fillId="2" borderId="0" xfId="1" applyFont="1" applyFill="1" applyAlignment="1">
      <alignment horizontal="center" vertical="center"/>
    </xf>
    <xf numFmtId="0" fontId="16" fillId="2" borderId="8" xfId="1" applyFont="1" applyFill="1" applyBorder="1"/>
    <xf numFmtId="0" fontId="16" fillId="2" borderId="9" xfId="1" applyFont="1" applyFill="1" applyBorder="1"/>
    <xf numFmtId="1" fontId="16" fillId="2" borderId="9" xfId="1" applyNumberFormat="1" applyFont="1" applyFill="1" applyBorder="1" applyAlignment="1">
      <alignment horizontal="center" vertical="center"/>
    </xf>
    <xf numFmtId="2" fontId="16" fillId="2" borderId="9" xfId="1" applyNumberFormat="1" applyFont="1" applyFill="1" applyBorder="1" applyAlignment="1">
      <alignment horizontal="center" vertical="center"/>
    </xf>
    <xf numFmtId="164" fontId="16" fillId="2" borderId="9" xfId="1" applyNumberFormat="1" applyFont="1" applyFill="1" applyBorder="1" applyAlignment="1">
      <alignment horizontal="center" vertical="center"/>
    </xf>
    <xf numFmtId="0" fontId="16" fillId="2" borderId="9" xfId="1" applyFont="1" applyFill="1" applyBorder="1" applyAlignment="1">
      <alignment horizontal="center" vertical="center"/>
    </xf>
    <xf numFmtId="1" fontId="16" fillId="2" borderId="9" xfId="1" applyNumberFormat="1" applyFont="1" applyFill="1" applyBorder="1"/>
    <xf numFmtId="1" fontId="16" fillId="2" borderId="10" xfId="1" applyNumberFormat="1" applyFont="1" applyFill="1" applyBorder="1"/>
    <xf numFmtId="1" fontId="16" fillId="2" borderId="9" xfId="0" applyNumberFormat="1" applyFont="1" applyFill="1" applyBorder="1"/>
    <xf numFmtId="0" fontId="16" fillId="3" borderId="6" xfId="1" applyFont="1" applyFill="1" applyBorder="1"/>
    <xf numFmtId="0" fontId="16" fillId="3" borderId="2" xfId="1" applyFont="1" applyFill="1" applyBorder="1"/>
    <xf numFmtId="1" fontId="16" fillId="3" borderId="2" xfId="1" applyNumberFormat="1" applyFont="1" applyFill="1" applyBorder="1" applyAlignment="1">
      <alignment horizontal="center" vertical="center"/>
    </xf>
    <xf numFmtId="2" fontId="16" fillId="3" borderId="2" xfId="1" applyNumberFormat="1" applyFont="1" applyFill="1" applyBorder="1" applyAlignment="1">
      <alignment horizontal="center" vertical="center"/>
    </xf>
    <xf numFmtId="164" fontId="16" fillId="3" borderId="2" xfId="1" applyNumberFormat="1" applyFont="1" applyFill="1" applyBorder="1" applyAlignment="1">
      <alignment horizontal="center" vertical="center"/>
    </xf>
    <xf numFmtId="0" fontId="16" fillId="3" borderId="2" xfId="1" applyFont="1" applyFill="1" applyBorder="1" applyAlignment="1">
      <alignment horizontal="center" vertical="center"/>
    </xf>
    <xf numFmtId="1" fontId="16" fillId="3" borderId="2" xfId="1" applyNumberFormat="1" applyFont="1" applyFill="1" applyBorder="1"/>
    <xf numFmtId="1" fontId="16" fillId="3" borderId="7" xfId="1" applyNumberFormat="1" applyFont="1" applyFill="1" applyBorder="1"/>
    <xf numFmtId="0" fontId="16" fillId="3" borderId="0" xfId="1" applyFont="1" applyFill="1"/>
    <xf numFmtId="1" fontId="16" fillId="3" borderId="0" xfId="0" applyNumberFormat="1" applyFont="1" applyFill="1"/>
    <xf numFmtId="1" fontId="16" fillId="3" borderId="4" xfId="1" applyNumberFormat="1" applyFont="1" applyFill="1" applyBorder="1"/>
    <xf numFmtId="1" fontId="16" fillId="3" borderId="2" xfId="0" applyNumberFormat="1" applyFont="1" applyFill="1" applyBorder="1"/>
    <xf numFmtId="0" fontId="3" fillId="3" borderId="0" xfId="1" applyFill="1"/>
    <xf numFmtId="0" fontId="16" fillId="3" borderId="1" xfId="1" applyFont="1" applyFill="1" applyBorder="1"/>
    <xf numFmtId="1" fontId="16" fillId="3" borderId="0" xfId="1" applyNumberFormat="1" applyFont="1" applyFill="1" applyAlignment="1">
      <alignment horizontal="center" vertical="center"/>
    </xf>
    <xf numFmtId="2" fontId="16" fillId="3" borderId="0" xfId="1" applyNumberFormat="1" applyFont="1" applyFill="1" applyAlignment="1">
      <alignment horizontal="center" vertical="center"/>
    </xf>
    <xf numFmtId="164" fontId="16" fillId="3" borderId="0" xfId="1" applyNumberFormat="1" applyFont="1" applyFill="1" applyAlignment="1">
      <alignment horizontal="center" vertical="center"/>
    </xf>
    <xf numFmtId="0" fontId="16" fillId="3" borderId="0" xfId="1" applyFont="1" applyFill="1" applyAlignment="1">
      <alignment horizontal="center" vertical="center"/>
    </xf>
    <xf numFmtId="1" fontId="16" fillId="3" borderId="0" xfId="1" applyNumberFormat="1" applyFont="1" applyFill="1"/>
    <xf numFmtId="0" fontId="16" fillId="3" borderId="8" xfId="1" applyFont="1" applyFill="1" applyBorder="1"/>
    <xf numFmtId="0" fontId="16" fillId="3" borderId="9" xfId="1" applyFont="1" applyFill="1" applyBorder="1"/>
    <xf numFmtId="1" fontId="16" fillId="3" borderId="9" xfId="1" applyNumberFormat="1" applyFont="1" applyFill="1" applyBorder="1" applyAlignment="1">
      <alignment horizontal="center" vertical="center"/>
    </xf>
    <xf numFmtId="2" fontId="16" fillId="3" borderId="9" xfId="1" applyNumberFormat="1" applyFont="1" applyFill="1" applyBorder="1" applyAlignment="1">
      <alignment horizontal="center" vertical="center"/>
    </xf>
    <xf numFmtId="164" fontId="16" fillId="3" borderId="9" xfId="1" applyNumberFormat="1" applyFont="1" applyFill="1" applyBorder="1" applyAlignment="1">
      <alignment horizontal="center" vertical="center"/>
    </xf>
    <xf numFmtId="1" fontId="16" fillId="3" borderId="9" xfId="1" applyNumberFormat="1" applyFont="1" applyFill="1" applyBorder="1"/>
    <xf numFmtId="1" fontId="16" fillId="3" borderId="10" xfId="1" applyNumberFormat="1" applyFont="1" applyFill="1" applyBorder="1"/>
    <xf numFmtId="1" fontId="16" fillId="3" borderId="9" xfId="0" applyNumberFormat="1" applyFont="1" applyFill="1" applyBorder="1"/>
    <xf numFmtId="0" fontId="16" fillId="4" borderId="6" xfId="1" applyFont="1" applyFill="1" applyBorder="1"/>
    <xf numFmtId="0" fontId="16" fillId="4" borderId="2" xfId="1" applyFont="1" applyFill="1" applyBorder="1"/>
    <xf numFmtId="2" fontId="16" fillId="4" borderId="2" xfId="1" applyNumberFormat="1" applyFont="1" applyFill="1" applyBorder="1" applyAlignment="1">
      <alignment horizontal="left" vertical="center" readingOrder="1"/>
    </xf>
    <xf numFmtId="2" fontId="16" fillId="4" borderId="2" xfId="1" applyNumberFormat="1" applyFont="1" applyFill="1" applyBorder="1"/>
    <xf numFmtId="2" fontId="16" fillId="4" borderId="2" xfId="1" applyNumberFormat="1" applyFont="1" applyFill="1" applyBorder="1" applyAlignment="1">
      <alignment horizontal="center" vertical="center"/>
    </xf>
    <xf numFmtId="164" fontId="16" fillId="4" borderId="2" xfId="1" applyNumberFormat="1" applyFont="1" applyFill="1" applyBorder="1"/>
    <xf numFmtId="1" fontId="16" fillId="4" borderId="2" xfId="1" applyNumberFormat="1" applyFont="1" applyFill="1" applyBorder="1"/>
    <xf numFmtId="1" fontId="16" fillId="4" borderId="7" xfId="1" applyNumberFormat="1" applyFont="1" applyFill="1" applyBorder="1"/>
    <xf numFmtId="0" fontId="16" fillId="4" borderId="0" xfId="1" applyFont="1" applyFill="1"/>
    <xf numFmtId="1" fontId="16" fillId="4" borderId="0" xfId="0" applyNumberFormat="1" applyFont="1" applyFill="1"/>
    <xf numFmtId="1" fontId="16" fillId="4" borderId="2" xfId="0" applyNumberFormat="1" applyFont="1" applyFill="1" applyBorder="1"/>
    <xf numFmtId="0" fontId="3" fillId="4" borderId="0" xfId="1" applyFill="1"/>
    <xf numFmtId="0" fontId="16" fillId="4" borderId="1" xfId="1" applyFont="1" applyFill="1" applyBorder="1"/>
    <xf numFmtId="2" fontId="16" fillId="4" borderId="0" xfId="1" applyNumberFormat="1" applyFont="1" applyFill="1" applyAlignment="1">
      <alignment horizontal="left" vertical="center" readingOrder="1"/>
    </xf>
    <xf numFmtId="2" fontId="16" fillId="4" borderId="0" xfId="1" applyNumberFormat="1" applyFont="1" applyFill="1" applyAlignment="1">
      <alignment horizontal="center" vertical="center"/>
    </xf>
    <xf numFmtId="164" fontId="16" fillId="4" borderId="0" xfId="1" applyNumberFormat="1" applyFont="1" applyFill="1"/>
    <xf numFmtId="1" fontId="16" fillId="4" borderId="0" xfId="1" applyNumberFormat="1" applyFont="1" applyFill="1"/>
    <xf numFmtId="1" fontId="16" fillId="4" borderId="4" xfId="1" applyNumberFormat="1" applyFont="1" applyFill="1" applyBorder="1"/>
    <xf numFmtId="2" fontId="16" fillId="4" borderId="0" xfId="1" applyNumberFormat="1" applyFont="1" applyFill="1"/>
    <xf numFmtId="0" fontId="16" fillId="4" borderId="8" xfId="1" applyFont="1" applyFill="1" applyBorder="1"/>
    <xf numFmtId="0" fontId="16" fillId="4" borderId="9" xfId="1" applyFont="1" applyFill="1" applyBorder="1"/>
    <xf numFmtId="2" fontId="16" fillId="4" borderId="9" xfId="1" applyNumberFormat="1" applyFont="1" applyFill="1" applyBorder="1" applyAlignment="1">
      <alignment horizontal="left" vertical="center" readingOrder="1"/>
    </xf>
    <xf numFmtId="2" fontId="16" fillId="4" borderId="9" xfId="1" applyNumberFormat="1" applyFont="1" applyFill="1" applyBorder="1"/>
    <xf numFmtId="2" fontId="16" fillId="4" borderId="9" xfId="1" applyNumberFormat="1" applyFont="1" applyFill="1" applyBorder="1" applyAlignment="1">
      <alignment horizontal="center" vertical="center"/>
    </xf>
    <xf numFmtId="164" fontId="16" fillId="4" borderId="9" xfId="1" applyNumberFormat="1" applyFont="1" applyFill="1" applyBorder="1"/>
    <xf numFmtId="1" fontId="16" fillId="4" borderId="9" xfId="1" applyNumberFormat="1" applyFont="1" applyFill="1" applyBorder="1"/>
    <xf numFmtId="1" fontId="16" fillId="4" borderId="11" xfId="1" applyNumberFormat="1" applyFont="1" applyFill="1" applyBorder="1"/>
    <xf numFmtId="1" fontId="16" fillId="4" borderId="9" xfId="0" applyNumberFormat="1" applyFont="1" applyFill="1" applyBorder="1"/>
    <xf numFmtId="0" fontId="3" fillId="4" borderId="12" xfId="1" applyFill="1" applyBorder="1"/>
    <xf numFmtId="164" fontId="3" fillId="0" borderId="0" xfId="1" applyNumberFormat="1"/>
    <xf numFmtId="0" fontId="3" fillId="0" borderId="1" xfId="1" applyBorder="1"/>
    <xf numFmtId="0" fontId="18" fillId="0" borderId="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1" fontId="3" fillId="0" borderId="1" xfId="1" applyNumberFormat="1" applyBorder="1" applyAlignment="1">
      <alignment horizontal="center" vertical="center"/>
    </xf>
    <xf numFmtId="1" fontId="20" fillId="0" borderId="0" xfId="1" applyNumberFormat="1" applyFont="1" applyAlignment="1">
      <alignment horizontal="center" vertical="center"/>
    </xf>
    <xf numFmtId="164" fontId="3" fillId="0" borderId="0" xfId="1" applyNumberFormat="1" applyAlignment="1">
      <alignment horizontal="center" vertical="center" wrapText="1"/>
    </xf>
    <xf numFmtId="164" fontId="20" fillId="0" borderId="1" xfId="1" applyNumberFormat="1" applyFont="1" applyBorder="1" applyAlignment="1">
      <alignment vertical="top" wrapText="1"/>
    </xf>
    <xf numFmtId="2" fontId="3" fillId="0" borderId="0" xfId="1" applyNumberFormat="1" applyAlignment="1">
      <alignment horizontal="center" vertical="center" wrapText="1"/>
    </xf>
    <xf numFmtId="2" fontId="20" fillId="0" borderId="0" xfId="1" applyNumberFormat="1" applyFont="1" applyAlignment="1">
      <alignment horizontal="center" vertical="center" wrapText="1"/>
    </xf>
    <xf numFmtId="0" fontId="21" fillId="0" borderId="13" xfId="1" applyFont="1" applyBorder="1"/>
    <xf numFmtId="0" fontId="3" fillId="0" borderId="14" xfId="1" applyBorder="1" applyAlignment="1">
      <alignment horizontal="right"/>
    </xf>
    <xf numFmtId="0" fontId="21" fillId="0" borderId="14" xfId="1" applyFont="1" applyBorder="1" applyAlignment="1">
      <alignment horizontal="right"/>
    </xf>
    <xf numFmtId="0" fontId="21" fillId="0" borderId="15" xfId="1" applyFont="1" applyBorder="1" applyAlignment="1">
      <alignment horizontal="right"/>
    </xf>
    <xf numFmtId="0" fontId="22" fillId="0" borderId="16" xfId="1" applyFont="1" applyBorder="1"/>
    <xf numFmtId="0" fontId="3" fillId="0" borderId="9" xfId="1" applyBorder="1" applyAlignment="1">
      <alignment horizontal="right"/>
    </xf>
    <xf numFmtId="0" fontId="3" fillId="0" borderId="17" xfId="1" applyBorder="1" applyAlignment="1">
      <alignment horizontal="right"/>
    </xf>
    <xf numFmtId="11" fontId="3" fillId="0" borderId="18" xfId="1" applyNumberFormat="1" applyBorder="1"/>
    <xf numFmtId="2" fontId="3" fillId="0" borderId="0" xfId="1" applyNumberFormat="1"/>
    <xf numFmtId="1" fontId="3" fillId="0" borderId="0" xfId="1" applyNumberFormat="1"/>
    <xf numFmtId="11" fontId="3" fillId="0" borderId="0" xfId="1" applyNumberFormat="1"/>
    <xf numFmtId="0" fontId="3" fillId="0" borderId="19" xfId="1" applyBorder="1" applyAlignment="1">
      <alignment horizontal="right"/>
    </xf>
    <xf numFmtId="0" fontId="3" fillId="0" borderId="0" xfId="1" applyAlignment="1">
      <alignment vertical="top"/>
    </xf>
    <xf numFmtId="0" fontId="3" fillId="0" borderId="18" xfId="1" applyBorder="1"/>
    <xf numFmtId="2" fontId="23" fillId="0" borderId="0" xfId="1" applyNumberFormat="1" applyFont="1"/>
    <xf numFmtId="0" fontId="3" fillId="0" borderId="20" xfId="1" applyBorder="1"/>
    <xf numFmtId="0" fontId="3" fillId="0" borderId="12" xfId="1" applyBorder="1"/>
    <xf numFmtId="1" fontId="3" fillId="0" borderId="12" xfId="1" applyNumberFormat="1" applyBorder="1"/>
    <xf numFmtId="11" fontId="3" fillId="0" borderId="12" xfId="1" applyNumberFormat="1" applyBorder="1"/>
    <xf numFmtId="0" fontId="3" fillId="0" borderId="21" xfId="1" applyBorder="1" applyAlignment="1">
      <alignment horizontal="right"/>
    </xf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1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1" fontId="27" fillId="6" borderId="0" xfId="0" applyNumberFormat="1" applyFont="1" applyFill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0" fillId="0" borderId="9" xfId="0" applyBorder="1"/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27" fillId="0" borderId="9" xfId="0" applyNumberFormat="1" applyFont="1" applyBorder="1" applyAlignment="1">
      <alignment horizontal="center" vertical="center"/>
    </xf>
    <xf numFmtId="11" fontId="0" fillId="5" borderId="8" xfId="0" applyNumberFormat="1" applyFill="1" applyBorder="1" applyAlignment="1">
      <alignment horizontal="center" vertical="center"/>
    </xf>
    <xf numFmtId="11" fontId="0" fillId="5" borderId="9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22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27" fillId="5" borderId="1" xfId="0" applyNumberFormat="1" applyFont="1" applyFill="1" applyBorder="1" applyAlignment="1">
      <alignment horizontal="center" vertical="center"/>
    </xf>
    <xf numFmtId="11" fontId="27" fillId="5" borderId="0" xfId="0" applyNumberFormat="1" applyFont="1" applyFill="1" applyAlignment="1">
      <alignment horizontal="center" vertical="center"/>
    </xf>
    <xf numFmtId="2" fontId="27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1" fontId="0" fillId="7" borderId="5" xfId="0" applyNumberFormat="1" applyFill="1" applyBorder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/>
    <xf numFmtId="2" fontId="0" fillId="0" borderId="5" xfId="0" applyNumberFormat="1" applyBorder="1" applyAlignment="1">
      <alignment horizontal="center" vertical="center"/>
    </xf>
    <xf numFmtId="2" fontId="32" fillId="0" borderId="0" xfId="1" applyNumberFormat="1" applyFont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 wrapText="1"/>
    </xf>
    <xf numFmtId="0" fontId="2" fillId="7" borderId="0" xfId="0" applyFont="1" applyFill="1"/>
    <xf numFmtId="0" fontId="0" fillId="7" borderId="0" xfId="0" applyFill="1" applyAlignment="1">
      <alignment horizontal="center"/>
    </xf>
    <xf numFmtId="0" fontId="0" fillId="7" borderId="5" xfId="0" applyFill="1" applyBorder="1" applyAlignment="1">
      <alignment horizontal="center" vertical="center"/>
    </xf>
    <xf numFmtId="11" fontId="0" fillId="5" borderId="1" xfId="0" applyNumberFormat="1" applyFill="1" applyBorder="1"/>
    <xf numFmtId="11" fontId="0" fillId="5" borderId="0" xfId="0" applyNumberFormat="1" applyFill="1"/>
    <xf numFmtId="2" fontId="0" fillId="5" borderId="0" xfId="0" applyNumberFormat="1" applyFill="1"/>
    <xf numFmtId="2" fontId="27" fillId="5" borderId="0" xfId="0" applyNumberFormat="1" applyFont="1" applyFill="1"/>
    <xf numFmtId="2" fontId="0" fillId="7" borderId="1" xfId="0" applyNumberFormat="1" applyFill="1" applyBorder="1"/>
    <xf numFmtId="0" fontId="0" fillId="7" borderId="5" xfId="0" applyFill="1" applyBorder="1"/>
    <xf numFmtId="0" fontId="0" fillId="7" borderId="0" xfId="0" applyFill="1"/>
    <xf numFmtId="2" fontId="0" fillId="7" borderId="5" xfId="0" applyNumberFormat="1" applyFill="1" applyBorder="1"/>
    <xf numFmtId="0" fontId="0" fillId="0" borderId="0" xfId="0" applyAlignment="1">
      <alignment horizontal="right"/>
    </xf>
    <xf numFmtId="165" fontId="0" fillId="0" borderId="0" xfId="0" applyNumberFormat="1"/>
    <xf numFmtId="0" fontId="0" fillId="7" borderId="1" xfId="0" applyFill="1" applyBorder="1"/>
    <xf numFmtId="0" fontId="0" fillId="5" borderId="0" xfId="0" applyFill="1"/>
    <xf numFmtId="0" fontId="0" fillId="5" borderId="1" xfId="0" applyFill="1" applyBorder="1"/>
    <xf numFmtId="166" fontId="0" fillId="5" borderId="0" xfId="0" applyNumberFormat="1" applyFill="1"/>
    <xf numFmtId="167" fontId="0" fillId="5" borderId="0" xfId="0" applyNumberFormat="1" applyFill="1"/>
    <xf numFmtId="47" fontId="0" fillId="0" borderId="0" xfId="0" applyNumberFormat="1"/>
    <xf numFmtId="47" fontId="0" fillId="0" borderId="9" xfId="0" applyNumberFormat="1" applyBorder="1"/>
    <xf numFmtId="0" fontId="27" fillId="0" borderId="0" xfId="0" applyFont="1"/>
    <xf numFmtId="0" fontId="27" fillId="0" borderId="9" xfId="0" applyFont="1" applyBorder="1"/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34" fillId="0" borderId="0" xfId="2" applyFont="1"/>
    <xf numFmtId="0" fontId="35" fillId="0" borderId="0" xfId="2" applyFont="1"/>
    <xf numFmtId="0" fontId="35" fillId="0" borderId="0" xfId="2" applyFont="1" applyAlignment="1">
      <alignment horizontal="center"/>
    </xf>
    <xf numFmtId="0" fontId="36" fillId="0" borderId="0" xfId="2" applyFont="1" applyAlignment="1">
      <alignment horizontal="center"/>
    </xf>
    <xf numFmtId="0" fontId="35" fillId="4" borderId="0" xfId="2" applyFont="1" applyFill="1"/>
    <xf numFmtId="0" fontId="35" fillId="0" borderId="0" xfId="2" applyFont="1" applyAlignment="1">
      <alignment horizontal="left"/>
    </xf>
    <xf numFmtId="15" fontId="36" fillId="0" borderId="0" xfId="2" applyNumberFormat="1" applyFont="1"/>
    <xf numFmtId="0" fontId="36" fillId="0" borderId="0" xfId="2" applyFont="1"/>
    <xf numFmtId="11" fontId="35" fillId="0" borderId="0" xfId="2" applyNumberFormat="1" applyFont="1" applyAlignment="1">
      <alignment horizontal="center"/>
    </xf>
    <xf numFmtId="2" fontId="35" fillId="0" borderId="0" xfId="2" applyNumberFormat="1" applyFont="1"/>
    <xf numFmtId="166" fontId="37" fillId="0" borderId="0" xfId="2" applyNumberFormat="1" applyFont="1" applyAlignment="1">
      <alignment horizontal="center"/>
    </xf>
    <xf numFmtId="0" fontId="33" fillId="0" borderId="0" xfId="2"/>
    <xf numFmtId="166" fontId="38" fillId="0" borderId="0" xfId="2" applyNumberFormat="1" applyFont="1" applyAlignment="1">
      <alignment horizontal="center"/>
    </xf>
    <xf numFmtId="168" fontId="35" fillId="0" borderId="0" xfId="2" applyNumberFormat="1" applyFont="1" applyAlignment="1">
      <alignment horizontal="center"/>
    </xf>
    <xf numFmtId="169" fontId="38" fillId="0" borderId="0" xfId="2" applyNumberFormat="1" applyFont="1" applyAlignment="1">
      <alignment horizontal="center"/>
    </xf>
    <xf numFmtId="166" fontId="37" fillId="0" borderId="9" xfId="2" applyNumberFormat="1" applyFont="1" applyBorder="1" applyAlignment="1">
      <alignment horizontal="center"/>
    </xf>
    <xf numFmtId="0" fontId="39" fillId="0" borderId="0" xfId="2" applyFont="1"/>
    <xf numFmtId="0" fontId="40" fillId="0" borderId="0" xfId="2" applyFont="1"/>
    <xf numFmtId="166" fontId="37" fillId="0" borderId="22" xfId="2" applyNumberFormat="1" applyFont="1" applyBorder="1" applyAlignment="1">
      <alignment horizontal="center"/>
    </xf>
    <xf numFmtId="0" fontId="41" fillId="10" borderId="23" xfId="2" applyFont="1" applyFill="1" applyBorder="1" applyAlignment="1">
      <alignment horizontal="right" vertical="center"/>
    </xf>
    <xf numFmtId="166" fontId="33" fillId="0" borderId="0" xfId="2" applyNumberFormat="1" applyAlignment="1">
      <alignment horizontal="center"/>
    </xf>
    <xf numFmtId="0" fontId="42" fillId="0" borderId="0" xfId="2" quotePrefix="1" applyFont="1"/>
    <xf numFmtId="170" fontId="36" fillId="0" borderId="0" xfId="2" applyNumberFormat="1" applyFont="1" applyAlignment="1">
      <alignment horizontal="center"/>
    </xf>
    <xf numFmtId="2" fontId="36" fillId="0" borderId="0" xfId="2" applyNumberFormat="1" applyFont="1"/>
    <xf numFmtId="0" fontId="43" fillId="0" borderId="0" xfId="2" applyFont="1"/>
    <xf numFmtId="2" fontId="44" fillId="0" borderId="0" xfId="2" applyNumberFormat="1" applyFont="1"/>
    <xf numFmtId="166" fontId="45" fillId="0" borderId="0" xfId="2" applyNumberFormat="1" applyFont="1" applyAlignment="1">
      <alignment horizontal="center"/>
    </xf>
    <xf numFmtId="171" fontId="35" fillId="0" borderId="0" xfId="2" applyNumberFormat="1" applyFont="1"/>
    <xf numFmtId="168" fontId="43" fillId="0" borderId="0" xfId="2" applyNumberFormat="1" applyFont="1"/>
    <xf numFmtId="0" fontId="46" fillId="0" borderId="0" xfId="2" applyFont="1"/>
    <xf numFmtId="0" fontId="40" fillId="0" borderId="0" xfId="2" applyFont="1" applyAlignment="1">
      <alignment horizontal="center"/>
    </xf>
    <xf numFmtId="0" fontId="36" fillId="0" borderId="8" xfId="2" applyFont="1" applyBorder="1"/>
    <xf numFmtId="0" fontId="38" fillId="0" borderId="0" xfId="2" applyFont="1"/>
    <xf numFmtId="165" fontId="35" fillId="0" borderId="0" xfId="2" applyNumberFormat="1" applyFont="1"/>
    <xf numFmtId="0" fontId="36" fillId="0" borderId="9" xfId="2" applyFont="1" applyBorder="1"/>
    <xf numFmtId="170" fontId="36" fillId="0" borderId="9" xfId="2" applyNumberFormat="1" applyFont="1" applyBorder="1" applyAlignment="1">
      <alignment horizontal="center"/>
    </xf>
    <xf numFmtId="2" fontId="36" fillId="0" borderId="9" xfId="2" applyNumberFormat="1" applyFont="1" applyBorder="1"/>
    <xf numFmtId="0" fontId="46" fillId="0" borderId="9" xfId="2" applyFont="1" applyBorder="1"/>
    <xf numFmtId="0" fontId="40" fillId="0" borderId="9" xfId="2" applyFont="1" applyBorder="1"/>
    <xf numFmtId="172" fontId="36" fillId="0" borderId="0" xfId="2" applyNumberFormat="1" applyFont="1" applyAlignment="1">
      <alignment horizontal="center"/>
    </xf>
    <xf numFmtId="0" fontId="47" fillId="0" borderId="0" xfId="2" applyFont="1" applyAlignment="1">
      <alignment horizontal="left"/>
    </xf>
    <xf numFmtId="166" fontId="35" fillId="0" borderId="0" xfId="2" applyNumberFormat="1" applyFont="1" applyAlignment="1">
      <alignment horizontal="center"/>
    </xf>
    <xf numFmtId="2" fontId="35" fillId="0" borderId="0" xfId="2" applyNumberFormat="1" applyFont="1" applyAlignment="1">
      <alignment horizontal="center"/>
    </xf>
    <xf numFmtId="170" fontId="35" fillId="0" borderId="0" xfId="2" applyNumberFormat="1" applyFont="1" applyAlignment="1">
      <alignment horizontal="center"/>
    </xf>
    <xf numFmtId="11" fontId="48" fillId="0" borderId="0" xfId="2" applyNumberFormat="1" applyFont="1" applyAlignment="1">
      <alignment horizontal="center"/>
    </xf>
    <xf numFmtId="0" fontId="3" fillId="0" borderId="0" xfId="2" applyFont="1"/>
    <xf numFmtId="11" fontId="48" fillId="0" borderId="0" xfId="2" applyNumberFormat="1" applyFont="1" applyAlignment="1">
      <alignment horizontal="center" vertical="center"/>
    </xf>
    <xf numFmtId="11" fontId="35" fillId="0" borderId="0" xfId="2" applyNumberFormat="1" applyFont="1" applyAlignment="1">
      <alignment vertical="center"/>
    </xf>
    <xf numFmtId="2" fontId="35" fillId="0" borderId="0" xfId="2" applyNumberFormat="1" applyFont="1" applyAlignment="1">
      <alignment horizontal="center" vertical="center"/>
    </xf>
    <xf numFmtId="11" fontId="35" fillId="0" borderId="0" xfId="2" applyNumberFormat="1" applyFont="1" applyAlignment="1">
      <alignment horizontal="center" vertical="center"/>
    </xf>
    <xf numFmtId="0" fontId="33" fillId="0" borderId="0" xfId="2" applyAlignment="1">
      <alignment vertical="center"/>
    </xf>
    <xf numFmtId="0" fontId="46" fillId="9" borderId="0" xfId="2" applyFont="1" applyFill="1" applyAlignment="1">
      <alignment vertical="center"/>
    </xf>
    <xf numFmtId="2" fontId="42" fillId="0" borderId="0" xfId="2" applyNumberFormat="1" applyFont="1" applyAlignment="1">
      <alignment vertical="center"/>
    </xf>
    <xf numFmtId="2" fontId="35" fillId="0" borderId="0" xfId="2" applyNumberFormat="1" applyFont="1" applyAlignment="1">
      <alignment vertical="center"/>
    </xf>
    <xf numFmtId="172" fontId="36" fillId="0" borderId="0" xfId="2" applyNumberFormat="1" applyFont="1" applyAlignment="1">
      <alignment horizontal="center" vertical="center"/>
    </xf>
    <xf numFmtId="1" fontId="35" fillId="0" borderId="0" xfId="2" applyNumberFormat="1" applyFont="1" applyAlignment="1">
      <alignment horizontal="center" vertical="center"/>
    </xf>
    <xf numFmtId="11" fontId="33" fillId="0" borderId="0" xfId="2" applyNumberFormat="1" applyAlignment="1">
      <alignment vertical="center"/>
    </xf>
    <xf numFmtId="168" fontId="35" fillId="0" borderId="0" xfId="2" applyNumberFormat="1" applyFont="1" applyAlignment="1">
      <alignment vertical="center"/>
    </xf>
    <xf numFmtId="165" fontId="35" fillId="0" borderId="0" xfId="2" applyNumberFormat="1" applyFont="1" applyAlignment="1">
      <alignment vertical="center"/>
    </xf>
    <xf numFmtId="0" fontId="35" fillId="0" borderId="0" xfId="2" applyFont="1" applyAlignment="1">
      <alignment vertical="center"/>
    </xf>
    <xf numFmtId="171" fontId="35" fillId="0" borderId="0" xfId="2" applyNumberFormat="1" applyFont="1" applyAlignment="1">
      <alignment vertical="center"/>
    </xf>
    <xf numFmtId="2" fontId="35" fillId="4" borderId="0" xfId="2" applyNumberFormat="1" applyFont="1" applyFill="1" applyAlignment="1">
      <alignment vertical="center"/>
    </xf>
    <xf numFmtId="2" fontId="33" fillId="0" borderId="0" xfId="2" applyNumberFormat="1" applyAlignment="1">
      <alignment horizontal="center" vertical="center"/>
    </xf>
    <xf numFmtId="2" fontId="49" fillId="0" borderId="0" xfId="2" applyNumberFormat="1" applyFont="1" applyAlignment="1">
      <alignment vertical="center"/>
    </xf>
    <xf numFmtId="2" fontId="50" fillId="0" borderId="0" xfId="2" applyNumberFormat="1" applyFont="1" applyAlignment="1">
      <alignment vertical="center"/>
    </xf>
    <xf numFmtId="172" fontId="51" fillId="0" borderId="0" xfId="2" applyNumberFormat="1" applyFont="1" applyAlignment="1">
      <alignment horizontal="center" vertical="center"/>
    </xf>
    <xf numFmtId="2" fontId="50" fillId="0" borderId="0" xfId="2" applyNumberFormat="1" applyFont="1" applyAlignment="1">
      <alignment horizontal="center" vertical="center"/>
    </xf>
    <xf numFmtId="1" fontId="50" fillId="0" borderId="0" xfId="2" applyNumberFormat="1" applyFont="1" applyAlignment="1">
      <alignment horizontal="center" vertical="center"/>
    </xf>
    <xf numFmtId="168" fontId="50" fillId="0" borderId="0" xfId="2" applyNumberFormat="1" applyFont="1" applyAlignment="1">
      <alignment vertical="center"/>
    </xf>
    <xf numFmtId="165" fontId="50" fillId="0" borderId="0" xfId="2" applyNumberFormat="1" applyFont="1" applyAlignment="1">
      <alignment vertical="center"/>
    </xf>
    <xf numFmtId="0" fontId="50" fillId="0" borderId="0" xfId="2" applyFont="1" applyAlignment="1">
      <alignment vertical="center"/>
    </xf>
    <xf numFmtId="2" fontId="50" fillId="4" borderId="0" xfId="2" applyNumberFormat="1" applyFont="1" applyFill="1" applyAlignment="1">
      <alignment vertical="center"/>
    </xf>
    <xf numFmtId="2" fontId="48" fillId="0" borderId="0" xfId="2" applyNumberFormat="1" applyFont="1" applyAlignment="1">
      <alignment horizontal="center" vertical="center"/>
    </xf>
    <xf numFmtId="0" fontId="48" fillId="0" borderId="0" xfId="2" applyFont="1" applyAlignment="1">
      <alignment horizontal="center"/>
    </xf>
    <xf numFmtId="166" fontId="48" fillId="0" borderId="0" xfId="2" applyNumberFormat="1" applyFont="1" applyAlignment="1">
      <alignment horizontal="center"/>
    </xf>
    <xf numFmtId="0" fontId="46" fillId="9" borderId="0" xfId="2" applyFont="1" applyFill="1"/>
    <xf numFmtId="2" fontId="42" fillId="0" borderId="0" xfId="2" applyNumberFormat="1" applyFont="1"/>
    <xf numFmtId="1" fontId="35" fillId="0" borderId="0" xfId="2" applyNumberFormat="1" applyFont="1" applyAlignment="1">
      <alignment horizontal="center"/>
    </xf>
    <xf numFmtId="168" fontId="35" fillId="4" borderId="0" xfId="2" applyNumberFormat="1" applyFont="1" applyFill="1"/>
    <xf numFmtId="168" fontId="35" fillId="0" borderId="0" xfId="2" applyNumberFormat="1" applyFont="1"/>
    <xf numFmtId="2" fontId="35" fillId="4" borderId="0" xfId="2" applyNumberFormat="1" applyFont="1" applyFill="1"/>
    <xf numFmtId="2" fontId="48" fillId="0" borderId="0" xfId="2" applyNumberFormat="1" applyFont="1" applyAlignment="1">
      <alignment horizontal="center"/>
    </xf>
    <xf numFmtId="0" fontId="47" fillId="0" borderId="0" xfId="2" applyFont="1"/>
    <xf numFmtId="166" fontId="35" fillId="0" borderId="0" xfId="2" applyNumberFormat="1" applyFont="1"/>
    <xf numFmtId="169" fontId="35" fillId="0" borderId="0" xfId="2" applyNumberFormat="1" applyFont="1" applyAlignment="1">
      <alignment horizontal="center"/>
    </xf>
    <xf numFmtId="15" fontId="35" fillId="0" borderId="0" xfId="2" applyNumberFormat="1" applyFont="1"/>
    <xf numFmtId="0" fontId="52" fillId="0" borderId="0" xfId="2" applyFont="1"/>
    <xf numFmtId="0" fontId="57" fillId="0" borderId="0" xfId="1" applyFont="1" applyAlignment="1">
      <alignment horizontal="left" vertical="center"/>
    </xf>
    <xf numFmtId="0" fontId="3" fillId="0" borderId="0" xfId="1" applyAlignment="1">
      <alignment vertical="center"/>
    </xf>
    <xf numFmtId="0" fontId="58" fillId="0" borderId="0" xfId="1" applyFont="1" applyAlignment="1">
      <alignment horizontal="left" vertical="center"/>
    </xf>
    <xf numFmtId="0" fontId="0" fillId="0" borderId="0" xfId="1" applyFont="1"/>
    <xf numFmtId="0" fontId="3" fillId="0" borderId="0" xfId="1" applyAlignment="1">
      <alignment horizontal="left" vertical="center"/>
    </xf>
    <xf numFmtId="0" fontId="3" fillId="0" borderId="0" xfId="1" applyAlignment="1">
      <alignment horizontal="right"/>
    </xf>
    <xf numFmtId="0" fontId="59" fillId="0" borderId="0" xfId="1" applyFont="1" applyAlignment="1">
      <alignment horizontal="center"/>
    </xf>
    <xf numFmtId="0" fontId="59" fillId="0" borderId="0" xfId="1" applyFont="1" applyAlignment="1">
      <alignment horizontal="left"/>
    </xf>
    <xf numFmtId="0" fontId="57" fillId="0" borderId="0" xfId="1" applyFont="1"/>
    <xf numFmtId="0" fontId="3" fillId="0" borderId="9" xfId="1" applyBorder="1"/>
    <xf numFmtId="0" fontId="61" fillId="0" borderId="9" xfId="1" applyFont="1" applyBorder="1"/>
    <xf numFmtId="1" fontId="20" fillId="0" borderId="0" xfId="1" applyNumberFormat="1" applyFont="1"/>
    <xf numFmtId="0" fontId="61" fillId="0" borderId="0" xfId="1" applyFont="1"/>
    <xf numFmtId="0" fontId="58" fillId="0" borderId="0" xfId="1" applyFont="1"/>
    <xf numFmtId="0" fontId="61" fillId="0" borderId="2" xfId="1" applyFont="1" applyBorder="1"/>
    <xf numFmtId="0" fontId="57" fillId="0" borderId="2" xfId="1" applyFont="1" applyBorder="1" applyAlignment="1">
      <alignment horizontal="center"/>
    </xf>
    <xf numFmtId="0" fontId="58" fillId="0" borderId="2" xfId="1" applyFont="1" applyBorder="1"/>
    <xf numFmtId="0" fontId="57" fillId="0" borderId="24" xfId="1" applyFont="1" applyBorder="1" applyAlignment="1">
      <alignment horizontal="center"/>
    </xf>
    <xf numFmtId="0" fontId="3" fillId="0" borderId="0" xfId="1" applyAlignment="1">
      <alignment horizontal="center"/>
    </xf>
    <xf numFmtId="0" fontId="20" fillId="0" borderId="0" xfId="1" applyFont="1" applyAlignment="1">
      <alignment horizontal="center"/>
    </xf>
    <xf numFmtId="0" fontId="67" fillId="0" borderId="0" xfId="1" applyFont="1" applyAlignment="1">
      <alignment horizontal="center"/>
    </xf>
    <xf numFmtId="0" fontId="60" fillId="0" borderId="0" xfId="1" applyFont="1" applyAlignment="1">
      <alignment horizontal="center"/>
    </xf>
    <xf numFmtId="0" fontId="3" fillId="0" borderId="1" xfId="1" applyBorder="1" applyAlignment="1">
      <alignment horizontal="center"/>
    </xf>
    <xf numFmtId="0" fontId="61" fillId="0" borderId="0" xfId="1" applyFont="1" applyAlignment="1">
      <alignment horizontal="center"/>
    </xf>
    <xf numFmtId="0" fontId="59" fillId="0" borderId="5" xfId="1" applyFont="1" applyBorder="1" applyAlignment="1">
      <alignment horizontal="center"/>
    </xf>
    <xf numFmtId="0" fontId="75" fillId="0" borderId="0" xfId="1" applyFont="1"/>
    <xf numFmtId="0" fontId="20" fillId="0" borderId="5" xfId="1" applyFont="1" applyBorder="1" applyAlignment="1">
      <alignment horizontal="center"/>
    </xf>
    <xf numFmtId="0" fontId="59" fillId="0" borderId="0" xfId="1" applyFont="1"/>
    <xf numFmtId="0" fontId="61" fillId="0" borderId="5" xfId="1" applyFont="1" applyBorder="1"/>
    <xf numFmtId="170" fontId="61" fillId="0" borderId="0" xfId="1" applyNumberFormat="1" applyFont="1"/>
    <xf numFmtId="172" fontId="20" fillId="0" borderId="0" xfId="1" applyNumberFormat="1" applyFont="1"/>
    <xf numFmtId="1" fontId="59" fillId="0" borderId="0" xfId="1" applyNumberFormat="1" applyFont="1"/>
    <xf numFmtId="167" fontId="61" fillId="0" borderId="1" xfId="1" applyNumberFormat="1" applyFont="1" applyBorder="1"/>
    <xf numFmtId="11" fontId="78" fillId="0" borderId="0" xfId="1" applyNumberFormat="1" applyFont="1"/>
    <xf numFmtId="170" fontId="78" fillId="0" borderId="0" xfId="1" applyNumberFormat="1" applyFont="1"/>
    <xf numFmtId="167" fontId="61" fillId="0" borderId="0" xfId="1" applyNumberFormat="1" applyFont="1"/>
    <xf numFmtId="165" fontId="78" fillId="0" borderId="0" xfId="1" applyNumberFormat="1" applyFont="1"/>
    <xf numFmtId="164" fontId="78" fillId="0" borderId="0" xfId="1" applyNumberFormat="1" applyFont="1"/>
    <xf numFmtId="2" fontId="78" fillId="0" borderId="0" xfId="1" applyNumberFormat="1" applyFont="1"/>
    <xf numFmtId="11" fontId="61" fillId="0" borderId="0" xfId="1" applyNumberFormat="1" applyFont="1"/>
    <xf numFmtId="11" fontId="20" fillId="0" borderId="0" xfId="1" applyNumberFormat="1" applyFont="1"/>
    <xf numFmtId="2" fontId="61" fillId="0" borderId="0" xfId="1" applyNumberFormat="1" applyFont="1"/>
    <xf numFmtId="2" fontId="20" fillId="0" borderId="0" xfId="1" applyNumberFormat="1" applyFont="1"/>
    <xf numFmtId="170" fontId="59" fillId="0" borderId="0" xfId="1" applyNumberFormat="1" applyFont="1"/>
    <xf numFmtId="2" fontId="20" fillId="0" borderId="5" xfId="1" applyNumberFormat="1" applyFont="1" applyBorder="1"/>
    <xf numFmtId="167" fontId="59" fillId="0" borderId="0" xfId="1" applyNumberFormat="1" applyFont="1"/>
    <xf numFmtId="165" fontId="3" fillId="0" borderId="0" xfId="1" applyNumberFormat="1"/>
    <xf numFmtId="165" fontId="59" fillId="0" borderId="0" xfId="1" applyNumberFormat="1" applyFont="1"/>
    <xf numFmtId="164" fontId="59" fillId="0" borderId="0" xfId="1" applyNumberFormat="1" applyFont="1"/>
    <xf numFmtId="2" fontId="59" fillId="0" borderId="0" xfId="1" applyNumberFormat="1" applyFont="1"/>
    <xf numFmtId="0" fontId="20" fillId="0" borderId="0" xfId="1" applyFont="1"/>
    <xf numFmtId="0" fontId="61" fillId="0" borderId="0" xfId="1" applyFont="1" applyAlignment="1">
      <alignment horizontal="right"/>
    </xf>
    <xf numFmtId="169" fontId="3" fillId="0" borderId="0" xfId="1" applyNumberFormat="1"/>
    <xf numFmtId="0" fontId="1" fillId="0" borderId="0" xfId="1" applyFont="1"/>
    <xf numFmtId="0" fontId="7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170" fontId="39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0" fontId="79" fillId="0" borderId="0" xfId="0" applyFont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170" fontId="43" fillId="0" borderId="0" xfId="0" applyNumberFormat="1" applyFont="1" applyAlignment="1">
      <alignment horizontal="center"/>
    </xf>
    <xf numFmtId="2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80" fillId="0" borderId="0" xfId="0" applyFont="1"/>
    <xf numFmtId="170" fontId="0" fillId="0" borderId="0" xfId="0" applyNumberFormat="1"/>
    <xf numFmtId="11" fontId="43" fillId="0" borderId="0" xfId="0" applyNumberFormat="1" applyFont="1" applyAlignment="1">
      <alignment horizontal="center"/>
    </xf>
    <xf numFmtId="0" fontId="81" fillId="0" borderId="0" xfId="0" applyFont="1"/>
    <xf numFmtId="1" fontId="3" fillId="0" borderId="0" xfId="1" applyNumberFormat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2" fillId="7" borderId="0" xfId="0" applyFont="1" applyFill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5" xfId="0" applyFont="1" applyBorder="1" applyAlignment="1">
      <alignment horizontal="center"/>
    </xf>
    <xf numFmtId="11" fontId="2" fillId="5" borderId="1" xfId="0" applyNumberFormat="1" applyFont="1" applyFill="1" applyBorder="1" applyAlignment="1">
      <alignment horizontal="center"/>
    </xf>
    <xf numFmtId="11" fontId="2" fillId="5" borderId="0" xfId="0" applyNumberFormat="1" applyFont="1" applyFill="1" applyAlignment="1">
      <alignment horizontal="center"/>
    </xf>
    <xf numFmtId="11" fontId="2" fillId="5" borderId="5" xfId="0" applyNumberFormat="1" applyFont="1" applyFill="1" applyBorder="1" applyAlignment="1">
      <alignment horizontal="center"/>
    </xf>
    <xf numFmtId="11" fontId="26" fillId="6" borderId="1" xfId="0" applyNumberFormat="1" applyFont="1" applyFill="1" applyBorder="1" applyAlignment="1">
      <alignment horizontal="center"/>
    </xf>
    <xf numFmtId="11" fontId="26" fillId="6" borderId="0" xfId="0" applyNumberFormat="1" applyFont="1" applyFill="1" applyAlignment="1">
      <alignment horizontal="center"/>
    </xf>
    <xf numFmtId="11" fontId="26" fillId="6" borderId="5" xfId="0" applyNumberFormat="1" applyFont="1" applyFill="1" applyBorder="1" applyAlignment="1">
      <alignment horizontal="center"/>
    </xf>
    <xf numFmtId="0" fontId="17" fillId="4" borderId="5" xfId="0" applyFont="1" applyFill="1" applyBorder="1" applyAlignment="1">
      <alignment vertical="center" textRotation="180"/>
    </xf>
    <xf numFmtId="0" fontId="8" fillId="0" borderId="1" xfId="1" applyFont="1" applyBorder="1" applyAlignment="1">
      <alignment horizontal="center" wrapText="1"/>
    </xf>
    <xf numFmtId="0" fontId="8" fillId="0" borderId="0" xfId="1" applyFont="1" applyAlignment="1">
      <alignment horizontal="center" wrapText="1"/>
    </xf>
    <xf numFmtId="0" fontId="13" fillId="2" borderId="5" xfId="1" applyFont="1" applyFill="1" applyBorder="1" applyAlignment="1">
      <alignment vertical="center" textRotation="180"/>
    </xf>
    <xf numFmtId="0" fontId="13" fillId="3" borderId="5" xfId="1" applyFont="1" applyFill="1" applyBorder="1" applyAlignment="1">
      <alignment vertical="center" textRotation="180"/>
    </xf>
    <xf numFmtId="1" fontId="0" fillId="0" borderId="0" xfId="0" applyNumberFormat="1"/>
    <xf numFmtId="1" fontId="3" fillId="9" borderId="0" xfId="0" applyNumberFormat="1" applyFont="1" applyFill="1"/>
    <xf numFmtId="1" fontId="0" fillId="0" borderId="9" xfId="0" applyNumberFormat="1" applyBorder="1"/>
    <xf numFmtId="1" fontId="27" fillId="0" borderId="0" xfId="0" applyNumberFormat="1" applyFont="1"/>
    <xf numFmtId="1" fontId="27" fillId="0" borderId="9" xfId="0" applyNumberFormat="1" applyFont="1" applyBorder="1"/>
  </cellXfs>
  <cellStyles count="3">
    <cellStyle name="Normal" xfId="0" builtinId="0"/>
    <cellStyle name="Normal 2" xfId="1" xr:uid="{6C10DFEF-B39C-514F-9C8C-30D780EAF2BB}"/>
    <cellStyle name="Normal 3" xfId="2" xr:uid="{497BD7BE-E9AC-184F-8FE4-0F5101D00B91}"/>
  </cellStyles>
  <dxfs count="3">
    <dxf>
      <font>
        <strike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Regression_Ea_Do!$AM$2</c:f>
              <c:strCache>
                <c:ptCount val="1"/>
                <c:pt idx="0">
                  <c:v>Diffusion domain 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20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</c:spPr>
          </c:marker>
          <c:xVal>
            <c:numRef>
              <c:f>Regression_Ea_Do!$C$4:$C$18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Regression_Ea_Do!$AM$4:$AM$18</c:f>
              <c:numCache>
                <c:formatCode>0.00</c:formatCode>
                <c:ptCount val="5"/>
                <c:pt idx="0" formatCode="0.00E+00">
                  <c:v>5.8567013479584458E-6</c:v>
                </c:pt>
                <c:pt idx="3">
                  <c:v>302.49839668037504</c:v>
                </c:pt>
                <c:pt idx="4">
                  <c:v>38.910729609426383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C-714E-B542-1AAB44FF1421}"/>
            </c:ext>
          </c:extLst>
        </c:ser>
        <c:ser>
          <c:idx val="1"/>
          <c:order val="1"/>
          <c:tx>
            <c:strRef>
              <c:f>Regression_Ea_Do!$AO$2</c:f>
              <c:strCache>
                <c:ptCount val="1"/>
                <c:pt idx="0">
                  <c:v>Diffusion domain 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triangle"/>
            <c:size val="20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</c:spPr>
          </c:marker>
          <c:xVal>
            <c:numRef>
              <c:f>Regression_Ea_Do!$C$4:$C$18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Regression_Ea_Do!$AO$4:$AO$18</c:f>
              <c:numCache>
                <c:formatCode>0.00</c:formatCode>
                <c:ptCount val="5"/>
                <c:pt idx="0">
                  <c:v>0.19535750836444737</c:v>
                </c:pt>
                <c:pt idx="1">
                  <c:v>30.328139479176404</c:v>
                </c:pt>
                <c:pt idx="2">
                  <c:v>0.74235773988746911</c:v>
                </c:pt>
                <c:pt idx="3">
                  <c:v>0.12112599153305294</c:v>
                </c:pt>
                <c:pt idx="4">
                  <c:v>0.30300409987851507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C-714E-B542-1AAB44FF1421}"/>
            </c:ext>
          </c:extLst>
        </c:ser>
        <c:ser>
          <c:idx val="2"/>
          <c:order val="2"/>
          <c:tx>
            <c:strRef>
              <c:f>Regression_Ea_Do!$AQ$2</c:f>
              <c:strCache>
                <c:ptCount val="1"/>
                <c:pt idx="0">
                  <c:v>Diffusion domain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Regression_Ea_Do!$C$4:$C$18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Regression_Ea_Do!$AQ$4:$AQ$18</c:f>
              <c:numCache>
                <c:formatCode>0.00</c:formatCode>
                <c:ptCount val="5"/>
                <c:pt idx="4">
                  <c:v>36.473135548433689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C-714E-B542-1AAB44FF1421}"/>
            </c:ext>
          </c:extLst>
        </c:ser>
        <c:ser>
          <c:idx val="3"/>
          <c:order val="3"/>
          <c:tx>
            <c:strRef>
              <c:f>Regression_Ea_Do!$AR$2</c:f>
              <c:strCache>
                <c:ptCount val="1"/>
                <c:pt idx="0">
                  <c:v>Grain size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45"/>
            <c:spPr>
              <a:solidFill>
                <a:schemeClr val="bg2">
                  <a:lumMod val="10000"/>
                </a:schemeClr>
              </a:solidFill>
              <a:ln w="0">
                <a:solidFill>
                  <a:schemeClr val="bg2">
                    <a:lumMod val="10000"/>
                  </a:schemeClr>
                </a:solidFill>
              </a:ln>
            </c:spPr>
          </c:marker>
          <c:xVal>
            <c:numRef>
              <c:f>Regression_Ea_Do!$C$4:$C$18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Regression_Ea_Do!$AR$4:$AR$18</c:f>
              <c:numCache>
                <c:formatCode>0.00</c:formatCode>
                <c:ptCount val="5"/>
                <c:pt idx="0">
                  <c:v>64.993143312602442</c:v>
                </c:pt>
                <c:pt idx="1">
                  <c:v>60.398451454258527</c:v>
                </c:pt>
                <c:pt idx="2">
                  <c:v>19.9902469434757</c:v>
                </c:pt>
                <c:pt idx="3">
                  <c:v>45.84406170379571</c:v>
                </c:pt>
                <c:pt idx="4">
                  <c:v>25.3517102474102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C-714E-B542-1AAB44FF1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29375"/>
        <c:axId val="917526527"/>
      </c:scatterChart>
      <c:valAx>
        <c:axId val="96492937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2400" b="0"/>
                </a:pPr>
                <a:r>
                  <a:rPr lang="en-US" sz="2400" b="0"/>
                  <a:t>increasing shock pressure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7526527"/>
        <c:crossesAt val="1.0000000000000002E-3"/>
        <c:crossBetween val="midCat"/>
      </c:valAx>
      <c:valAx>
        <c:axId val="917526527"/>
        <c:scaling>
          <c:logBase val="10"/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2400" b="1"/>
                </a:pPr>
                <a:r>
                  <a:rPr lang="en-US" sz="2400" b="1"/>
                  <a:t>Diffusion domain size (log(μm))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2937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Regression_Ea_Do!$Y$2</c:f>
              <c:strCache>
                <c:ptCount val="1"/>
                <c:pt idx="0">
                  <c:v>Ea1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20"/>
            <c:spPr>
              <a:solidFill>
                <a:srgbClr val="92D050"/>
              </a:solidFill>
              <a:ln w="9525">
                <a:solidFill>
                  <a:srgbClr val="92D050"/>
                </a:solidFill>
                <a:prstDash val="solid"/>
              </a:ln>
            </c:spPr>
          </c:marker>
          <c:xVal>
            <c:numRef>
              <c:f>Regression_Ea_Do!$C$4:$C$18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Regression_Ea_Do!$Y$4:$Y$18</c:f>
              <c:numCache>
                <c:formatCode>0.00</c:formatCode>
                <c:ptCount val="5"/>
                <c:pt idx="0">
                  <c:v>236.13072363999996</c:v>
                </c:pt>
                <c:pt idx="1">
                  <c:v>92.094474293681998</c:v>
                </c:pt>
                <c:pt idx="2">
                  <c:v>241.95084711000001</c:v>
                </c:pt>
                <c:pt idx="3">
                  <c:v>111.41379214</c:v>
                </c:pt>
                <c:pt idx="4">
                  <c:v>125.18676025030518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9344-928C-27C6A9B4E453}"/>
            </c:ext>
          </c:extLst>
        </c:ser>
        <c:ser>
          <c:idx val="1"/>
          <c:order val="1"/>
          <c:tx>
            <c:strRef>
              <c:f>Regression_Ea_Do!$AE$2</c:f>
              <c:strCache>
                <c:ptCount val="1"/>
                <c:pt idx="0">
                  <c:v>Ea2</c:v>
                </c:pt>
              </c:strCache>
            </c:strRef>
          </c:tx>
          <c:spPr>
            <a:ln w="25400">
              <a:noFill/>
            </a:ln>
          </c:spPr>
          <c:marker>
            <c:symbol val="triangle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Regression_Ea_Do!$C$4:$C$18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Regression_Ea_Do!$AE$4:$AE$18</c:f>
              <c:numCache>
                <c:formatCode>0.00</c:formatCode>
                <c:ptCount val="5"/>
                <c:pt idx="0">
                  <c:v>216.1760146</c:v>
                </c:pt>
                <c:pt idx="1">
                  <c:v>189.56973587999997</c:v>
                </c:pt>
                <c:pt idx="2">
                  <c:v>241.95084711000001</c:v>
                </c:pt>
                <c:pt idx="3">
                  <c:v>236.13072363999996</c:v>
                </c:pt>
                <c:pt idx="4">
                  <c:v>196.3206885176393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9344-928C-27C6A9B4E453}"/>
            </c:ext>
          </c:extLst>
        </c:ser>
        <c:ser>
          <c:idx val="2"/>
          <c:order val="2"/>
          <c:tx>
            <c:strRef>
              <c:f>Regression_Ea_Do!$AK$2</c:f>
              <c:strCache>
                <c:ptCount val="1"/>
                <c:pt idx="0">
                  <c:v>Ea3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Regression_Ea_Do!$C$4:$C$18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Regression_Ea_Do!$AK$4:$AK$19</c:f>
              <c:numCache>
                <c:formatCode>0.00</c:formatCode>
                <c:ptCount val="6"/>
                <c:pt idx="4">
                  <c:v>158.22338231678998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A5-9344-928C-27C6A9B4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90799"/>
        <c:axId val="941537311"/>
      </c:scatterChart>
      <c:catAx>
        <c:axId val="91829079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941537311"/>
        <c:crosses val="autoZero"/>
        <c:auto val="1"/>
        <c:lblAlgn val="ctr"/>
        <c:lblOffset val="100"/>
        <c:noMultiLvlLbl val="0"/>
      </c:catAx>
      <c:valAx>
        <c:axId val="9415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Ea (kJ/mol)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9079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131661</xdr:colOff>
      <xdr:row>84</xdr:row>
      <xdr:rowOff>165985</xdr:rowOff>
    </xdr:from>
    <xdr:to>
      <xdr:col>33</xdr:col>
      <xdr:colOff>1197428</xdr:colOff>
      <xdr:row>121</xdr:row>
      <xdr:rowOff>78401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3F066-2920-944D-ADCA-1C360BEAC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586154</xdr:colOff>
      <xdr:row>96</xdr:row>
      <xdr:rowOff>19538</xdr:rowOff>
    </xdr:from>
    <xdr:to>
      <xdr:col>61</xdr:col>
      <xdr:colOff>513847</xdr:colOff>
      <xdr:row>128</xdr:row>
      <xdr:rowOff>134768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3C60B-FCD2-6B47-BC81-3CA14072A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0.29078</cdr:x>
      <cdr:y>0.2223</cdr:y>
    </cdr:from>
    <cdr:to>
      <cdr:x>0.32901</cdr:x>
      <cdr:y>0.27359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7BC4C8B-54F3-9143-8E78-73FA4447A082}"/>
            </a:ext>
          </a:extLst>
        </cdr:cNvPr>
        <cdr:cNvSpPr/>
      </cdr:nvSpPr>
      <cdr:spPr>
        <a:xfrm xmlns:a="http://schemas.openxmlformats.org/drawingml/2006/main">
          <a:off x="3633991" y="1612689"/>
          <a:ext cx="477769" cy="3720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10000"/>
            <a:alpha val="21000"/>
          </a:schemeClr>
        </a:solidFill>
        <a:ln xmlns:a="http://schemas.openxmlformats.org/drawingml/2006/main">
          <a:solidFill>
            <a:schemeClr val="bg2">
              <a:lumMod val="90000"/>
              <a:alpha val="2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0.42532</cdr:x>
      <cdr:y>0.25884</cdr:y>
    </cdr:from>
    <cdr:to>
      <cdr:x>0.46354</cdr:x>
      <cdr:y>0.39058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ABA91D8-0724-C444-A37D-2F0CFC0F2FD6}"/>
            </a:ext>
          </a:extLst>
        </cdr:cNvPr>
        <cdr:cNvSpPr/>
      </cdr:nvSpPr>
      <cdr:spPr>
        <a:xfrm xmlns:a="http://schemas.openxmlformats.org/drawingml/2006/main">
          <a:off x="5315293" y="1877772"/>
          <a:ext cx="477645" cy="955721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10000"/>
            <a:alpha val="21000"/>
          </a:schemeClr>
        </a:solidFill>
        <a:ln xmlns:a="http://schemas.openxmlformats.org/drawingml/2006/main">
          <a:solidFill>
            <a:schemeClr val="bg2">
              <a:lumMod val="90000"/>
              <a:alpha val="2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0.56068</cdr:x>
      <cdr:y>0.25906</cdr:y>
    </cdr:from>
    <cdr:to>
      <cdr:x>0.5989</cdr:x>
      <cdr:y>0.46646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ABA91D8-0724-C444-A37D-2F0CFC0F2FD6}"/>
            </a:ext>
          </a:extLst>
        </cdr:cNvPr>
        <cdr:cNvSpPr/>
      </cdr:nvSpPr>
      <cdr:spPr>
        <a:xfrm xmlns:a="http://schemas.openxmlformats.org/drawingml/2006/main">
          <a:off x="7006957" y="1879377"/>
          <a:ext cx="477645" cy="1504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10000"/>
            <a:alpha val="21000"/>
          </a:schemeClr>
        </a:solidFill>
        <a:ln xmlns:a="http://schemas.openxmlformats.org/drawingml/2006/main">
          <a:solidFill>
            <a:schemeClr val="bg2">
              <a:lumMod val="90000"/>
              <a:alpha val="2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0.69521</cdr:x>
      <cdr:y>0.26052</cdr:y>
    </cdr:from>
    <cdr:to>
      <cdr:x>0.73344</cdr:x>
      <cdr:y>0.49997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8ABA91D8-0724-C444-A37D-2F0CFC0F2FD6}"/>
            </a:ext>
          </a:extLst>
        </cdr:cNvPr>
        <cdr:cNvSpPr/>
      </cdr:nvSpPr>
      <cdr:spPr>
        <a:xfrm xmlns:a="http://schemas.openxmlformats.org/drawingml/2006/main">
          <a:off x="8688258" y="1889935"/>
          <a:ext cx="477770" cy="17371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10000"/>
            <a:alpha val="21000"/>
          </a:schemeClr>
        </a:solidFill>
        <a:ln xmlns:a="http://schemas.openxmlformats.org/drawingml/2006/main">
          <a:solidFill>
            <a:schemeClr val="bg2">
              <a:lumMod val="90000"/>
              <a:alpha val="2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0.83157</cdr:x>
      <cdr:y>0.38865</cdr:y>
    </cdr:from>
    <cdr:to>
      <cdr:x>0.8698</cdr:x>
      <cdr:y>0.4665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ABA91D8-0724-C444-A37D-2F0CFC0F2FD6}"/>
            </a:ext>
          </a:extLst>
        </cdr:cNvPr>
        <cdr:cNvSpPr/>
      </cdr:nvSpPr>
      <cdr:spPr>
        <a:xfrm xmlns:a="http://schemas.openxmlformats.org/drawingml/2006/main">
          <a:off x="10392403" y="2819496"/>
          <a:ext cx="477770" cy="5647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10000"/>
            <a:alpha val="21000"/>
          </a:schemeClr>
        </a:solidFill>
        <a:ln xmlns:a="http://schemas.openxmlformats.org/drawingml/2006/main">
          <a:solidFill>
            <a:schemeClr val="bg2">
              <a:lumMod val="90000"/>
              <a:alpha val="2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0.18911</cdr:x>
      <cdr:y>0.0196</cdr:y>
    </cdr:from>
    <cdr:to>
      <cdr:x>0.90523</cdr:x>
      <cdr:y>0.08068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808DF44C-63D6-3B4F-A3DA-166DBA4F83D1}"/>
            </a:ext>
          </a:extLst>
        </cdr:cNvPr>
        <cdr:cNvGrpSpPr/>
      </cdr:nvGrpSpPr>
      <cdr:grpSpPr>
        <a:xfrm xmlns:a="http://schemas.openxmlformats.org/drawingml/2006/main">
          <a:off x="2318324" y="151784"/>
          <a:ext cx="8779006" cy="473009"/>
          <a:chOff x="34620" y="4991"/>
          <a:chExt cx="133522" cy="19154"/>
        </a:xfrm>
      </cdr:grpSpPr>
      <cdr:sp macro="" textlink="">
        <cdr:nvSpPr>
          <cdr:cNvPr id="8" name="TextBox 9">
            <a:extLst xmlns:a="http://schemas.openxmlformats.org/drawingml/2006/main">
              <a:ext uri="{FF2B5EF4-FFF2-40B4-BE49-F238E27FC236}">
                <a16:creationId xmlns:a16="http://schemas.microsoft.com/office/drawing/2014/main" id="{C179D07A-513C-214A-AA1B-7AAC591A0612}"/>
              </a:ext>
            </a:extLst>
          </cdr:cNvPr>
          <cdr:cNvSpPr txBox="1"/>
        </cdr:nvSpPr>
        <cdr:spPr>
          <a:xfrm xmlns:a="http://schemas.openxmlformats.org/drawingml/2006/main">
            <a:off x="34620" y="4991"/>
            <a:ext cx="21340" cy="1886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 dirty="0">
                <a:latin typeface="Segoe UI" panose="020B0502040204020203" pitchFamily="34" charset="0"/>
              </a:rPr>
              <a:t>Euhedral</a:t>
            </a:r>
          </a:p>
        </cdr:txBody>
      </cdr:sp>
      <cdr:sp macro="" textlink="">
        <cdr:nvSpPr>
          <cdr:cNvPr id="9" name="TextBox 10">
            <a:extLst xmlns:a="http://schemas.openxmlformats.org/drawingml/2006/main">
              <a:ext uri="{FF2B5EF4-FFF2-40B4-BE49-F238E27FC236}">
                <a16:creationId xmlns:a16="http://schemas.microsoft.com/office/drawing/2014/main" id="{49429F67-C6CF-B94D-B931-5D99BA4140C5}"/>
              </a:ext>
            </a:extLst>
          </cdr:cNvPr>
          <cdr:cNvSpPr txBox="1"/>
        </cdr:nvSpPr>
        <cdr:spPr>
          <a:xfrm xmlns:a="http://schemas.openxmlformats.org/drawingml/2006/main">
            <a:off x="63887" y="5285"/>
            <a:ext cx="22826" cy="1886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 dirty="0">
                <a:latin typeface="Segoe UI" panose="020B0502040204020203" pitchFamily="34" charset="0"/>
              </a:rPr>
              <a:t>Fractured</a:t>
            </a:r>
          </a:p>
        </cdr:txBody>
      </cdr:sp>
      <cdr:sp macro="" textlink="">
        <cdr:nvSpPr>
          <cdr:cNvPr id="10" name="TextBox 11">
            <a:extLst xmlns:a="http://schemas.openxmlformats.org/drawingml/2006/main">
              <a:ext uri="{FF2B5EF4-FFF2-40B4-BE49-F238E27FC236}">
                <a16:creationId xmlns:a16="http://schemas.microsoft.com/office/drawing/2014/main" id="{ADE9EBAE-E1E6-8542-BCED-6B3359B6138C}"/>
              </a:ext>
            </a:extLst>
          </cdr:cNvPr>
          <cdr:cNvSpPr txBox="1"/>
        </cdr:nvSpPr>
        <cdr:spPr>
          <a:xfrm xmlns:a="http://schemas.openxmlformats.org/drawingml/2006/main">
            <a:off x="93133" y="4991"/>
            <a:ext cx="13308" cy="1886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 dirty="0">
                <a:latin typeface="Segoe UI" panose="020B0502040204020203" pitchFamily="34" charset="0"/>
              </a:rPr>
              <a:t>PDFs</a:t>
            </a:r>
          </a:p>
        </cdr:txBody>
      </cdr:sp>
      <cdr:sp macro="" textlink="">
        <cdr:nvSpPr>
          <cdr:cNvPr id="11" name="TextBox 12">
            <a:extLst xmlns:a="http://schemas.openxmlformats.org/drawingml/2006/main">
              <a:ext uri="{FF2B5EF4-FFF2-40B4-BE49-F238E27FC236}">
                <a16:creationId xmlns:a16="http://schemas.microsoft.com/office/drawing/2014/main" id="{36E3542E-7544-1547-847E-145EF3D89A2E}"/>
              </a:ext>
            </a:extLst>
          </cdr:cNvPr>
          <cdr:cNvSpPr txBox="1"/>
        </cdr:nvSpPr>
        <cdr:spPr>
          <a:xfrm xmlns:a="http://schemas.openxmlformats.org/drawingml/2006/main">
            <a:off x="112713" y="4991"/>
            <a:ext cx="35463" cy="1886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 dirty="0">
                <a:latin typeface="Segoe UI" panose="020B0502040204020203" pitchFamily="34" charset="0"/>
              </a:rPr>
              <a:t>Partial Granular</a:t>
            </a:r>
          </a:p>
        </cdr:txBody>
      </cdr:sp>
      <cdr:sp macro="" textlink="">
        <cdr:nvSpPr>
          <cdr:cNvPr id="12" name="TextBox 13">
            <a:extLst xmlns:a="http://schemas.openxmlformats.org/drawingml/2006/main">
              <a:ext uri="{FF2B5EF4-FFF2-40B4-BE49-F238E27FC236}">
                <a16:creationId xmlns:a16="http://schemas.microsoft.com/office/drawing/2014/main" id="{A2E3A835-9628-2642-99B0-E100249DBD3E}"/>
              </a:ext>
            </a:extLst>
          </cdr:cNvPr>
          <cdr:cNvSpPr txBox="1"/>
        </cdr:nvSpPr>
        <cdr:spPr>
          <a:xfrm xmlns:a="http://schemas.openxmlformats.org/drawingml/2006/main">
            <a:off x="147163" y="4991"/>
            <a:ext cx="20979" cy="1886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 dirty="0">
                <a:latin typeface="Segoe UI" panose="020B0502040204020203" pitchFamily="34" charset="0"/>
              </a:rPr>
              <a:t>Granular</a:t>
            </a:r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0.21018</cdr:x>
      <cdr:y>0.01919</cdr:y>
    </cdr:from>
    <cdr:to>
      <cdr:x>0.99325</cdr:x>
      <cdr:y>0.10268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F6792EA2-514F-0145-9CBE-B6396E5E7300}"/>
            </a:ext>
          </a:extLst>
        </cdr:cNvPr>
        <cdr:cNvGrpSpPr/>
      </cdr:nvGrpSpPr>
      <cdr:grpSpPr>
        <a:xfrm xmlns:a="http://schemas.openxmlformats.org/drawingml/2006/main">
          <a:off x="3130747" y="132192"/>
          <a:ext cx="11664258" cy="575126"/>
          <a:chOff x="221686" y="-3746760"/>
          <a:chExt cx="1269874" cy="138344"/>
        </a:xfrm>
      </cdr:grpSpPr>
      <cdr:sp macro="" textlink="">
        <cdr:nvSpPr>
          <cdr:cNvPr id="3" name="TextBox 9">
            <a:extLst xmlns:a="http://schemas.openxmlformats.org/drawingml/2006/main">
              <a:ext uri="{FF2B5EF4-FFF2-40B4-BE49-F238E27FC236}">
                <a16:creationId xmlns:a16="http://schemas.microsoft.com/office/drawing/2014/main" id="{82B9384A-E9E7-C047-B797-92607B0DEB96}"/>
              </a:ext>
            </a:extLst>
          </cdr:cNvPr>
          <cdr:cNvSpPr txBox="1"/>
        </cdr:nvSpPr>
        <cdr:spPr>
          <a:xfrm xmlns:a="http://schemas.openxmlformats.org/drawingml/2006/main">
            <a:off x="221686" y="-3746759"/>
            <a:ext cx="156697" cy="12562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>
            <a:spAutoFit/>
          </a:bodyPr>
          <a:lstStyle xmlns:a="http://schemas.openxmlformats.org/drawingml/2006/main"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 dirty="0">
                <a:latin typeface="Segoe UI" panose="020B0502040204020203" pitchFamily="34" charset="0"/>
              </a:rPr>
              <a:t>Euhedral</a:t>
            </a:r>
          </a:p>
        </cdr:txBody>
      </cdr:sp>
      <cdr:sp macro="" textlink="">
        <cdr:nvSpPr>
          <cdr:cNvPr id="4" name="TextBox 10">
            <a:extLst xmlns:a="http://schemas.openxmlformats.org/drawingml/2006/main">
              <a:ext uri="{FF2B5EF4-FFF2-40B4-BE49-F238E27FC236}">
                <a16:creationId xmlns:a16="http://schemas.microsoft.com/office/drawing/2014/main" id="{30F121A0-D4A2-BD4A-8098-BA7C3B9C0E6F}"/>
              </a:ext>
            </a:extLst>
          </cdr:cNvPr>
          <cdr:cNvSpPr txBox="1"/>
        </cdr:nvSpPr>
        <cdr:spPr>
          <a:xfrm xmlns:a="http://schemas.openxmlformats.org/drawingml/2006/main">
            <a:off x="489390" y="-3734040"/>
            <a:ext cx="167610" cy="12562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>
            <a:spAutoFit/>
          </a:bodyPr>
          <a:lstStyle xmlns:a="http://schemas.openxmlformats.org/drawingml/2006/main"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 dirty="0">
                <a:latin typeface="Segoe UI" panose="020B0502040204020203" pitchFamily="34" charset="0"/>
              </a:rPr>
              <a:t>Fractured</a:t>
            </a:r>
          </a:p>
        </cdr:txBody>
      </cdr:sp>
      <cdr:sp macro="" textlink="">
        <cdr:nvSpPr>
          <cdr:cNvPr id="5" name="TextBox 11">
            <a:extLst xmlns:a="http://schemas.openxmlformats.org/drawingml/2006/main">
              <a:ext uri="{FF2B5EF4-FFF2-40B4-BE49-F238E27FC236}">
                <a16:creationId xmlns:a16="http://schemas.microsoft.com/office/drawing/2014/main" id="{2DC6F216-96A8-5049-95C3-973CC507B9C5}"/>
              </a:ext>
            </a:extLst>
          </cdr:cNvPr>
          <cdr:cNvSpPr txBox="1"/>
        </cdr:nvSpPr>
        <cdr:spPr>
          <a:xfrm xmlns:a="http://schemas.openxmlformats.org/drawingml/2006/main">
            <a:off x="809749" y="-3740400"/>
            <a:ext cx="97720" cy="12562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>
            <a:spAutoFit/>
          </a:bodyPr>
          <a:lstStyle xmlns:a="http://schemas.openxmlformats.org/drawingml/2006/main"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 dirty="0">
                <a:latin typeface="Segoe UI" panose="020B0502040204020203" pitchFamily="34" charset="0"/>
              </a:rPr>
              <a:t>PDFs</a:t>
            </a:r>
          </a:p>
        </cdr:txBody>
      </cdr:sp>
      <cdr:sp macro="" textlink="">
        <cdr:nvSpPr>
          <cdr:cNvPr id="6" name="TextBox 12">
            <a:extLst xmlns:a="http://schemas.openxmlformats.org/drawingml/2006/main">
              <a:ext uri="{FF2B5EF4-FFF2-40B4-BE49-F238E27FC236}">
                <a16:creationId xmlns:a16="http://schemas.microsoft.com/office/drawing/2014/main" id="{21E88270-0577-2641-900C-93E06A73821A}"/>
              </a:ext>
            </a:extLst>
          </cdr:cNvPr>
          <cdr:cNvSpPr txBox="1"/>
        </cdr:nvSpPr>
        <cdr:spPr>
          <a:xfrm xmlns:a="http://schemas.openxmlformats.org/drawingml/2006/main">
            <a:off x="1014138" y="-3746760"/>
            <a:ext cx="260405" cy="12562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>
            <a:spAutoFit/>
          </a:bodyPr>
          <a:lstStyle xmlns:a="http://schemas.openxmlformats.org/drawingml/2006/main"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 dirty="0">
                <a:latin typeface="Segoe UI" panose="020B0502040204020203" pitchFamily="34" charset="0"/>
              </a:rPr>
              <a:t>Partial Granular</a:t>
            </a:r>
          </a:p>
        </cdr:txBody>
      </cdr:sp>
      <cdr:sp macro="" textlink="">
        <cdr:nvSpPr>
          <cdr:cNvPr id="7" name="TextBox 13">
            <a:extLst xmlns:a="http://schemas.openxmlformats.org/drawingml/2006/main">
              <a:ext uri="{FF2B5EF4-FFF2-40B4-BE49-F238E27FC236}">
                <a16:creationId xmlns:a16="http://schemas.microsoft.com/office/drawing/2014/main" id="{F89B6592-D5E4-B749-876D-123B32A983ED}"/>
              </a:ext>
            </a:extLst>
          </cdr:cNvPr>
          <cdr:cNvSpPr txBox="1"/>
        </cdr:nvSpPr>
        <cdr:spPr>
          <a:xfrm xmlns:a="http://schemas.openxmlformats.org/drawingml/2006/main">
            <a:off x="1337513" y="-3740400"/>
            <a:ext cx="154047" cy="125624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>
            <a:spAutoFit/>
          </a:bodyPr>
          <a:lstStyle xmlns:a="http://schemas.openxmlformats.org/drawingml/2006/main"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 dirty="0">
                <a:latin typeface="Segoe UI" panose="020B0502040204020203" pitchFamily="34" charset="0"/>
              </a:rPr>
              <a:t>Granular</a:t>
            </a:r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catross/Library/CloudStorage/Box-Box/Thermo%20diffusion%20impact%20paper/arrenhius_parameters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ression_Ea_Do"/>
      <sheetName val="Ea_vs_shock_forplotting"/>
      <sheetName val="TC TABLE Sphere_workingdraft"/>
      <sheetName val="Literature Ea"/>
    </sheetNames>
    <sheetDataSet>
      <sheetData sheetId="0">
        <row r="4">
          <cell r="V4">
            <v>56648283888517.867</v>
          </cell>
          <cell r="W4">
            <v>738072549374076.62</v>
          </cell>
          <cell r="X4">
            <v>53.212557439999998</v>
          </cell>
          <cell r="Y4">
            <v>236.13072363999996</v>
          </cell>
          <cell r="AB4">
            <v>50913.470287298878</v>
          </cell>
          <cell r="AC4">
            <v>156312.2057465273</v>
          </cell>
          <cell r="AD4">
            <v>19.040118208999999</v>
          </cell>
          <cell r="AE4">
            <v>216.1760146</v>
          </cell>
        </row>
        <row r="5">
          <cell r="V5">
            <v>1104131212644.4517</v>
          </cell>
          <cell r="W5">
            <v>8490834197322.4121</v>
          </cell>
          <cell r="X5">
            <v>37.248790207999996</v>
          </cell>
          <cell r="Y5">
            <v>285.18605002999999</v>
          </cell>
          <cell r="AB5">
            <v>400.64666681822911</v>
          </cell>
          <cell r="AC5">
            <v>894.18862640791099</v>
          </cell>
          <cell r="AD5">
            <v>15.423327195499999</v>
          </cell>
          <cell r="AE5">
            <v>231.82133793356999</v>
          </cell>
        </row>
        <row r="6">
          <cell r="V6">
            <v>4.1824620582848082</v>
          </cell>
          <cell r="W6">
            <v>1.4404554964006335</v>
          </cell>
          <cell r="X6">
            <v>2.0050225208836863</v>
          </cell>
          <cell r="Y6">
            <v>175.74518277687196</v>
          </cell>
          <cell r="AB6">
            <v>37.69511289815452</v>
          </cell>
          <cell r="AC6">
            <v>60.679781201075969</v>
          </cell>
          <cell r="AD6">
            <v>11.090068814530136</v>
          </cell>
          <cell r="AE6">
            <v>197.24542971581042</v>
          </cell>
          <cell r="AH6">
            <v>0.14372786144629218</v>
          </cell>
          <cell r="AI6">
            <v>3.6601210836633612E-2</v>
          </cell>
          <cell r="AJ6">
            <v>1.7409972652229531</v>
          </cell>
          <cell r="AK6">
            <v>164.78105405989879</v>
          </cell>
        </row>
        <row r="7">
          <cell r="V7">
            <v>18.116925952226783</v>
          </cell>
          <cell r="W7">
            <v>10.664341393624106</v>
          </cell>
          <cell r="X7">
            <v>3.0372727896629832</v>
          </cell>
          <cell r="Y7">
            <v>164.59483365781503</v>
          </cell>
          <cell r="AB7">
            <v>1.5865736669655118E-2</v>
          </cell>
          <cell r="AC7">
            <v>8.1351652649074915E-3</v>
          </cell>
          <cell r="AD7">
            <v>3.0476818670370212</v>
          </cell>
          <cell r="AE7">
            <v>125.3480653784614</v>
          </cell>
          <cell r="AH7">
            <v>351.20566070831268</v>
          </cell>
          <cell r="AI7">
            <v>479.9634355595299</v>
          </cell>
          <cell r="AJ7">
            <v>9.4733143571312866</v>
          </cell>
          <cell r="AK7">
            <v>206.31356902756397</v>
          </cell>
        </row>
        <row r="8">
          <cell r="V8">
            <v>328.63869757085854</v>
          </cell>
          <cell r="W8">
            <v>293.67194433434207</v>
          </cell>
          <cell r="X8">
            <v>4.6059172171068656</v>
          </cell>
          <cell r="Y8">
            <v>199.60837214566834</v>
          </cell>
          <cell r="AB8">
            <v>4.2659206644411881E-3</v>
          </cell>
          <cell r="AC8">
            <v>3.094020144206542E-3</v>
          </cell>
          <cell r="AD8">
            <v>4.7004242363898259</v>
          </cell>
          <cell r="AE8">
            <v>163.54722758172264</v>
          </cell>
        </row>
        <row r="9">
          <cell r="V9">
            <v>7.7463060781807784E-3</v>
          </cell>
          <cell r="W9">
            <v>3.2087308564328745E-2</v>
          </cell>
          <cell r="X9">
            <v>18.686316725294621</v>
          </cell>
          <cell r="Y9">
            <v>134.67600400110595</v>
          </cell>
          <cell r="AB9">
            <v>0.48589631418624951</v>
          </cell>
          <cell r="AC9">
            <v>0.21837099641643579</v>
          </cell>
          <cell r="AD9">
            <v>2.5730996965324082</v>
          </cell>
          <cell r="AE9">
            <v>158.98868438747215</v>
          </cell>
          <cell r="AJ9">
            <v>5.036151450746603</v>
          </cell>
          <cell r="AK9">
            <v>137.6783657484836</v>
          </cell>
        </row>
        <row r="10">
          <cell r="V10">
            <v>64.490725668767638</v>
          </cell>
          <cell r="W10">
            <v>46.652475866730434</v>
          </cell>
          <cell r="X10">
            <v>3.6671901286842368</v>
          </cell>
          <cell r="Y10">
            <v>175.36369428482479</v>
          </cell>
          <cell r="AB10">
            <v>75.649225587800146</v>
          </cell>
          <cell r="AC10">
            <v>863.56689091412079</v>
          </cell>
          <cell r="AD10">
            <v>66.883355632610971</v>
          </cell>
          <cell r="AE10">
            <v>187.94078310548844</v>
          </cell>
          <cell r="AH10">
            <v>26.830539721842385</v>
          </cell>
          <cell r="AI10">
            <v>54.604965658148423</v>
          </cell>
          <cell r="AJ10">
            <v>12.968507198990356</v>
          </cell>
          <cell r="AK10">
            <v>203.67918474948704</v>
          </cell>
        </row>
        <row r="11">
          <cell r="V11">
            <v>6.8494725813948127E-5</v>
          </cell>
          <cell r="W11">
            <v>4.5879069087488659E-5</v>
          </cell>
          <cell r="X11">
            <v>2.9932063559999995</v>
          </cell>
          <cell r="Y11">
            <v>92.094474293681998</v>
          </cell>
          <cell r="AB11">
            <v>1.8243909201067274</v>
          </cell>
          <cell r="AC11">
            <v>3.8864222191291589</v>
          </cell>
          <cell r="AD11">
            <v>12.804271633999999</v>
          </cell>
          <cell r="AE11">
            <v>189.56973587999997</v>
          </cell>
        </row>
        <row r="12">
          <cell r="V12">
            <v>333.55516354908195</v>
          </cell>
          <cell r="W12">
            <v>1084.4644694072174</v>
          </cell>
          <cell r="X12">
            <v>14.65507089746</v>
          </cell>
          <cell r="Y12">
            <v>241.95084711000001</v>
          </cell>
          <cell r="AB12">
            <v>333.55516354908195</v>
          </cell>
          <cell r="AC12">
            <v>1424.6714557407811</v>
          </cell>
          <cell r="AD12">
            <v>26.190555615000001</v>
          </cell>
          <cell r="AE12">
            <v>241.95084711000001</v>
          </cell>
        </row>
        <row r="13">
          <cell r="V13">
            <v>13.109006080642843</v>
          </cell>
          <cell r="W13">
            <v>65.26218682355848</v>
          </cell>
          <cell r="X13">
            <v>25.35874880875452</v>
          </cell>
          <cell r="Y13">
            <v>143.55415562478416</v>
          </cell>
        </row>
        <row r="14">
          <cell r="V14">
            <v>1.0565203199989786E-2</v>
          </cell>
          <cell r="W14">
            <v>1.1231316636685576E-2</v>
          </cell>
          <cell r="X14">
            <v>4.7917632205222329</v>
          </cell>
          <cell r="Y14">
            <v>111.41379214</v>
          </cell>
          <cell r="AB14">
            <v>65894.522931121057</v>
          </cell>
          <cell r="AC14">
            <v>91566.040147084859</v>
          </cell>
          <cell r="AD14">
            <v>10.476222245999999</v>
          </cell>
          <cell r="AE14">
            <v>236.13072363999996</v>
          </cell>
        </row>
        <row r="15">
          <cell r="V15">
            <v>0.19526913758463152</v>
          </cell>
          <cell r="W15">
            <v>0.14161404147352852</v>
          </cell>
          <cell r="X15">
            <v>3.5440977129320106</v>
          </cell>
          <cell r="Y15">
            <v>125.18676025030518</v>
          </cell>
          <cell r="AB15">
            <v>3220.1443992172972</v>
          </cell>
          <cell r="AC15">
            <v>6088.1551350685941</v>
          </cell>
          <cell r="AD15">
            <v>10.642511487999998</v>
          </cell>
          <cell r="AE15">
            <v>196.3206885176393</v>
          </cell>
          <cell r="AH15">
            <v>0.22224200957181461</v>
          </cell>
          <cell r="AI15">
            <v>0.44243133560449055</v>
          </cell>
          <cell r="AJ15">
            <v>12.844455429329299</v>
          </cell>
          <cell r="AK15">
            <v>158.22338231678998</v>
          </cell>
        </row>
        <row r="16">
          <cell r="V16">
            <v>6.3568342103606457E-2</v>
          </cell>
          <cell r="W16">
            <v>7.9241919210999226E-2</v>
          </cell>
          <cell r="X16">
            <v>5.446268817222788</v>
          </cell>
          <cell r="Y16">
            <v>150.92356480414364</v>
          </cell>
          <cell r="AB16">
            <v>9.839041607911779E-2</v>
          </cell>
          <cell r="AC16">
            <v>0.17035405760526365</v>
          </cell>
          <cell r="AD16">
            <v>8.8911342558582156</v>
          </cell>
          <cell r="AE16">
            <v>153.86379740309039</v>
          </cell>
          <cell r="AH16">
            <v>117.42748319131086</v>
          </cell>
          <cell r="AI16">
            <v>44.90356042998193</v>
          </cell>
          <cell r="AJ16">
            <v>2.3829330190258271</v>
          </cell>
          <cell r="AK16">
            <v>179.71158700307444</v>
          </cell>
        </row>
        <row r="17">
          <cell r="V17">
            <v>0.7106565307626671</v>
          </cell>
          <cell r="W17">
            <v>0.36240549792386451</v>
          </cell>
          <cell r="X17">
            <v>2.5442254025999995</v>
          </cell>
          <cell r="Y17">
            <v>143.03369150629999</v>
          </cell>
          <cell r="AB17">
            <v>28301.938352958681</v>
          </cell>
          <cell r="AC17">
            <v>193849.06150317527</v>
          </cell>
          <cell r="AD17">
            <v>42.635480768727</v>
          </cell>
          <cell r="AE17">
            <v>229.57046680982307</v>
          </cell>
          <cell r="AH17">
            <v>63.843447572030023</v>
          </cell>
          <cell r="AI17">
            <v>129.25692117088366</v>
          </cell>
          <cell r="AJ17">
            <v>10.937674892549998</v>
          </cell>
          <cell r="AK17">
            <v>171.48258805905357</v>
          </cell>
        </row>
        <row r="18">
          <cell r="V18">
            <v>0.86762921395389658</v>
          </cell>
          <cell r="W18">
            <v>0.45512398638251533</v>
          </cell>
          <cell r="X18">
            <v>2.5431841192475892</v>
          </cell>
          <cell r="Y18">
            <v>135.97471318339998</v>
          </cell>
          <cell r="AB18">
            <v>1076.0310534629025</v>
          </cell>
          <cell r="AC18">
            <v>1541.8216915427658</v>
          </cell>
          <cell r="AD18">
            <v>7.6767266524080391</v>
          </cell>
          <cell r="AE18">
            <v>178.95021608300485</v>
          </cell>
          <cell r="AH18">
            <v>210888.99503910591</v>
          </cell>
          <cell r="AI18">
            <v>545980.83159580897</v>
          </cell>
          <cell r="AJ18">
            <v>15.28055873533469</v>
          </cell>
          <cell r="AK18">
            <v>221.43830374450579</v>
          </cell>
        </row>
      </sheetData>
      <sheetData sheetId="1">
        <row r="7">
          <cell r="J7">
            <v>4.6E-5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E7B8-60FF-4946-AFF6-571E0A5D23C8}">
  <dimension ref="A1:AM69"/>
  <sheetViews>
    <sheetView topLeftCell="A4" zoomScale="50" zoomScaleNormal="100" workbookViewId="0">
      <selection activeCell="P35" sqref="P35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hidden="1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623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599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v>1</v>
      </c>
      <c r="C8" s="1">
        <v>210.05</v>
      </c>
      <c r="D8" s="347">
        <v>2</v>
      </c>
      <c r="E8" s="326">
        <f>10000/(C8+273.15)</f>
        <v>20.695364238410598</v>
      </c>
      <c r="F8" s="327">
        <f t="shared" ref="F8:F67" si="0">SQRT((((-1)*10^4/(C9+273.15)^2)*D8)^2)</f>
        <v>8.222120925692418E-2</v>
      </c>
      <c r="G8" s="309">
        <v>1</v>
      </c>
      <c r="H8" s="1">
        <v>1800</v>
      </c>
      <c r="I8" s="324">
        <v>30</v>
      </c>
      <c r="J8" s="1">
        <v>2.92E-6</v>
      </c>
      <c r="K8" s="1">
        <v>3.2800000000000003E-7</v>
      </c>
      <c r="L8" s="328">
        <f>100*(K8/J8)</f>
        <v>11.232876712328768</v>
      </c>
      <c r="M8" s="329">
        <f>J8/$J$69</f>
        <v>1.8109765895924534E-5</v>
      </c>
      <c r="N8" s="330">
        <f>(1/$J$69)*SQRT(((1-J9/$J$69)*K8)^2+(J9/$J$69)^2*SUMSQ(K9:K$68))</f>
        <v>2.0415914387005311E-6</v>
      </c>
      <c r="O8" s="331">
        <f>100*(N8/M8)</f>
        <v>11.273428107427803</v>
      </c>
      <c r="P8" s="332">
        <f t="shared" ref="P8:P68" si="1">M8+P7</f>
        <v>1.8109765895924534E-5</v>
      </c>
      <c r="Q8" s="330">
        <f>SQRT(((1-P8)/$J$69)^2*SUMSQ(K$8:K8)+(P8/$J$69)^2*SUMSQ(K9:K$68))</f>
        <v>2.0400660006207473E-6</v>
      </c>
      <c r="R8" s="331">
        <f>100*(Q8/P8)</f>
        <v>11.265004817537971</v>
      </c>
      <c r="S8" s="333">
        <f>IF(P8&lt;=0.85, ((2*PI()-PI()^2*P8/3-2*PI()*SQRT(1-PI()*P8/3))/PI()^2/H8), ((-1)*LN((1-P8)*PI()^2/6)/PI()^2/H8 ))</f>
        <v>1.590031083689809E-14</v>
      </c>
      <c r="T8" s="333">
        <f>IF(P8&lt;=0.85, ABS((2/PI()-P8/3-2*SQRT(1-PI()*P8/3)/PI())*(-1)*I8/H8^2), ABS((-1)*LN((1-P8)*PI()^2/6)*(-1)*I8/PI()^2/H8^2))</f>
        <v>2.6500509605661458E-16</v>
      </c>
      <c r="U8" s="333">
        <f>IF(P8&lt;=0.85, ((1/(3*H8*$J$69))*((1/SQRT(1-PI()*P8/3))-1)*SQRT(((1-P8)*K8)^2+(-P8)^2*SUMSQ(K9:K$68))),  (1/(PI()^2*H8*$J$69))*SQRT(K8^2+(P8/(1-P8))^2*SUMSQ(K9:K$68)))</f>
        <v>3.582350653816544E-15</v>
      </c>
      <c r="V8" s="334">
        <f>SQRT(T8^2+U8^2)</f>
        <v>3.5921391826926467E-15</v>
      </c>
      <c r="W8" s="331">
        <f>100*(V8/S8)</f>
        <v>22.591628676571325</v>
      </c>
      <c r="X8" s="334">
        <f>V8*2</f>
        <v>7.1842783653852934E-15</v>
      </c>
      <c r="Y8" s="335">
        <f>LN(S8)</f>
        <v>-31.772437736385143</v>
      </c>
      <c r="Z8" s="335">
        <f>V8/S8</f>
        <v>0.22591628676571324</v>
      </c>
      <c r="AA8" s="335">
        <f>ABS(100*(Z8/Y8))</f>
        <v>0.71104486423148616</v>
      </c>
      <c r="AB8" s="335">
        <f>2*Z8</f>
        <v>0.45183257353142647</v>
      </c>
      <c r="AC8" s="336">
        <f t="shared" ref="AC8:AC67" si="2">S8*($AC$3^2)*10^(-8)</f>
        <v>2.0519287533773636E-18</v>
      </c>
      <c r="AD8" s="337">
        <f t="shared" ref="AD8:AD67" si="3">AC8*SQRT((V8/S8)^2+(2*$AD$3/$AC$3)^2)</f>
        <v>4.6916085352556431E-19</v>
      </c>
      <c r="AE8" s="308">
        <f>100*AD8/AC8</f>
        <v>22.864383217660503</v>
      </c>
      <c r="AF8" s="337">
        <f>2*AD8</f>
        <v>9.3832170705112863E-19</v>
      </c>
      <c r="AG8" s="338">
        <f>LN(AC8)</f>
        <v>-40.727751467763404</v>
      </c>
      <c r="AH8" s="339">
        <f>AD8/AC8</f>
        <v>0.22864383217660506</v>
      </c>
      <c r="AI8" s="340">
        <f>ABS(100*(AH8/AG8))</f>
        <v>0.56139566741753444</v>
      </c>
      <c r="AJ8" s="341">
        <f>2*AH8</f>
        <v>0.45728766435321011</v>
      </c>
    </row>
    <row r="9" spans="1:39" x14ac:dyDescent="0.2">
      <c r="A9" s="309">
        <v>2</v>
      </c>
      <c r="B9" s="309">
        <v>2</v>
      </c>
      <c r="C9" s="1">
        <v>220.05</v>
      </c>
      <c r="D9" s="347">
        <v>2</v>
      </c>
      <c r="E9" s="326">
        <f t="shared" ref="E9:E67" si="4">10000/(C9+273.15)</f>
        <v>20.275750202757504</v>
      </c>
      <c r="F9" s="327">
        <f t="shared" si="0"/>
        <v>7.8985747179892887E-2</v>
      </c>
      <c r="G9" s="309">
        <v>1</v>
      </c>
      <c r="H9" s="1">
        <v>1800</v>
      </c>
      <c r="I9" s="324">
        <v>30</v>
      </c>
      <c r="J9" s="1">
        <v>3.2799999999999999E-6</v>
      </c>
      <c r="K9" s="1">
        <v>4.1900000000000003E-7</v>
      </c>
      <c r="L9" s="328">
        <f t="shared" ref="L9:L69" si="5">100*(K9/J9)</f>
        <v>12.77439024390244</v>
      </c>
      <c r="M9" s="329">
        <f t="shared" ref="M9:M65" si="6">J9/$J$69</f>
        <v>2.0342476759805642E-5</v>
      </c>
      <c r="N9" s="342">
        <f>(1/$J$69)*SQRT(((1-J10/$J$69)*K9)^2+(J10/$J$69)^2*(SUMSQ(K$8:K8)+SUMSQ(K10:K$68)))</f>
        <v>2.6079939622462377E-6</v>
      </c>
      <c r="O9" s="340">
        <f>100*(N9/M9)</f>
        <v>12.820434763378122</v>
      </c>
      <c r="P9" s="332">
        <f t="shared" si="1"/>
        <v>3.8452242655730176E-5</v>
      </c>
      <c r="Q9" s="342">
        <f>SQRT(((1-P9)/$J$69)^2*SUMSQ(K$8:K9)+(P9/$J$69)^2*SUMSQ(K10:K$68))</f>
        <v>3.3162839842763786E-6</v>
      </c>
      <c r="R9" s="340">
        <f>100*(Q9/P9)</f>
        <v>8.6244228040680593</v>
      </c>
      <c r="S9" s="343">
        <f>IF(P9&lt;=0.85, (((-1)*PI()^2*(P9-P8)/3-2*PI()*(SQRT(1-PI()*P9/3)-SQRT(1-PI()*P8/3)))/PI()^2/H9), ((-1)*LN((1-P9)/(1-P8))/PI()^2/H9 ))</f>
        <v>5.5784521360486787E-14</v>
      </c>
      <c r="T9" s="344">
        <f>IF(P9&lt;=0.85, ABS(((-1)*(P9-P8)/3-2*(SQRT(1-PI()*P9/3)-SQRT(1-PI()*P8/3))/PI())*(-1)*I9/H9^2), ABS((-1)*LN((1-P9)/(1-P8))*(-1)*I9/PI()^2/H9^2))</f>
        <v>9.2974202268999599E-16</v>
      </c>
      <c r="U9" s="344">
        <f>IF(P9&lt;=0.85, (1/(3*H9*$J$69))*SQRT( ((1-P9)*(1/SQRT(1-PI()*P9/3)-1) + (1-P8)*(1-1/SQRT(1-PI()*P8/3)))^2*SUMSQ(K$8:K8) + ( (1-P9)*(1/SQRT(1-PI()*P9/3)-1) -P8*(1-1/SQRT(1-PI()*P8/3)) )^2*K9^2 + ( P9*(1-1/SQRT(1-PI()*P9/3)) - P8*(1-1/SQRT(1-PI()*P8/3)) )^2*SUMSQ(K10:K$68) ), (1/(PI()^2*H9*$J$69))*SQRT((1+P8/(1-P8))^2*K9^2+(P8/(1-P8)-P9/(1-P9))^2*SUMSQ(K10:K$68)) )</f>
        <v>1.0529869793460982E-14</v>
      </c>
      <c r="V9" s="345">
        <f>SQRT(T9^2+U9^2)</f>
        <v>1.0570836206090685E-14</v>
      </c>
      <c r="W9" s="340">
        <f>100*(V9/S9)</f>
        <v>18.949407377327081</v>
      </c>
      <c r="X9" s="345">
        <f>V9*2</f>
        <v>2.114167241218137E-14</v>
      </c>
      <c r="Y9" s="338">
        <f t="shared" ref="Y9:Y67" si="7">LN(S9)</f>
        <v>-30.517279958977877</v>
      </c>
      <c r="Z9" s="346">
        <f>V9/S9</f>
        <v>0.18949407377327082</v>
      </c>
      <c r="AA9" s="346">
        <f>ABS(100*(Z9/Y9))</f>
        <v>0.62094024771537204</v>
      </c>
      <c r="AB9" s="346">
        <f t="shared" ref="AB9:AB67" si="8">2*Z9</f>
        <v>0.37898814754654164</v>
      </c>
      <c r="AC9" s="336">
        <f t="shared" si="2"/>
        <v>7.1989701677622747E-18</v>
      </c>
      <c r="AD9" s="337">
        <f t="shared" si="3"/>
        <v>1.3875132580408103E-18</v>
      </c>
      <c r="AE9" s="308">
        <f t="shared" ref="AE9:AE67" si="9">100*AD9/AC9</f>
        <v>19.273774244186157</v>
      </c>
      <c r="AF9" s="337">
        <f t="shared" ref="AF9:AF67" si="10">2*AD9</f>
        <v>2.7750265160816206E-18</v>
      </c>
      <c r="AG9" s="338">
        <f>LN(AC9)</f>
        <v>-39.472593690356142</v>
      </c>
      <c r="AH9" s="339">
        <f>AD9/AC9</f>
        <v>0.19273774244186156</v>
      </c>
      <c r="AI9" s="340">
        <f>ABS(100*(AH9/AG9))</f>
        <v>0.48828243705949026</v>
      </c>
      <c r="AJ9" s="341">
        <f t="shared" ref="AJ9:AJ67" si="11">2*AH9</f>
        <v>0.38547548488372313</v>
      </c>
    </row>
    <row r="10" spans="1:39" x14ac:dyDescent="0.2">
      <c r="A10" s="309">
        <v>3</v>
      </c>
      <c r="B10" s="309">
        <v>3</v>
      </c>
      <c r="C10" s="1">
        <v>230.05</v>
      </c>
      <c r="D10" s="347">
        <v>2</v>
      </c>
      <c r="E10" s="326">
        <f t="shared" si="4"/>
        <v>19.872813990461051</v>
      </c>
      <c r="F10" s="327">
        <f t="shared" si="0"/>
        <v>7.5940530273608697E-2</v>
      </c>
      <c r="G10" s="309">
        <v>1</v>
      </c>
      <c r="H10" s="1">
        <v>1800</v>
      </c>
      <c r="I10" s="324">
        <v>30</v>
      </c>
      <c r="J10" s="1">
        <v>4.1900000000000005E-6</v>
      </c>
      <c r="K10" s="1">
        <v>4.8400000000000005E-7</v>
      </c>
      <c r="L10" s="328">
        <f t="shared" si="5"/>
        <v>11.551312649164677</v>
      </c>
      <c r="M10" s="329">
        <f t="shared" si="6"/>
        <v>2.5986273665727332E-5</v>
      </c>
      <c r="N10" s="342">
        <f>(1/$J$69)*SQRT(((1-J11/$J$69)*K10)^2+(J11/$J$69)^2*(SUMSQ(K$8:K9)+SUMSQ(K11:K$68)))</f>
        <v>3.0125633070119882E-6</v>
      </c>
      <c r="O10" s="340">
        <f t="shared" ref="O10:O68" si="12">100*(N10/M10)</f>
        <v>11.592902259723314</v>
      </c>
      <c r="P10" s="332">
        <f t="shared" si="1"/>
        <v>6.4438516321457508E-5</v>
      </c>
      <c r="Q10" s="342">
        <f>SQRT(((1-P10)/$J$69)^2*SUMSQ(K$8:K10)+(P10/$J$69)^2*SUMSQ(K11:K$68))</f>
        <v>4.4945560156934518E-6</v>
      </c>
      <c r="R10" s="340">
        <f t="shared" ref="R10:R68" si="13">100*(Q10/P10)</f>
        <v>6.9749526715853341</v>
      </c>
      <c r="S10" s="343">
        <f t="shared" ref="S10:S67" si="14">IF(P10&lt;=0.85, (((-1)*PI()^2*(P10-P9)/3-2*PI()*(SQRT(1-PI()*P10/3)-SQRT(1-PI()*P9/3)))/PI()^2/H10), ((-1)*LN((1-P10)/(1-P9))/PI()^2/H10 ))</f>
        <v>1.2963225896194386E-13</v>
      </c>
      <c r="T10" s="344">
        <f t="shared" ref="T10:T67" si="15">IF(P10&lt;=0.85, ABS(((-1)*(P10-P9)/3-2*(SQRT(1-PI()*P10/3)-SQRT(1-PI()*P9/3))/PI())*(-1)*I10/H10^2), ABS((-1)*LN((1-P10)/(1-P9))*(-1)*I10/PI()^2/H10^2))</f>
        <v>2.1605376493715909E-15</v>
      </c>
      <c r="U10" s="344">
        <f>IF(P10&lt;=0.85, (1/(3*H10*$J$69))*SQRT( ((1-P10)*(1/SQRT(1-PI()*P10/3)-1) + (1-P9)*(1-1/SQRT(1-PI()*P9/3)))^2*SUMSQ(K$8:K9) + ( (1-P10)*(1/SQRT(1-PI()*P10/3)-1) -P9*(1-1/SQRT(1-PI()*P9/3)) )^2*K10^2 + ( P10*(1-1/SQRT(1-PI()*P10/3)) - P9*(1-1/SQRT(1-PI()*P9/3)) )^2*SUMSQ(K11:K$68) ), (1/(PI()^2*H10*$J$69))*SQRT((1+P9/(1-P9))^2*K10^2+(P9/(1-P9)-P10/(1-P10))^2*SUMSQ(K11:K$68)) )</f>
        <v>2.0634992207668473E-14</v>
      </c>
      <c r="V10" s="345">
        <f t="shared" ref="V10:V66" si="16">SQRT(T10^2+U10^2)</f>
        <v>2.0747790878666835E-14</v>
      </c>
      <c r="W10" s="340">
        <f t="shared" ref="W10:W66" si="17">100*(V10/S10)</f>
        <v>16.005114039367133</v>
      </c>
      <c r="X10" s="345">
        <f t="shared" ref="X10:X67" si="18">V10*2</f>
        <v>4.1495581757333669E-14</v>
      </c>
      <c r="Y10" s="338">
        <f t="shared" si="7"/>
        <v>-29.674074730222504</v>
      </c>
      <c r="Z10" s="346">
        <f t="shared" ref="Z10:Z67" si="19">V10/S10</f>
        <v>0.16005114039367133</v>
      </c>
      <c r="AA10" s="346">
        <f t="shared" ref="AA10:AA67" si="20">ABS(100*(Z10/Y10))</f>
        <v>0.53936354157207189</v>
      </c>
      <c r="AB10" s="346">
        <f t="shared" si="8"/>
        <v>0.32010228078734265</v>
      </c>
      <c r="AC10" s="336">
        <f t="shared" si="2"/>
        <v>1.6728991166135269E-17</v>
      </c>
      <c r="AD10" s="337">
        <f t="shared" si="3"/>
        <v>2.7415239257949741E-18</v>
      </c>
      <c r="AE10" s="308">
        <f t="shared" si="9"/>
        <v>16.38786163833166</v>
      </c>
      <c r="AF10" s="337">
        <f t="shared" si="10"/>
        <v>5.4830478515899482E-18</v>
      </c>
      <c r="AG10" s="338">
        <f t="shared" ref="AG10:AG67" si="21">LN(AC10)</f>
        <v>-38.629388461600769</v>
      </c>
      <c r="AH10" s="339">
        <f t="shared" ref="AH10:AH67" si="22">AD10/AC10</f>
        <v>0.16387861638331661</v>
      </c>
      <c r="AI10" s="340">
        <f t="shared" ref="AI10:AI67" si="23">ABS(100*(AH10/AG10))</f>
        <v>0.42423300732865293</v>
      </c>
      <c r="AJ10" s="341">
        <f t="shared" si="11"/>
        <v>0.32775723276663321</v>
      </c>
    </row>
    <row r="11" spans="1:39" x14ac:dyDescent="0.2">
      <c r="A11" s="309">
        <v>4</v>
      </c>
      <c r="B11" s="309">
        <v>4</v>
      </c>
      <c r="C11" s="1">
        <v>240.04</v>
      </c>
      <c r="D11" s="347">
        <v>2</v>
      </c>
      <c r="E11" s="326">
        <f t="shared" si="4"/>
        <v>19.485960365556618</v>
      </c>
      <c r="F11" s="327">
        <f t="shared" si="0"/>
        <v>7.3070878863199684E-2</v>
      </c>
      <c r="G11" s="309">
        <v>1</v>
      </c>
      <c r="H11" s="1">
        <v>1800</v>
      </c>
      <c r="I11" s="324">
        <v>30</v>
      </c>
      <c r="J11" s="1">
        <v>4.8399999999999994E-6</v>
      </c>
      <c r="K11" s="1">
        <v>1.13E-6</v>
      </c>
      <c r="L11" s="328">
        <f t="shared" si="5"/>
        <v>23.347107438016533</v>
      </c>
      <c r="M11" s="329">
        <f t="shared" si="6"/>
        <v>3.0017557169957104E-5</v>
      </c>
      <c r="N11" s="342">
        <f>(1/$J$69)*SQRT(((1-J12/$J$69)*K11)^2+(J12/$J$69)^2*(SUMSQ(K$8:K10)+SUMSQ(K12:K$68)))</f>
        <v>7.0331841379316094E-6</v>
      </c>
      <c r="O11" s="340">
        <f t="shared" si="12"/>
        <v>23.430234839265104</v>
      </c>
      <c r="P11" s="332">
        <f t="shared" si="1"/>
        <v>9.4456073491414619E-5</v>
      </c>
      <c r="Q11" s="342">
        <f>SQRT(((1-P11)/$J$69)^2*SUMSQ(K$8:K11)+(P11/$J$69)^2*SUMSQ(K12:K$68))</f>
        <v>8.3458254257591821E-6</v>
      </c>
      <c r="R11" s="340">
        <f t="shared" si="13"/>
        <v>8.8356683877164954</v>
      </c>
      <c r="S11" s="343">
        <f t="shared" si="14"/>
        <v>2.3125267597367385E-13</v>
      </c>
      <c r="T11" s="344">
        <f t="shared" si="15"/>
        <v>3.854211266232632E-15</v>
      </c>
      <c r="U11" s="344">
        <f>IF(P11&lt;=0.85, (1/(3*H11*$J$69))*SQRT( ((1-P11)*(1/SQRT(1-PI()*P11/3)-1) + (1-P10)*(1-1/SQRT(1-PI()*P10/3)))^2*SUMSQ(K$8:K10) + ( (1-P11)*(1/SQRT(1-PI()*P11/3)-1) -P10*(1-1/SQRT(1-PI()*P10/3)) )^2*K11^2 + ( P11*(1-1/SQRT(1-PI()*P11/3)) - P10*(1-1/SQRT(1-PI()*P10/3)) )^2*SUMSQ(K12:K$68) ), (1/(PI()^2*H11*$J$69))*SQRT((1+P10/(1-P10))^2*K11^2+(P10/(1-P10)-P11/(1-P11))^2*SUMSQ(K12:K$68)) )</f>
        <v>6.5606687086045206E-14</v>
      </c>
      <c r="V11" s="345">
        <f t="shared" si="16"/>
        <v>6.5719801695463183E-14</v>
      </c>
      <c r="W11" s="340">
        <f t="shared" si="17"/>
        <v>28.4190448472669</v>
      </c>
      <c r="X11" s="345">
        <f t="shared" si="18"/>
        <v>1.3143960339092637E-13</v>
      </c>
      <c r="Y11" s="338">
        <f t="shared" si="7"/>
        <v>-29.095265446807055</v>
      </c>
      <c r="Z11" s="346">
        <f t="shared" si="19"/>
        <v>0.284190448472669</v>
      </c>
      <c r="AA11" s="346">
        <f t="shared" si="20"/>
        <v>0.97675839731462677</v>
      </c>
      <c r="AB11" s="346">
        <f t="shared" si="8"/>
        <v>0.568380896945338</v>
      </c>
      <c r="AC11" s="336">
        <f t="shared" si="2"/>
        <v>2.9843065333332218E-17</v>
      </c>
      <c r="AD11" s="337">
        <f t="shared" si="3"/>
        <v>8.5459641308739991E-18</v>
      </c>
      <c r="AE11" s="308">
        <f t="shared" si="9"/>
        <v>28.636348295390651</v>
      </c>
      <c r="AF11" s="337">
        <f t="shared" si="10"/>
        <v>1.7091928261747998E-17</v>
      </c>
      <c r="AG11" s="338">
        <f t="shared" si="21"/>
        <v>-38.050579178185316</v>
      </c>
      <c r="AH11" s="339">
        <f t="shared" si="22"/>
        <v>0.28636348295390651</v>
      </c>
      <c r="AI11" s="340">
        <f t="shared" si="23"/>
        <v>0.75258639720806364</v>
      </c>
      <c r="AJ11" s="341">
        <f t="shared" si="11"/>
        <v>0.57272696590781302</v>
      </c>
    </row>
    <row r="12" spans="1:39" x14ac:dyDescent="0.2">
      <c r="A12" s="309">
        <v>5</v>
      </c>
      <c r="B12" s="309">
        <v>6</v>
      </c>
      <c r="C12" s="1">
        <v>250.02</v>
      </c>
      <c r="D12" s="347">
        <v>2</v>
      </c>
      <c r="E12" s="326">
        <f t="shared" si="4"/>
        <v>19.114245847430091</v>
      </c>
      <c r="F12" s="327">
        <f t="shared" si="0"/>
        <v>7.0355586197961797E-2</v>
      </c>
      <c r="G12" s="309">
        <v>2</v>
      </c>
      <c r="H12" s="1">
        <v>3600</v>
      </c>
      <c r="I12" s="324">
        <v>30</v>
      </c>
      <c r="J12" s="1">
        <v>1.1299999999999999E-5</v>
      </c>
      <c r="K12" s="1">
        <v>1.2840000000000001E-6</v>
      </c>
      <c r="L12" s="328">
        <f t="shared" si="5"/>
        <v>11.362831858407082</v>
      </c>
      <c r="M12" s="329">
        <f t="shared" si="6"/>
        <v>7.0082313227379185E-5</v>
      </c>
      <c r="N12" s="342">
        <f>(1/$J$69)*SQRT(((1-J13/$J$69)*K12)^2+(J13/$J$69)^2*(SUMSQ(K$8:K11)+SUMSQ(K13:K$68)))</f>
        <v>7.9916130901958261E-6</v>
      </c>
      <c r="O12" s="340">
        <f t="shared" si="12"/>
        <v>11.40318109116542</v>
      </c>
      <c r="P12" s="332">
        <f t="shared" si="1"/>
        <v>1.645383867187938E-4</v>
      </c>
      <c r="Q12" s="342">
        <f>SQRT(((1-P12)/$J$69)^2*SUMSQ(K$8:K12)+(P12/$J$69)^2*SUMSQ(K13:K$68))</f>
        <v>1.1591257106870968E-5</v>
      </c>
      <c r="R12" s="340">
        <f t="shared" si="13"/>
        <v>7.0447129925256506</v>
      </c>
      <c r="S12" s="343">
        <f t="shared" si="14"/>
        <v>4.4003681321102675E-13</v>
      </c>
      <c r="T12" s="344">
        <f t="shared" si="15"/>
        <v>3.6669734434274364E-15</v>
      </c>
      <c r="U12" s="344">
        <f>IF(P12&lt;=0.85, (1/(3*H12*$J$69))*SQRT( ((1-P12)*(1/SQRT(1-PI()*P12/3)-1) + (1-P11)*(1-1/SQRT(1-PI()*P11/3)))^2*SUMSQ(K$8:K11) + ( (1-P12)*(1/SQRT(1-PI()*P12/3)-1) -P11*(1-1/SQRT(1-PI()*P11/3)) )^2*K12^2 + ( P12*(1-1/SQRT(1-PI()*P12/3)) - P11*(1-1/SQRT(1-PI()*P11/3)) )^2*SUMSQ(K13:K$68) ), (1/(PI()^2*H12*$J$69))*SQRT((1+P11/(1-P11))^2*K12^2+(P11/(1-P11)-P12/(1-P12))^2*SUMSQ(K13:K$68)) )</f>
        <v>6.9917398450479697E-14</v>
      </c>
      <c r="V12" s="345">
        <f t="shared" si="16"/>
        <v>7.0013493701699694E-14</v>
      </c>
      <c r="W12" s="340">
        <f t="shared" si="17"/>
        <v>15.910826458086269</v>
      </c>
      <c r="X12" s="345">
        <f t="shared" si="18"/>
        <v>1.4002698740339939E-13</v>
      </c>
      <c r="Y12" s="338">
        <f t="shared" si="7"/>
        <v>-28.451918005109519</v>
      </c>
      <c r="Z12" s="346">
        <f t="shared" si="19"/>
        <v>0.15910826458086269</v>
      </c>
      <c r="AA12" s="346">
        <f t="shared" si="20"/>
        <v>0.55921806238964045</v>
      </c>
      <c r="AB12" s="346">
        <f t="shared" si="8"/>
        <v>0.31821652916172538</v>
      </c>
      <c r="AC12" s="336">
        <f t="shared" si="2"/>
        <v>5.678657473015771E-17</v>
      </c>
      <c r="AD12" s="337">
        <f t="shared" si="3"/>
        <v>9.2538202783180162E-18</v>
      </c>
      <c r="AE12" s="308">
        <f t="shared" si="9"/>
        <v>16.295788788619401</v>
      </c>
      <c r="AF12" s="337">
        <f t="shared" si="10"/>
        <v>1.8507640556636032E-17</v>
      </c>
      <c r="AG12" s="338">
        <f t="shared" si="21"/>
        <v>-37.40723173648778</v>
      </c>
      <c r="AH12" s="339">
        <f t="shared" si="22"/>
        <v>0.16295788788619398</v>
      </c>
      <c r="AI12" s="340">
        <f t="shared" si="23"/>
        <v>0.43563204311438397</v>
      </c>
      <c r="AJ12" s="341">
        <f t="shared" si="11"/>
        <v>0.32591577577238795</v>
      </c>
    </row>
    <row r="13" spans="1:39" x14ac:dyDescent="0.2">
      <c r="A13" s="309">
        <v>6</v>
      </c>
      <c r="B13" s="309">
        <v>8</v>
      </c>
      <c r="C13" s="1">
        <v>260.02</v>
      </c>
      <c r="D13" s="347">
        <v>2</v>
      </c>
      <c r="E13" s="326">
        <f t="shared" si="4"/>
        <v>18.755743946583642</v>
      </c>
      <c r="F13" s="327">
        <f t="shared" si="0"/>
        <v>6.778887789432754E-2</v>
      </c>
      <c r="G13" s="309">
        <v>2</v>
      </c>
      <c r="H13" s="1">
        <v>3600</v>
      </c>
      <c r="I13" s="324">
        <v>30</v>
      </c>
      <c r="J13" s="1">
        <v>1.2840000000000001E-5</v>
      </c>
      <c r="K13" s="1">
        <v>1.6639999999999999E-6</v>
      </c>
      <c r="L13" s="328">
        <f t="shared" si="5"/>
        <v>12.959501557632397</v>
      </c>
      <c r="M13" s="329">
        <f t="shared" si="6"/>
        <v>7.9633354145092824E-5</v>
      </c>
      <c r="N13" s="342">
        <f>(1/$J$69)*SQRT(((1-J14/$J$69)*K13)^2+(J14/$J$69)^2*(SUMSQ(K$8:K12)+SUMSQ(K14:K$68)))</f>
        <v>1.0356489868154395E-5</v>
      </c>
      <c r="O13" s="340">
        <f t="shared" si="12"/>
        <v>13.005216192808804</v>
      </c>
      <c r="P13" s="332">
        <f t="shared" si="1"/>
        <v>2.4417174086388663E-4</v>
      </c>
      <c r="Q13" s="342">
        <f>SQRT(((1-P13)/$J$69)^2*SUMSQ(K$8:K13)+(P13/$J$69)^2*SUMSQ(K14:K$68))</f>
        <v>1.5593451318945142E-5</v>
      </c>
      <c r="R13" s="340">
        <f t="shared" si="13"/>
        <v>6.3862637272335707</v>
      </c>
      <c r="S13" s="343">
        <f t="shared" si="14"/>
        <v>7.890887924649177E-13</v>
      </c>
      <c r="T13" s="344">
        <f t="shared" si="15"/>
        <v>6.5757399372116321E-15</v>
      </c>
      <c r="U13" s="344">
        <f>IF(P13&lt;=0.85, (1/(3*H13*$J$69))*SQRT( ((1-P13)*(1/SQRT(1-PI()*P13/3)-1) + (1-P12)*(1-1/SQRT(1-PI()*P12/3)))^2*SUMSQ(K$8:K12) + ( (1-P13)*(1/SQRT(1-PI()*P13/3)-1) -P12*(1-1/SQRT(1-PI()*P12/3)) )^2*K13^2 + ( P13*(1-1/SQRT(1-PI()*P13/3)) - P12*(1-1/SQRT(1-PI()*P12/3)) )^2*SUMSQ(K14:K$68) ), (1/(PI()^2*H13*$J$69))*SQRT((1+P12/(1-P12))^2*K13^2+(P12/(1-P12)-P13/(1-P13))^2*SUMSQ(K14:K$68)) )</f>
        <v>1.3069535106959091E-13</v>
      </c>
      <c r="V13" s="345">
        <f t="shared" si="16"/>
        <v>1.308606707415389E-13</v>
      </c>
      <c r="W13" s="340">
        <f t="shared" si="17"/>
        <v>16.583770038446829</v>
      </c>
      <c r="X13" s="345">
        <f t="shared" si="18"/>
        <v>2.6172134148307779E-13</v>
      </c>
      <c r="Y13" s="338">
        <f t="shared" si="7"/>
        <v>-27.867897542418383</v>
      </c>
      <c r="Z13" s="346">
        <f t="shared" si="19"/>
        <v>0.1658377003844683</v>
      </c>
      <c r="AA13" s="346">
        <f t="shared" si="20"/>
        <v>0.59508507999946114</v>
      </c>
      <c r="AB13" s="346">
        <f t="shared" si="8"/>
        <v>0.33167540076893659</v>
      </c>
      <c r="AC13" s="336">
        <f t="shared" si="2"/>
        <v>1.0183159303208063E-16</v>
      </c>
      <c r="AD13" s="337">
        <f t="shared" si="3"/>
        <v>1.7263977082043984E-17</v>
      </c>
      <c r="AE13" s="308">
        <f t="shared" si="9"/>
        <v>16.953458713549935</v>
      </c>
      <c r="AF13" s="337">
        <f t="shared" si="10"/>
        <v>3.4527954164087969E-17</v>
      </c>
      <c r="AG13" s="338">
        <f t="shared" si="21"/>
        <v>-36.823211273796652</v>
      </c>
      <c r="AH13" s="339">
        <f t="shared" si="22"/>
        <v>0.16953458713549938</v>
      </c>
      <c r="AI13" s="340">
        <f t="shared" si="23"/>
        <v>0.46040141875442564</v>
      </c>
      <c r="AJ13" s="341">
        <f t="shared" si="11"/>
        <v>0.33906917427099875</v>
      </c>
    </row>
    <row r="14" spans="1:39" x14ac:dyDescent="0.2">
      <c r="A14" s="309">
        <v>7</v>
      </c>
      <c r="B14" s="309">
        <v>10</v>
      </c>
      <c r="C14" s="1">
        <v>270.02</v>
      </c>
      <c r="D14" s="347">
        <v>2</v>
      </c>
      <c r="E14" s="326">
        <f t="shared" si="4"/>
        <v>18.410442402930943</v>
      </c>
      <c r="F14" s="327">
        <f t="shared" si="0"/>
        <v>6.5360107464748837E-2</v>
      </c>
      <c r="G14" s="309">
        <v>2</v>
      </c>
      <c r="H14" s="1">
        <v>3600</v>
      </c>
      <c r="I14" s="324">
        <v>30</v>
      </c>
      <c r="J14" s="1">
        <v>1.664E-5</v>
      </c>
      <c r="K14" s="1">
        <v>2.17E-6</v>
      </c>
      <c r="L14" s="328">
        <f t="shared" si="5"/>
        <v>13.040865384615385</v>
      </c>
      <c r="M14" s="329">
        <f t="shared" si="6"/>
        <v>1.0320085770828229E-4</v>
      </c>
      <c r="N14" s="342">
        <f>(1/$J$69)*SQRT(((1-J15/$J$69)*K14)^2+(J15/$J$69)^2*(SUMSQ(K$8:K13)+SUMSQ(K15:K$68)))</f>
        <v>1.3505338153026097E-5</v>
      </c>
      <c r="O14" s="340">
        <f t="shared" si="12"/>
        <v>13.086459214517014</v>
      </c>
      <c r="P14" s="332">
        <f t="shared" si="1"/>
        <v>3.4737259857216892E-4</v>
      </c>
      <c r="Q14" s="342">
        <f>SQRT(((1-P14)/$J$69)^2*SUMSQ(K$8:K14)+(P14/$J$69)^2*SUMSQ(K15:K$68))</f>
        <v>2.070136546867476E-5</v>
      </c>
      <c r="R14" s="340">
        <f t="shared" si="13"/>
        <v>5.9594123295173835</v>
      </c>
      <c r="S14" s="343">
        <f t="shared" si="14"/>
        <v>1.4801898074629106E-12</v>
      </c>
      <c r="T14" s="344">
        <f t="shared" si="15"/>
        <v>1.2334915062192274E-14</v>
      </c>
      <c r="U14" s="344">
        <f>IF(P14&lt;=0.85, (1/(3*H14*$J$69))*SQRT( ((1-P14)*(1/SQRT(1-PI()*P14/3)-1) + (1-P13)*(1-1/SQRT(1-PI()*P13/3)))^2*SUMSQ(K$8:K13) + ( (1-P14)*(1/SQRT(1-PI()*P14/3)-1) -P13*(1-1/SQRT(1-PI()*P13/3)) )^2*K14^2 + ( P14*(1-1/SQRT(1-PI()*P14/3)) - P13*(1-1/SQRT(1-PI()*P13/3)) )^2*SUMSQ(K15:K$68) ), (1/(PI()^2*H14*$J$69))*SQRT((1+P13/(1-P13))^2*K14^2+(P13/(1-P13)-P14/(1-P14))^2*SUMSQ(K15:K$68)) )</f>
        <v>2.4082912447789449E-13</v>
      </c>
      <c r="V14" s="345">
        <f t="shared" si="16"/>
        <v>2.4114480572133563E-13</v>
      </c>
      <c r="W14" s="340">
        <f t="shared" si="17"/>
        <v>16.291478599941517</v>
      </c>
      <c r="X14" s="345">
        <f t="shared" si="18"/>
        <v>4.8228961144267126E-13</v>
      </c>
      <c r="Y14" s="338">
        <f t="shared" si="7"/>
        <v>-27.238850788089881</v>
      </c>
      <c r="Z14" s="346">
        <f t="shared" si="19"/>
        <v>0.16291478599941517</v>
      </c>
      <c r="AA14" s="346">
        <f t="shared" si="20"/>
        <v>0.59809713437194367</v>
      </c>
      <c r="AB14" s="346">
        <f t="shared" si="8"/>
        <v>0.32582957199883034</v>
      </c>
      <c r="AC14" s="336">
        <f t="shared" si="2"/>
        <v>1.9101790257716561E-16</v>
      </c>
      <c r="AD14" s="337">
        <f t="shared" si="3"/>
        <v>3.1838198425127704E-17</v>
      </c>
      <c r="AE14" s="308">
        <f t="shared" si="9"/>
        <v>16.667651563321929</v>
      </c>
      <c r="AF14" s="337">
        <f t="shared" si="10"/>
        <v>6.3676396850255407E-17</v>
      </c>
      <c r="AG14" s="338">
        <f t="shared" si="21"/>
        <v>-36.194164519468146</v>
      </c>
      <c r="AH14" s="339">
        <f t="shared" si="22"/>
        <v>0.16667651563321928</v>
      </c>
      <c r="AI14" s="340">
        <f t="shared" si="23"/>
        <v>0.46050659780685688</v>
      </c>
      <c r="AJ14" s="341">
        <f t="shared" si="11"/>
        <v>0.33335303126643856</v>
      </c>
    </row>
    <row r="15" spans="1:39" x14ac:dyDescent="0.2">
      <c r="A15" s="309">
        <v>8</v>
      </c>
      <c r="B15" s="309">
        <v>12</v>
      </c>
      <c r="C15" s="1">
        <v>280.02</v>
      </c>
      <c r="D15" s="347">
        <v>2</v>
      </c>
      <c r="E15" s="326">
        <f t="shared" si="4"/>
        <v>18.077625323137553</v>
      </c>
      <c r="F15" s="327">
        <f t="shared" si="0"/>
        <v>6.3059565180228261E-2</v>
      </c>
      <c r="G15" s="309">
        <v>2</v>
      </c>
      <c r="H15" s="1">
        <v>3600</v>
      </c>
      <c r="I15" s="324">
        <v>30</v>
      </c>
      <c r="J15" s="1">
        <v>2.1699999999999999E-5</v>
      </c>
      <c r="K15" s="1">
        <v>2.7670000000000004E-6</v>
      </c>
      <c r="L15" s="328">
        <f t="shared" si="5"/>
        <v>12.751152073732722</v>
      </c>
      <c r="M15" s="329">
        <f t="shared" si="6"/>
        <v>1.3458284929505562E-4</v>
      </c>
      <c r="N15" s="342">
        <f>(1/$J$69)*SQRT(((1-J16/$J$69)*K15)^2+(J16/$J$69)^2*(SUMSQ(K$8:K14)+SUMSQ(K16:K$68)))</f>
        <v>1.7220228867232415E-5</v>
      </c>
      <c r="O15" s="340">
        <f t="shared" si="12"/>
        <v>12.795262514824065</v>
      </c>
      <c r="P15" s="332">
        <f t="shared" si="1"/>
        <v>4.8195544786722454E-4</v>
      </c>
      <c r="Q15" s="342">
        <f>SQRT(((1-P15)/$J$69)^2*SUMSQ(K$8:K15)+(P15/$J$69)^2*SUMSQ(K16:K$68))</f>
        <v>2.703263627964716E-5</v>
      </c>
      <c r="R15" s="340">
        <f t="shared" si="13"/>
        <v>5.6089492087439723</v>
      </c>
      <c r="S15" s="343">
        <f t="shared" si="14"/>
        <v>2.7064727038252392E-12</v>
      </c>
      <c r="T15" s="344">
        <f t="shared" si="15"/>
        <v>2.2553939198552866E-14</v>
      </c>
      <c r="U15" s="344">
        <f>IF(P15&lt;=0.85, (1/(3*H15*$J$69))*SQRT( ((1-P15)*(1/SQRT(1-PI()*P15/3)-1) + (1-P14)*(1-1/SQRT(1-PI()*P14/3)))^2*SUMSQ(K$8:K14) + ( (1-P15)*(1/SQRT(1-PI()*P15/3)-1) -P14*(1-1/SQRT(1-PI()*P14/3)) )^2*K15^2 + ( P15*(1-1/SQRT(1-PI()*P15/3)) - P14*(1-1/SQRT(1-PI()*P14/3)) )^2*SUMSQ(K16:K$68) ), (1/(PI()^2*H15*$J$69))*SQRT((1+P14/(1-P14))^2*K15^2+(P14/(1-P14)-P15/(1-P15))^2*SUMSQ(K16:K$68)) )</f>
        <v>4.2525227260881137E-13</v>
      </c>
      <c r="V15" s="345">
        <f t="shared" si="16"/>
        <v>4.2584994485420662E-13</v>
      </c>
      <c r="W15" s="340">
        <f t="shared" si="17"/>
        <v>15.734499899161161</v>
      </c>
      <c r="X15" s="345">
        <f t="shared" si="18"/>
        <v>8.5169988970841323E-13</v>
      </c>
      <c r="Y15" s="338">
        <f t="shared" si="7"/>
        <v>-26.635374914139163</v>
      </c>
      <c r="Z15" s="346">
        <f t="shared" si="19"/>
        <v>0.15734499899161161</v>
      </c>
      <c r="AA15" s="346">
        <f t="shared" si="20"/>
        <v>0.59073694099979179</v>
      </c>
      <c r="AB15" s="346">
        <f t="shared" si="8"/>
        <v>0.31468999798322322</v>
      </c>
      <c r="AC15" s="336">
        <f t="shared" si="2"/>
        <v>3.4926921983956556E-16</v>
      </c>
      <c r="AD15" s="337">
        <f t="shared" si="3"/>
        <v>5.631502578421532E-17</v>
      </c>
      <c r="AE15" s="308">
        <f t="shared" si="9"/>
        <v>16.123672681515778</v>
      </c>
      <c r="AF15" s="337">
        <f t="shared" si="10"/>
        <v>1.1263005156843064E-16</v>
      </c>
      <c r="AG15" s="338">
        <f t="shared" si="21"/>
        <v>-35.590688645517432</v>
      </c>
      <c r="AH15" s="339">
        <f t="shared" si="22"/>
        <v>0.1612367268151578</v>
      </c>
      <c r="AI15" s="340">
        <f t="shared" si="23"/>
        <v>0.45303064636110996</v>
      </c>
      <c r="AJ15" s="341">
        <f t="shared" si="11"/>
        <v>0.3224734536303156</v>
      </c>
    </row>
    <row r="16" spans="1:39" x14ac:dyDescent="0.2">
      <c r="A16" s="309">
        <v>9</v>
      </c>
      <c r="B16" s="309">
        <v>14</v>
      </c>
      <c r="C16" s="1">
        <v>290.02</v>
      </c>
      <c r="D16" s="347">
        <v>2</v>
      </c>
      <c r="E16" s="326">
        <f t="shared" si="4"/>
        <v>17.756627661274571</v>
      </c>
      <c r="F16" s="327">
        <f t="shared" si="0"/>
        <v>6.0878380875440924E-2</v>
      </c>
      <c r="G16" s="309">
        <v>2</v>
      </c>
      <c r="H16" s="1">
        <v>3600</v>
      </c>
      <c r="I16" s="324">
        <v>30</v>
      </c>
      <c r="J16" s="1">
        <v>2.7670000000000001E-5</v>
      </c>
      <c r="K16" s="1">
        <v>3.4810000000000002E-6</v>
      </c>
      <c r="L16" s="328">
        <f t="shared" si="5"/>
        <v>12.580411998554391</v>
      </c>
      <c r="M16" s="329">
        <f t="shared" si="6"/>
        <v>1.7160863778775066E-4</v>
      </c>
      <c r="N16" s="342">
        <f>(1/$J$69)*SQRT(((1-J17/$J$69)*K16)^2+(J17/$J$69)^2*(SUMSQ(K$8:K15)+SUMSQ(K17:K$68)))</f>
        <v>2.1662804651226851E-5</v>
      </c>
      <c r="O16" s="340">
        <f t="shared" si="12"/>
        <v>12.62337661465496</v>
      </c>
      <c r="P16" s="332">
        <f t="shared" si="1"/>
        <v>6.5356408565497522E-4</v>
      </c>
      <c r="Q16" s="342">
        <f>SQRT(((1-P16)/$J$69)^2*SUMSQ(K$8:K16)+(P16/$J$69)^2*SUMSQ(K17:K$68))</f>
        <v>3.4787515200282478E-5</v>
      </c>
      <c r="R16" s="340">
        <f t="shared" si="13"/>
        <v>5.3227397226730799</v>
      </c>
      <c r="S16" s="343">
        <f t="shared" si="14"/>
        <v>4.7257834077088055E-12</v>
      </c>
      <c r="T16" s="344">
        <f t="shared" si="15"/>
        <v>3.938152839755965E-14</v>
      </c>
      <c r="U16" s="344">
        <f>IF(P16&lt;=0.85, (1/(3*H16*$J$69))*SQRT( ((1-P16)*(1/SQRT(1-PI()*P16/3)-1) + (1-P15)*(1-1/SQRT(1-PI()*P15/3)))^2*SUMSQ(K$8:K15) + ( (1-P16)*(1/SQRT(1-PI()*P16/3)-1) -P15*(1-1/SQRT(1-PI()*P15/3)) )^2*K16^2 + ( P16*(1-1/SQRT(1-PI()*P16/3)) - P15*(1-1/SQRT(1-PI()*P15/3)) )^2*SUMSQ(K17:K$68) ), (1/(PI()^2*H16*$J$69))*SQRT((1+P15/(1-P15))^2*K16^2+(P15/(1-P15)-P16/(1-P16))^2*SUMSQ(K17:K$68)) )</f>
        <v>7.2393610089079063E-13</v>
      </c>
      <c r="V16" s="345">
        <f t="shared" si="16"/>
        <v>7.2500647097242432E-13</v>
      </c>
      <c r="W16" s="340">
        <f t="shared" si="17"/>
        <v>15.341508664780894</v>
      </c>
      <c r="X16" s="345">
        <f t="shared" si="18"/>
        <v>1.4500129419448486E-12</v>
      </c>
      <c r="Y16" s="338">
        <f t="shared" si="7"/>
        <v>-26.077987768152944</v>
      </c>
      <c r="Z16" s="346">
        <f t="shared" si="19"/>
        <v>0.15341508664780895</v>
      </c>
      <c r="AA16" s="346">
        <f t="shared" si="20"/>
        <v>0.58829342206825896</v>
      </c>
      <c r="AB16" s="346">
        <f t="shared" si="8"/>
        <v>0.3068301732956179</v>
      </c>
      <c r="AC16" s="336">
        <f t="shared" si="2"/>
        <v>6.0986045845145828E-16</v>
      </c>
      <c r="AD16" s="337">
        <f t="shared" si="3"/>
        <v>9.5994481339343849E-17</v>
      </c>
      <c r="AE16" s="308">
        <f t="shared" si="9"/>
        <v>15.740400940748073</v>
      </c>
      <c r="AF16" s="337">
        <f t="shared" si="10"/>
        <v>1.919889626786877E-16</v>
      </c>
      <c r="AG16" s="338">
        <f t="shared" si="21"/>
        <v>-35.033301499531213</v>
      </c>
      <c r="AH16" s="339">
        <f t="shared" si="22"/>
        <v>0.15740400940748073</v>
      </c>
      <c r="AI16" s="340">
        <f t="shared" si="23"/>
        <v>0.44929824672558188</v>
      </c>
      <c r="AJ16" s="341">
        <f t="shared" si="11"/>
        <v>0.31480801881496145</v>
      </c>
    </row>
    <row r="17" spans="1:39" x14ac:dyDescent="0.2">
      <c r="A17" s="309">
        <v>10</v>
      </c>
      <c r="B17" s="309">
        <v>16</v>
      </c>
      <c r="C17" s="1">
        <v>300.02</v>
      </c>
      <c r="D17" s="347">
        <v>2</v>
      </c>
      <c r="E17" s="326">
        <f t="shared" si="4"/>
        <v>17.446830783188236</v>
      </c>
      <c r="F17" s="327">
        <f t="shared" si="0"/>
        <v>5.8808438318958697E-2</v>
      </c>
      <c r="G17" s="309">
        <v>2</v>
      </c>
      <c r="H17" s="1">
        <v>3600</v>
      </c>
      <c r="I17" s="324">
        <v>30</v>
      </c>
      <c r="J17" s="1">
        <v>3.481E-5</v>
      </c>
      <c r="K17" s="1">
        <v>4.3320000000000002E-6</v>
      </c>
      <c r="L17" s="328">
        <f t="shared" si="5"/>
        <v>12.44469979890836</v>
      </c>
      <c r="M17" s="329">
        <f t="shared" si="6"/>
        <v>2.1589073658805929E-4</v>
      </c>
      <c r="N17" s="342">
        <f>(1/$J$69)*SQRT(((1-J18/$J$69)*K17)^2+(J18/$J$69)^2*(SUMSQ(K$8:K16)+SUMSQ(K18:K$68)))</f>
        <v>2.695729685223607E-5</v>
      </c>
      <c r="O17" s="340">
        <f t="shared" si="12"/>
        <v>12.486546332774452</v>
      </c>
      <c r="P17" s="332">
        <f t="shared" si="1"/>
        <v>8.6945482224303448E-4</v>
      </c>
      <c r="Q17" s="342">
        <f>SQRT(((1-P17)/$J$69)^2*SUMSQ(K$8:K17)+(P17/$J$69)^2*SUMSQ(K18:K$68))</f>
        <v>4.4205839691458537E-5</v>
      </c>
      <c r="R17" s="340">
        <f t="shared" si="13"/>
        <v>5.0843170410413681</v>
      </c>
      <c r="S17" s="343">
        <f t="shared" si="14"/>
        <v>7.9752766551375978E-12</v>
      </c>
      <c r="T17" s="344">
        <f t="shared" si="15"/>
        <v>6.6460638792791604E-14</v>
      </c>
      <c r="U17" s="344">
        <f>IF(P17&lt;=0.85, (1/(3*H17*$J$69))*SQRT( ((1-P17)*(1/SQRT(1-PI()*P17/3)-1) + (1-P16)*(1-1/SQRT(1-PI()*P16/3)))^2*SUMSQ(K$8:K16) + ( (1-P17)*(1/SQRT(1-PI()*P17/3)-1) -P16*(1-1/SQRT(1-PI()*P16/3)) )^2*K17^2 + ( P17*(1-1/SQRT(1-PI()*P17/3)) - P16*(1-1/SQRT(1-PI()*P16/3)) )^2*SUMSQ(K18:K$68) ), (1/(PI()^2*H17*$J$69))*SQRT((1+P16/(1-P16))^2*K17^2+(P16/(1-P16)-P17/(1-P17))^2*SUMSQ(K18:K$68)) )</f>
        <v>1.1962960682803105E-12</v>
      </c>
      <c r="V17" s="345">
        <f t="shared" si="16"/>
        <v>1.1981407678113934E-12</v>
      </c>
      <c r="W17" s="340">
        <f t="shared" si="17"/>
        <v>15.023187528417118</v>
      </c>
      <c r="X17" s="345">
        <f t="shared" si="18"/>
        <v>2.3962815356227867E-12</v>
      </c>
      <c r="Y17" s="338">
        <f t="shared" si="7"/>
        <v>-25.554674777559949</v>
      </c>
      <c r="Z17" s="346">
        <f t="shared" si="19"/>
        <v>0.15023187528417117</v>
      </c>
      <c r="AA17" s="346">
        <f t="shared" si="20"/>
        <v>0.58788412136668111</v>
      </c>
      <c r="AB17" s="346">
        <f t="shared" si="8"/>
        <v>0.30046375056834235</v>
      </c>
      <c r="AC17" s="336">
        <f t="shared" si="2"/>
        <v>1.0292062622348448E-15</v>
      </c>
      <c r="AD17" s="337">
        <f t="shared" si="3"/>
        <v>1.5880972696798913E-16</v>
      </c>
      <c r="AE17" s="308">
        <f t="shared" si="9"/>
        <v>15.430310987726175</v>
      </c>
      <c r="AF17" s="337">
        <f t="shared" si="10"/>
        <v>3.1761945393597827E-16</v>
      </c>
      <c r="AG17" s="338">
        <f t="shared" si="21"/>
        <v>-34.509988508938214</v>
      </c>
      <c r="AH17" s="339">
        <f t="shared" si="22"/>
        <v>0.15430310987726176</v>
      </c>
      <c r="AI17" s="340">
        <f t="shared" si="23"/>
        <v>0.44712593815351948</v>
      </c>
      <c r="AJ17" s="341">
        <f t="shared" si="11"/>
        <v>0.30860621975452351</v>
      </c>
      <c r="AM17" s="322"/>
    </row>
    <row r="18" spans="1:39" x14ac:dyDescent="0.2">
      <c r="A18" s="309">
        <v>11</v>
      </c>
      <c r="B18" s="309">
        <v>17</v>
      </c>
      <c r="C18" s="1">
        <v>310.02</v>
      </c>
      <c r="D18" s="347">
        <v>2</v>
      </c>
      <c r="E18" s="326">
        <f t="shared" si="4"/>
        <v>17.147658487233571</v>
      </c>
      <c r="F18" s="327">
        <f t="shared" si="0"/>
        <v>5.6842299602193516E-2</v>
      </c>
      <c r="G18" s="309">
        <v>1</v>
      </c>
      <c r="H18" s="1">
        <v>3600</v>
      </c>
      <c r="I18" s="324">
        <v>30</v>
      </c>
      <c r="J18" s="1">
        <v>4.3319999999999999E-5</v>
      </c>
      <c r="K18" s="1">
        <v>5.4090000000000002E-6</v>
      </c>
      <c r="L18" s="328">
        <f t="shared" si="5"/>
        <v>12.486149584487535</v>
      </c>
      <c r="M18" s="329">
        <f t="shared" si="6"/>
        <v>2.6866954062035987E-4</v>
      </c>
      <c r="N18" s="342">
        <f>(1/$J$69)*SQRT(((1-J19/$J$69)*K18)^2+(J19/$J$69)^2*(SUMSQ(K$8:K17)+SUMSQ(K19:K$68)))</f>
        <v>3.3657050778307448E-5</v>
      </c>
      <c r="O18" s="340">
        <f t="shared" si="12"/>
        <v>12.527304249150491</v>
      </c>
      <c r="P18" s="332">
        <f t="shared" si="1"/>
        <v>1.1381243628633944E-3</v>
      </c>
      <c r="Q18" s="342">
        <f>SQRT(((1-P18)/$J$69)^2*SUMSQ(K$8:K18)+(P18/$J$69)^2*SUMSQ(K19:K$68))</f>
        <v>5.581372650211273E-5</v>
      </c>
      <c r="R18" s="340">
        <f t="shared" si="13"/>
        <v>4.9040094670929983</v>
      </c>
      <c r="S18" s="343">
        <f t="shared" si="14"/>
        <v>1.3085206712106459E-11</v>
      </c>
      <c r="T18" s="344">
        <f t="shared" si="15"/>
        <v>1.0904338926754361E-13</v>
      </c>
      <c r="U18" s="344">
        <f>IF(P18&lt;=0.85, (1/(3*H18*$J$69))*SQRT( ((1-P18)*(1/SQRT(1-PI()*P18/3)-1) + (1-P17)*(1-1/SQRT(1-PI()*P17/3)))^2*SUMSQ(K$8:K17) + ( (1-P18)*(1/SQRT(1-PI()*P18/3)-1) -P17*(1-1/SQRT(1-PI()*P17/3)) )^2*K18^2 + ( P18*(1-1/SQRT(1-PI()*P18/3)) - P17*(1-1/SQRT(1-PI()*P17/3)) )^2*SUMSQ(K19:K$68) ), (1/(PI()^2*H18*$J$69))*SQRT((1+P17/(1-P17))^2*K18^2+(P17/(1-P17)-P18/(1-P18))^2*SUMSQ(K19:K$68)) )</f>
        <v>1.9497485583872085E-12</v>
      </c>
      <c r="V18" s="345">
        <f t="shared" si="16"/>
        <v>1.9527954070193712E-12</v>
      </c>
      <c r="W18" s="340">
        <f t="shared" si="17"/>
        <v>14.923687871225152</v>
      </c>
      <c r="X18" s="345">
        <f t="shared" si="18"/>
        <v>3.9055908140387423E-12</v>
      </c>
      <c r="Y18" s="338">
        <f t="shared" si="7"/>
        <v>-25.05953878243221</v>
      </c>
      <c r="Z18" s="346">
        <f t="shared" si="19"/>
        <v>0.14923687871225153</v>
      </c>
      <c r="AA18" s="346">
        <f t="shared" si="20"/>
        <v>0.59552923143530823</v>
      </c>
      <c r="AB18" s="346">
        <f t="shared" si="8"/>
        <v>0.29847375742450305</v>
      </c>
      <c r="AC18" s="336">
        <f t="shared" si="2"/>
        <v>1.6886406921146535E-15</v>
      </c>
      <c r="AD18" s="337">
        <f t="shared" si="3"/>
        <v>2.5892693371340288E-16</v>
      </c>
      <c r="AE18" s="308">
        <f t="shared" si="9"/>
        <v>15.333453405600066</v>
      </c>
      <c r="AF18" s="337">
        <f t="shared" si="10"/>
        <v>5.1785386742680576E-16</v>
      </c>
      <c r="AG18" s="338">
        <f t="shared" si="21"/>
        <v>-34.014852513810474</v>
      </c>
      <c r="AH18" s="339">
        <f t="shared" si="22"/>
        <v>0.15333453405600067</v>
      </c>
      <c r="AI18" s="340">
        <f t="shared" si="23"/>
        <v>0.45078700251234327</v>
      </c>
      <c r="AJ18" s="341">
        <f t="shared" si="11"/>
        <v>0.30666906811200134</v>
      </c>
    </row>
    <row r="19" spans="1:39" x14ac:dyDescent="0.2">
      <c r="A19" s="309">
        <v>12</v>
      </c>
      <c r="B19" s="309">
        <v>18</v>
      </c>
      <c r="C19" s="1">
        <v>320.02</v>
      </c>
      <c r="D19" s="347">
        <v>2</v>
      </c>
      <c r="E19" s="326">
        <f t="shared" si="4"/>
        <v>16.858573427516564</v>
      </c>
      <c r="F19" s="327">
        <f t="shared" si="0"/>
        <v>5.4973138229462155E-2</v>
      </c>
      <c r="G19" s="309">
        <v>1</v>
      </c>
      <c r="H19" s="1">
        <v>3600</v>
      </c>
      <c r="I19" s="324">
        <v>30</v>
      </c>
      <c r="J19" s="1">
        <v>5.4089999999999999E-5</v>
      </c>
      <c r="K19" s="1">
        <v>4.113599999999999E-6</v>
      </c>
      <c r="L19" s="328">
        <f t="shared" si="5"/>
        <v>7.6051026067664989</v>
      </c>
      <c r="M19" s="329">
        <f t="shared" si="6"/>
        <v>3.3546480729813633E-4</v>
      </c>
      <c r="N19" s="342">
        <f>(1/$J$69)*SQRT(((1-J20/$J$69)*K19)^2+(J20/$J$69)^2*(SUMSQ(K$8:K18)+SUMSQ(K20:K$68)))</f>
        <v>2.5758152524378899E-5</v>
      </c>
      <c r="O19" s="340">
        <f t="shared" si="12"/>
        <v>7.678347166082002</v>
      </c>
      <c r="P19" s="332">
        <f t="shared" si="1"/>
        <v>1.4735891701615307E-3</v>
      </c>
      <c r="Q19" s="342">
        <f>SQRT(((1-P19)/$J$69)^2*SUMSQ(K$8:K19)+(P19/$J$69)^2*SUMSQ(K20:K$68))</f>
        <v>6.1853342427855106E-5</v>
      </c>
      <c r="R19" s="340">
        <f t="shared" si="13"/>
        <v>4.1974617946652613</v>
      </c>
      <c r="S19" s="343">
        <f t="shared" si="14"/>
        <v>2.1260111205679163E-11</v>
      </c>
      <c r="T19" s="344">
        <f t="shared" si="15"/>
        <v>1.7716759338073306E-13</v>
      </c>
      <c r="U19" s="344">
        <f>IF(P19&lt;=0.85, (1/(3*H19*$J$69))*SQRT( ((1-P19)*(1/SQRT(1-PI()*P19/3)-1) + (1-P18)*(1-1/SQRT(1-PI()*P18/3)))^2*SUMSQ(K$8:K18) + ( (1-P19)*(1/SQRT(1-PI()*P19/3)-1) -P18*(1-1/SQRT(1-PI()*P18/3)) )^2*K19^2 + ( P19*(1-1/SQRT(1-PI()*P19/3)) - P18*(1-1/SQRT(1-PI()*P18/3)) )^2*SUMSQ(K20:K$68) ), (1/(PI()^2*H19*$J$69))*SQRT((1+P18/(1-P18))^2*K19^2+(P18/(1-P18)-P19/(1-P19))^2*SUMSQ(K20:K$68)) )</f>
        <v>2.0633554114596293E-12</v>
      </c>
      <c r="V19" s="345">
        <f t="shared" si="16"/>
        <v>2.0709475874932367E-12</v>
      </c>
      <c r="W19" s="340">
        <f t="shared" si="17"/>
        <v>9.7410007288204099</v>
      </c>
      <c r="X19" s="345">
        <f t="shared" si="18"/>
        <v>4.1418951749864735E-12</v>
      </c>
      <c r="Y19" s="338">
        <f t="shared" si="7"/>
        <v>-24.574188512281523</v>
      </c>
      <c r="Z19" s="346">
        <f t="shared" si="19"/>
        <v>9.7410007288204092E-2</v>
      </c>
      <c r="AA19" s="346">
        <f t="shared" si="20"/>
        <v>0.39639155221553363</v>
      </c>
      <c r="AB19" s="346">
        <f t="shared" si="8"/>
        <v>0.19482001457640818</v>
      </c>
      <c r="AC19" s="336">
        <f t="shared" si="2"/>
        <v>2.7436088470484137E-15</v>
      </c>
      <c r="AD19" s="337">
        <f t="shared" si="3"/>
        <v>2.8417938196254692E-16</v>
      </c>
      <c r="AE19" s="308">
        <f t="shared" si="9"/>
        <v>10.357867968980649</v>
      </c>
      <c r="AF19" s="337">
        <f t="shared" si="10"/>
        <v>5.6835876392509385E-16</v>
      </c>
      <c r="AG19" s="338">
        <f t="shared" si="21"/>
        <v>-33.529502243659785</v>
      </c>
      <c r="AH19" s="339">
        <f t="shared" si="22"/>
        <v>0.1035786796898065</v>
      </c>
      <c r="AI19" s="340">
        <f t="shared" si="23"/>
        <v>0.30891803563648956</v>
      </c>
      <c r="AJ19" s="341">
        <f t="shared" si="11"/>
        <v>0.20715735937961299</v>
      </c>
    </row>
    <row r="20" spans="1:39" x14ac:dyDescent="0.2">
      <c r="A20" s="309">
        <v>13</v>
      </c>
      <c r="B20" s="309">
        <v>19</v>
      </c>
      <c r="C20" s="1">
        <v>330.02</v>
      </c>
      <c r="D20" s="347">
        <v>2</v>
      </c>
      <c r="E20" s="326">
        <f t="shared" si="4"/>
        <v>16.579073892932342</v>
      </c>
      <c r="F20" s="327">
        <f t="shared" si="0"/>
        <v>5.3194679783359747E-2</v>
      </c>
      <c r="G20" s="309">
        <v>1</v>
      </c>
      <c r="H20" s="1">
        <v>3600</v>
      </c>
      <c r="I20" s="324">
        <v>30</v>
      </c>
      <c r="J20" s="1">
        <v>6.8559999999999994E-5</v>
      </c>
      <c r="K20" s="1">
        <v>5.1611999999999998E-6</v>
      </c>
      <c r="L20" s="328">
        <f t="shared" si="5"/>
        <v>7.5280046674445735</v>
      </c>
      <c r="M20" s="329">
        <f t="shared" si="6"/>
        <v>4.2520738007691301E-4</v>
      </c>
      <c r="N20" s="342">
        <f>(1/$J$69)*SQRT(((1-J21/$J$69)*K20)^2+(J21/$J$69)^2*(SUMSQ(K$8:K19)+SUMSQ(K21:K$68)))</f>
        <v>3.2314482076670462E-5</v>
      </c>
      <c r="O20" s="340">
        <f t="shared" si="12"/>
        <v>7.5996992504752159</v>
      </c>
      <c r="P20" s="332">
        <f t="shared" si="1"/>
        <v>1.8987965502384437E-3</v>
      </c>
      <c r="Q20" s="342">
        <f>SQRT(((1-P20)/$J$69)^2*SUMSQ(K$8:K20)+(P20/$J$69)^2*SUMSQ(K21:K$68))</f>
        <v>7.0340153566308169E-5</v>
      </c>
      <c r="R20" s="340">
        <f t="shared" si="13"/>
        <v>3.7044597304263647</v>
      </c>
      <c r="S20" s="343">
        <f t="shared" si="14"/>
        <v>3.4806598225264385E-11</v>
      </c>
      <c r="T20" s="344">
        <f t="shared" si="15"/>
        <v>2.9005498521055078E-13</v>
      </c>
      <c r="U20" s="344">
        <f>IF(P20&lt;=0.85, (1/(3*H20*$J$69))*SQRT( ((1-P20)*(1/SQRT(1-PI()*P20/3)-1) + (1-P19)*(1-1/SQRT(1-PI()*P19/3)))^2*SUMSQ(K$8:K19) + ( (1-P20)*(1/SQRT(1-PI()*P20/3)-1) -P19*(1-1/SQRT(1-PI()*P19/3)) )^2*K20^2 + ( P20*(1-1/SQRT(1-PI()*P20/3)) - P19*(1-1/SQRT(1-PI()*P19/3)) )^2*SUMSQ(K21:K$68) ), (1/(PI()^2*H20*$J$69))*SQRT((1+P19/(1-P19))^2*K20^2+(P19/(1-P19)-P20/(1-P20))^2*SUMSQ(K21:K$68)) )</f>
        <v>3.2572634389288836E-12</v>
      </c>
      <c r="V20" s="345">
        <f t="shared" si="16"/>
        <v>3.2701524436986588E-12</v>
      </c>
      <c r="W20" s="340">
        <f t="shared" si="17"/>
        <v>9.395208410010655</v>
      </c>
      <c r="X20" s="345">
        <f t="shared" si="18"/>
        <v>6.5403048873973176E-12</v>
      </c>
      <c r="Y20" s="338">
        <f t="shared" si="7"/>
        <v>-24.081214142946454</v>
      </c>
      <c r="Z20" s="346">
        <f t="shared" si="19"/>
        <v>9.3952084100106553E-2</v>
      </c>
      <c r="AA20" s="346">
        <f t="shared" si="20"/>
        <v>0.3901467905330917</v>
      </c>
      <c r="AB20" s="346">
        <f t="shared" si="8"/>
        <v>0.18790416820021311</v>
      </c>
      <c r="AC20" s="336">
        <f t="shared" si="2"/>
        <v>4.4917775783310782E-15</v>
      </c>
      <c r="AD20" s="337">
        <f t="shared" si="3"/>
        <v>4.5067612941930151E-16</v>
      </c>
      <c r="AE20" s="308">
        <f t="shared" si="9"/>
        <v>10.033358098437954</v>
      </c>
      <c r="AF20" s="337">
        <f t="shared" si="10"/>
        <v>9.0135225883860301E-16</v>
      </c>
      <c r="AG20" s="338">
        <f t="shared" si="21"/>
        <v>-33.036527874324719</v>
      </c>
      <c r="AH20" s="339">
        <f t="shared" si="22"/>
        <v>0.10033358098437956</v>
      </c>
      <c r="AI20" s="340">
        <f t="shared" si="23"/>
        <v>0.30370498184936884</v>
      </c>
      <c r="AJ20" s="341">
        <f t="shared" si="11"/>
        <v>0.20066716196875911</v>
      </c>
    </row>
    <row r="21" spans="1:39" x14ac:dyDescent="0.2">
      <c r="A21" s="309">
        <v>14</v>
      </c>
      <c r="B21" s="309">
        <v>20</v>
      </c>
      <c r="C21" s="1">
        <v>340.02</v>
      </c>
      <c r="D21" s="347">
        <v>2</v>
      </c>
      <c r="E21" s="326">
        <f t="shared" si="4"/>
        <v>16.308690901381347</v>
      </c>
      <c r="F21" s="327">
        <f t="shared" si="0"/>
        <v>5.1501149200892125E-2</v>
      </c>
      <c r="G21" s="309">
        <v>1</v>
      </c>
      <c r="H21" s="1">
        <v>3600</v>
      </c>
      <c r="I21" s="324">
        <v>30</v>
      </c>
      <c r="J21" s="1">
        <v>8.6019999999999993E-5</v>
      </c>
      <c r="K21" s="1">
        <v>6.7421999999999996E-6</v>
      </c>
      <c r="L21" s="328">
        <f t="shared" si="5"/>
        <v>7.837944664031621</v>
      </c>
      <c r="M21" s="329">
        <f t="shared" si="6"/>
        <v>5.3349385697514667E-4</v>
      </c>
      <c r="N21" s="342">
        <f>(1/$J$69)*SQRT(((1-J22/$J$69)*K21)^2+(J22/$J$69)^2*(SUMSQ(K$8:K20)+SUMSQ(K22:K$68)))</f>
        <v>4.2206417499434041E-5</v>
      </c>
      <c r="O21" s="340">
        <f t="shared" si="12"/>
        <v>7.9113221169480621</v>
      </c>
      <c r="P21" s="332">
        <f t="shared" si="1"/>
        <v>2.4322904072135903E-3</v>
      </c>
      <c r="Q21" s="342">
        <f>SQRT(((1-P21)/$J$69)^2*SUMSQ(K$8:K21)+(P21/$J$69)^2*SUMSQ(K22:K$68))</f>
        <v>8.2769399416606743E-5</v>
      </c>
      <c r="R21" s="340">
        <f t="shared" si="13"/>
        <v>3.4029406674109532</v>
      </c>
      <c r="S21" s="343">
        <f t="shared" si="14"/>
        <v>5.6106654184497971E-11</v>
      </c>
      <c r="T21" s="344">
        <f t="shared" si="15"/>
        <v>4.6755545153744379E-13</v>
      </c>
      <c r="U21" s="344">
        <f>IF(P21&lt;=0.85, (1/(3*H21*$J$69))*SQRT( ((1-P21)*(1/SQRT(1-PI()*P21/3)-1) + (1-P20)*(1-1/SQRT(1-PI()*P20/3)))^2*SUMSQ(K$8:K20) + ( (1-P21)*(1/SQRT(1-PI()*P21/3)-1) -P20*(1-1/SQRT(1-PI()*P20/3)) )^2*K21^2 + ( P21*(1-1/SQRT(1-PI()*P21/3)) - P20*(1-1/SQRT(1-PI()*P20/3)) )^2*SUMSQ(K22:K$68) ), (1/(PI()^2*H21*$J$69))*SQRT((1+P20/(1-P20))^2*K21^2+(P20/(1-P20)-P21/(1-P21))^2*SUMSQ(K22:K$68)) )</f>
        <v>5.3308581483893302E-12</v>
      </c>
      <c r="V21" s="345">
        <f t="shared" si="16"/>
        <v>5.3513228923800986E-12</v>
      </c>
      <c r="W21" s="340">
        <f t="shared" si="17"/>
        <v>9.5377686838767968</v>
      </c>
      <c r="X21" s="345">
        <f t="shared" si="18"/>
        <v>1.0702645784760197E-11</v>
      </c>
      <c r="Y21" s="338">
        <f t="shared" si="7"/>
        <v>-23.60376669751945</v>
      </c>
      <c r="Z21" s="346">
        <f t="shared" si="19"/>
        <v>9.5377686838767975E-2</v>
      </c>
      <c r="AA21" s="346">
        <f t="shared" si="20"/>
        <v>0.40407824759931787</v>
      </c>
      <c r="AB21" s="346">
        <f t="shared" si="8"/>
        <v>0.19075537367753595</v>
      </c>
      <c r="AC21" s="336">
        <f t="shared" si="2"/>
        <v>7.240541279847789E-15</v>
      </c>
      <c r="AD21" s="337">
        <f t="shared" si="3"/>
        <v>7.3614396652464916E-16</v>
      </c>
      <c r="AE21" s="308">
        <f t="shared" si="9"/>
        <v>10.166974236767619</v>
      </c>
      <c r="AF21" s="337">
        <f t="shared" si="10"/>
        <v>1.4722879330492983E-15</v>
      </c>
      <c r="AG21" s="338">
        <f t="shared" si="21"/>
        <v>-32.559080428897715</v>
      </c>
      <c r="AH21" s="339">
        <f t="shared" si="22"/>
        <v>0.10166974236767619</v>
      </c>
      <c r="AI21" s="340">
        <f t="shared" si="23"/>
        <v>0.31226232752396627</v>
      </c>
      <c r="AJ21" s="341">
        <f t="shared" si="11"/>
        <v>0.20333948473535238</v>
      </c>
    </row>
    <row r="22" spans="1:39" x14ac:dyDescent="0.2">
      <c r="A22" s="309">
        <v>15</v>
      </c>
      <c r="B22" s="309">
        <v>22</v>
      </c>
      <c r="C22" s="1">
        <v>350.02</v>
      </c>
      <c r="D22" s="347">
        <v>2</v>
      </c>
      <c r="E22" s="326">
        <f t="shared" si="4"/>
        <v>16.046985573759969</v>
      </c>
      <c r="F22" s="327">
        <f t="shared" si="0"/>
        <v>4.98887996615512E-2</v>
      </c>
      <c r="G22" s="309">
        <v>2</v>
      </c>
      <c r="H22" s="1">
        <v>3600</v>
      </c>
      <c r="I22" s="324">
        <v>30</v>
      </c>
      <c r="J22" s="1">
        <v>1.1237E-4</v>
      </c>
      <c r="K22" s="1">
        <v>9.0294000000000003E-6</v>
      </c>
      <c r="L22" s="328">
        <f t="shared" si="5"/>
        <v>8.0354187060603355</v>
      </c>
      <c r="M22" s="329">
        <f t="shared" si="6"/>
        <v>6.9691588826199997E-4</v>
      </c>
      <c r="N22" s="342">
        <f>(1/$J$69)*SQRT(((1-J23/$J$69)*K22)^2+(J23/$J$69)^2*(SUMSQ(K$8:K21)+SUMSQ(K23:K$68)))</f>
        <v>5.6511254550667154E-5</v>
      </c>
      <c r="O22" s="340">
        <f t="shared" si="12"/>
        <v>8.1087625497529476</v>
      </c>
      <c r="P22" s="332">
        <f t="shared" si="1"/>
        <v>3.12920629547559E-3</v>
      </c>
      <c r="Q22" s="342">
        <f>SQRT(((1-P22)/$J$69)^2*SUMSQ(K$8:K22)+(P22/$J$69)^2*SUMSQ(K23:K$68))</f>
        <v>1.0119334519947589E-4</v>
      </c>
      <c r="R22" s="340">
        <f t="shared" si="13"/>
        <v>3.2338342584120392</v>
      </c>
      <c r="S22" s="343">
        <f t="shared" si="14"/>
        <v>9.4161133126044879E-11</v>
      </c>
      <c r="T22" s="344">
        <f t="shared" si="15"/>
        <v>7.8467610938365462E-13</v>
      </c>
      <c r="U22" s="344">
        <f>IF(P22&lt;=0.85, (1/(3*H22*$J$69))*SQRT( ((1-P22)*(1/SQRT(1-PI()*P22/3)-1) + (1-P21)*(1-1/SQRT(1-PI()*P21/3)))^2*SUMSQ(K$8:K21) + ( (1-P22)*(1/SQRT(1-PI()*P22/3)-1) -P21*(1-1/SQRT(1-PI()*P21/3)) )^2*K22^2 + ( P22*(1-1/SQRT(1-PI()*P22/3)) - P21*(1-1/SQRT(1-PI()*P21/3)) )^2*SUMSQ(K23:K$68) ), (1/(PI()^2*H22*$J$69))*SQRT((1+P21/(1-P21))^2*K22^2+(P21/(1-P21)-P22/(1-P22))^2*SUMSQ(K23:K$68)) )</f>
        <v>9.0711495421737828E-12</v>
      </c>
      <c r="V22" s="345">
        <f t="shared" si="16"/>
        <v>9.1050244707588294E-12</v>
      </c>
      <c r="W22" s="340">
        <f t="shared" si="17"/>
        <v>9.6696207537888981</v>
      </c>
      <c r="X22" s="345">
        <f t="shared" si="18"/>
        <v>1.8210048941517659E-11</v>
      </c>
      <c r="Y22" s="338">
        <f t="shared" si="7"/>
        <v>-23.086013619000031</v>
      </c>
      <c r="Z22" s="346">
        <f t="shared" si="19"/>
        <v>9.669620753788899E-2</v>
      </c>
      <c r="AA22" s="346">
        <f t="shared" si="20"/>
        <v>0.41885190372714237</v>
      </c>
      <c r="AB22" s="346">
        <f t="shared" si="8"/>
        <v>0.19339241507577798</v>
      </c>
      <c r="AC22" s="336">
        <f t="shared" si="2"/>
        <v>1.215145656546284E-14</v>
      </c>
      <c r="AD22" s="337">
        <f t="shared" si="3"/>
        <v>1.2504781633665776E-15</v>
      </c>
      <c r="AE22" s="308">
        <f t="shared" si="9"/>
        <v>10.290767667480427</v>
      </c>
      <c r="AF22" s="337">
        <f t="shared" si="10"/>
        <v>2.5009563267331552E-15</v>
      </c>
      <c r="AG22" s="338">
        <f t="shared" si="21"/>
        <v>-32.041327350378296</v>
      </c>
      <c r="AH22" s="339">
        <f t="shared" si="22"/>
        <v>0.10290767667480427</v>
      </c>
      <c r="AI22" s="340">
        <f t="shared" si="23"/>
        <v>0.32117170287450436</v>
      </c>
      <c r="AJ22" s="341">
        <f t="shared" si="11"/>
        <v>0.20581535334960854</v>
      </c>
    </row>
    <row r="23" spans="1:39" x14ac:dyDescent="0.2">
      <c r="A23" s="309">
        <v>16</v>
      </c>
      <c r="B23" s="309">
        <v>26</v>
      </c>
      <c r="C23" s="1">
        <v>360.01</v>
      </c>
      <c r="D23" s="347">
        <v>2</v>
      </c>
      <c r="E23" s="326">
        <f t="shared" si="4"/>
        <v>15.793796196853876</v>
      </c>
      <c r="F23" s="327">
        <f t="shared" si="0"/>
        <v>4.8349495028784217E-2</v>
      </c>
      <c r="G23" s="309">
        <v>4</v>
      </c>
      <c r="H23" s="1">
        <v>3600</v>
      </c>
      <c r="I23" s="324">
        <v>30</v>
      </c>
      <c r="J23" s="1">
        <v>1.5049E-4</v>
      </c>
      <c r="K23" s="1">
        <v>1.19394E-5</v>
      </c>
      <c r="L23" s="328">
        <f t="shared" si="5"/>
        <v>7.9336833012160266</v>
      </c>
      <c r="M23" s="329">
        <f t="shared" si="6"/>
        <v>9.3333516084852177E-4</v>
      </c>
      <c r="N23" s="342">
        <f>(1/$J$69)*SQRT(((1-J24/$J$69)*K23)^2+(J24/$J$69)^2*(SUMSQ(K$8:K22)+SUMSQ(K24:K$68)))</f>
        <v>7.4701657679490825E-5</v>
      </c>
      <c r="O23" s="340">
        <f t="shared" si="12"/>
        <v>8.0037333653622778</v>
      </c>
      <c r="P23" s="332">
        <f t="shared" si="1"/>
        <v>4.0625414563241116E-3</v>
      </c>
      <c r="Q23" s="342">
        <f>SQRT(((1-P23)/$J$69)^2*SUMSQ(K$8:K23)+(P23/$J$69)^2*SUMSQ(K24:K$68))</f>
        <v>1.2707861040076545E-4</v>
      </c>
      <c r="R23" s="340">
        <f t="shared" si="13"/>
        <v>3.1280569507283094</v>
      </c>
      <c r="S23" s="343">
        <f t="shared" si="14"/>
        <v>1.631745896276801E-10</v>
      </c>
      <c r="T23" s="344">
        <f t="shared" si="15"/>
        <v>1.3597882468974816E-12</v>
      </c>
      <c r="U23" s="344">
        <f>IF(P23&lt;=0.85, (1/(3*H23*$J$69))*SQRT( ((1-P23)*(1/SQRT(1-PI()*P23/3)-1) + (1-P22)*(1-1/SQRT(1-PI()*P22/3)))^2*SUMSQ(K$8:K22) + ( (1-P23)*(1/SQRT(1-PI()*P23/3)-1) -P22*(1-1/SQRT(1-PI()*P22/3)) )^2*K23^2 + ( P23*(1-1/SQRT(1-PI()*P23/3)) - P22*(1-1/SQRT(1-PI()*P22/3)) )^2*SUMSQ(K24:K$68) ), (1/(PI()^2*H23*$J$69))*SQRT((1+P22/(1-P22))^2*K23^2+(P22/(1-P22)-P23/(1-P23))^2*SUMSQ(K24:K$68)) )</f>
        <v>1.5514382134332496E-11</v>
      </c>
      <c r="V23" s="345">
        <f t="shared" si="16"/>
        <v>1.5573858773165239E-11</v>
      </c>
      <c r="W23" s="340">
        <f t="shared" si="17"/>
        <v>9.5442916747641515</v>
      </c>
      <c r="X23" s="345">
        <f t="shared" si="18"/>
        <v>3.1147717546330478E-11</v>
      </c>
      <c r="Y23" s="338">
        <f t="shared" si="7"/>
        <v>-22.536200386331956</v>
      </c>
      <c r="Z23" s="346">
        <f t="shared" si="19"/>
        <v>9.5442916747641507E-2</v>
      </c>
      <c r="AA23" s="346">
        <f t="shared" si="20"/>
        <v>0.42350935433431341</v>
      </c>
      <c r="AB23" s="346">
        <f t="shared" si="8"/>
        <v>0.19088583349528301</v>
      </c>
      <c r="AC23" s="336">
        <f t="shared" si="2"/>
        <v>2.1057615521616266E-14</v>
      </c>
      <c r="AD23" s="337">
        <f t="shared" si="3"/>
        <v>2.1422109767114179E-15</v>
      </c>
      <c r="AE23" s="308">
        <f t="shared" si="9"/>
        <v>10.173093788859308</v>
      </c>
      <c r="AF23" s="337">
        <f t="shared" si="10"/>
        <v>4.2844219534228359E-15</v>
      </c>
      <c r="AG23" s="338">
        <f t="shared" si="21"/>
        <v>-31.491514117710217</v>
      </c>
      <c r="AH23" s="339">
        <f t="shared" si="22"/>
        <v>0.10173093788859308</v>
      </c>
      <c r="AI23" s="340">
        <f t="shared" si="23"/>
        <v>0.32304238376198485</v>
      </c>
      <c r="AJ23" s="341">
        <f t="shared" si="11"/>
        <v>0.20346187577718616</v>
      </c>
    </row>
    <row r="24" spans="1:39" x14ac:dyDescent="0.2">
      <c r="A24" s="309">
        <v>17</v>
      </c>
      <c r="B24" s="309">
        <v>32</v>
      </c>
      <c r="C24" s="1">
        <v>370.01</v>
      </c>
      <c r="D24" s="347">
        <v>2</v>
      </c>
      <c r="E24" s="326">
        <f t="shared" si="4"/>
        <v>15.548230611356429</v>
      </c>
      <c r="F24" s="327">
        <f t="shared" si="0"/>
        <v>4.6880348872004991E-2</v>
      </c>
      <c r="G24" s="309">
        <v>6</v>
      </c>
      <c r="H24" s="1">
        <v>3600</v>
      </c>
      <c r="I24" s="324">
        <v>30</v>
      </c>
      <c r="J24" s="1">
        <v>1.9898999999999999E-4</v>
      </c>
      <c r="K24" s="1">
        <v>8.0111999999999988E-6</v>
      </c>
      <c r="L24" s="328">
        <f t="shared" si="5"/>
        <v>4.0259309513040851</v>
      </c>
      <c r="M24" s="329">
        <f t="shared" si="6"/>
        <v>1.2341309300102818E-3</v>
      </c>
      <c r="N24" s="342">
        <f>(1/$J$69)*SQRT(((1-J25/$J$69)*K24)^2+(J25/$J$69)^2*(SUMSQ(K$8:K23)+SUMSQ(K25:K$68)))</f>
        <v>5.1574833933768928E-5</v>
      </c>
      <c r="O24" s="340">
        <f t="shared" si="12"/>
        <v>4.179040706267628</v>
      </c>
      <c r="P24" s="332">
        <f t="shared" si="1"/>
        <v>5.2966723863343938E-3</v>
      </c>
      <c r="Q24" s="342">
        <f>SQRT(((1-P24)/$J$69)^2*SUMSQ(K$8:K24)+(P24/$J$69)^2*SUMSQ(K25:K$68))</f>
        <v>1.3926382585184821E-4</v>
      </c>
      <c r="R24" s="340">
        <f t="shared" si="13"/>
        <v>2.6292701472561135</v>
      </c>
      <c r="S24" s="343">
        <f t="shared" si="14"/>
        <v>2.8103123507491406E-10</v>
      </c>
      <c r="T24" s="344">
        <f t="shared" si="15"/>
        <v>2.3419269589574154E-12</v>
      </c>
      <c r="U24" s="344">
        <f>IF(P24&lt;=0.85, (1/(3*H24*$J$69))*SQRT( ((1-P24)*(1/SQRT(1-PI()*P24/3)-1) + (1-P23)*(1-1/SQRT(1-PI()*P23/3)))^2*SUMSQ(K$8:K23) + ( (1-P24)*(1/SQRT(1-PI()*P24/3)-1) -P23*(1-1/SQRT(1-PI()*P23/3)) )^2*K24^2 + ( P24*(1-1/SQRT(1-PI()*P24/3)) - P23*(1-1/SQRT(1-PI()*P23/3)) )^2*SUMSQ(K25:K$68) ), (1/(PI()^2*H24*$J$69))*SQRT((1+P23/(1-P23))^2*K24^2+(P23/(1-P23)-P24/(1-P24))^2*SUMSQ(K25:K$68)) )</f>
        <v>1.5499208294994352E-11</v>
      </c>
      <c r="V24" s="345">
        <f t="shared" si="16"/>
        <v>1.5675142093541391E-11</v>
      </c>
      <c r="W24" s="340">
        <f t="shared" si="17"/>
        <v>5.5777223799919939</v>
      </c>
      <c r="X24" s="345">
        <f t="shared" si="18"/>
        <v>3.1350284187082783E-11</v>
      </c>
      <c r="Y24" s="338">
        <f t="shared" si="7"/>
        <v>-21.992555295922038</v>
      </c>
      <c r="Z24" s="346">
        <f t="shared" si="19"/>
        <v>5.5777223799919937E-2</v>
      </c>
      <c r="AA24" s="346">
        <f t="shared" si="20"/>
        <v>0.25361865890255331</v>
      </c>
      <c r="AB24" s="346">
        <f t="shared" si="8"/>
        <v>0.11155444759983987</v>
      </c>
      <c r="AC24" s="336">
        <f t="shared" si="2"/>
        <v>3.6266968473923628E-14</v>
      </c>
      <c r="AD24" s="337">
        <f t="shared" si="3"/>
        <v>2.3922270990769593E-15</v>
      </c>
      <c r="AE24" s="308">
        <f t="shared" si="9"/>
        <v>6.5961595350794164</v>
      </c>
      <c r="AF24" s="337">
        <f t="shared" si="10"/>
        <v>4.7844541981539187E-15</v>
      </c>
      <c r="AG24" s="338">
        <f t="shared" si="21"/>
        <v>-30.947869027300303</v>
      </c>
      <c r="AH24" s="339">
        <f t="shared" si="22"/>
        <v>6.5961595350794169E-2</v>
      </c>
      <c r="AI24" s="340">
        <f t="shared" si="23"/>
        <v>0.21313776173928781</v>
      </c>
      <c r="AJ24" s="341">
        <f t="shared" si="11"/>
        <v>0.13192319070158834</v>
      </c>
    </row>
    <row r="25" spans="1:39" x14ac:dyDescent="0.2">
      <c r="A25" s="309">
        <v>18</v>
      </c>
      <c r="B25" s="309">
        <v>35</v>
      </c>
      <c r="C25" s="1">
        <v>380.01</v>
      </c>
      <c r="D25" s="347">
        <v>2</v>
      </c>
      <c r="E25" s="326">
        <f t="shared" si="4"/>
        <v>15.31018433461939</v>
      </c>
      <c r="F25" s="327">
        <f t="shared" si="0"/>
        <v>4.5477161495014171E-2</v>
      </c>
      <c r="G25" s="309">
        <v>3</v>
      </c>
      <c r="H25" s="1">
        <v>3600</v>
      </c>
      <c r="I25" s="324">
        <v>30</v>
      </c>
      <c r="J25" s="1">
        <v>2.6704000000000002E-4</v>
      </c>
      <c r="K25" s="1">
        <v>1.08009E-5</v>
      </c>
      <c r="L25" s="328">
        <f t="shared" si="5"/>
        <v>4.044674955062912</v>
      </c>
      <c r="M25" s="329">
        <f t="shared" si="6"/>
        <v>1.6561753030300303E-3</v>
      </c>
      <c r="N25" s="342">
        <f>(1/$J$69)*SQRT(((1-J26/$J$69)*K25)^2+(J26/$J$69)^2*(SUMSQ(K$8:K24)+SUMSQ(K26:K$68)))</f>
        <v>6.9497252355030158E-5</v>
      </c>
      <c r="O25" s="340">
        <f t="shared" si="12"/>
        <v>4.1962497706542612</v>
      </c>
      <c r="P25" s="332">
        <f t="shared" si="1"/>
        <v>6.9528476893644239E-3</v>
      </c>
      <c r="Q25" s="342">
        <f>SQRT(((1-P25)/$J$69)^2*SUMSQ(K$8:K25)+(P25/$J$69)^2*SUMSQ(K26:K$68))</f>
        <v>1.588610522662835E-4</v>
      </c>
      <c r="R25" s="340">
        <f t="shared" si="13"/>
        <v>2.2848343493744125</v>
      </c>
      <c r="S25" s="343">
        <f t="shared" si="14"/>
        <v>4.941723120431779E-10</v>
      </c>
      <c r="T25" s="344">
        <f t="shared" si="15"/>
        <v>4.1181026003598384E-12</v>
      </c>
      <c r="U25" s="344">
        <f>IF(P25&lt;=0.85, (1/(3*H25*$J$69))*SQRT( ((1-P25)*(1/SQRT(1-PI()*P25/3)-1) + (1-P24)*(1-1/SQRT(1-PI()*P24/3)))^2*SUMSQ(K$8:K24) + ( (1-P25)*(1/SQRT(1-PI()*P25/3)-1) -P24*(1-1/SQRT(1-PI()*P24/3)) )^2*K25^2 + ( P25*(1-1/SQRT(1-PI()*P25/3)) - P24*(1-1/SQRT(1-PI()*P24/3)) )^2*SUMSQ(K26:K$68) ), (1/(PI()^2*H25*$J$69))*SQRT((1+P24/(1-P24))^2*K25^2+(P24/(1-P24)-P25/(1-P25))^2*SUMSQ(K26:K$68)) )</f>
        <v>2.6388129252115627E-11</v>
      </c>
      <c r="V25" s="345">
        <f t="shared" si="16"/>
        <v>2.6707529546055936E-11</v>
      </c>
      <c r="W25" s="340">
        <f t="shared" si="17"/>
        <v>5.4044973575375845</v>
      </c>
      <c r="X25" s="345">
        <f t="shared" si="18"/>
        <v>5.3415059092111872E-11</v>
      </c>
      <c r="Y25" s="338">
        <f t="shared" si="7"/>
        <v>-21.428136849756619</v>
      </c>
      <c r="Z25" s="346">
        <f t="shared" si="19"/>
        <v>5.4044973575375847E-2</v>
      </c>
      <c r="AA25" s="346">
        <f t="shared" si="20"/>
        <v>0.25221499169205508</v>
      </c>
      <c r="AB25" s="346">
        <f t="shared" si="8"/>
        <v>0.10808994715075169</v>
      </c>
      <c r="AC25" s="336">
        <f t="shared" si="2"/>
        <v>6.3772739200247287E-14</v>
      </c>
      <c r="AD25" s="337">
        <f t="shared" si="3"/>
        <v>4.1135604453058513E-15</v>
      </c>
      <c r="AE25" s="308">
        <f t="shared" si="9"/>
        <v>6.4503430413882867</v>
      </c>
      <c r="AF25" s="337">
        <f t="shared" si="10"/>
        <v>8.2271208906117026E-15</v>
      </c>
      <c r="AG25" s="338">
        <f t="shared" si="21"/>
        <v>-30.383450581134884</v>
      </c>
      <c r="AH25" s="339">
        <f t="shared" si="22"/>
        <v>6.4503430413882873E-2</v>
      </c>
      <c r="AI25" s="340">
        <f t="shared" si="23"/>
        <v>0.21229790948738758</v>
      </c>
      <c r="AJ25" s="341">
        <f t="shared" si="11"/>
        <v>0.12900686082776575</v>
      </c>
    </row>
    <row r="26" spans="1:39" x14ac:dyDescent="0.2">
      <c r="A26" s="309">
        <v>19</v>
      </c>
      <c r="B26" s="309">
        <v>37</v>
      </c>
      <c r="C26" s="1">
        <v>390.01</v>
      </c>
      <c r="D26" s="347">
        <v>2</v>
      </c>
      <c r="E26" s="326">
        <f t="shared" si="4"/>
        <v>15.0793172085168</v>
      </c>
      <c r="F26" s="327">
        <f t="shared" si="0"/>
        <v>4.4136042805690674E-2</v>
      </c>
      <c r="G26" s="309">
        <v>2</v>
      </c>
      <c r="H26" s="1">
        <v>3600</v>
      </c>
      <c r="I26" s="324">
        <v>30</v>
      </c>
      <c r="J26" s="1">
        <v>3.6003000000000001E-4</v>
      </c>
      <c r="K26" s="1">
        <v>1.5228599999999998E-5</v>
      </c>
      <c r="L26" s="328">
        <f t="shared" si="5"/>
        <v>4.229814182151487</v>
      </c>
      <c r="M26" s="329">
        <f t="shared" si="6"/>
        <v>2.2328969231197641E-3</v>
      </c>
      <c r="N26" s="342">
        <f>(1/$J$69)*SQRT(((1-J27/$J$69)*K26)^2+(J27/$J$69)^2*(SUMSQ(K$8:K25)+SUMSQ(K27:K$68)))</f>
        <v>9.7903456171066444E-5</v>
      </c>
      <c r="O26" s="340">
        <f t="shared" si="12"/>
        <v>4.3845936262152874</v>
      </c>
      <c r="P26" s="332">
        <f t="shared" si="1"/>
        <v>9.1857446124841875E-3</v>
      </c>
      <c r="Q26" s="342">
        <f>SQRT(((1-P26)/$J$69)^2*SUMSQ(K$8:K26)+(P26/$J$69)^2*SUMSQ(K27:K$68))</f>
        <v>1.9109182561831845E-4</v>
      </c>
      <c r="R26" s="340">
        <f t="shared" si="13"/>
        <v>2.0803084962607041</v>
      </c>
      <c r="S26" s="343">
        <f t="shared" si="14"/>
        <v>8.7914422781427072E-10</v>
      </c>
      <c r="T26" s="344">
        <f t="shared" si="15"/>
        <v>7.3262018984525215E-12</v>
      </c>
      <c r="U26" s="344">
        <f>IF(P26&lt;=0.85, (1/(3*H26*$J$69))*SQRT( ((1-P26)*(1/SQRT(1-PI()*P26/3)-1) + (1-P25)*(1-1/SQRT(1-PI()*P25/3)))^2*SUMSQ(K$8:K25) + ( (1-P26)*(1/SQRT(1-PI()*P26/3)-1) -P25*(1-1/SQRT(1-PI()*P25/3)) )^2*K26^2 + ( P26*(1-1/SQRT(1-PI()*P26/3)) - P25*(1-1/SQRT(1-PI()*P25/3)) )^2*SUMSQ(K27:K$68) ), (1/(PI()^2*H26*$J$69))*SQRT((1+P25/(1-P25))^2*K26^2+(P25/(1-P25)-P26/(1-P26))^2*SUMSQ(K27:K$68)) )</f>
        <v>4.7575470803985274E-11</v>
      </c>
      <c r="V26" s="345">
        <f t="shared" si="16"/>
        <v>4.8136250959933977E-11</v>
      </c>
      <c r="W26" s="340">
        <f t="shared" si="17"/>
        <v>5.4753531260292041</v>
      </c>
      <c r="X26" s="345">
        <f t="shared" si="18"/>
        <v>9.6272501919867955E-11</v>
      </c>
      <c r="Y26" s="338">
        <f t="shared" si="7"/>
        <v>-20.852072150003334</v>
      </c>
      <c r="Z26" s="346">
        <f t="shared" si="19"/>
        <v>5.4753531260292039E-2</v>
      </c>
      <c r="AA26" s="346">
        <f t="shared" si="20"/>
        <v>0.26258076831123611</v>
      </c>
      <c r="AB26" s="346">
        <f t="shared" si="8"/>
        <v>0.10950706252058408</v>
      </c>
      <c r="AC26" s="336">
        <f t="shared" si="2"/>
        <v>1.1345321094174051E-13</v>
      </c>
      <c r="AD26" s="337">
        <f t="shared" si="3"/>
        <v>7.3856058367066237E-15</v>
      </c>
      <c r="AE26" s="308">
        <f t="shared" si="9"/>
        <v>6.5098253063099421</v>
      </c>
      <c r="AF26" s="337">
        <f t="shared" si="10"/>
        <v>1.4771211673413247E-14</v>
      </c>
      <c r="AG26" s="338">
        <f t="shared" si="21"/>
        <v>-29.807385881381599</v>
      </c>
      <c r="AH26" s="339">
        <f t="shared" si="22"/>
        <v>6.5098253063099423E-2</v>
      </c>
      <c r="AI26" s="340">
        <f t="shared" si="23"/>
        <v>0.21839638444698814</v>
      </c>
      <c r="AJ26" s="341">
        <f t="shared" si="11"/>
        <v>0.13019650612619885</v>
      </c>
    </row>
    <row r="27" spans="1:39" x14ac:dyDescent="0.2">
      <c r="A27" s="309">
        <v>20</v>
      </c>
      <c r="B27" s="309">
        <v>38</v>
      </c>
      <c r="C27" s="1">
        <v>400.01</v>
      </c>
      <c r="D27" s="347">
        <v>2</v>
      </c>
      <c r="E27" s="326">
        <f t="shared" si="4"/>
        <v>14.855309287539367</v>
      </c>
      <c r="F27" s="327">
        <f t="shared" si="0"/>
        <v>4.2853385325391638E-2</v>
      </c>
      <c r="G27" s="309">
        <v>1</v>
      </c>
      <c r="H27" s="1">
        <v>3600</v>
      </c>
      <c r="I27" s="324">
        <v>30</v>
      </c>
      <c r="J27" s="1">
        <v>5.0761999999999997E-4</v>
      </c>
      <c r="K27" s="1">
        <v>2.15844E-5</v>
      </c>
      <c r="L27" s="328">
        <f t="shared" si="5"/>
        <v>4.25207832630708</v>
      </c>
      <c r="M27" s="329">
        <f t="shared" si="6"/>
        <v>3.1482463575647989E-3</v>
      </c>
      <c r="N27" s="342">
        <f>(1/$J$69)*SQRT(((1-J28/$J$69)*K27)^2+(J28/$J$69)^2*(SUMSQ(K$8:K26)+SUMSQ(K28:K$68)))</f>
        <v>1.3859460015829458E-4</v>
      </c>
      <c r="O27" s="340">
        <f t="shared" si="12"/>
        <v>4.4022793777008911</v>
      </c>
      <c r="P27" s="332">
        <f t="shared" si="1"/>
        <v>1.2333990970048987E-2</v>
      </c>
      <c r="Q27" s="342">
        <f>SQRT(((1-P27)/$J$69)^2*SUMSQ(K$8:K27)+(P27/$J$69)^2*SUMSQ(K28:K$68))</f>
        <v>2.4233704331750097E-4</v>
      </c>
      <c r="R27" s="340">
        <f t="shared" si="13"/>
        <v>1.9647901794802309</v>
      </c>
      <c r="S27" s="343">
        <f t="shared" si="14"/>
        <v>1.6564046333745116E-9</v>
      </c>
      <c r="T27" s="344">
        <f t="shared" si="15"/>
        <v>1.3803371944787756E-11</v>
      </c>
      <c r="U27" s="344">
        <f>IF(P27&lt;=0.85, (1/(3*H27*$J$69))*SQRT( ((1-P27)*(1/SQRT(1-PI()*P27/3)-1) + (1-P26)*(1-1/SQRT(1-PI()*P26/3)))^2*SUMSQ(K$8:K26) + ( (1-P27)*(1/SQRT(1-PI()*P27/3)-1) -P26*(1-1/SQRT(1-PI()*P26/3)) )^2*K27^2 + ( P27*(1-1/SQRT(1-PI()*P27/3)) - P26*(1-1/SQRT(1-PI()*P26/3)) )^2*SUMSQ(K28:K$68) ), (1/(PI()^2*H27*$J$69))*SQRT((1+P26/(1-P26))^2*K27^2+(P26/(1-P26)-P27/(1-P27))^2*SUMSQ(K28:K$68)) )</f>
        <v>8.9335382731610202E-11</v>
      </c>
      <c r="V27" s="345">
        <f t="shared" si="16"/>
        <v>9.0395484869817647E-11</v>
      </c>
      <c r="W27" s="340">
        <f t="shared" si="17"/>
        <v>5.4573310801274069</v>
      </c>
      <c r="X27" s="345">
        <f t="shared" si="18"/>
        <v>1.8079096973963529E-10</v>
      </c>
      <c r="Y27" s="338">
        <f t="shared" si="7"/>
        <v>-20.218616467005244</v>
      </c>
      <c r="Z27" s="346">
        <f t="shared" si="19"/>
        <v>5.4573310801274068E-2</v>
      </c>
      <c r="AA27" s="346">
        <f t="shared" si="20"/>
        <v>0.26991614827024513</v>
      </c>
      <c r="AB27" s="346">
        <f t="shared" si="8"/>
        <v>0.10914662160254814</v>
      </c>
      <c r="AC27" s="336">
        <f t="shared" si="2"/>
        <v>2.1375835537512736E-13</v>
      </c>
      <c r="AD27" s="337">
        <f t="shared" si="3"/>
        <v>1.3882909286449967E-14</v>
      </c>
      <c r="AE27" s="308">
        <f t="shared" si="9"/>
        <v>6.4946744477364016</v>
      </c>
      <c r="AF27" s="337">
        <f t="shared" si="10"/>
        <v>2.7765818572899933E-14</v>
      </c>
      <c r="AG27" s="338">
        <f t="shared" si="21"/>
        <v>-29.173930198383509</v>
      </c>
      <c r="AH27" s="339">
        <f t="shared" si="22"/>
        <v>6.494674447736401E-2</v>
      </c>
      <c r="AI27" s="340">
        <f t="shared" si="23"/>
        <v>0.2226191124600779</v>
      </c>
      <c r="AJ27" s="341">
        <f t="shared" si="11"/>
        <v>0.12989348895472802</v>
      </c>
    </row>
    <row r="28" spans="1:39" x14ac:dyDescent="0.2">
      <c r="A28" s="309">
        <v>21</v>
      </c>
      <c r="B28" s="309">
        <v>38.5</v>
      </c>
      <c r="C28" s="1">
        <v>410.01</v>
      </c>
      <c r="D28" s="347">
        <v>10</v>
      </c>
      <c r="E28" s="326">
        <f t="shared" si="4"/>
        <v>14.637859359447274</v>
      </c>
      <c r="F28" s="327">
        <f t="shared" si="0"/>
        <v>0.20812919952067949</v>
      </c>
      <c r="G28" s="309">
        <v>0.5</v>
      </c>
      <c r="H28" s="1">
        <v>3600</v>
      </c>
      <c r="I28" s="324">
        <v>30</v>
      </c>
      <c r="J28" s="1">
        <v>7.1947999999999999E-4</v>
      </c>
      <c r="K28" s="1">
        <v>3.1034999999999997E-5</v>
      </c>
      <c r="L28" s="328">
        <f t="shared" si="5"/>
        <v>4.31353199532996</v>
      </c>
      <c r="M28" s="329">
        <f t="shared" si="6"/>
        <v>4.4621967009588308E-3</v>
      </c>
      <c r="N28" s="342">
        <f>(1/$J$69)*SQRT(((1-J29/$J$69)*K28)^2+(J29/$J$69)^2*(SUMSQ(K$8:K27)+SUMSQ(K29:K$68)))</f>
        <v>1.9891385929128615E-4</v>
      </c>
      <c r="O28" s="340">
        <f t="shared" si="12"/>
        <v>4.4577564061338633</v>
      </c>
      <c r="P28" s="332">
        <f t="shared" si="1"/>
        <v>1.6796187671007816E-2</v>
      </c>
      <c r="Q28" s="342">
        <f>SQRT(((1-P28)/$J$69)^2*SUMSQ(K$8:K28)+(P28/$J$69)^2*SUMSQ(K29:K$68))</f>
        <v>3.2179088105362033E-4</v>
      </c>
      <c r="R28" s="340">
        <f t="shared" si="13"/>
        <v>1.9158566655519633</v>
      </c>
      <c r="S28" s="343">
        <f t="shared" si="14"/>
        <v>3.1877171777329987E-9</v>
      </c>
      <c r="T28" s="344">
        <f t="shared" si="15"/>
        <v>2.6564309814441908E-11</v>
      </c>
      <c r="U28" s="344">
        <f>IF(P28&lt;=0.85, (1/(3*H28*$J$69))*SQRT( ((1-P28)*(1/SQRT(1-PI()*P28/3)-1) + (1-P27)*(1-1/SQRT(1-PI()*P27/3)))^2*SUMSQ(K$8:K27) + ( (1-P28)*(1/SQRT(1-PI()*P28/3)-1) -P27*(1-1/SQRT(1-PI()*P27/3)) )^2*K28^2 + ( P28*(1-1/SQRT(1-PI()*P28/3)) - P27*(1-1/SQRT(1-PI()*P27/3)) )^2*SUMSQ(K29:K$68) ), (1/(PI()^2*H28*$J$69))*SQRT((1+P27/(1-P27))^2*K28^2+(P27/(1-P27)-P28/(1-P28))^2*SUMSQ(K29:K$68)) )</f>
        <v>1.7344595515280461E-10</v>
      </c>
      <c r="V28" s="345">
        <f t="shared" si="16"/>
        <v>1.7546840717002696E-10</v>
      </c>
      <c r="W28" s="340">
        <f t="shared" si="17"/>
        <v>5.5045161595802048</v>
      </c>
      <c r="X28" s="345">
        <f t="shared" si="18"/>
        <v>3.5093681434005391E-10</v>
      </c>
      <c r="Y28" s="338">
        <f t="shared" si="7"/>
        <v>-19.563960794592152</v>
      </c>
      <c r="Z28" s="346">
        <f t="shared" si="19"/>
        <v>5.5045161595802049E-2</v>
      </c>
      <c r="AA28" s="346">
        <f t="shared" si="20"/>
        <v>0.28136000768830804</v>
      </c>
      <c r="AB28" s="346">
        <f t="shared" si="8"/>
        <v>0.1100903231916041</v>
      </c>
      <c r="AC28" s="336">
        <f t="shared" si="2"/>
        <v>4.1137362669957234E-13</v>
      </c>
      <c r="AD28" s="337">
        <f t="shared" si="3"/>
        <v>2.6880687605135091E-14</v>
      </c>
      <c r="AE28" s="308">
        <f t="shared" si="9"/>
        <v>6.5343731003850074</v>
      </c>
      <c r="AF28" s="337">
        <f t="shared" si="10"/>
        <v>5.3761375210270181E-14</v>
      </c>
      <c r="AG28" s="338">
        <f t="shared" si="21"/>
        <v>-28.519274525970413</v>
      </c>
      <c r="AH28" s="339">
        <f t="shared" si="22"/>
        <v>6.5343731003850075E-2</v>
      </c>
      <c r="AI28" s="340">
        <f t="shared" si="23"/>
        <v>0.22912129459796157</v>
      </c>
      <c r="AJ28" s="341">
        <f t="shared" si="11"/>
        <v>0.13068746200770015</v>
      </c>
    </row>
    <row r="29" spans="1:39" x14ac:dyDescent="0.2">
      <c r="A29" s="309">
        <v>22</v>
      </c>
      <c r="B29" s="309">
        <v>39</v>
      </c>
      <c r="C29" s="1">
        <v>420.01</v>
      </c>
      <c r="D29" s="347">
        <v>10</v>
      </c>
      <c r="E29" s="326">
        <f t="shared" si="4"/>
        <v>14.426683593975417</v>
      </c>
      <c r="F29" s="327">
        <f t="shared" si="0"/>
        <v>0.20225146917975134</v>
      </c>
      <c r="G29" s="309">
        <v>0.5</v>
      </c>
      <c r="H29" s="1">
        <v>3600</v>
      </c>
      <c r="I29" s="324">
        <v>30</v>
      </c>
      <c r="J29" s="1">
        <v>1.0345E-3</v>
      </c>
      <c r="K29" s="1">
        <v>4.3833900000000001E-5</v>
      </c>
      <c r="L29" s="328">
        <f t="shared" si="5"/>
        <v>4.2372063798936681</v>
      </c>
      <c r="M29" s="329">
        <f t="shared" si="6"/>
        <v>6.4159427463472375E-3</v>
      </c>
      <c r="N29" s="342">
        <f>(1/$J$69)*SQRT(((1-J30/$J$69)*K29)^2+(J30/$J$69)^2*(SUMSQ(K$8:K28)+SUMSQ(K30:K$68)))</f>
        <v>2.8024944715094739E-4</v>
      </c>
      <c r="O29" s="340">
        <f t="shared" si="12"/>
        <v>4.3680166458857608</v>
      </c>
      <c r="P29" s="332">
        <f t="shared" si="1"/>
        <v>2.3212130417355054E-2</v>
      </c>
      <c r="Q29" s="342">
        <f>SQRT(((1-P29)/$J$69)^2*SUMSQ(K$8:K29)+(P29/$J$69)^2*SUMSQ(K30:K$68))</f>
        <v>4.3771369219445426E-4</v>
      </c>
      <c r="R29" s="340">
        <f t="shared" si="13"/>
        <v>1.885710980958422</v>
      </c>
      <c r="S29" s="343">
        <f t="shared" si="14"/>
        <v>6.3227504547819903E-9</v>
      </c>
      <c r="T29" s="344">
        <f t="shared" si="15"/>
        <v>5.2689587123182931E-11</v>
      </c>
      <c r="U29" s="344">
        <f>IF(P29&lt;=0.85, (1/(3*H29*$J$69))*SQRT( ((1-P29)*(1/SQRT(1-PI()*P29/3)-1) + (1-P28)*(1-1/SQRT(1-PI()*P28/3)))^2*SUMSQ(K$8:K28) + ( (1-P29)*(1/SQRT(1-PI()*P29/3)-1) -P28*(1-1/SQRT(1-PI()*P28/3)) )^2*K29^2 + ( P29*(1-1/SQRT(1-PI()*P29/3)) - P28*(1-1/SQRT(1-PI()*P28/3)) )^2*SUMSQ(K30:K$68) ), (1/(PI()^2*H29*$J$69))*SQRT((1+P28/(1-P28))^2*K29^2+(P28/(1-P28)-P29/(1-P29))^2*SUMSQ(K30:K$68)) )</f>
        <v>3.3900911671291464E-10</v>
      </c>
      <c r="V29" s="345">
        <f t="shared" si="16"/>
        <v>3.4307925295138739E-10</v>
      </c>
      <c r="W29" s="340">
        <f t="shared" si="17"/>
        <v>5.4261077580866957</v>
      </c>
      <c r="X29" s="345">
        <f t="shared" si="18"/>
        <v>6.8615850590277478E-10</v>
      </c>
      <c r="Y29" s="338">
        <f t="shared" si="7"/>
        <v>-18.879111524917612</v>
      </c>
      <c r="Z29" s="346">
        <f t="shared" si="19"/>
        <v>5.4261077580866957E-2</v>
      </c>
      <c r="AA29" s="346">
        <f t="shared" si="20"/>
        <v>0.28741330072260246</v>
      </c>
      <c r="AB29" s="346">
        <f t="shared" si="8"/>
        <v>0.10852215516173391</v>
      </c>
      <c r="AC29" s="336">
        <f t="shared" si="2"/>
        <v>8.1594841708943398E-13</v>
      </c>
      <c r="AD29" s="337">
        <f t="shared" si="3"/>
        <v>5.2779299688801697E-14</v>
      </c>
      <c r="AE29" s="308">
        <f t="shared" si="9"/>
        <v>6.4684603319742324</v>
      </c>
      <c r="AF29" s="337">
        <f t="shared" si="10"/>
        <v>1.0555859937760339E-13</v>
      </c>
      <c r="AG29" s="338">
        <f t="shared" si="21"/>
        <v>-27.834425256295873</v>
      </c>
      <c r="AH29" s="339">
        <f t="shared" si="22"/>
        <v>6.4684603319742323E-2</v>
      </c>
      <c r="AI29" s="340">
        <f t="shared" si="23"/>
        <v>0.2323906555430359</v>
      </c>
      <c r="AJ29" s="341">
        <f t="shared" si="11"/>
        <v>0.12936920663948465</v>
      </c>
    </row>
    <row r="30" spans="1:39" x14ac:dyDescent="0.2">
      <c r="A30" s="309">
        <v>23</v>
      </c>
      <c r="B30" s="309">
        <v>39.25</v>
      </c>
      <c r="C30" s="1">
        <v>430.01</v>
      </c>
      <c r="D30" s="347">
        <v>10</v>
      </c>
      <c r="E30" s="326">
        <f t="shared" si="4"/>
        <v>14.221514306843392</v>
      </c>
      <c r="F30" s="327">
        <f t="shared" si="0"/>
        <v>0.19662476968050377</v>
      </c>
      <c r="G30" s="309">
        <v>0.25</v>
      </c>
      <c r="H30" s="1">
        <v>3600</v>
      </c>
      <c r="I30" s="324">
        <v>30</v>
      </c>
      <c r="J30" s="1">
        <v>1.4611299999999999E-3</v>
      </c>
      <c r="K30" s="1">
        <v>6.3619199999999989E-5</v>
      </c>
      <c r="L30" s="328">
        <f t="shared" si="5"/>
        <v>4.3541094905997406</v>
      </c>
      <c r="M30" s="329">
        <f t="shared" si="6"/>
        <v>9.061891179285006E-3</v>
      </c>
      <c r="N30" s="342">
        <f>(1/$J$69)*SQRT(((1-J31/$J$69)*K30)^2+(J31/$J$69)^2*(SUMSQ(K$8:K29)+SUMSQ(K31:K$68)))</f>
        <v>4.0517702542186687E-4</v>
      </c>
      <c r="O30" s="340">
        <f t="shared" si="12"/>
        <v>4.4712192786874301</v>
      </c>
      <c r="P30" s="332">
        <f t="shared" si="1"/>
        <v>3.2274021596640057E-2</v>
      </c>
      <c r="Q30" s="342">
        <f>SQRT(((1-P30)/$J$69)^2*SUMSQ(K$8:K30)+(P30/$J$69)^2*SUMSQ(K31:K$68))</f>
        <v>6.0901776740596408E-4</v>
      </c>
      <c r="R30" s="340">
        <f t="shared" si="13"/>
        <v>1.8870216269216569</v>
      </c>
      <c r="S30" s="343">
        <f t="shared" si="14"/>
        <v>1.2463163460588129E-8</v>
      </c>
      <c r="T30" s="344">
        <f t="shared" si="15"/>
        <v>1.038596955049012E-10</v>
      </c>
      <c r="U30" s="344">
        <f>IF(P30&lt;=0.85, (1/(3*H30*$J$69))*SQRT( ((1-P30)*(1/SQRT(1-PI()*P30/3)-1) + (1-P29)*(1-1/SQRT(1-PI()*P29/3)))^2*SUMSQ(K$8:K29) + ( (1-P30)*(1/SQRT(1-PI()*P30/3)-1) -P29*(1-1/SQRT(1-PI()*P29/3)) )^2*K30^2 + ( P30*(1-1/SQRT(1-PI()*P30/3)) - P29*(1-1/SQRT(1-PI()*P29/3)) )^2*SUMSQ(K31:K$68) ), (1/(PI()^2*H30*$J$69))*SQRT((1+P29/(1-P29))^2*K30^2+(P29/(1-P29)-P30/(1-P30))^2*SUMSQ(K31:K$68)) )</f>
        <v>6.8184358143760984E-10</v>
      </c>
      <c r="V30" s="345">
        <f t="shared" si="16"/>
        <v>6.8970827593848496E-10</v>
      </c>
      <c r="W30" s="340">
        <f t="shared" si="17"/>
        <v>5.5339744048092427</v>
      </c>
      <c r="X30" s="345">
        <f t="shared" si="18"/>
        <v>1.3794165518769699E-9</v>
      </c>
      <c r="Y30" s="338">
        <f t="shared" si="7"/>
        <v>-18.200488466518749</v>
      </c>
      <c r="Z30" s="346">
        <f t="shared" si="19"/>
        <v>5.5339744048092429E-2</v>
      </c>
      <c r="AA30" s="346">
        <f t="shared" si="20"/>
        <v>0.30405636722274954</v>
      </c>
      <c r="AB30" s="346">
        <f t="shared" si="8"/>
        <v>0.11067948809618486</v>
      </c>
      <c r="AC30" s="336">
        <f t="shared" si="2"/>
        <v>1.6083662593235138E-12</v>
      </c>
      <c r="AD30" s="337">
        <f t="shared" si="3"/>
        <v>1.0549608441499463E-13</v>
      </c>
      <c r="AE30" s="308">
        <f t="shared" si="9"/>
        <v>6.5592077552886963</v>
      </c>
      <c r="AF30" s="337">
        <f t="shared" si="10"/>
        <v>2.1099216882998927E-13</v>
      </c>
      <c r="AG30" s="338">
        <f t="shared" si="21"/>
        <v>-27.155802197897014</v>
      </c>
      <c r="AH30" s="339">
        <f t="shared" si="22"/>
        <v>6.5592077552886971E-2</v>
      </c>
      <c r="AI30" s="340">
        <f t="shared" si="23"/>
        <v>0.24153982664510099</v>
      </c>
      <c r="AJ30" s="341">
        <f t="shared" si="11"/>
        <v>0.13118415510577394</v>
      </c>
    </row>
    <row r="31" spans="1:39" x14ac:dyDescent="0.2">
      <c r="A31" s="309">
        <v>24</v>
      </c>
      <c r="B31" s="309">
        <v>39.5</v>
      </c>
      <c r="C31" s="1">
        <v>440</v>
      </c>
      <c r="D31" s="347">
        <v>10</v>
      </c>
      <c r="E31" s="326">
        <f t="shared" si="4"/>
        <v>14.022295449765126</v>
      </c>
      <c r="F31" s="327">
        <f t="shared" si="0"/>
        <v>0.19122436125314662</v>
      </c>
      <c r="G31" s="309">
        <v>0.25</v>
      </c>
      <c r="H31" s="1">
        <v>3600</v>
      </c>
      <c r="I31" s="324">
        <v>30</v>
      </c>
      <c r="J31" s="1">
        <v>2.12064E-3</v>
      </c>
      <c r="K31" s="1">
        <v>8.7294599999999982E-5</v>
      </c>
      <c r="L31" s="328">
        <f t="shared" si="5"/>
        <v>4.1164271163422352</v>
      </c>
      <c r="M31" s="329">
        <f t="shared" si="6"/>
        <v>1.3152155462168975E-2</v>
      </c>
      <c r="N31" s="342">
        <f>(1/$J$69)*SQRT(((1-J32/$J$69)*K31)^2+(J32/$J$69)^2*(SUMSQ(K$8:K30)+SUMSQ(K32:K$68)))</f>
        <v>5.5337409030199161E-4</v>
      </c>
      <c r="O31" s="340">
        <f t="shared" si="12"/>
        <v>4.2074783247029259</v>
      </c>
      <c r="P31" s="332">
        <f t="shared" si="1"/>
        <v>4.5426177058809032E-2</v>
      </c>
      <c r="Q31" s="342">
        <f>SQRT(((1-P31)/$J$69)^2*SUMSQ(K$8:K31)+(P31/$J$69)^2*SUMSQ(K32:K$68))</f>
        <v>8.387011273547271E-4</v>
      </c>
      <c r="R31" s="340">
        <f t="shared" si="13"/>
        <v>1.8462947614300431</v>
      </c>
      <c r="S31" s="343">
        <f t="shared" si="14"/>
        <v>2.5562613513230012E-8</v>
      </c>
      <c r="T31" s="344">
        <f t="shared" si="15"/>
        <v>2.1302177927691621E-10</v>
      </c>
      <c r="U31" s="344">
        <f>IF(P31&lt;=0.85, (1/(3*H31*$J$69))*SQRT( ((1-P31)*(1/SQRT(1-PI()*P31/3)-1) + (1-P30)*(1-1/SQRT(1-PI()*P30/3)))^2*SUMSQ(K$8:K30) + ( (1-P31)*(1/SQRT(1-PI()*P31/3)-1) -P30*(1-1/SQRT(1-PI()*P30/3)) )^2*K31^2 + ( P31*(1-1/SQRT(1-PI()*P31/3)) - P30*(1-1/SQRT(1-PI()*P30/3)) )^2*SUMSQ(K32:K$68) ), (1/(PI()^2*H31*$J$69))*SQRT((1+P30/(1-P30))^2*K31^2+(P30/(1-P30)-P31/(1-P31))^2*SUMSQ(K32:K$68)) )</f>
        <v>1.333805399194229E-9</v>
      </c>
      <c r="V31" s="345">
        <f t="shared" si="16"/>
        <v>1.3507091179695129E-9</v>
      </c>
      <c r="W31" s="340">
        <f t="shared" si="17"/>
        <v>5.2839241858836115</v>
      </c>
      <c r="X31" s="345">
        <f t="shared" si="18"/>
        <v>2.7014182359390258E-9</v>
      </c>
      <c r="Y31" s="338">
        <f t="shared" si="7"/>
        <v>-17.482134962537895</v>
      </c>
      <c r="Z31" s="346">
        <f t="shared" si="19"/>
        <v>5.2839241858836115E-2</v>
      </c>
      <c r="AA31" s="346">
        <f t="shared" si="20"/>
        <v>0.30224707664175016</v>
      </c>
      <c r="AB31" s="346">
        <f t="shared" si="8"/>
        <v>0.10567848371767223</v>
      </c>
      <c r="AC31" s="336">
        <f t="shared" si="2"/>
        <v>3.2988450488369277E-12</v>
      </c>
      <c r="AD31" s="337">
        <f t="shared" si="3"/>
        <v>2.0946546102444095E-13</v>
      </c>
      <c r="AE31" s="308">
        <f t="shared" si="9"/>
        <v>6.3496605000678068</v>
      </c>
      <c r="AF31" s="337">
        <f t="shared" si="10"/>
        <v>4.189309220488819E-13</v>
      </c>
      <c r="AG31" s="338">
        <f t="shared" si="21"/>
        <v>-26.43744869391616</v>
      </c>
      <c r="AH31" s="339">
        <f t="shared" si="22"/>
        <v>6.3496605000678066E-2</v>
      </c>
      <c r="AI31" s="340">
        <f t="shared" si="23"/>
        <v>0.24017674979087536</v>
      </c>
      <c r="AJ31" s="341">
        <f t="shared" si="11"/>
        <v>0.12699321000135613</v>
      </c>
    </row>
    <row r="32" spans="1:39" x14ac:dyDescent="0.2">
      <c r="A32" s="309">
        <v>25</v>
      </c>
      <c r="B32" s="309">
        <v>39.75</v>
      </c>
      <c r="C32" s="1">
        <v>450</v>
      </c>
      <c r="D32" s="347">
        <v>10</v>
      </c>
      <c r="E32" s="326">
        <f t="shared" si="4"/>
        <v>13.828389684021296</v>
      </c>
      <c r="F32" s="327">
        <f t="shared" si="0"/>
        <v>0.1860434233070801</v>
      </c>
      <c r="G32" s="309">
        <v>0.25</v>
      </c>
      <c r="H32" s="1">
        <v>3600</v>
      </c>
      <c r="I32" s="324">
        <v>30</v>
      </c>
      <c r="J32" s="1">
        <v>2.90982E-3</v>
      </c>
      <c r="K32" s="1">
        <v>1.1742509999999999E-4</v>
      </c>
      <c r="L32" s="328">
        <f t="shared" si="5"/>
        <v>4.0354764212219303</v>
      </c>
      <c r="M32" s="329">
        <f t="shared" si="6"/>
        <v>1.8046629794273676E-2</v>
      </c>
      <c r="N32" s="342">
        <f>(1/$J$69)*SQRT(((1-J33/$J$69)*K32)^2+(J33/$J$69)^2*(SUMSQ(K$8:K31)+SUMSQ(K33:K$68)))</f>
        <v>7.3992454472975489E-4</v>
      </c>
      <c r="O32" s="340">
        <f t="shared" si="12"/>
        <v>4.1000705016098804</v>
      </c>
      <c r="P32" s="332">
        <f t="shared" si="1"/>
        <v>6.3472806853082708E-2</v>
      </c>
      <c r="Q32" s="342">
        <f>SQRT(((1-P32)/$J$69)^2*SUMSQ(K$8:K32)+(P32/$J$69)^2*SUMSQ(K33:K$68))</f>
        <v>1.1346574538850971E-3</v>
      </c>
      <c r="R32" s="340">
        <f t="shared" si="13"/>
        <v>1.7876276631525547</v>
      </c>
      <c r="S32" s="343">
        <f t="shared" si="14"/>
        <v>4.9800001330518132E-8</v>
      </c>
      <c r="T32" s="344">
        <f t="shared" si="15"/>
        <v>4.1500001108765271E-10</v>
      </c>
      <c r="U32" s="344">
        <f>IF(P32&lt;=0.85, (1/(3*H32*$J$69))*SQRT( ((1-P32)*(1/SQRT(1-PI()*P32/3)-1) + (1-P31)*(1-1/SQRT(1-PI()*P31/3)))^2*SUMSQ(K$8:K31) + ( (1-P32)*(1/SQRT(1-PI()*P32/3)-1) -P31*(1-1/SQRT(1-PI()*P31/3)) )^2*K32^2 + ( P32*(1-1/SQRT(1-PI()*P32/3)) - P31*(1-1/SQRT(1-PI()*P31/3)) )^2*SUMSQ(K33:K$68) ), (1/(PI()^2*H32*$J$69))*SQRT((1+P31/(1-P31))^2*K32^2+(P31/(1-P31)-P32/(1-P32))^2*SUMSQ(K33:K$68)) )</f>
        <v>2.5315060795125011E-9</v>
      </c>
      <c r="V32" s="345">
        <f t="shared" si="16"/>
        <v>2.565296871672264E-9</v>
      </c>
      <c r="W32" s="340">
        <f t="shared" si="17"/>
        <v>5.1511983998687461</v>
      </c>
      <c r="X32" s="345">
        <f t="shared" si="18"/>
        <v>5.1305937433445281E-9</v>
      </c>
      <c r="Y32" s="338">
        <f t="shared" si="7"/>
        <v>-16.815250826198572</v>
      </c>
      <c r="Z32" s="346">
        <f t="shared" si="19"/>
        <v>5.1511983998687456E-2</v>
      </c>
      <c r="AA32" s="346">
        <f t="shared" si="20"/>
        <v>0.30634086003897443</v>
      </c>
      <c r="AB32" s="346">
        <f t="shared" si="8"/>
        <v>0.10302396799737491</v>
      </c>
      <c r="AC32" s="336">
        <f t="shared" si="2"/>
        <v>6.4266702517028331E-12</v>
      </c>
      <c r="AD32" s="337">
        <f t="shared" si="3"/>
        <v>4.010014548233069E-13</v>
      </c>
      <c r="AE32" s="308">
        <f t="shared" si="9"/>
        <v>6.2396457125998674</v>
      </c>
      <c r="AF32" s="337">
        <f t="shared" si="10"/>
        <v>8.020029096466138E-13</v>
      </c>
      <c r="AG32" s="338">
        <f t="shared" si="21"/>
        <v>-25.770564557576837</v>
      </c>
      <c r="AH32" s="339">
        <f t="shared" si="22"/>
        <v>6.2396457125998665E-2</v>
      </c>
      <c r="AI32" s="340">
        <f t="shared" si="23"/>
        <v>0.2421229732340241</v>
      </c>
      <c r="AJ32" s="341">
        <f t="shared" si="11"/>
        <v>0.12479291425199733</v>
      </c>
    </row>
    <row r="33" spans="1:36" x14ac:dyDescent="0.2">
      <c r="A33" s="309">
        <v>26</v>
      </c>
      <c r="B33" s="309">
        <v>40.25</v>
      </c>
      <c r="C33" s="1">
        <v>460</v>
      </c>
      <c r="D33" s="347">
        <v>10</v>
      </c>
      <c r="E33" s="326">
        <f t="shared" si="4"/>
        <v>13.639773579758577</v>
      </c>
      <c r="F33" s="327">
        <f t="shared" si="0"/>
        <v>0.18107022270356321</v>
      </c>
      <c r="G33" s="309">
        <v>0.5</v>
      </c>
      <c r="H33" s="1">
        <v>3600</v>
      </c>
      <c r="I33" s="324">
        <v>30</v>
      </c>
      <c r="J33" s="1">
        <v>3.9141699999999998E-3</v>
      </c>
      <c r="K33" s="1">
        <v>1.5679769999999999E-4</v>
      </c>
      <c r="L33" s="328">
        <f t="shared" si="5"/>
        <v>4.0058990794983353</v>
      </c>
      <c r="M33" s="329">
        <f t="shared" si="6"/>
        <v>2.427558300577087E-2</v>
      </c>
      <c r="N33" s="342">
        <f>(1/$J$69)*SQRT(((1-J34/$J$69)*K33)^2+(J34/$J$69)^2*(SUMSQ(K$8:K32)+SUMSQ(K34:K$68)))</f>
        <v>9.8019936642415226E-4</v>
      </c>
      <c r="O33" s="340">
        <f t="shared" si="12"/>
        <v>4.0377994884453896</v>
      </c>
      <c r="P33" s="332">
        <f t="shared" si="1"/>
        <v>8.7748389858853582E-2</v>
      </c>
      <c r="Q33" s="342">
        <f>SQRT(((1-P33)/$J$69)^2*SUMSQ(K$8:K33)+(P33/$J$69)^2*SUMSQ(K34:K$68))</f>
        <v>1.5095950921685717E-3</v>
      </c>
      <c r="R33" s="340">
        <f t="shared" si="13"/>
        <v>1.7203678547228152</v>
      </c>
      <c r="S33" s="343">
        <f t="shared" si="14"/>
        <v>9.4702072169765142E-8</v>
      </c>
      <c r="T33" s="344">
        <f t="shared" si="15"/>
        <v>7.8918393474803759E-10</v>
      </c>
      <c r="U33" s="344">
        <f>IF(P33&lt;=0.85, (1/(3*H33*$J$69))*SQRT( ((1-P33)*(1/SQRT(1-PI()*P33/3)-1) + (1-P32)*(1-1/SQRT(1-PI()*P32/3)))^2*SUMSQ(K$8:K32) + ( (1-P33)*(1/SQRT(1-PI()*P33/3)-1) -P32*(1-1/SQRT(1-PI()*P32/3)) )^2*K33^2 + ( P33*(1-1/SQRT(1-PI()*P33/3)) - P32*(1-1/SQRT(1-PI()*P32/3)) )^2*SUMSQ(K34:K$68) ), (1/(PI()^2*H33*$J$69))*SQRT((1+P32/(1-P32))^2*K33^2+(P32/(1-P32)-P33/(1-P33))^2*SUMSQ(K34:K$68)) )</f>
        <v>4.7205451393467222E-9</v>
      </c>
      <c r="V33" s="345">
        <f t="shared" si="16"/>
        <v>4.7860586807387102E-9</v>
      </c>
      <c r="W33" s="340">
        <f t="shared" si="17"/>
        <v>5.0538056571339958</v>
      </c>
      <c r="X33" s="345">
        <f t="shared" si="18"/>
        <v>9.5721173614774203E-9</v>
      </c>
      <c r="Y33" s="338">
        <f t="shared" si="7"/>
        <v>-16.172529955581258</v>
      </c>
      <c r="Z33" s="346">
        <f t="shared" si="19"/>
        <v>5.0538056571339959E-2</v>
      </c>
      <c r="AA33" s="346">
        <f t="shared" si="20"/>
        <v>0.31249320118834534</v>
      </c>
      <c r="AB33" s="346">
        <f t="shared" si="8"/>
        <v>0.10107611314267992</v>
      </c>
      <c r="AC33" s="336">
        <f t="shared" si="2"/>
        <v>1.2221264532679323E-11</v>
      </c>
      <c r="AD33" s="337">
        <f t="shared" si="3"/>
        <v>7.5276725152372663E-13</v>
      </c>
      <c r="AE33" s="308">
        <f t="shared" si="9"/>
        <v>6.1594874205598602</v>
      </c>
      <c r="AF33" s="337">
        <f t="shared" si="10"/>
        <v>1.5055345030474533E-12</v>
      </c>
      <c r="AG33" s="338">
        <f t="shared" si="21"/>
        <v>-25.127843686959523</v>
      </c>
      <c r="AH33" s="339">
        <f t="shared" si="22"/>
        <v>6.1594874205598595E-2</v>
      </c>
      <c r="AI33" s="340">
        <f t="shared" si="23"/>
        <v>0.24512598443759104</v>
      </c>
      <c r="AJ33" s="341">
        <f t="shared" si="11"/>
        <v>0.12318974841119719</v>
      </c>
    </row>
    <row r="34" spans="1:36" x14ac:dyDescent="0.2">
      <c r="A34" s="309">
        <v>27</v>
      </c>
      <c r="B34" s="309">
        <v>41.25</v>
      </c>
      <c r="C34" s="1">
        <v>470</v>
      </c>
      <c r="D34" s="347">
        <v>10</v>
      </c>
      <c r="E34" s="326">
        <f t="shared" si="4"/>
        <v>13.456233600215301</v>
      </c>
      <c r="F34" s="327">
        <f t="shared" si="0"/>
        <v>0.1762938000348524</v>
      </c>
      <c r="G34" s="309">
        <v>1</v>
      </c>
      <c r="H34" s="1">
        <v>3600</v>
      </c>
      <c r="I34" s="324">
        <v>30</v>
      </c>
      <c r="J34" s="1">
        <v>5.2265899999999997E-3</v>
      </c>
      <c r="K34" s="1">
        <v>2.0212379999999999E-4</v>
      </c>
      <c r="L34" s="328">
        <f t="shared" si="5"/>
        <v>3.8672212666384778</v>
      </c>
      <c r="M34" s="329">
        <f t="shared" si="6"/>
        <v>3.241517853903432E-2</v>
      </c>
      <c r="N34" s="342">
        <f>(1/$J$69)*SQRT(((1-J35/$J$69)*K34)^2+(J35/$J$69)^2*(SUMSQ(K$8:K33)+SUMSQ(K35:K$68)))</f>
        <v>1.2518414459223766E-3</v>
      </c>
      <c r="O34" s="340">
        <f t="shared" si="12"/>
        <v>3.861898969382231</v>
      </c>
      <c r="P34" s="332">
        <f t="shared" si="1"/>
        <v>0.1201635683978879</v>
      </c>
      <c r="Q34" s="342">
        <f>SQRT(((1-P34)/$J$69)^2*SUMSQ(K$8:K34)+(P34/$J$69)^2*SUMSQ(K35:K$68))</f>
        <v>1.9564563483520834E-3</v>
      </c>
      <c r="R34" s="340">
        <f t="shared" si="13"/>
        <v>1.6281609929174439</v>
      </c>
      <c r="S34" s="343">
        <f t="shared" si="14"/>
        <v>1.7819089346546845E-7</v>
      </c>
      <c r="T34" s="344">
        <f t="shared" si="15"/>
        <v>1.4849241122122399E-9</v>
      </c>
      <c r="U34" s="344">
        <f>IF(P34&lt;=0.85, (1/(3*H34*$J$69))*SQRT( ((1-P34)*(1/SQRT(1-PI()*P34/3)-1) + (1-P33)*(1-1/SQRT(1-PI()*P33/3)))^2*SUMSQ(K$8:K33) + ( (1-P34)*(1/SQRT(1-PI()*P34/3)-1) -P33*(1-1/SQRT(1-PI()*P33/3)) )^2*K34^2 + ( P34*(1-1/SQRT(1-PI()*P34/3)) - P33*(1-1/SQRT(1-PI()*P33/3)) )^2*SUMSQ(K35:K$68) ), (1/(PI()^2*H34*$J$69))*SQRT((1+P33/(1-P33))^2*K34^2+(P33/(1-P33)-P34/(1-P34))^2*SUMSQ(K35:K$68)) )</f>
        <v>8.4920461392471896E-9</v>
      </c>
      <c r="V34" s="345">
        <f t="shared" si="16"/>
        <v>8.6208959656251744E-9</v>
      </c>
      <c r="W34" s="340">
        <f t="shared" si="17"/>
        <v>4.8380115268324948</v>
      </c>
      <c r="X34" s="345">
        <f t="shared" si="18"/>
        <v>1.7241791931250349E-8</v>
      </c>
      <c r="Y34" s="338">
        <f t="shared" si="7"/>
        <v>-15.540410426102882</v>
      </c>
      <c r="Z34" s="346">
        <f t="shared" si="19"/>
        <v>4.8380115268324947E-2</v>
      </c>
      <c r="AA34" s="346">
        <f t="shared" si="20"/>
        <v>0.31131813087163995</v>
      </c>
      <c r="AB34" s="346">
        <f t="shared" si="8"/>
        <v>9.6760230536649894E-2</v>
      </c>
      <c r="AC34" s="336">
        <f t="shared" si="2"/>
        <v>2.2995463525361315E-11</v>
      </c>
      <c r="AD34" s="337">
        <f t="shared" si="3"/>
        <v>1.3759800026698552E-12</v>
      </c>
      <c r="AE34" s="308">
        <f t="shared" si="9"/>
        <v>5.983701964312699</v>
      </c>
      <c r="AF34" s="337">
        <f t="shared" si="10"/>
        <v>2.7519600053397105E-12</v>
      </c>
      <c r="AG34" s="338">
        <f t="shared" si="21"/>
        <v>-24.495724157481146</v>
      </c>
      <c r="AH34" s="339">
        <f t="shared" si="22"/>
        <v>5.9837019643126987E-2</v>
      </c>
      <c r="AI34" s="340">
        <f t="shared" si="23"/>
        <v>0.24427536519614337</v>
      </c>
      <c r="AJ34" s="341">
        <f t="shared" si="11"/>
        <v>0.11967403928625397</v>
      </c>
    </row>
    <row r="35" spans="1:36" x14ac:dyDescent="0.2">
      <c r="A35" s="309">
        <v>28</v>
      </c>
      <c r="B35" s="309">
        <v>43.25</v>
      </c>
      <c r="C35" s="1">
        <v>480</v>
      </c>
      <c r="D35" s="347">
        <v>10</v>
      </c>
      <c r="E35" s="326">
        <f t="shared" si="4"/>
        <v>13.277567549624909</v>
      </c>
      <c r="F35" s="327">
        <f t="shared" si="0"/>
        <v>0.1717084091560751</v>
      </c>
      <c r="G35" s="309">
        <v>2</v>
      </c>
      <c r="H35" s="1">
        <v>3600</v>
      </c>
      <c r="I35" s="324">
        <v>30</v>
      </c>
      <c r="J35" s="1">
        <v>6.7374599999999998E-3</v>
      </c>
      <c r="K35" s="1">
        <v>2.4648690000000001E-4</v>
      </c>
      <c r="L35" s="328">
        <f t="shared" si="5"/>
        <v>3.658454373012975</v>
      </c>
      <c r="M35" s="329">
        <f t="shared" si="6"/>
        <v>4.1785555936012235E-2</v>
      </c>
      <c r="N35" s="342">
        <f>(1/$J$69)*SQRT(((1-J36/$J$69)*K35)^2+(J36/$J$69)^2*(SUMSQ(K$8:K34)+SUMSQ(K36:K$68)))</f>
        <v>1.5124969159136838E-3</v>
      </c>
      <c r="O35" s="340">
        <f t="shared" si="12"/>
        <v>3.6196644558943434</v>
      </c>
      <c r="P35" s="332">
        <f t="shared" si="1"/>
        <v>0.16194912433390013</v>
      </c>
      <c r="Q35" s="342">
        <f>SQRT(((1-P35)/$J$69)^2*SUMSQ(K$8:K35)+(P35/$J$69)^2*SUMSQ(K36:K$68))</f>
        <v>2.4412385329133646E-3</v>
      </c>
      <c r="R35" s="340">
        <f t="shared" si="13"/>
        <v>1.5074107643089925</v>
      </c>
      <c r="S35" s="343">
        <f t="shared" si="14"/>
        <v>3.2223569926620956E-7</v>
      </c>
      <c r="T35" s="344">
        <f t="shared" si="15"/>
        <v>2.6852974938850754E-9</v>
      </c>
      <c r="U35" s="344">
        <f>IF(P35&lt;=0.85, (1/(3*H35*$J$69))*SQRT( ((1-P35)*(1/SQRT(1-PI()*P35/3)-1) + (1-P34)*(1-1/SQRT(1-PI()*P34/3)))^2*SUMSQ(K$8:K34) + ( (1-P35)*(1/SQRT(1-PI()*P35/3)-1) -P34*(1-1/SQRT(1-PI()*P34/3)) )^2*K35^2 + ( P35*(1-1/SQRT(1-PI()*P35/3)) - P34*(1-1/SQRT(1-PI()*P34/3)) )^2*SUMSQ(K36:K$68) ), (1/(PI()^2*H35*$J$69))*SQRT((1+P34/(1-P34))^2*K35^2+(P34/(1-P34)-P35/(1-P35))^2*SUMSQ(K36:K$68)) )</f>
        <v>1.4374841005668145E-8</v>
      </c>
      <c r="V35" s="345">
        <f t="shared" si="16"/>
        <v>1.4623504250654281E-8</v>
      </c>
      <c r="W35" s="340">
        <f t="shared" si="17"/>
        <v>4.5381390963058132</v>
      </c>
      <c r="X35" s="345">
        <f t="shared" si="18"/>
        <v>2.9247008501308562E-8</v>
      </c>
      <c r="Y35" s="338">
        <f t="shared" si="7"/>
        <v>-14.947982573873793</v>
      </c>
      <c r="Z35" s="346">
        <f t="shared" si="19"/>
        <v>4.5381390963058134E-2</v>
      </c>
      <c r="AA35" s="346">
        <f t="shared" si="20"/>
        <v>0.30359542325381156</v>
      </c>
      <c r="AB35" s="346">
        <f t="shared" si="8"/>
        <v>9.0762781926116268E-2</v>
      </c>
      <c r="AC35" s="336">
        <f t="shared" si="2"/>
        <v>4.1584388096024638E-11</v>
      </c>
      <c r="AD35" s="337">
        <f t="shared" si="3"/>
        <v>2.3885893022994826E-12</v>
      </c>
      <c r="AE35" s="308">
        <f t="shared" si="9"/>
        <v>5.7439568349157115</v>
      </c>
      <c r="AF35" s="337">
        <f t="shared" si="10"/>
        <v>4.7771786045989651E-12</v>
      </c>
      <c r="AG35" s="338">
        <f t="shared" si="21"/>
        <v>-23.903296305252056</v>
      </c>
      <c r="AH35" s="339">
        <f t="shared" si="22"/>
        <v>5.7439568349157109E-2</v>
      </c>
      <c r="AI35" s="340">
        <f t="shared" si="23"/>
        <v>0.24029977964393318</v>
      </c>
      <c r="AJ35" s="341">
        <f t="shared" si="11"/>
        <v>0.11487913669831422</v>
      </c>
    </row>
    <row r="36" spans="1:36" x14ac:dyDescent="0.2">
      <c r="A36" s="309">
        <v>29</v>
      </c>
      <c r="B36" s="309">
        <v>47.25</v>
      </c>
      <c r="C36" s="1">
        <v>489.99</v>
      </c>
      <c r="D36" s="347">
        <v>2</v>
      </c>
      <c r="E36" s="326">
        <f t="shared" si="4"/>
        <v>13.103755536336715</v>
      </c>
      <c r="F36" s="327">
        <f t="shared" si="0"/>
        <v>3.3459057996665716E-2</v>
      </c>
      <c r="G36" s="309">
        <v>4</v>
      </c>
      <c r="H36" s="1">
        <v>3600</v>
      </c>
      <c r="I36" s="324">
        <v>30</v>
      </c>
      <c r="J36" s="1">
        <v>8.2162299999999997E-3</v>
      </c>
      <c r="K36" s="1">
        <v>2.8449779999999999E-4</v>
      </c>
      <c r="L36" s="328">
        <f t="shared" si="5"/>
        <v>3.4626318883478189</v>
      </c>
      <c r="M36" s="329">
        <f t="shared" si="6"/>
        <v>5.0956849947627413E-2</v>
      </c>
      <c r="N36" s="342">
        <f>(1/$J$69)*SQRT(((1-J37/$J$69)*K36)^2+(J37/$J$69)^2*(SUMSQ(K$8:K35)+SUMSQ(K37:K$68)))</f>
        <v>1.7316695400726248E-3</v>
      </c>
      <c r="O36" s="340">
        <f t="shared" si="12"/>
        <v>3.3983057073826295</v>
      </c>
      <c r="P36" s="332">
        <f t="shared" si="1"/>
        <v>0.21290597428152755</v>
      </c>
      <c r="Q36" s="342">
        <f>SQRT(((1-P36)/$J$69)^2*SUMSQ(K$8:K36)+(P36/$J$69)^2*SUMSQ(K37:K$68))</f>
        <v>2.9199125103122918E-3</v>
      </c>
      <c r="R36" s="340">
        <f t="shared" si="13"/>
        <v>1.3714563530524815</v>
      </c>
      <c r="S36" s="343">
        <f t="shared" si="14"/>
        <v>5.4539364499330381E-7</v>
      </c>
      <c r="T36" s="344">
        <f t="shared" si="15"/>
        <v>4.5449470416108641E-9</v>
      </c>
      <c r="U36" s="344">
        <f>IF(P36&lt;=0.85, (1/(3*H36*$J$69))*SQRT( ((1-P36)*(1/SQRT(1-PI()*P36/3)-1) + (1-P35)*(1-1/SQRT(1-PI()*P35/3)))^2*SUMSQ(K$8:K35) + ( (1-P36)*(1/SQRT(1-PI()*P36/3)-1) -P35*(1-1/SQRT(1-PI()*P35/3)) )^2*K36^2 + ( P36*(1-1/SQRT(1-PI()*P36/3)) - P35*(1-1/SQRT(1-PI()*P35/3)) )^2*SUMSQ(K37:K$68) ), (1/(PI()^2*H36*$J$69))*SQRT((1+P35/(1-P35))^2*K36^2+(P35/(1-P35)-P36/(1-P36))^2*SUMSQ(K37:K$68)) )</f>
        <v>2.2687334935745018E-8</v>
      </c>
      <c r="V36" s="345">
        <f t="shared" si="16"/>
        <v>2.3138100831695841E-8</v>
      </c>
      <c r="W36" s="340">
        <f t="shared" si="17"/>
        <v>4.2424588265930243</v>
      </c>
      <c r="X36" s="345">
        <f t="shared" si="18"/>
        <v>4.6276201663391683E-8</v>
      </c>
      <c r="Y36" s="338">
        <f t="shared" si="7"/>
        <v>-14.42175801861362</v>
      </c>
      <c r="Z36" s="346">
        <f t="shared" si="19"/>
        <v>4.2424588265930242E-2</v>
      </c>
      <c r="AA36" s="346">
        <f t="shared" si="20"/>
        <v>0.29417071213630419</v>
      </c>
      <c r="AB36" s="346">
        <f t="shared" si="8"/>
        <v>8.4849176531860485E-2</v>
      </c>
      <c r="AC36" s="336">
        <f t="shared" si="2"/>
        <v>7.038283172892786E-11</v>
      </c>
      <c r="AD36" s="337">
        <f t="shared" si="3"/>
        <v>3.8804366831827724E-12</v>
      </c>
      <c r="AE36" s="308">
        <f t="shared" si="9"/>
        <v>5.5133284465277983</v>
      </c>
      <c r="AF36" s="337">
        <f t="shared" si="10"/>
        <v>7.7608733663655448E-12</v>
      </c>
      <c r="AG36" s="338">
        <f t="shared" si="21"/>
        <v>-23.377071749991881</v>
      </c>
      <c r="AH36" s="339">
        <f t="shared" si="22"/>
        <v>5.513328446527798E-2</v>
      </c>
      <c r="AI36" s="340">
        <f t="shared" si="23"/>
        <v>0.23584341552657095</v>
      </c>
      <c r="AJ36" s="341">
        <f t="shared" si="11"/>
        <v>0.11026656893055596</v>
      </c>
    </row>
    <row r="37" spans="1:36" x14ac:dyDescent="0.2">
      <c r="A37" s="309">
        <v>30</v>
      </c>
      <c r="B37" s="309">
        <v>52.25</v>
      </c>
      <c r="C37" s="1">
        <v>499.99</v>
      </c>
      <c r="D37" s="347">
        <v>2</v>
      </c>
      <c r="E37" s="326">
        <f t="shared" si="4"/>
        <v>12.934268049771063</v>
      </c>
      <c r="F37" s="327">
        <f t="shared" si="0"/>
        <v>3.3895178541772562E-2</v>
      </c>
      <c r="G37" s="309">
        <v>5</v>
      </c>
      <c r="H37" s="1">
        <v>3600</v>
      </c>
      <c r="I37" s="324">
        <v>30</v>
      </c>
      <c r="J37" s="1">
        <v>9.4832600000000003E-3</v>
      </c>
      <c r="K37" s="1">
        <v>1.2734700000000001E-4</v>
      </c>
      <c r="L37" s="328">
        <f t="shared" si="5"/>
        <v>1.3428609992766203</v>
      </c>
      <c r="M37" s="329">
        <f t="shared" si="6"/>
        <v>5.8814937852803194E-2</v>
      </c>
      <c r="N37" s="342">
        <f>(1/$J$69)*SQRT(((1-J38/$J$69)*K37)^2+(J38/$J$69)^2*(SUMSQ(K$8:K36)+SUMSQ(K38:K$68)))</f>
        <v>8.0084879421198822E-4</v>
      </c>
      <c r="O37" s="340">
        <f t="shared" si="12"/>
        <v>1.3616418268030503</v>
      </c>
      <c r="P37" s="332">
        <f t="shared" si="1"/>
        <v>0.27172091213433075</v>
      </c>
      <c r="Q37" s="342">
        <f>SQRT(((1-P37)/$J$69)^2*SUMSQ(K$8:K37)+(P37/$J$69)^2*SUMSQ(K38:K$68))</f>
        <v>3.1325384041784531E-3</v>
      </c>
      <c r="R37" s="340">
        <f t="shared" si="13"/>
        <v>1.1528514237541714</v>
      </c>
      <c r="S37" s="343">
        <f t="shared" si="14"/>
        <v>8.5959554398199179E-7</v>
      </c>
      <c r="T37" s="344">
        <f t="shared" si="15"/>
        <v>7.1632961998499382E-9</v>
      </c>
      <c r="U37" s="344">
        <f>IF(P37&lt;=0.85, (1/(3*H37*$J$69))*SQRT( ((1-P37)*(1/SQRT(1-PI()*P37/3)-1) + (1-P36)*(1-1/SQRT(1-PI()*P36/3)))^2*SUMSQ(K$8:K36) + ( (1-P37)*(1/SQRT(1-PI()*P37/3)-1) -P36*(1-1/SQRT(1-PI()*P36/3)) )^2*K37^2 + ( P37*(1-1/SQRT(1-PI()*P37/3)) - P36*(1-1/SQRT(1-PI()*P36/3)) )^2*SUMSQ(K38:K$68) ), (1/(PI()^2*H37*$J$69))*SQRT((1+P36/(1-P36))^2*K37^2+(P36/(1-P36)-P37/(1-P37))^2*SUMSQ(K38:K$68)) )</f>
        <v>2.0779320452078722E-8</v>
      </c>
      <c r="V37" s="345">
        <f t="shared" si="16"/>
        <v>2.1979376035205404E-8</v>
      </c>
      <c r="W37" s="340">
        <f t="shared" si="17"/>
        <v>2.5569439242772369</v>
      </c>
      <c r="X37" s="345">
        <f t="shared" si="18"/>
        <v>4.3958752070410809E-8</v>
      </c>
      <c r="Y37" s="338">
        <f t="shared" si="7"/>
        <v>-13.966803856018863</v>
      </c>
      <c r="Z37" s="346">
        <f t="shared" si="19"/>
        <v>2.5569439242772371E-2</v>
      </c>
      <c r="AA37" s="346">
        <f t="shared" si="20"/>
        <v>0.18307294572446839</v>
      </c>
      <c r="AB37" s="346">
        <f t="shared" si="8"/>
        <v>5.1138878485544742E-2</v>
      </c>
      <c r="AC37" s="336">
        <f t="shared" si="2"/>
        <v>1.1093046111265844E-10</v>
      </c>
      <c r="AD37" s="337">
        <f t="shared" si="3"/>
        <v>4.8272338012159438E-12</v>
      </c>
      <c r="AE37" s="308">
        <f t="shared" si="9"/>
        <v>4.3515854462315042</v>
      </c>
      <c r="AF37" s="337">
        <f t="shared" si="10"/>
        <v>9.6544676024318876E-12</v>
      </c>
      <c r="AG37" s="338">
        <f t="shared" si="21"/>
        <v>-22.922117587397125</v>
      </c>
      <c r="AH37" s="339">
        <f t="shared" si="22"/>
        <v>4.3515854462315047E-2</v>
      </c>
      <c r="AI37" s="340">
        <f t="shared" si="23"/>
        <v>0.18984220937004803</v>
      </c>
      <c r="AJ37" s="341">
        <f t="shared" si="11"/>
        <v>8.7031708924630094E-2</v>
      </c>
    </row>
    <row r="38" spans="1:36" x14ac:dyDescent="0.2">
      <c r="A38" s="309">
        <v>31</v>
      </c>
      <c r="B38" s="309">
        <v>56.5833333333333</v>
      </c>
      <c r="C38" s="1">
        <v>495</v>
      </c>
      <c r="D38" s="347">
        <v>2</v>
      </c>
      <c r="E38" s="326">
        <f t="shared" si="4"/>
        <v>13.018290698431297</v>
      </c>
      <c r="F38" s="327">
        <f t="shared" si="0"/>
        <v>3.4794312558411998E-2</v>
      </c>
      <c r="G38" s="309">
        <v>5</v>
      </c>
      <c r="H38" s="1">
        <v>2400</v>
      </c>
      <c r="I38" s="324">
        <v>30</v>
      </c>
      <c r="J38" s="1">
        <v>4.2449000000000002E-3</v>
      </c>
      <c r="K38" s="1">
        <v>7.7054999999999986E-5</v>
      </c>
      <c r="L38" s="328">
        <f t="shared" si="5"/>
        <v>1.8152371080590823</v>
      </c>
      <c r="M38" s="329">
        <f t="shared" si="6"/>
        <v>2.6326762072469201E-2</v>
      </c>
      <c r="N38" s="342">
        <f>(1/$J$69)*SQRT(((1-J39/$J$69)*K38)^2+(J39/$J$69)^2*(SUMSQ(K$8:K37)+SUMSQ(K39:K$68)))</f>
        <v>4.8945240737554067E-4</v>
      </c>
      <c r="O38" s="340">
        <f t="shared" si="12"/>
        <v>1.8591439616776033</v>
      </c>
      <c r="P38" s="332">
        <f t="shared" si="1"/>
        <v>0.29804767420679995</v>
      </c>
      <c r="Q38" s="342">
        <f>SQRT(((1-P38)/$J$69)^2*SUMSQ(K$8:K38)+(P38/$J$69)^2*SUMSQ(K39:K$68))</f>
        <v>3.2378705961641509E-3</v>
      </c>
      <c r="R38" s="340">
        <f t="shared" si="13"/>
        <v>1.0863599606274932</v>
      </c>
      <c r="S38" s="343">
        <f t="shared" si="14"/>
        <v>7.0885953288555236E-7</v>
      </c>
      <c r="T38" s="344">
        <f t="shared" si="15"/>
        <v>8.8607441610694032E-9</v>
      </c>
      <c r="U38" s="344">
        <f>IF(P38&lt;=0.85, (1/(3*H38*$J$69))*SQRT( ((1-P38)*(1/SQRT(1-PI()*P38/3)-1) + (1-P37)*(1-1/SQRT(1-PI()*P37/3)))^2*SUMSQ(K$8:K37) + ( (1-P38)*(1/SQRT(1-PI()*P38/3)-1) -P37*(1-1/SQRT(1-PI()*P37/3)) )^2*K38^2 + ( P38*(1-1/SQRT(1-PI()*P38/3)) - P37*(1-1/SQRT(1-PI()*P37/3)) )^2*SUMSQ(K39:K$68) ), (1/(PI()^2*H38*$J$69))*SQRT((1+P37/(1-P37))^2*K38^2+(P37/(1-P37)-P38/(1-P38))^2*SUMSQ(K39:K$68)) )</f>
        <v>1.8961936031916626E-8</v>
      </c>
      <c r="V38" s="345">
        <f t="shared" si="16"/>
        <v>2.0930069401853965E-8</v>
      </c>
      <c r="W38" s="340">
        <f t="shared" si="17"/>
        <v>2.9526398998478576</v>
      </c>
      <c r="X38" s="345">
        <f t="shared" si="18"/>
        <v>4.186013880370793E-8</v>
      </c>
      <c r="Y38" s="338">
        <f t="shared" si="7"/>
        <v>-14.159608450091239</v>
      </c>
      <c r="Z38" s="346">
        <f t="shared" si="19"/>
        <v>2.9526398998478576E-2</v>
      </c>
      <c r="AA38" s="346">
        <f t="shared" si="20"/>
        <v>0.20852553305093913</v>
      </c>
      <c r="AB38" s="346">
        <f t="shared" si="8"/>
        <v>5.9052797996957153E-2</v>
      </c>
      <c r="AC38" s="336">
        <f t="shared" si="2"/>
        <v>9.1478039175067364E-11</v>
      </c>
      <c r="AD38" s="337">
        <f t="shared" si="3"/>
        <v>4.2036538997172949E-12</v>
      </c>
      <c r="AE38" s="308">
        <f t="shared" si="9"/>
        <v>4.5952601713210033</v>
      </c>
      <c r="AF38" s="337">
        <f t="shared" si="10"/>
        <v>8.4073077994345897E-12</v>
      </c>
      <c r="AG38" s="338">
        <f t="shared" si="21"/>
        <v>-23.114922181469503</v>
      </c>
      <c r="AH38" s="339">
        <f t="shared" si="22"/>
        <v>4.5952601713210028E-2</v>
      </c>
      <c r="AI38" s="340">
        <f t="shared" si="23"/>
        <v>0.19880059016616014</v>
      </c>
      <c r="AJ38" s="341">
        <f t="shared" si="11"/>
        <v>9.1905203426420057E-2</v>
      </c>
    </row>
    <row r="39" spans="1:36" x14ac:dyDescent="0.2">
      <c r="A39" s="309">
        <v>32</v>
      </c>
      <c r="B39" s="309">
        <v>61.0833333333333</v>
      </c>
      <c r="C39" s="1">
        <v>485.01</v>
      </c>
      <c r="D39" s="347">
        <v>2</v>
      </c>
      <c r="E39" s="326">
        <f t="shared" si="4"/>
        <v>13.18982800464282</v>
      </c>
      <c r="F39" s="327">
        <f t="shared" si="0"/>
        <v>3.5730658931434463E-2</v>
      </c>
      <c r="G39" s="309">
        <v>5.6666666666666696</v>
      </c>
      <c r="H39" s="1">
        <v>2400</v>
      </c>
      <c r="I39" s="324">
        <v>30</v>
      </c>
      <c r="J39" s="1">
        <v>2.5684999999999996E-3</v>
      </c>
      <c r="K39" s="1">
        <v>4.7017199999999994E-5</v>
      </c>
      <c r="L39" s="328">
        <f t="shared" si="5"/>
        <v>1.8305314385828306</v>
      </c>
      <c r="M39" s="329">
        <f t="shared" si="6"/>
        <v>1.5929771816329506E-2</v>
      </c>
      <c r="N39" s="342">
        <f>(1/$J$69)*SQRT(((1-J40/$J$69)*K39)^2+(J40/$J$69)^2*(SUMSQ(K$8:K38)+SUMSQ(K40:K$68)))</f>
        <v>3.0041547746598304E-4</v>
      </c>
      <c r="O39" s="340">
        <f t="shared" si="12"/>
        <v>1.8858743297128027</v>
      </c>
      <c r="P39" s="332">
        <f t="shared" si="1"/>
        <v>0.31397744602312944</v>
      </c>
      <c r="Q39" s="342">
        <f>SQRT(((1-P39)/$J$69)^2*SUMSQ(K$8:K39)+(P39/$J$69)^2*SUMSQ(K40:K$68))</f>
        <v>3.3026241432031131E-3</v>
      </c>
      <c r="R39" s="340">
        <f t="shared" si="13"/>
        <v>1.0518666818379758</v>
      </c>
      <c r="S39" s="343">
        <f t="shared" si="14"/>
        <v>4.7149342579181776E-7</v>
      </c>
      <c r="T39" s="344">
        <f t="shared" si="15"/>
        <v>5.8936678223977164E-9</v>
      </c>
      <c r="U39" s="344">
        <f>IF(P39&lt;=0.85, (1/(3*H39*$J$69))*SQRT( ((1-P39)*(1/SQRT(1-PI()*P39/3)-1) + (1-P38)*(1-1/SQRT(1-PI()*P38/3)))^2*SUMSQ(K$8:K38) + ( (1-P39)*(1/SQRT(1-PI()*P39/3)-1) -P38*(1-1/SQRT(1-PI()*P38/3)) )^2*K39^2 + ( P39*(1-1/SQRT(1-PI()*P39/3)) - P38*(1-1/SQRT(1-PI()*P38/3)) )^2*SUMSQ(K40:K$68) ), (1/(PI()^2*H39*$J$69))*SQRT((1+P38/(1-P38))^2*K39^2+(P38/(1-P38)-P39/(1-P39))^2*SUMSQ(K40:K$68)) )</f>
        <v>1.2645108884321084E-8</v>
      </c>
      <c r="V39" s="345">
        <f t="shared" si="16"/>
        <v>1.3951132538152675E-8</v>
      </c>
      <c r="W39" s="340">
        <f t="shared" si="17"/>
        <v>2.9589240856801742</v>
      </c>
      <c r="X39" s="345">
        <f t="shared" si="18"/>
        <v>2.7902265076305349E-8</v>
      </c>
      <c r="Y39" s="338">
        <f t="shared" si="7"/>
        <v>-14.567360678147587</v>
      </c>
      <c r="Z39" s="346">
        <f t="shared" si="19"/>
        <v>2.9589240856801743E-2</v>
      </c>
      <c r="AA39" s="346">
        <f t="shared" si="20"/>
        <v>0.2031201225160052</v>
      </c>
      <c r="AB39" s="346">
        <f t="shared" si="8"/>
        <v>5.9178481713603487E-2</v>
      </c>
      <c r="AC39" s="336">
        <f t="shared" si="2"/>
        <v>6.0846038001063757E-11</v>
      </c>
      <c r="AD39" s="337">
        <f t="shared" si="3"/>
        <v>2.7984921511453517E-12</v>
      </c>
      <c r="AE39" s="308">
        <f t="shared" si="9"/>
        <v>4.5993005347306699</v>
      </c>
      <c r="AF39" s="337">
        <f t="shared" si="10"/>
        <v>5.5969843022907033E-12</v>
      </c>
      <c r="AG39" s="338">
        <f t="shared" si="21"/>
        <v>-23.522674409525852</v>
      </c>
      <c r="AH39" s="339">
        <f t="shared" si="22"/>
        <v>4.5993005347306694E-2</v>
      </c>
      <c r="AI39" s="340">
        <f t="shared" si="23"/>
        <v>0.1955262592449146</v>
      </c>
      <c r="AJ39" s="341">
        <f t="shared" si="11"/>
        <v>9.1986010694613388E-2</v>
      </c>
    </row>
    <row r="40" spans="1:36" x14ac:dyDescent="0.2">
      <c r="A40" s="309">
        <v>33</v>
      </c>
      <c r="B40" s="309">
        <v>65.5833333333333</v>
      </c>
      <c r="C40" s="1">
        <v>475.01</v>
      </c>
      <c r="D40" s="347">
        <v>2</v>
      </c>
      <c r="E40" s="326">
        <f t="shared" si="4"/>
        <v>13.366124893071001</v>
      </c>
      <c r="F40" s="327">
        <f t="shared" si="0"/>
        <v>3.6705317111094454E-2</v>
      </c>
      <c r="G40" s="309">
        <v>6.1666666666666696</v>
      </c>
      <c r="H40" s="1">
        <v>2400</v>
      </c>
      <c r="I40" s="324">
        <v>30</v>
      </c>
      <c r="J40" s="1">
        <v>1.5672399999999999E-3</v>
      </c>
      <c r="K40" s="1">
        <v>2.95824E-5</v>
      </c>
      <c r="L40" s="328">
        <f t="shared" si="5"/>
        <v>1.887547535795411</v>
      </c>
      <c r="M40" s="329">
        <f t="shared" si="6"/>
        <v>9.7199827064139623E-3</v>
      </c>
      <c r="N40" s="342">
        <f>(1/$J$69)*SQRT(((1-J41/$J$69)*K40)^2+(J41/$J$69)^2*(SUMSQ(K$8:K39)+SUMSQ(K41:K$68)))</f>
        <v>1.8965695808241938E-4</v>
      </c>
      <c r="O40" s="340">
        <f t="shared" si="12"/>
        <v>1.9512067439921443</v>
      </c>
      <c r="P40" s="332">
        <f t="shared" si="1"/>
        <v>0.32369742872954338</v>
      </c>
      <c r="Q40" s="342">
        <f>SQRT(((1-P40)/$J$69)^2*SUMSQ(K$8:K40)+(P40/$J$69)^2*SUMSQ(K41:K$68))</f>
        <v>3.3428724827042635E-3</v>
      </c>
      <c r="R40" s="340">
        <f t="shared" si="13"/>
        <v>1.0327151796739511</v>
      </c>
      <c r="S40" s="343">
        <f t="shared" si="14"/>
        <v>3.0410259983383335E-7</v>
      </c>
      <c r="T40" s="344">
        <f t="shared" si="15"/>
        <v>3.8012824979229192E-9</v>
      </c>
      <c r="U40" s="344">
        <f>IF(P40&lt;=0.85, (1/(3*H40*$J$69))*SQRT( ((1-P40)*(1/SQRT(1-PI()*P40/3)-1) + (1-P39)*(1-1/SQRT(1-PI()*P39/3)))^2*SUMSQ(K$8:K39) + ( (1-P40)*(1/SQRT(1-PI()*P40/3)-1) -P39*(1-1/SQRT(1-PI()*P39/3)) )^2*K40^2 + ( P40*(1-1/SQRT(1-PI()*P40/3)) - P39*(1-1/SQRT(1-PI()*P39/3)) )^2*SUMSQ(K41:K$68) ), (1/(PI()^2*H40*$J$69))*SQRT((1+P39/(1-P39))^2*K40^2+(P39/(1-P39)-P40/(1-P40))^2*SUMSQ(K41:K$68)) )</f>
        <v>8.2808184353344127E-9</v>
      </c>
      <c r="V40" s="345">
        <f t="shared" si="16"/>
        <v>9.111624585549461E-9</v>
      </c>
      <c r="W40" s="340">
        <f t="shared" si="17"/>
        <v>2.9962337022203038</v>
      </c>
      <c r="X40" s="345">
        <f t="shared" si="18"/>
        <v>1.8223249171098922E-8</v>
      </c>
      <c r="Y40" s="338">
        <f t="shared" si="7"/>
        <v>-15.00590069302692</v>
      </c>
      <c r="Z40" s="346">
        <f t="shared" si="19"/>
        <v>2.996233702220304E-2</v>
      </c>
      <c r="AA40" s="346">
        <f t="shared" si="20"/>
        <v>0.19967036724510789</v>
      </c>
      <c r="AB40" s="346">
        <f t="shared" si="8"/>
        <v>5.992467404440608E-2</v>
      </c>
      <c r="AC40" s="336">
        <f t="shared" si="2"/>
        <v>3.9244318867516262E-11</v>
      </c>
      <c r="AD40" s="337">
        <f t="shared" si="3"/>
        <v>1.8144185494389729E-12</v>
      </c>
      <c r="AE40" s="308">
        <f t="shared" si="9"/>
        <v>4.623391618960734</v>
      </c>
      <c r="AF40" s="337">
        <f t="shared" si="10"/>
        <v>3.6288370988779457E-12</v>
      </c>
      <c r="AG40" s="338">
        <f t="shared" si="21"/>
        <v>-23.961214424405185</v>
      </c>
      <c r="AH40" s="339">
        <f t="shared" si="22"/>
        <v>4.6233916189607337E-2</v>
      </c>
      <c r="AI40" s="340">
        <f t="shared" si="23"/>
        <v>0.19295314240215122</v>
      </c>
      <c r="AJ40" s="341">
        <f t="shared" si="11"/>
        <v>9.2467832379214673E-2</v>
      </c>
    </row>
    <row r="41" spans="1:36" x14ac:dyDescent="0.2">
      <c r="A41" s="309">
        <v>34</v>
      </c>
      <c r="B41" s="309">
        <v>70.0833333333333</v>
      </c>
      <c r="C41" s="1">
        <v>465.01</v>
      </c>
      <c r="D41" s="347">
        <v>2</v>
      </c>
      <c r="E41" s="326">
        <f t="shared" si="4"/>
        <v>13.54719843936274</v>
      </c>
      <c r="F41" s="327">
        <f t="shared" si="0"/>
        <v>3.7720406066146218E-2</v>
      </c>
      <c r="G41" s="309">
        <v>6.6666666666666696</v>
      </c>
      <c r="H41" s="1">
        <v>2400</v>
      </c>
      <c r="I41" s="324">
        <v>30</v>
      </c>
      <c r="J41" s="1">
        <v>9.8607999999999986E-4</v>
      </c>
      <c r="K41" s="1">
        <v>1.8607499999999998E-5</v>
      </c>
      <c r="L41" s="328">
        <f t="shared" si="5"/>
        <v>1.887017280545189</v>
      </c>
      <c r="M41" s="329">
        <f t="shared" si="6"/>
        <v>6.1156431351552269E-3</v>
      </c>
      <c r="N41" s="342">
        <f>(1/$J$69)*SQRT(((1-J42/$J$69)*K41)^2+(J42/$J$69)^2*(SUMSQ(K$8:K40)+SUMSQ(K42:K$68)))</f>
        <v>1.1954834302471885E-4</v>
      </c>
      <c r="O41" s="340">
        <f t="shared" si="12"/>
        <v>1.9547959287798515</v>
      </c>
      <c r="P41" s="332">
        <f t="shared" si="1"/>
        <v>0.3298130718646986</v>
      </c>
      <c r="Q41" s="342">
        <f>SQRT(((1-P41)/$J$69)^2*SUMSQ(K$8:K41)+(P41/$J$69)^2*SUMSQ(K42:K$68))</f>
        <v>3.3684984679815356E-3</v>
      </c>
      <c r="R41" s="340">
        <f t="shared" si="13"/>
        <v>1.0213356459574825</v>
      </c>
      <c r="S41" s="343">
        <f t="shared" si="14"/>
        <v>1.9786989579944312E-7</v>
      </c>
      <c r="T41" s="344">
        <f t="shared" si="15"/>
        <v>2.4733736974930385E-9</v>
      </c>
      <c r="U41" s="344">
        <f>IF(P41&lt;=0.85, (1/(3*H41*$J$69))*SQRT( ((1-P41)*(1/SQRT(1-PI()*P41/3)-1) + (1-P40)*(1-1/SQRT(1-PI()*P40/3)))^2*SUMSQ(K$8:K40) + ( (1-P41)*(1/SQRT(1-PI()*P41/3)-1) -P40*(1-1/SQRT(1-PI()*P40/3)) )^2*K41^2 + ( P41*(1-1/SQRT(1-PI()*P41/3)) - P40*(1-1/SQRT(1-PI()*P40/3)) )^2*SUMSQ(K42:K$68) ), (1/(PI()^2*H41*$J$69))*SQRT((1+P40/(1-P40))^2*K41^2+(P40/(1-P40)-P41/(1-P41))^2*SUMSQ(K42:K$68)) )</f>
        <v>5.3926485588671912E-9</v>
      </c>
      <c r="V41" s="345">
        <f t="shared" si="16"/>
        <v>5.9328101205839031E-9</v>
      </c>
      <c r="W41" s="340">
        <f t="shared" si="17"/>
        <v>2.9983389320613374</v>
      </c>
      <c r="X41" s="345">
        <f t="shared" si="18"/>
        <v>1.1865620241167806E-8</v>
      </c>
      <c r="Y41" s="338">
        <f t="shared" si="7"/>
        <v>-15.435656114153394</v>
      </c>
      <c r="Z41" s="346">
        <f t="shared" si="19"/>
        <v>2.9983389320613372E-2</v>
      </c>
      <c r="AA41" s="346">
        <f t="shared" si="20"/>
        <v>0.19424758558284247</v>
      </c>
      <c r="AB41" s="346">
        <f t="shared" si="8"/>
        <v>5.9966778641226744E-2</v>
      </c>
      <c r="AC41" s="336">
        <f t="shared" si="2"/>
        <v>2.5535030904959814E-11</v>
      </c>
      <c r="AD41" s="337">
        <f t="shared" si="3"/>
        <v>1.180932927876255E-12</v>
      </c>
      <c r="AE41" s="308">
        <f t="shared" si="9"/>
        <v>4.6247562114635059</v>
      </c>
      <c r="AF41" s="337">
        <f t="shared" si="10"/>
        <v>2.36186585575251E-12</v>
      </c>
      <c r="AG41" s="338">
        <f t="shared" si="21"/>
        <v>-24.390969845531657</v>
      </c>
      <c r="AH41" s="339">
        <f t="shared" si="22"/>
        <v>4.6247562114635064E-2</v>
      </c>
      <c r="AI41" s="340">
        <f t="shared" si="23"/>
        <v>0.18960936120015523</v>
      </c>
      <c r="AJ41" s="341">
        <f t="shared" si="11"/>
        <v>9.2495124229270129E-2</v>
      </c>
    </row>
    <row r="42" spans="1:36" x14ac:dyDescent="0.2">
      <c r="A42" s="309">
        <v>35</v>
      </c>
      <c r="B42" s="309">
        <v>74.5833333333333</v>
      </c>
      <c r="C42" s="1">
        <v>455.01</v>
      </c>
      <c r="D42" s="347">
        <v>2</v>
      </c>
      <c r="E42" s="326">
        <f t="shared" si="4"/>
        <v>13.733245440562515</v>
      </c>
      <c r="F42" s="327">
        <f t="shared" si="0"/>
        <v>3.8777113403871154E-2</v>
      </c>
      <c r="G42" s="309">
        <v>7.1666666666666696</v>
      </c>
      <c r="H42" s="1">
        <v>2400</v>
      </c>
      <c r="I42" s="324">
        <v>30</v>
      </c>
      <c r="J42" s="1">
        <v>6.2024999999999992E-4</v>
      </c>
      <c r="K42" s="1">
        <v>1.1567699999999998E-5</v>
      </c>
      <c r="L42" s="328">
        <f t="shared" si="5"/>
        <v>1.8650060459492139</v>
      </c>
      <c r="M42" s="329">
        <f t="shared" si="6"/>
        <v>3.8467747592284903E-3</v>
      </c>
      <c r="N42" s="342">
        <f>(1/$J$69)*SQRT(((1-J43/$J$69)*K42)^2+(J43/$J$69)^2*(SUMSQ(K$8:K41)+SUMSQ(K43:K$68)))</f>
        <v>7.4420183298656481E-5</v>
      </c>
      <c r="O42" s="340">
        <f t="shared" si="12"/>
        <v>1.9346124469627695</v>
      </c>
      <c r="P42" s="332">
        <f t="shared" si="1"/>
        <v>0.33365984662392711</v>
      </c>
      <c r="Q42" s="342">
        <f>SQRT(((1-P42)/$J$69)^2*SUMSQ(K$8:K42)+(P42/$J$69)^2*SUMSQ(K43:K$68))</f>
        <v>3.3847463538529765E-3</v>
      </c>
      <c r="R42" s="340">
        <f t="shared" si="13"/>
        <v>1.0144302312971971</v>
      </c>
      <c r="S42" s="343">
        <f t="shared" si="14"/>
        <v>1.2708754329752833E-7</v>
      </c>
      <c r="T42" s="344">
        <f t="shared" si="15"/>
        <v>1.5885942912191065E-9</v>
      </c>
      <c r="U42" s="344">
        <f>IF(P42&lt;=0.85, (1/(3*H42*$J$69))*SQRT( ((1-P42)*(1/SQRT(1-PI()*P42/3)-1) + (1-P41)*(1-1/SQRT(1-PI()*P41/3)))^2*SUMSQ(K$8:K41) + ( (1-P42)*(1/SQRT(1-PI()*P42/3)-1) -P41*(1-1/SQRT(1-PI()*P41/3)) )^2*K42^2 + ( P42*(1-1/SQRT(1-PI()*P42/3)) - P41*(1-1/SQRT(1-PI()*P41/3)) )^2*SUMSQ(K43:K$68) ), (1/(PI()^2*H42*$J$69))*SQRT((1+P41/(1-P41))^2*K42^2+(P41/(1-P41)-P42/(1-P42))^2*SUMSQ(K43:K$68)) )</f>
        <v>3.4471724365437742E-9</v>
      </c>
      <c r="V42" s="345">
        <f t="shared" si="16"/>
        <v>3.7956066220514837E-9</v>
      </c>
      <c r="W42" s="340">
        <f t="shared" si="17"/>
        <v>2.9866079110251418</v>
      </c>
      <c r="X42" s="345">
        <f t="shared" si="18"/>
        <v>7.5912132441029675E-9</v>
      </c>
      <c r="Y42" s="338">
        <f t="shared" si="7"/>
        <v>-15.878389670654498</v>
      </c>
      <c r="Z42" s="346">
        <f t="shared" si="19"/>
        <v>2.9866079110251419E-2</v>
      </c>
      <c r="AA42" s="346">
        <f t="shared" si="20"/>
        <v>0.18809261977899525</v>
      </c>
      <c r="AB42" s="346">
        <f t="shared" si="8"/>
        <v>5.9732158220502839E-2</v>
      </c>
      <c r="AC42" s="336">
        <f t="shared" si="2"/>
        <v>1.6400596627528711E-11</v>
      </c>
      <c r="AD42" s="337">
        <f t="shared" si="3"/>
        <v>7.5724168090766696E-13</v>
      </c>
      <c r="AE42" s="308">
        <f t="shared" si="9"/>
        <v>4.6171593516093345</v>
      </c>
      <c r="AF42" s="337">
        <f t="shared" si="10"/>
        <v>1.5144833618153339E-12</v>
      </c>
      <c r="AG42" s="338">
        <f t="shared" si="21"/>
        <v>-24.833703402032761</v>
      </c>
      <c r="AH42" s="339">
        <f t="shared" si="22"/>
        <v>4.6171593516093339E-2</v>
      </c>
      <c r="AI42" s="340">
        <f t="shared" si="23"/>
        <v>0.18592310928668804</v>
      </c>
      <c r="AJ42" s="341">
        <f t="shared" si="11"/>
        <v>9.2343187032186677E-2</v>
      </c>
    </row>
    <row r="43" spans="1:36" x14ac:dyDescent="0.2">
      <c r="A43" s="309">
        <v>36</v>
      </c>
      <c r="B43" s="309">
        <v>79.0833333333333</v>
      </c>
      <c r="C43" s="1">
        <v>445.02</v>
      </c>
      <c r="D43" s="347">
        <v>2</v>
      </c>
      <c r="E43" s="326">
        <f t="shared" si="4"/>
        <v>13.924279766629072</v>
      </c>
      <c r="F43" s="327">
        <f t="shared" si="0"/>
        <v>3.8778193313177695E-2</v>
      </c>
      <c r="G43" s="309">
        <v>7.6666666666666696</v>
      </c>
      <c r="H43" s="1">
        <v>2400</v>
      </c>
      <c r="I43" s="324">
        <v>30</v>
      </c>
      <c r="J43" s="1">
        <v>3.8559E-4</v>
      </c>
      <c r="K43" s="1">
        <v>1.1270100000000001E-5</v>
      </c>
      <c r="L43" s="328">
        <f t="shared" si="5"/>
        <v>2.9228195751964523</v>
      </c>
      <c r="M43" s="329">
        <f t="shared" si="6"/>
        <v>2.3914193944553227E-3</v>
      </c>
      <c r="N43" s="342">
        <f>(1/$J$69)*SQRT(((1-J44/$J$69)*K43)^2+(J44/$J$69)^2*(SUMSQ(K$8:K42)+SUMSQ(K44:K$68)))</f>
        <v>7.2509734976768092E-5</v>
      </c>
      <c r="O43" s="340">
        <f t="shared" si="12"/>
        <v>3.0320794062675542</v>
      </c>
      <c r="P43" s="332">
        <f t="shared" si="1"/>
        <v>0.33605126601838242</v>
      </c>
      <c r="Q43" s="342">
        <f>SQRT(((1-P43)/$J$69)^2*SUMSQ(K$8:K43)+(P43/$J$69)^2*SUMSQ(K44:K$68))</f>
        <v>3.395043306482153E-3</v>
      </c>
      <c r="R43" s="340">
        <f t="shared" si="13"/>
        <v>1.0102754102692295</v>
      </c>
      <c r="S43" s="343">
        <f t="shared" si="14"/>
        <v>8.0038827461085469E-8</v>
      </c>
      <c r="T43" s="344">
        <f t="shared" si="15"/>
        <v>1.0004853432635686E-9</v>
      </c>
      <c r="U43" s="344">
        <f>IF(P43&lt;=0.85, (1/(3*H43*$J$69))*SQRT( ((1-P43)*(1/SQRT(1-PI()*P43/3)-1) + (1-P42)*(1-1/SQRT(1-PI()*P42/3)))^2*SUMSQ(K$8:K42) + ( (1-P43)*(1/SQRT(1-PI()*P43/3)-1) -P42*(1-1/SQRT(1-PI()*P42/3)) )^2*K43^2 + ( P43*(1-1/SQRT(1-PI()*P43/3)) - P42*(1-1/SQRT(1-PI()*P42/3)) )^2*SUMSQ(K44:K$68) ), (1/(PI()^2*H43*$J$69))*SQRT((1+P42/(1-P42))^2*K43^2+(P42/(1-P42)-P43/(1-P43))^2*SUMSQ(K44:K$68)) )</f>
        <v>2.8210732248507223E-9</v>
      </c>
      <c r="V43" s="345">
        <f t="shared" si="16"/>
        <v>2.9932298712352305E-9</v>
      </c>
      <c r="W43" s="340">
        <f t="shared" si="17"/>
        <v>3.7397222900229594</v>
      </c>
      <c r="X43" s="345">
        <f t="shared" si="18"/>
        <v>5.986459742470461E-9</v>
      </c>
      <c r="Y43" s="338">
        <f t="shared" si="7"/>
        <v>-16.340753976749909</v>
      </c>
      <c r="Z43" s="346">
        <f t="shared" si="19"/>
        <v>3.7397222900229593E-2</v>
      </c>
      <c r="AA43" s="346">
        <f t="shared" si="20"/>
        <v>0.2288586129712217</v>
      </c>
      <c r="AB43" s="346">
        <f t="shared" si="8"/>
        <v>7.4794445800459186E-2</v>
      </c>
      <c r="AC43" s="336">
        <f t="shared" si="2"/>
        <v>1.0328978668322094E-11</v>
      </c>
      <c r="AD43" s="337">
        <f t="shared" si="3"/>
        <v>5.3055024371608644E-13</v>
      </c>
      <c r="AE43" s="308">
        <f t="shared" si="9"/>
        <v>5.136521826143654</v>
      </c>
      <c r="AF43" s="337">
        <f t="shared" si="10"/>
        <v>1.0611004874321729E-12</v>
      </c>
      <c r="AG43" s="338">
        <f t="shared" si="21"/>
        <v>-25.29606770812817</v>
      </c>
      <c r="AH43" s="339">
        <f t="shared" si="22"/>
        <v>5.1365218261436536E-2</v>
      </c>
      <c r="AI43" s="340">
        <f t="shared" si="23"/>
        <v>0.2030561384247552</v>
      </c>
      <c r="AJ43" s="341">
        <f t="shared" si="11"/>
        <v>0.10273043652287307</v>
      </c>
    </row>
    <row r="44" spans="1:36" x14ac:dyDescent="0.2">
      <c r="A44" s="309">
        <v>37</v>
      </c>
      <c r="B44" s="309">
        <v>83.5833333333333</v>
      </c>
      <c r="C44" s="1">
        <v>445.01</v>
      </c>
      <c r="D44" s="347">
        <v>2</v>
      </c>
      <c r="E44" s="326">
        <f t="shared" si="4"/>
        <v>13.924473654895845</v>
      </c>
      <c r="F44" s="327">
        <f t="shared" si="0"/>
        <v>3.9881107590626727E-2</v>
      </c>
      <c r="G44" s="309">
        <v>8.1666666666666696</v>
      </c>
      <c r="H44" s="1">
        <v>2400</v>
      </c>
      <c r="I44" s="324">
        <v>30</v>
      </c>
      <c r="J44" s="1">
        <v>3.7566999999999999E-4</v>
      </c>
      <c r="K44" s="1">
        <v>1.56726E-5</v>
      </c>
      <c r="L44" s="328">
        <f t="shared" si="5"/>
        <v>4.1719061942662439</v>
      </c>
      <c r="M44" s="329">
        <f t="shared" si="6"/>
        <v>2.3298958062061541E-3</v>
      </c>
      <c r="N44" s="342">
        <f>(1/$J$69)*SQRT(((1-J45/$J$69)*K44)^2+(J45/$J$69)^2*(SUMSQ(K$8:K43)+SUMSQ(K45:K$68)))</f>
        <v>1.0074928937398794E-4</v>
      </c>
      <c r="O44" s="340">
        <f t="shared" si="12"/>
        <v>4.3241972068288028</v>
      </c>
      <c r="P44" s="332">
        <f t="shared" si="1"/>
        <v>0.33838116182458855</v>
      </c>
      <c r="Q44" s="342">
        <f>SQRT(((1-P44)/$J$69)^2*SUMSQ(K$8:K44)+(P44/$J$69)^2*SUMSQ(K45:K$68))</f>
        <v>3.4053788024572167E-3</v>
      </c>
      <c r="R44" s="340">
        <f t="shared" si="13"/>
        <v>1.0063736361962463</v>
      </c>
      <c r="S44" s="343">
        <f t="shared" si="14"/>
        <v>7.8746277346724197E-8</v>
      </c>
      <c r="T44" s="344">
        <f t="shared" si="15"/>
        <v>9.8432846683405374E-10</v>
      </c>
      <c r="U44" s="344">
        <f>IF(P44&lt;=0.85, (1/(3*H44*$J$69))*SQRT( ((1-P44)*(1/SQRT(1-PI()*P44/3)-1) + (1-P43)*(1-1/SQRT(1-PI()*P43/3)))^2*SUMSQ(K$8:K43) + ( (1-P44)*(1/SQRT(1-PI()*P44/3)-1) -P43*(1-1/SQRT(1-PI()*P43/3)) )^2*K44^2 + ( P44*(1-1/SQRT(1-PI()*P44/3)) - P43*(1-1/SQRT(1-PI()*P43/3)) )^2*SUMSQ(K45:K$68) ), (1/(PI()^2*H44*$J$69))*SQRT((1+P43/(1-P43))^2*K44^2+(P43/(1-P43)-P44/(1-P44))^2*SUMSQ(K45:K$68)) )</f>
        <v>3.6322383050041612E-9</v>
      </c>
      <c r="V44" s="345">
        <f t="shared" si="16"/>
        <v>3.7632509396742838E-9</v>
      </c>
      <c r="W44" s="340">
        <f t="shared" si="17"/>
        <v>4.7789572618201142</v>
      </c>
      <c r="X44" s="345">
        <f t="shared" si="18"/>
        <v>7.5265018793485677E-9</v>
      </c>
      <c r="Y44" s="338">
        <f t="shared" si="7"/>
        <v>-16.357034832145644</v>
      </c>
      <c r="Z44" s="346">
        <f t="shared" si="19"/>
        <v>4.7789572618201145E-2</v>
      </c>
      <c r="AA44" s="346">
        <f t="shared" si="20"/>
        <v>0.29216525555281414</v>
      </c>
      <c r="AB44" s="346">
        <f t="shared" si="8"/>
        <v>9.5579145236402291E-2</v>
      </c>
      <c r="AC44" s="336">
        <f t="shared" si="2"/>
        <v>1.0162175593083818E-11</v>
      </c>
      <c r="AD44" s="337">
        <f t="shared" si="3"/>
        <v>6.032324797250925E-13</v>
      </c>
      <c r="AE44" s="308">
        <f t="shared" si="9"/>
        <v>5.9360564497196942</v>
      </c>
      <c r="AF44" s="337">
        <f t="shared" si="10"/>
        <v>1.206464959450185E-12</v>
      </c>
      <c r="AG44" s="338">
        <f t="shared" si="21"/>
        <v>-25.312348563523908</v>
      </c>
      <c r="AH44" s="339">
        <f t="shared" si="22"/>
        <v>5.9360564497196934E-2</v>
      </c>
      <c r="AI44" s="340">
        <f t="shared" si="23"/>
        <v>0.23451227509855743</v>
      </c>
      <c r="AJ44" s="341">
        <f t="shared" si="11"/>
        <v>0.11872112899439387</v>
      </c>
    </row>
    <row r="45" spans="1:36" x14ac:dyDescent="0.2">
      <c r="A45" s="309">
        <v>38</v>
      </c>
      <c r="B45" s="309">
        <v>88.0833333333333</v>
      </c>
      <c r="C45" s="1">
        <v>435.01</v>
      </c>
      <c r="D45" s="347">
        <v>2</v>
      </c>
      <c r="E45" s="326">
        <f t="shared" si="4"/>
        <v>14.121102575689111</v>
      </c>
      <c r="F45" s="327">
        <f t="shared" si="0"/>
        <v>4.1031752812536272E-2</v>
      </c>
      <c r="G45" s="309">
        <v>8.6666666666666696</v>
      </c>
      <c r="H45" s="1">
        <v>5400</v>
      </c>
      <c r="I45" s="324">
        <v>30</v>
      </c>
      <c r="J45" s="1">
        <v>5.2242E-4</v>
      </c>
      <c r="K45" s="1">
        <v>9.6176999999999994E-6</v>
      </c>
      <c r="L45" s="328">
        <f t="shared" si="5"/>
        <v>1.8409900080395083</v>
      </c>
      <c r="M45" s="329">
        <f t="shared" si="6"/>
        <v>3.2400355819688E-3</v>
      </c>
      <c r="N45" s="342">
        <f>(1/$J$69)*SQRT(((1-J46/$J$69)*K45)^2+(J46/$J$69)^2*(SUMSQ(K$8:K44)+SUMSQ(K46:K$68)))</f>
        <v>6.1898138499578433E-5</v>
      </c>
      <c r="O45" s="340">
        <f t="shared" si="12"/>
        <v>1.9104153930916454</v>
      </c>
      <c r="P45" s="332">
        <f t="shared" si="1"/>
        <v>0.34162119740655733</v>
      </c>
      <c r="Q45" s="342">
        <f>SQRT(((1-P45)/$J$69)^2*SUMSQ(K$8:K45)+(P45/$J$69)^2*SUMSQ(K46:K$68))</f>
        <v>3.4194265824478804E-3</v>
      </c>
      <c r="R45" s="340">
        <f t="shared" si="13"/>
        <v>1.0009409862171057</v>
      </c>
      <c r="S45" s="343">
        <f t="shared" si="14"/>
        <v>4.9232516273356636E-8</v>
      </c>
      <c r="T45" s="344">
        <f t="shared" si="15"/>
        <v>2.7351397929642593E-10</v>
      </c>
      <c r="U45" s="344">
        <f>IF(P45&lt;=0.85, (1/(3*H45*$J$69))*SQRT( ((1-P45)*(1/SQRT(1-PI()*P45/3)-1) + (1-P44)*(1-1/SQRT(1-PI()*P44/3)))^2*SUMSQ(K$8:K44) + ( (1-P45)*(1/SQRT(1-PI()*P45/3)-1) -P44*(1-1/SQRT(1-PI()*P44/3)) )^2*K45^2 + ( P45*(1-1/SQRT(1-PI()*P45/3)) - P44*(1-1/SQRT(1-PI()*P44/3)) )^2*SUMSQ(K46:K$68) ), (1/(PI()^2*H45*$J$69))*SQRT((1+P44/(1-P44))^2*K45^2+(P44/(1-P44)-P45/(1-P45))^2*SUMSQ(K46:K$68)) )</f>
        <v>1.3288756541168164E-9</v>
      </c>
      <c r="V45" s="345">
        <f t="shared" si="16"/>
        <v>1.3567315139610202E-9</v>
      </c>
      <c r="W45" s="340">
        <f t="shared" si="17"/>
        <v>2.7557630945124942</v>
      </c>
      <c r="X45" s="345">
        <f t="shared" si="18"/>
        <v>2.7134630279220403E-9</v>
      </c>
      <c r="Y45" s="338">
        <f t="shared" si="7"/>
        <v>-16.826711531881315</v>
      </c>
      <c r="Z45" s="346">
        <f t="shared" si="19"/>
        <v>2.7557630945124943E-2</v>
      </c>
      <c r="AA45" s="346">
        <f t="shared" si="20"/>
        <v>0.16377312282861636</v>
      </c>
      <c r="AB45" s="346">
        <f t="shared" si="8"/>
        <v>5.5115261890249886E-2</v>
      </c>
      <c r="AC45" s="336">
        <f t="shared" si="2"/>
        <v>6.353436532070164E-12</v>
      </c>
      <c r="AD45" s="337">
        <f t="shared" si="3"/>
        <v>2.8408149331665292E-13</v>
      </c>
      <c r="AE45" s="308">
        <f t="shared" si="9"/>
        <v>4.4713044961210873</v>
      </c>
      <c r="AF45" s="337">
        <f t="shared" si="10"/>
        <v>5.6816298663330584E-13</v>
      </c>
      <c r="AG45" s="338">
        <f t="shared" si="21"/>
        <v>-25.78202526325958</v>
      </c>
      <c r="AH45" s="339">
        <f t="shared" si="22"/>
        <v>4.4713044961210875E-2</v>
      </c>
      <c r="AI45" s="340">
        <f t="shared" si="23"/>
        <v>0.17342720172153719</v>
      </c>
      <c r="AJ45" s="341">
        <f t="shared" si="11"/>
        <v>8.942608992242175E-2</v>
      </c>
    </row>
    <row r="46" spans="1:36" x14ac:dyDescent="0.2">
      <c r="A46" s="309">
        <v>39</v>
      </c>
      <c r="B46" s="309">
        <v>92.5833333333333</v>
      </c>
      <c r="C46" s="1">
        <v>425.01</v>
      </c>
      <c r="D46" s="347">
        <v>2</v>
      </c>
      <c r="E46" s="326">
        <f t="shared" si="4"/>
        <v>14.323364271800161</v>
      </c>
      <c r="F46" s="327">
        <f t="shared" si="0"/>
        <v>4.3487621523375146E-2</v>
      </c>
      <c r="G46" s="309">
        <v>9.1666666666666696</v>
      </c>
      <c r="H46" s="1">
        <v>5400</v>
      </c>
      <c r="I46" s="324">
        <v>30</v>
      </c>
      <c r="J46" s="1">
        <v>3.2058999999999999E-4</v>
      </c>
      <c r="K46" s="1">
        <v>7.5593999999999991E-6</v>
      </c>
      <c r="L46" s="328">
        <f t="shared" si="5"/>
        <v>2.3579650020275116</v>
      </c>
      <c r="M46" s="329">
        <f t="shared" si="6"/>
        <v>1.9882910440323447E-3</v>
      </c>
      <c r="N46" s="342">
        <f>(1/$J$69)*SQRT(((1-J47/$J$69)*K46)^2+(J47/$J$69)^2*(SUMSQ(K$8:K45)+SUMSQ(K47:K$68)))</f>
        <v>4.7318195557970604E-5</v>
      </c>
      <c r="O46" s="340">
        <f t="shared" si="12"/>
        <v>2.3798425134987857</v>
      </c>
      <c r="P46" s="332">
        <f t="shared" si="1"/>
        <v>0.3436094884505897</v>
      </c>
      <c r="Q46" s="342">
        <f>SQRT(((1-P46)/$J$69)^2*SUMSQ(K$8:K46)+(P46/$J$69)^2*SUMSQ(K47:K$68))</f>
        <v>3.4281263128499756E-3</v>
      </c>
      <c r="R46" s="340">
        <f t="shared" si="13"/>
        <v>0.99768092211543602</v>
      </c>
      <c r="S46" s="343">
        <f t="shared" si="14"/>
        <v>3.0538247820608108E-8</v>
      </c>
      <c r="T46" s="344">
        <f t="shared" si="15"/>
        <v>1.6965693233671175E-10</v>
      </c>
      <c r="U46" s="344">
        <f>IF(P46&lt;=0.85, (1/(3*H46*$J$69))*SQRT( ((1-P46)*(1/SQRT(1-PI()*P46/3)-1) + (1-P45)*(1-1/SQRT(1-PI()*P45/3)))^2*SUMSQ(K$8:K45) + ( (1-P46)*(1/SQRT(1-PI()*P46/3)-1) -P45*(1-1/SQRT(1-PI()*P45/3)) )^2*K46^2 + ( P46*(1-1/SQRT(1-PI()*P46/3)) - P45*(1-1/SQRT(1-PI()*P45/3)) )^2*SUMSQ(K47:K$68) ), (1/(PI()^2*H46*$J$69))*SQRT((1+P45/(1-P45))^2*K46^2+(P45/(1-P45)-P46/(1-P46))^2*SUMSQ(K47:K$68)) )</f>
        <v>9.3937460681791983E-10</v>
      </c>
      <c r="V46" s="345">
        <f t="shared" si="16"/>
        <v>9.5457222179582887E-10</v>
      </c>
      <c r="W46" s="340">
        <f t="shared" si="17"/>
        <v>3.1258251206922729</v>
      </c>
      <c r="X46" s="345">
        <f t="shared" si="18"/>
        <v>1.9091444435916577E-9</v>
      </c>
      <c r="Y46" s="338">
        <f t="shared" si="7"/>
        <v>-17.304285912062863</v>
      </c>
      <c r="Z46" s="346">
        <f t="shared" si="19"/>
        <v>3.125825120692273E-2</v>
      </c>
      <c r="AA46" s="346">
        <f t="shared" si="20"/>
        <v>0.18063878143120901</v>
      </c>
      <c r="AB46" s="346">
        <f t="shared" si="8"/>
        <v>6.2516502413845459E-2</v>
      </c>
      <c r="AC46" s="336">
        <f t="shared" si="2"/>
        <v>3.9409486659503482E-12</v>
      </c>
      <c r="AD46" s="337">
        <f t="shared" si="3"/>
        <v>1.8555598601629688E-13</v>
      </c>
      <c r="AE46" s="308">
        <f t="shared" si="9"/>
        <v>4.7084091102097778</v>
      </c>
      <c r="AF46" s="337">
        <f t="shared" si="10"/>
        <v>3.7111197203259376E-13</v>
      </c>
      <c r="AG46" s="338">
        <f t="shared" si="21"/>
        <v>-26.259599643441128</v>
      </c>
      <c r="AH46" s="339">
        <f t="shared" si="22"/>
        <v>4.7084091102097776E-2</v>
      </c>
      <c r="AI46" s="340">
        <f t="shared" si="23"/>
        <v>0.17930239509138132</v>
      </c>
      <c r="AJ46" s="341">
        <f t="shared" si="11"/>
        <v>9.4168182204195552E-2</v>
      </c>
    </row>
    <row r="47" spans="1:36" x14ac:dyDescent="0.2">
      <c r="A47" s="309">
        <v>40</v>
      </c>
      <c r="B47" s="309">
        <v>97.0833333333333</v>
      </c>
      <c r="C47" s="1">
        <v>405.01</v>
      </c>
      <c r="D47" s="347">
        <v>2</v>
      </c>
      <c r="E47" s="326">
        <f t="shared" si="4"/>
        <v>14.745782706146043</v>
      </c>
      <c r="F47" s="327">
        <f t="shared" si="0"/>
        <v>4.3232248174852078E-2</v>
      </c>
      <c r="G47" s="309">
        <v>9.6666666666666696</v>
      </c>
      <c r="H47" s="1">
        <v>5400</v>
      </c>
      <c r="I47" s="324">
        <v>30</v>
      </c>
      <c r="J47" s="1">
        <v>1.2598999999999998E-4</v>
      </c>
      <c r="K47" s="1">
        <v>8.0981999999999998E-6</v>
      </c>
      <c r="L47" s="328">
        <f t="shared" si="5"/>
        <v>6.4276529883324081</v>
      </c>
      <c r="M47" s="329">
        <f t="shared" si="6"/>
        <v>7.8138678261216845E-4</v>
      </c>
      <c r="N47" s="342">
        <f>(1/$J$69)*SQRT(((1-J48/$J$69)*K47)^2+(J48/$J$69)^2*(SUMSQ(K$8:K46)+SUMSQ(K48:K$68)))</f>
        <v>5.0688051943690675E-5</v>
      </c>
      <c r="O47" s="340">
        <f t="shared" si="12"/>
        <v>6.4869349049187912</v>
      </c>
      <c r="P47" s="332">
        <f t="shared" si="1"/>
        <v>0.34439087523320189</v>
      </c>
      <c r="Q47" s="342">
        <f>SQRT(((1-P47)/$J$69)^2*SUMSQ(K$8:K47)+(P47/$J$69)^2*SUMSQ(K48:K$68))</f>
        <v>3.4316366751571533E-3</v>
      </c>
      <c r="R47" s="340">
        <f t="shared" si="13"/>
        <v>0.99643658468983665</v>
      </c>
      <c r="S47" s="343">
        <f t="shared" si="14"/>
        <v>1.2069567510736837E-8</v>
      </c>
      <c r="T47" s="344">
        <f t="shared" si="15"/>
        <v>6.7053152837426848E-11</v>
      </c>
      <c r="U47" s="344">
        <f>IF(P47&lt;=0.85, (1/(3*H47*$J$69))*SQRT( ((1-P47)*(1/SQRT(1-PI()*P47/3)-1) + (1-P46)*(1-1/SQRT(1-PI()*P46/3)))^2*SUMSQ(K$8:K46) + ( (1-P47)*(1/SQRT(1-PI()*P47/3)-1) -P46*(1-1/SQRT(1-PI()*P46/3)) )^2*K47^2 + ( P47*(1-1/SQRT(1-PI()*P47/3)) - P46*(1-1/SQRT(1-PI()*P46/3)) )^2*SUMSQ(K48:K$68) ), (1/(PI()^2*H47*$J$69))*SQRT((1+P46/(1-P46))^2*K47^2+(P46/(1-P46)-P47/(1-P47))^2*SUMSQ(K48:K$68)) )</f>
        <v>8.1149045655381847E-10</v>
      </c>
      <c r="V47" s="345">
        <f t="shared" si="16"/>
        <v>8.1425603245131938E-10</v>
      </c>
      <c r="W47" s="340">
        <f t="shared" si="17"/>
        <v>6.746356335692842</v>
      </c>
      <c r="X47" s="345">
        <f t="shared" si="18"/>
        <v>1.6285120649026388E-9</v>
      </c>
      <c r="Y47" s="338">
        <f t="shared" si="7"/>
        <v>-18.232578634232311</v>
      </c>
      <c r="Z47" s="346">
        <f t="shared" si="19"/>
        <v>6.7463563356928422E-2</v>
      </c>
      <c r="AA47" s="346">
        <f t="shared" si="20"/>
        <v>0.3700165769764634</v>
      </c>
      <c r="AB47" s="346">
        <f t="shared" si="8"/>
        <v>0.13492712671385684</v>
      </c>
      <c r="AC47" s="336">
        <f t="shared" si="2"/>
        <v>1.5575728594335846E-12</v>
      </c>
      <c r="AD47" s="337">
        <f t="shared" si="3"/>
        <v>1.1853084173117066E-13</v>
      </c>
      <c r="AE47" s="308">
        <f t="shared" si="9"/>
        <v>7.6099709245238589</v>
      </c>
      <c r="AF47" s="337">
        <f t="shared" si="10"/>
        <v>2.3706168346234131E-13</v>
      </c>
      <c r="AG47" s="338">
        <f t="shared" si="21"/>
        <v>-27.187892365610576</v>
      </c>
      <c r="AH47" s="339">
        <f t="shared" si="22"/>
        <v>7.6099709245238581E-2</v>
      </c>
      <c r="AI47" s="340">
        <f t="shared" si="23"/>
        <v>0.27990293702021413</v>
      </c>
      <c r="AJ47" s="341">
        <f t="shared" si="11"/>
        <v>0.15219941849047716</v>
      </c>
    </row>
    <row r="48" spans="1:36" x14ac:dyDescent="0.2">
      <c r="A48" s="309">
        <v>41</v>
      </c>
      <c r="B48" s="309">
        <v>101.583333333333</v>
      </c>
      <c r="C48" s="1">
        <v>407.01</v>
      </c>
      <c r="D48" s="347">
        <v>2</v>
      </c>
      <c r="E48" s="326">
        <f t="shared" si="4"/>
        <v>14.702422959303695</v>
      </c>
      <c r="F48" s="327">
        <f t="shared" si="0"/>
        <v>4.1988506328285977E-2</v>
      </c>
      <c r="G48" s="309">
        <v>10.1666666666667</v>
      </c>
      <c r="H48" s="1">
        <v>5400</v>
      </c>
      <c r="I48" s="324">
        <v>30</v>
      </c>
      <c r="J48" s="1">
        <v>1.3497000000000002E-4</v>
      </c>
      <c r="K48" s="1">
        <v>6.4362000000000003E-6</v>
      </c>
      <c r="L48" s="328">
        <f t="shared" si="5"/>
        <v>4.7686152478328507</v>
      </c>
      <c r="M48" s="329">
        <f t="shared" si="6"/>
        <v>8.370805147167585E-4</v>
      </c>
      <c r="N48" s="342">
        <f>(1/$J$69)*SQRT(((1-J49/$J$69)*K48)^2+(J49/$J$69)^2*(SUMSQ(K$8:K47)+SUMSQ(K49:K$68)))</f>
        <v>4.1447753037653499E-5</v>
      </c>
      <c r="O48" s="340">
        <f t="shared" si="12"/>
        <v>4.9514655172302158</v>
      </c>
      <c r="P48" s="332">
        <f t="shared" si="1"/>
        <v>0.34522795574791865</v>
      </c>
      <c r="Q48" s="342">
        <f>SQRT(((1-P48)/$J$69)^2*SUMSQ(K$8:K48)+(P48/$J$69)^2*SUMSQ(K49:K$68))</f>
        <v>3.4353563694051055E-3</v>
      </c>
      <c r="R48" s="340">
        <f t="shared" si="13"/>
        <v>0.99509796707007181</v>
      </c>
      <c r="S48" s="343">
        <f t="shared" si="14"/>
        <v>1.2972660361967098E-8</v>
      </c>
      <c r="T48" s="344">
        <f t="shared" si="15"/>
        <v>7.2070335344261646E-11</v>
      </c>
      <c r="U48" s="344">
        <f>IF(P48&lt;=0.85, (1/(3*H48*$J$69))*SQRT( ((1-P48)*(1/SQRT(1-PI()*P48/3)-1) + (1-P47)*(1-1/SQRT(1-PI()*P47/3)))^2*SUMSQ(K$8:K47) + ( (1-P48)*(1/SQRT(1-PI()*P48/3)-1) -P47*(1-1/SQRT(1-PI()*P47/3)) )^2*K48^2 + ( P48*(1-1/SQRT(1-PI()*P48/3)) - P47*(1-1/SQRT(1-PI()*P47/3)) )^2*SUMSQ(K49:K$68) ), (1/(PI()^2*H48*$J$69))*SQRT((1+P47/(1-P47))^2*K48^2+(P47/(1-P47)-P48/(1-P48))^2*SUMSQ(K49:K$68)) )</f>
        <v>6.695840870266998E-10</v>
      </c>
      <c r="V48" s="345">
        <f t="shared" si="16"/>
        <v>6.734515445345816E-10</v>
      </c>
      <c r="W48" s="340">
        <f t="shared" si="17"/>
        <v>5.1913140847269004</v>
      </c>
      <c r="X48" s="345">
        <f t="shared" si="18"/>
        <v>1.3469030890691632E-9</v>
      </c>
      <c r="Y48" s="338">
        <f t="shared" si="7"/>
        <v>-18.160421743077407</v>
      </c>
      <c r="Z48" s="346">
        <f t="shared" si="19"/>
        <v>5.1913140847269001E-2</v>
      </c>
      <c r="AA48" s="346">
        <f t="shared" si="20"/>
        <v>0.28585867432873818</v>
      </c>
      <c r="AB48" s="346">
        <f t="shared" si="8"/>
        <v>0.103826281694538</v>
      </c>
      <c r="AC48" s="336">
        <f t="shared" si="2"/>
        <v>1.6741166306477091E-12</v>
      </c>
      <c r="AD48" s="337">
        <f t="shared" si="3"/>
        <v>1.0501406240177433E-13</v>
      </c>
      <c r="AE48" s="308">
        <f t="shared" si="9"/>
        <v>6.2728044438065709</v>
      </c>
      <c r="AF48" s="337">
        <f t="shared" si="10"/>
        <v>2.1002812480354866E-13</v>
      </c>
      <c r="AG48" s="338">
        <f t="shared" si="21"/>
        <v>-27.115735474455672</v>
      </c>
      <c r="AH48" s="339">
        <f t="shared" si="22"/>
        <v>6.2728044438065705E-2</v>
      </c>
      <c r="AI48" s="340">
        <f t="shared" si="23"/>
        <v>0.23133447550098188</v>
      </c>
      <c r="AJ48" s="341">
        <f t="shared" si="11"/>
        <v>0.12545608887613141</v>
      </c>
    </row>
    <row r="49" spans="1:36" x14ac:dyDescent="0.2">
      <c r="A49" s="309">
        <v>42</v>
      </c>
      <c r="B49" s="309">
        <v>106.083333333333</v>
      </c>
      <c r="C49" s="1">
        <v>417.01</v>
      </c>
      <c r="D49" s="347">
        <v>2</v>
      </c>
      <c r="E49" s="326">
        <f t="shared" si="4"/>
        <v>14.489393763764925</v>
      </c>
      <c r="F49" s="327">
        <f t="shared" si="0"/>
        <v>4.0797674033869309E-2</v>
      </c>
      <c r="G49" s="309">
        <v>10.6666666666667</v>
      </c>
      <c r="H49" s="1">
        <v>5400</v>
      </c>
      <c r="I49" s="324">
        <v>30</v>
      </c>
      <c r="J49" s="1">
        <v>2.1454000000000002E-4</v>
      </c>
      <c r="K49" s="1">
        <v>9.9476999999999996E-6</v>
      </c>
      <c r="L49" s="328">
        <f t="shared" si="5"/>
        <v>4.6367577141791738</v>
      </c>
      <c r="M49" s="329">
        <f t="shared" si="6"/>
        <v>1.3305716353807021E-3</v>
      </c>
      <c r="N49" s="342">
        <f>(1/$J$69)*SQRT(((1-J50/$J$69)*K49)^2+(J50/$J$69)^2*(SUMSQ(K$8:K48)+SUMSQ(K50:K$68)))</f>
        <v>6.401791505604467E-5</v>
      </c>
      <c r="O49" s="340">
        <f t="shared" si="12"/>
        <v>4.8113091662086962</v>
      </c>
      <c r="P49" s="332">
        <f t="shared" si="1"/>
        <v>0.34655852738329934</v>
      </c>
      <c r="Q49" s="342">
        <f>SQRT(((1-P49)/$J$69)^2*SUMSQ(K$8:K49)+(P49/$J$69)^2*SUMSQ(K50:K$68))</f>
        <v>3.4413463645625755E-3</v>
      </c>
      <c r="R49" s="340">
        <f t="shared" si="13"/>
        <v>0.99300582517664915</v>
      </c>
      <c r="S49" s="343">
        <f t="shared" si="14"/>
        <v>2.0711940413014441E-8</v>
      </c>
      <c r="T49" s="344">
        <f t="shared" si="15"/>
        <v>1.15066335627858E-10</v>
      </c>
      <c r="U49" s="344">
        <f>IF(P49&lt;=0.85, (1/(3*H49*$J$69))*SQRT( ((1-P49)*(1/SQRT(1-PI()*P49/3)-1) + (1-P48)*(1-1/SQRT(1-PI()*P48/3)))^2*SUMSQ(K$8:K48) + ( (1-P49)*(1/SQRT(1-PI()*P49/3)-1) -P48*(1-1/SQRT(1-PI()*P48/3)) )^2*K49^2 + ( P49*(1-1/SQRT(1-PI()*P49/3)) - P48*(1-1/SQRT(1-PI()*P48/3)) )^2*SUMSQ(K50:K$68) ), (1/(PI()^2*H49*$J$69))*SQRT((1+P48/(1-P48))^2*K49^2+(P48/(1-P48)-P49/(1-P49))^2*SUMSQ(K50:K$68)) )</f>
        <v>1.0437722363699119E-9</v>
      </c>
      <c r="V49" s="345">
        <f t="shared" si="16"/>
        <v>1.0500955875592803E-9</v>
      </c>
      <c r="W49" s="340">
        <f t="shared" si="17"/>
        <v>5.0700010072424115</v>
      </c>
      <c r="X49" s="345">
        <f t="shared" si="18"/>
        <v>2.1001911751185605E-9</v>
      </c>
      <c r="Y49" s="338">
        <f t="shared" si="7"/>
        <v>-17.692555471431863</v>
      </c>
      <c r="Z49" s="346">
        <f t="shared" si="19"/>
        <v>5.0700010072424119E-2</v>
      </c>
      <c r="AA49" s="346">
        <f t="shared" si="20"/>
        <v>0.28656126105858104</v>
      </c>
      <c r="AB49" s="346">
        <f t="shared" si="8"/>
        <v>0.10140002014484824</v>
      </c>
      <c r="AC49" s="336">
        <f t="shared" si="2"/>
        <v>2.672867625523348E-12</v>
      </c>
      <c r="AD49" s="337">
        <f t="shared" si="3"/>
        <v>1.6499030522069074E-13</v>
      </c>
      <c r="AE49" s="308">
        <f t="shared" si="9"/>
        <v>6.1727825068922231</v>
      </c>
      <c r="AF49" s="337">
        <f t="shared" si="10"/>
        <v>3.2998061044138149E-13</v>
      </c>
      <c r="AG49" s="338">
        <f t="shared" si="21"/>
        <v>-26.647869202810128</v>
      </c>
      <c r="AH49" s="339">
        <f t="shared" si="22"/>
        <v>6.1727825068922222E-2</v>
      </c>
      <c r="AI49" s="340">
        <f t="shared" si="23"/>
        <v>0.2316426300321707</v>
      </c>
      <c r="AJ49" s="341">
        <f t="shared" si="11"/>
        <v>0.12345565013784444</v>
      </c>
    </row>
    <row r="50" spans="1:36" x14ac:dyDescent="0.2">
      <c r="A50" s="309">
        <v>43</v>
      </c>
      <c r="B50" s="309">
        <v>110.583333333333</v>
      </c>
      <c r="C50" s="1">
        <v>427.01</v>
      </c>
      <c r="D50" s="347">
        <v>2</v>
      </c>
      <c r="E50" s="326">
        <f t="shared" si="4"/>
        <v>14.282449725776965</v>
      </c>
      <c r="F50" s="327">
        <f t="shared" si="0"/>
        <v>3.9656792226923553E-2</v>
      </c>
      <c r="G50" s="309">
        <v>11.1666666666667</v>
      </c>
      <c r="H50" s="1">
        <v>5400</v>
      </c>
      <c r="I50" s="324">
        <v>30</v>
      </c>
      <c r="J50" s="1">
        <v>3.3158999999999999E-4</v>
      </c>
      <c r="K50" s="1">
        <v>1.5670199999999998E-5</v>
      </c>
      <c r="L50" s="328">
        <f t="shared" si="5"/>
        <v>4.7257758074730836</v>
      </c>
      <c r="M50" s="329">
        <f t="shared" si="6"/>
        <v>2.0565127648731565E-3</v>
      </c>
      <c r="N50" s="342">
        <f>(1/$J$69)*SQRT(((1-J51/$J$69)*K50)^2+(J51/$J$69)^2*(SUMSQ(K$8:K49)+SUMSQ(K51:K$68)))</f>
        <v>1.0073390780474664E-4</v>
      </c>
      <c r="O50" s="340">
        <f t="shared" si="12"/>
        <v>4.8982875052059205</v>
      </c>
      <c r="P50" s="332">
        <f t="shared" si="1"/>
        <v>0.34861504014817252</v>
      </c>
      <c r="Q50" s="342">
        <f>SQRT(((1-P50)/$J$69)^2*SUMSQ(K$8:K50)+(P50/$J$69)^2*SUMSQ(K51:K$68))</f>
        <v>3.4508078765405981E-3</v>
      </c>
      <c r="R50" s="340">
        <f t="shared" si="13"/>
        <v>0.98986201945673213</v>
      </c>
      <c r="S50" s="343">
        <f t="shared" si="14"/>
        <v>3.2233584038563004E-8</v>
      </c>
      <c r="T50" s="344">
        <f t="shared" si="15"/>
        <v>1.7907546688090565E-10</v>
      </c>
      <c r="U50" s="344">
        <f>IF(P50&lt;=0.85, (1/(3*H50*$J$69))*SQRT( ((1-P50)*(1/SQRT(1-PI()*P50/3)-1) + (1-P49)*(1-1/SQRT(1-PI()*P49/3)))^2*SUMSQ(K$8:K49) + ( (1-P50)*(1/SQRT(1-PI()*P50/3)-1) -P49*(1-1/SQRT(1-PI()*P49/3)) )^2*K50^2 + ( P50*(1-1/SQRT(1-PI()*P50/3)) - P49*(1-1/SQRT(1-PI()*P49/3)) )^2*SUMSQ(K51:K$68) ), (1/(PI()^2*H50*$J$69))*SQRT((1+P49/(1-P49))^2*K50^2+(P49/(1-P49)-P50/(1-P50))^2*SUMSQ(K51:K$68)) )</f>
        <v>1.6505417519051513E-9</v>
      </c>
      <c r="V50" s="345">
        <f t="shared" si="16"/>
        <v>1.6602277246271792E-9</v>
      </c>
      <c r="W50" s="340">
        <f t="shared" si="17"/>
        <v>5.1506147210963178</v>
      </c>
      <c r="X50" s="345">
        <f t="shared" si="18"/>
        <v>3.3204554492543584E-9</v>
      </c>
      <c r="Y50" s="338">
        <f t="shared" si="7"/>
        <v>-17.250256945360402</v>
      </c>
      <c r="Z50" s="346">
        <f t="shared" si="19"/>
        <v>5.150614721096318E-2</v>
      </c>
      <c r="AA50" s="346">
        <f t="shared" si="20"/>
        <v>0.29858191315124832</v>
      </c>
      <c r="AB50" s="346">
        <f t="shared" si="8"/>
        <v>0.10301229442192636</v>
      </c>
      <c r="AC50" s="336">
        <f t="shared" si="2"/>
        <v>4.1597311267429398E-12</v>
      </c>
      <c r="AD50" s="337">
        <f t="shared" si="3"/>
        <v>2.5953244112358084E-13</v>
      </c>
      <c r="AE50" s="308">
        <f t="shared" si="9"/>
        <v>6.2391638597755756</v>
      </c>
      <c r="AF50" s="337">
        <f t="shared" si="10"/>
        <v>5.1906488224716169E-13</v>
      </c>
      <c r="AG50" s="338">
        <f t="shared" si="21"/>
        <v>-26.205570676738663</v>
      </c>
      <c r="AH50" s="339">
        <f t="shared" si="22"/>
        <v>6.2391638597755754E-2</v>
      </c>
      <c r="AI50" s="340">
        <f t="shared" si="23"/>
        <v>0.23808540316634891</v>
      </c>
      <c r="AJ50" s="341">
        <f t="shared" si="11"/>
        <v>0.12478327719551151</v>
      </c>
    </row>
    <row r="51" spans="1:36" x14ac:dyDescent="0.2">
      <c r="A51" s="309">
        <v>44</v>
      </c>
      <c r="B51" s="309">
        <v>115.083333333333</v>
      </c>
      <c r="C51" s="1">
        <v>437.01</v>
      </c>
      <c r="D51" s="347">
        <v>2</v>
      </c>
      <c r="E51" s="326">
        <f t="shared" si="4"/>
        <v>14.081333783936016</v>
      </c>
      <c r="F51" s="327">
        <f t="shared" si="0"/>
        <v>3.8563105851073309E-2</v>
      </c>
      <c r="G51" s="309">
        <v>11.6666666666667</v>
      </c>
      <c r="H51" s="1">
        <v>5400</v>
      </c>
      <c r="I51" s="324">
        <v>30</v>
      </c>
      <c r="J51" s="1">
        <v>5.2234000000000004E-4</v>
      </c>
      <c r="K51" s="1">
        <v>2.4433200000000002E-5</v>
      </c>
      <c r="L51" s="328">
        <f t="shared" si="5"/>
        <v>4.6776429145767118</v>
      </c>
      <c r="M51" s="329">
        <f t="shared" si="6"/>
        <v>3.239539423999049E-3</v>
      </c>
      <c r="N51" s="342">
        <f>(1/$J$69)*SQRT(((1-J52/$J$69)*K51)^2+(J52/$J$69)^2*(SUMSQ(K$8:K50)+SUMSQ(K52:K$68)))</f>
        <v>1.5680067590334901E-4</v>
      </c>
      <c r="O51" s="340">
        <f t="shared" si="12"/>
        <v>4.8402150855687518</v>
      </c>
      <c r="P51" s="332">
        <f t="shared" si="1"/>
        <v>0.35185457957217159</v>
      </c>
      <c r="Q51" s="342">
        <f>SQRT(((1-P51)/$J$69)^2*SUMSQ(K$8:K51)+(P51/$J$69)^2*SUMSQ(K52:K$68))</f>
        <v>3.4661626492959586E-3</v>
      </c>
      <c r="R51" s="340">
        <f t="shared" si="13"/>
        <v>0.98511227380088351</v>
      </c>
      <c r="S51" s="343">
        <f t="shared" si="14"/>
        <v>5.1324792417904825E-8</v>
      </c>
      <c r="T51" s="344">
        <f t="shared" si="15"/>
        <v>2.8513773565502696E-10</v>
      </c>
      <c r="U51" s="344">
        <f>IF(P51&lt;=0.85, (1/(3*H51*$J$69))*SQRT( ((1-P51)*(1/SQRT(1-PI()*P51/3)-1) + (1-P50)*(1-1/SQRT(1-PI()*P50/3)))^2*SUMSQ(K$8:K50) + ( (1-P51)*(1/SQRT(1-PI()*P51/3)-1) -P50*(1-1/SQRT(1-PI()*P50/3)) )^2*K51^2 + ( P51*(1-1/SQRT(1-PI()*P51/3)) - P50*(1-1/SQRT(1-PI()*P50/3)) )^2*SUMSQ(K52:K$68) ), (1/(PI()^2*H51*$J$69))*SQRT((1+P50/(1-P50))^2*K51^2+(P50/(1-P50)-P51/(1-P51))^2*SUMSQ(K52:K$68)) )</f>
        <v>2.6046099787487074E-9</v>
      </c>
      <c r="V51" s="345">
        <f t="shared" si="16"/>
        <v>2.6201711145823699E-9</v>
      </c>
      <c r="W51" s="340">
        <f t="shared" si="17"/>
        <v>5.1050788345094498</v>
      </c>
      <c r="X51" s="345">
        <f t="shared" si="18"/>
        <v>5.2403422291647398E-9</v>
      </c>
      <c r="Y51" s="338">
        <f t="shared" si="7"/>
        <v>-16.78509191851321</v>
      </c>
      <c r="Z51" s="346">
        <f t="shared" si="19"/>
        <v>5.1050788345094494E-2</v>
      </c>
      <c r="AA51" s="346">
        <f t="shared" si="20"/>
        <v>0.30414363289120716</v>
      </c>
      <c r="AB51" s="346">
        <f t="shared" si="8"/>
        <v>0.10210157669018899</v>
      </c>
      <c r="AC51" s="336">
        <f t="shared" si="2"/>
        <v>6.6234439316136504E-12</v>
      </c>
      <c r="AD51" s="337">
        <f t="shared" si="3"/>
        <v>4.1076121309048261E-13</v>
      </c>
      <c r="AE51" s="308">
        <f t="shared" si="9"/>
        <v>6.2016258812114691</v>
      </c>
      <c r="AF51" s="337">
        <f t="shared" si="10"/>
        <v>8.2152242618096522E-13</v>
      </c>
      <c r="AG51" s="338">
        <f t="shared" si="21"/>
        <v>-25.740405649891475</v>
      </c>
      <c r="AH51" s="339">
        <f t="shared" si="22"/>
        <v>6.2016258812114686E-2</v>
      </c>
      <c r="AI51" s="340">
        <f t="shared" si="23"/>
        <v>0.24092960948490783</v>
      </c>
      <c r="AJ51" s="341">
        <f t="shared" si="11"/>
        <v>0.12403251762422937</v>
      </c>
    </row>
    <row r="52" spans="1:36" x14ac:dyDescent="0.2">
      <c r="A52" s="309">
        <v>45</v>
      </c>
      <c r="B52" s="309">
        <v>119.583333333333</v>
      </c>
      <c r="C52" s="1">
        <v>447.01</v>
      </c>
      <c r="D52" s="347">
        <v>2</v>
      </c>
      <c r="E52" s="326">
        <f t="shared" si="4"/>
        <v>13.885803154854477</v>
      </c>
      <c r="F52" s="327">
        <f t="shared" si="0"/>
        <v>3.751507478801322E-2</v>
      </c>
      <c r="G52" s="309">
        <v>12.1666666666667</v>
      </c>
      <c r="H52" s="1">
        <v>5400</v>
      </c>
      <c r="I52" s="324">
        <v>30</v>
      </c>
      <c r="J52" s="1">
        <v>8.1444000000000004E-4</v>
      </c>
      <c r="K52" s="1">
        <v>3.7502699999999996E-5</v>
      </c>
      <c r="L52" s="328">
        <f t="shared" si="5"/>
        <v>4.6047222631501388</v>
      </c>
      <c r="M52" s="329">
        <f t="shared" si="6"/>
        <v>5.0511362110536914E-3</v>
      </c>
      <c r="N52" s="342">
        <f>(1/$J$69)*SQRT(((1-J53/$J$69)*K52)^2+(J53/$J$69)^2*(SUMSQ(K$8:K51)+SUMSQ(K53:K$68)))</f>
        <v>2.4006642579942904E-4</v>
      </c>
      <c r="O52" s="340">
        <f t="shared" si="12"/>
        <v>4.7527212842543802</v>
      </c>
      <c r="P52" s="332">
        <f t="shared" si="1"/>
        <v>0.35690571578322527</v>
      </c>
      <c r="Q52" s="342">
        <f>SQRT(((1-P52)/$J$69)^2*SUMSQ(K$8:K52)+(P52/$J$69)^2*SUMSQ(K53:K$68))</f>
        <v>3.4910705450077787E-3</v>
      </c>
      <c r="R52" s="340">
        <f t="shared" si="13"/>
        <v>0.97814923959585987</v>
      </c>
      <c r="S52" s="343">
        <f t="shared" si="14"/>
        <v>8.1376841767759366E-8</v>
      </c>
      <c r="T52" s="344">
        <f t="shared" si="15"/>
        <v>4.5209356537644131E-10</v>
      </c>
      <c r="U52" s="344">
        <f>IF(P52&lt;=0.85, (1/(3*H52*$J$69))*SQRT( ((1-P52)*(1/SQRT(1-PI()*P52/3)-1) + (1-P51)*(1-1/SQRT(1-PI()*P51/3)))^2*SUMSQ(K$8:K51) + ( (1-P52)*(1/SQRT(1-PI()*P52/3)-1) -P51*(1-1/SQRT(1-PI()*P51/3)) )^2*K52^2 + ( P52*(1-1/SQRT(1-PI()*P52/3)) - P51*(1-1/SQRT(1-PI()*P51/3)) )^2*SUMSQ(K53:K$68) ), (1/(PI()^2*H52*$J$69))*SQRT((1+P51/(1-P51))^2*K52^2+(P51/(1-P51)-P52/(1-P52))^2*SUMSQ(K53:K$68)) )</f>
        <v>4.0731964005771943E-9</v>
      </c>
      <c r="V52" s="345">
        <f t="shared" si="16"/>
        <v>4.0982090612278181E-9</v>
      </c>
      <c r="W52" s="340">
        <f t="shared" si="17"/>
        <v>5.0360876291115595</v>
      </c>
      <c r="X52" s="345">
        <f t="shared" si="18"/>
        <v>8.1964181224556362E-9</v>
      </c>
      <c r="Y52" s="338">
        <f t="shared" si="7"/>
        <v>-16.324175103583059</v>
      </c>
      <c r="Z52" s="346">
        <f t="shared" si="19"/>
        <v>5.0360876291115596E-2</v>
      </c>
      <c r="AA52" s="346">
        <f t="shared" si="20"/>
        <v>0.30850487679504057</v>
      </c>
      <c r="AB52" s="346">
        <f t="shared" si="8"/>
        <v>0.10072175258223119</v>
      </c>
      <c r="AC52" s="336">
        <f t="shared" si="2"/>
        <v>1.050164887939264E-11</v>
      </c>
      <c r="AD52" s="337">
        <f t="shared" si="3"/>
        <v>6.4532194242857113E-13</v>
      </c>
      <c r="AE52" s="308">
        <f t="shared" si="9"/>
        <v>6.1449582807408918</v>
      </c>
      <c r="AF52" s="337">
        <f t="shared" si="10"/>
        <v>1.2906438848571423E-12</v>
      </c>
      <c r="AG52" s="338">
        <f t="shared" si="21"/>
        <v>-25.27948883496132</v>
      </c>
      <c r="AH52" s="339">
        <f t="shared" si="22"/>
        <v>6.144958280740892E-2</v>
      </c>
      <c r="AI52" s="340">
        <f t="shared" si="23"/>
        <v>0.24308079648519104</v>
      </c>
      <c r="AJ52" s="341">
        <f t="shared" si="11"/>
        <v>0.12289916561481784</v>
      </c>
    </row>
    <row r="53" spans="1:36" x14ac:dyDescent="0.2">
      <c r="A53" s="309">
        <v>46</v>
      </c>
      <c r="B53" s="309">
        <v>124.083333333333</v>
      </c>
      <c r="C53" s="1">
        <v>457</v>
      </c>
      <c r="D53" s="347">
        <v>2</v>
      </c>
      <c r="E53" s="326">
        <f t="shared" si="4"/>
        <v>13.695815928233925</v>
      </c>
      <c r="F53" s="327">
        <f t="shared" si="0"/>
        <v>3.6508207371309179E-2</v>
      </c>
      <c r="G53" s="309">
        <v>12.6666666666667</v>
      </c>
      <c r="H53" s="1">
        <v>5400</v>
      </c>
      <c r="I53" s="324">
        <v>30</v>
      </c>
      <c r="J53" s="1">
        <v>1.2500899999999999E-3</v>
      </c>
      <c r="K53" s="1">
        <v>5.6484899999999999E-5</v>
      </c>
      <c r="L53" s="328">
        <f t="shared" si="5"/>
        <v>4.5184666703997314</v>
      </c>
      <c r="M53" s="329">
        <f t="shared" si="6"/>
        <v>7.7530264550809249E-3</v>
      </c>
      <c r="N53" s="342">
        <f>(1/$J$69)*SQRT(((1-J54/$J$69)*K53)^2+(J54/$J$69)^2*(SUMSQ(K$8:K52)+SUMSQ(K54:K$68)))</f>
        <v>3.60242997206951E-4</v>
      </c>
      <c r="O53" s="340">
        <f t="shared" si="12"/>
        <v>4.6464822388277387</v>
      </c>
      <c r="P53" s="332">
        <f t="shared" si="1"/>
        <v>0.36465874223830619</v>
      </c>
      <c r="Q53" s="342">
        <f>SQRT(((1-P53)/$J$69)^2*SUMSQ(K$8:K53)+(P53/$J$69)^2*SUMSQ(K54:K$68))</f>
        <v>3.5312029900518758E-3</v>
      </c>
      <c r="R53" s="340">
        <f t="shared" si="13"/>
        <v>0.96835824321036523</v>
      </c>
      <c r="S53" s="343">
        <f t="shared" si="14"/>
        <v>1.2815045691189553E-7</v>
      </c>
      <c r="T53" s="344">
        <f t="shared" si="15"/>
        <v>7.11946982843864E-10</v>
      </c>
      <c r="U53" s="344">
        <f>IF(P53&lt;=0.85, (1/(3*H53*$J$69))*SQRT( ((1-P53)*(1/SQRT(1-PI()*P53/3)-1) + (1-P52)*(1-1/SQRT(1-PI()*P52/3)))^2*SUMSQ(K$8:K52) + ( (1-P53)*(1/SQRT(1-PI()*P53/3)-1) -P52*(1-1/SQRT(1-PI()*P52/3)) )^2*K53^2 + ( P53*(1-1/SQRT(1-PI()*P53/3)) - P52*(1-1/SQRT(1-PI()*P52/3)) )^2*SUMSQ(K54:K$68) ), (1/(PI()^2*H53*$J$69))*SQRT((1+P52/(1-P52))^2*K53^2+(P52/(1-P52)-P53/(1-P53))^2*SUMSQ(K54:K$68)) )</f>
        <v>6.3080831338552569E-9</v>
      </c>
      <c r="V53" s="345">
        <f t="shared" si="16"/>
        <v>6.3481321134653174E-9</v>
      </c>
      <c r="W53" s="340">
        <f t="shared" si="17"/>
        <v>4.9536554659572607</v>
      </c>
      <c r="X53" s="345">
        <f t="shared" si="18"/>
        <v>1.2696264226930635E-8</v>
      </c>
      <c r="Y53" s="338">
        <f t="shared" si="7"/>
        <v>-15.870060818696761</v>
      </c>
      <c r="Z53" s="346">
        <f t="shared" si="19"/>
        <v>4.9536554659572608E-2</v>
      </c>
      <c r="AA53" s="346">
        <f t="shared" si="20"/>
        <v>0.31213840466958287</v>
      </c>
      <c r="AB53" s="346">
        <f t="shared" si="8"/>
        <v>9.9073109319145217E-2</v>
      </c>
      <c r="AC53" s="336">
        <f t="shared" si="2"/>
        <v>1.6537765204297353E-11</v>
      </c>
      <c r="AD53" s="337">
        <f t="shared" si="3"/>
        <v>1.0050966925904395E-12</v>
      </c>
      <c r="AE53" s="308">
        <f t="shared" si="9"/>
        <v>6.0775847290978851</v>
      </c>
      <c r="AF53" s="337">
        <f t="shared" si="10"/>
        <v>2.0101933851808791E-12</v>
      </c>
      <c r="AG53" s="338">
        <f t="shared" si="21"/>
        <v>-24.825374550075026</v>
      </c>
      <c r="AH53" s="339">
        <f t="shared" si="22"/>
        <v>6.0775847290978846E-2</v>
      </c>
      <c r="AI53" s="340">
        <f t="shared" si="23"/>
        <v>0.24481341527552167</v>
      </c>
      <c r="AJ53" s="341">
        <f t="shared" si="11"/>
        <v>0.12155169458195769</v>
      </c>
    </row>
    <row r="54" spans="1:36" x14ac:dyDescent="0.2">
      <c r="A54" s="309">
        <v>47</v>
      </c>
      <c r="B54" s="309">
        <v>128.583333333333</v>
      </c>
      <c r="C54" s="1">
        <v>467</v>
      </c>
      <c r="D54" s="347">
        <v>2</v>
      </c>
      <c r="E54" s="326">
        <f t="shared" si="4"/>
        <v>13.510774842937243</v>
      </c>
      <c r="F54" s="327">
        <f t="shared" si="0"/>
        <v>3.5541337598862507E-2</v>
      </c>
      <c r="G54" s="309">
        <v>13.1666666666667</v>
      </c>
      <c r="H54" s="1">
        <v>5400</v>
      </c>
      <c r="I54" s="324">
        <v>30</v>
      </c>
      <c r="J54" s="1">
        <v>1.8828300000000001E-3</v>
      </c>
      <c r="K54" s="1">
        <v>8.0855700000000006E-5</v>
      </c>
      <c r="L54" s="328">
        <f t="shared" si="5"/>
        <v>4.2943707079237106</v>
      </c>
      <c r="M54" s="329">
        <f t="shared" si="6"/>
        <v>1.1677263877336847E-2</v>
      </c>
      <c r="N54" s="342">
        <f>(1/$J$69)*SQRT(((1-J55/$J$69)*K54)^2+(J55/$J$69)^2*(SUMSQ(K$8:K53)+SUMSQ(K55:K$68)))</f>
        <v>5.1320955276179753E-4</v>
      </c>
      <c r="O54" s="340">
        <f t="shared" si="12"/>
        <v>4.3949469512103008</v>
      </c>
      <c r="P54" s="332">
        <f t="shared" si="1"/>
        <v>0.37633600611564305</v>
      </c>
      <c r="Q54" s="342">
        <f>SQRT(((1-P54)/$J$69)^2*SUMSQ(K$8:K54)+(P54/$J$69)^2*SUMSQ(K55:K$68))</f>
        <v>3.5943929377091296E-3</v>
      </c>
      <c r="R54" s="340">
        <f t="shared" si="13"/>
        <v>0.95510205754923716</v>
      </c>
      <c r="S54" s="343">
        <f t="shared" si="14"/>
        <v>2.0058523473116511E-7</v>
      </c>
      <c r="T54" s="344">
        <f t="shared" si="15"/>
        <v>1.1143624151731396E-9</v>
      </c>
      <c r="U54" s="344">
        <f>IF(P54&lt;=0.85, (1/(3*H54*$J$69))*SQRT( ((1-P54)*(1/SQRT(1-PI()*P54/3)-1) + (1-P53)*(1-1/SQRT(1-PI()*P53/3)))^2*SUMSQ(K$8:K53) + ( (1-P54)*(1/SQRT(1-PI()*P54/3)-1) -P53*(1-1/SQRT(1-PI()*P53/3)) )^2*K54^2 + ( P54*(1-1/SQRT(1-PI()*P54/3)) - P53*(1-1/SQRT(1-PI()*P53/3)) )^2*SUMSQ(K55:K$68) ), (1/(PI()^2*H54*$J$69))*SQRT((1+P53/(1-P53))^2*K54^2+(P53/(1-P53)-P54/(1-P54))^2*SUMSQ(K55:K$68)) )</f>
        <v>9.4528964110655214E-9</v>
      </c>
      <c r="V54" s="345">
        <f t="shared" si="16"/>
        <v>9.51835354200956E-9</v>
      </c>
      <c r="W54" s="340">
        <f t="shared" si="17"/>
        <v>4.7452912248334522</v>
      </c>
      <c r="X54" s="345">
        <f t="shared" si="18"/>
        <v>1.903670708401912E-8</v>
      </c>
      <c r="Y54" s="338">
        <f t="shared" si="7"/>
        <v>-15.422026569655188</v>
      </c>
      <c r="Z54" s="346">
        <f t="shared" si="19"/>
        <v>4.7452912248334519E-2</v>
      </c>
      <c r="AA54" s="346">
        <f t="shared" si="20"/>
        <v>0.3076956976698782</v>
      </c>
      <c r="AB54" s="346">
        <f t="shared" si="8"/>
        <v>9.4905824496669039E-2</v>
      </c>
      <c r="AC54" s="336">
        <f t="shared" si="2"/>
        <v>2.5885444307962962E-11</v>
      </c>
      <c r="AD54" s="337">
        <f t="shared" si="3"/>
        <v>1.5295674318601352E-12</v>
      </c>
      <c r="AE54" s="308">
        <f t="shared" si="9"/>
        <v>5.9089865859076829</v>
      </c>
      <c r="AF54" s="337">
        <f t="shared" si="10"/>
        <v>3.0591348637202704E-12</v>
      </c>
      <c r="AG54" s="338">
        <f t="shared" si="21"/>
        <v>-24.377340301033453</v>
      </c>
      <c r="AH54" s="339">
        <f t="shared" si="22"/>
        <v>5.9089865859076829E-2</v>
      </c>
      <c r="AI54" s="340">
        <f t="shared" si="23"/>
        <v>0.24239668942297113</v>
      </c>
      <c r="AJ54" s="341">
        <f t="shared" si="11"/>
        <v>0.11817973171815366</v>
      </c>
    </row>
    <row r="55" spans="1:36" x14ac:dyDescent="0.2">
      <c r="A55" s="309">
        <v>48</v>
      </c>
      <c r="B55" s="309">
        <v>133.083333333333</v>
      </c>
      <c r="C55" s="1">
        <v>477</v>
      </c>
      <c r="D55" s="347">
        <v>2</v>
      </c>
      <c r="E55" s="326">
        <f t="shared" si="4"/>
        <v>13.330667199893355</v>
      </c>
      <c r="F55" s="327">
        <f t="shared" si="0"/>
        <v>3.4612374653394389E-2</v>
      </c>
      <c r="G55" s="309">
        <v>13.6666666666667</v>
      </c>
      <c r="H55" s="1">
        <v>5400</v>
      </c>
      <c r="I55" s="324">
        <v>30</v>
      </c>
      <c r="J55" s="1">
        <v>2.6951900000000001E-3</v>
      </c>
      <c r="K55" s="1">
        <v>1.124367E-4</v>
      </c>
      <c r="L55" s="328">
        <f t="shared" si="5"/>
        <v>4.1717541249410992</v>
      </c>
      <c r="M55" s="329">
        <f t="shared" si="6"/>
        <v>1.6715499981177002E-2</v>
      </c>
      <c r="N55" s="342">
        <f>(1/$J$69)*SQRT(((1-J56/$J$69)*K55)^2+(J56/$J$69)^2*(SUMSQ(K$8:K54)+SUMSQ(K56:K$68)))</f>
        <v>7.0919885324362091E-4</v>
      </c>
      <c r="O55" s="340">
        <f t="shared" si="12"/>
        <v>4.2427618320854048</v>
      </c>
      <c r="P55" s="332">
        <f t="shared" si="1"/>
        <v>0.39305150609682005</v>
      </c>
      <c r="Q55" s="342">
        <f>SQRT(((1-P55)/$J$69)^2*SUMSQ(K$8:K55)+(P55/$J$69)^2*SUMSQ(K56:K$68))</f>
        <v>3.6885354718940067E-3</v>
      </c>
      <c r="R55" s="340">
        <f t="shared" si="13"/>
        <v>0.93843565402479656</v>
      </c>
      <c r="S55" s="343">
        <f t="shared" si="14"/>
        <v>3.0346543261336033E-7</v>
      </c>
      <c r="T55" s="344">
        <f t="shared" si="15"/>
        <v>1.6859190700742232E-9</v>
      </c>
      <c r="U55" s="344">
        <f>IF(P55&lt;=0.85, (1/(3*H55*$J$69))*SQRT( ((1-P55)*(1/SQRT(1-PI()*P55/3)-1) + (1-P54)*(1-1/SQRT(1-PI()*P54/3)))^2*SUMSQ(K$8:K54) + ( (1-P55)*(1/SQRT(1-PI()*P55/3)-1) -P54*(1-1/SQRT(1-PI()*P54/3)) )^2*K55^2 + ( P55*(1-1/SQRT(1-PI()*P55/3)) - P54*(1-1/SQRT(1-PI()*P54/3)) )^2*SUMSQ(K56:K$68) ), (1/(PI()^2*H55*$J$69))*SQRT((1+P54/(1-P54))^2*K55^2+(P54/(1-P54)-P55/(1-P55))^2*SUMSQ(K56:K$68)) )</f>
        <v>1.3938555401939592E-8</v>
      </c>
      <c r="V55" s="345">
        <f t="shared" si="16"/>
        <v>1.4040144223040563E-8</v>
      </c>
      <c r="W55" s="340">
        <f t="shared" si="17"/>
        <v>4.6266041249346674</v>
      </c>
      <c r="X55" s="345">
        <f t="shared" si="18"/>
        <v>2.8080288446081127E-8</v>
      </c>
      <c r="Y55" s="338">
        <f t="shared" si="7"/>
        <v>-15.007998128770845</v>
      </c>
      <c r="Z55" s="346">
        <f t="shared" si="19"/>
        <v>4.6266041249346676E-2</v>
      </c>
      <c r="AA55" s="346">
        <f t="shared" si="20"/>
        <v>0.30827589963949348</v>
      </c>
      <c r="AB55" s="346">
        <f t="shared" si="8"/>
        <v>9.2532082498693352E-2</v>
      </c>
      <c r="AC55" s="336">
        <f t="shared" si="2"/>
        <v>3.9162092692581101E-11</v>
      </c>
      <c r="AD55" s="337">
        <f t="shared" si="3"/>
        <v>2.2769245980094555E-12</v>
      </c>
      <c r="AE55" s="308">
        <f t="shared" si="9"/>
        <v>5.8141034900333555</v>
      </c>
      <c r="AF55" s="337">
        <f t="shared" si="10"/>
        <v>4.5538491960189109E-12</v>
      </c>
      <c r="AG55" s="338">
        <f t="shared" si="21"/>
        <v>-23.963311860149108</v>
      </c>
      <c r="AH55" s="339">
        <f t="shared" si="22"/>
        <v>5.8141034900333552E-2</v>
      </c>
      <c r="AI55" s="340">
        <f t="shared" si="23"/>
        <v>0.2426252065642974</v>
      </c>
      <c r="AJ55" s="341">
        <f t="shared" si="11"/>
        <v>0.1162820698006671</v>
      </c>
    </row>
    <row r="56" spans="1:36" x14ac:dyDescent="0.2">
      <c r="A56" s="309">
        <v>49</v>
      </c>
      <c r="B56" s="309">
        <v>137.583333333333</v>
      </c>
      <c r="C56" s="1">
        <v>487</v>
      </c>
      <c r="D56" s="347">
        <v>2</v>
      </c>
      <c r="E56" s="326">
        <f t="shared" si="4"/>
        <v>13.155298296388871</v>
      </c>
      <c r="F56" s="327">
        <f t="shared" si="0"/>
        <v>3.3719362571361711E-2</v>
      </c>
      <c r="G56" s="309">
        <v>14.1666666666667</v>
      </c>
      <c r="H56" s="1">
        <v>5400</v>
      </c>
      <c r="I56" s="324">
        <v>30</v>
      </c>
      <c r="J56" s="1">
        <v>3.7478899999999998E-3</v>
      </c>
      <c r="K56" s="1">
        <v>1.500912E-4</v>
      </c>
      <c r="L56" s="328">
        <f t="shared" si="5"/>
        <v>4.004685302930449</v>
      </c>
      <c r="M56" s="329">
        <f t="shared" si="6"/>
        <v>2.3244318665642673E-2</v>
      </c>
      <c r="N56" s="342">
        <f>(1/$J$69)*SQRT(((1-J57/$J$69)*K56)^2+(J57/$J$69)^2*(SUMSQ(K$8:K55)+SUMSQ(K57:K$68)))</f>
        <v>9.3955412531848074E-4</v>
      </c>
      <c r="O56" s="340">
        <f t="shared" si="12"/>
        <v>4.042080728772798</v>
      </c>
      <c r="P56" s="332">
        <f t="shared" si="1"/>
        <v>0.41629582476246274</v>
      </c>
      <c r="Q56" s="342">
        <f>SQRT(((1-P56)/$J$69)^2*SUMSQ(K$8:K56)+(P56/$J$69)^2*SUMSQ(K57:K$68))</f>
        <v>3.8215317372008689E-3</v>
      </c>
      <c r="R56" s="340">
        <f t="shared" si="13"/>
        <v>0.91798464214274178</v>
      </c>
      <c r="S56" s="343">
        <f t="shared" si="14"/>
        <v>4.5545939576034961E-7</v>
      </c>
      <c r="T56" s="344">
        <f t="shared" si="15"/>
        <v>2.5303299764463864E-9</v>
      </c>
      <c r="U56" s="344">
        <f>IF(P56&lt;=0.85, (1/(3*H56*$J$69))*SQRT( ((1-P56)*(1/SQRT(1-PI()*P56/3)-1) + (1-P55)*(1-1/SQRT(1-PI()*P55/3)))^2*SUMSQ(K$8:K55) + ( (1-P56)*(1/SQRT(1-PI()*P56/3)-1) -P55*(1-1/SQRT(1-PI()*P55/3)) )^2*K56^2 + ( P56*(1-1/SQRT(1-PI()*P56/3)) - P55*(1-1/SQRT(1-PI()*P55/3)) )^2*SUMSQ(K57:K$68) ), (1/(PI()^2*H56*$J$69))*SQRT((1+P55/(1-P55))^2*K56^2+(P55/(1-P55)-P56/(1-P56))^2*SUMSQ(K57:K$68)) )</f>
        <v>2.0180452270730482E-8</v>
      </c>
      <c r="V56" s="345">
        <f t="shared" si="16"/>
        <v>2.0338466600039794E-8</v>
      </c>
      <c r="W56" s="340">
        <f t="shared" si="17"/>
        <v>4.4654840342214266</v>
      </c>
      <c r="X56" s="345">
        <f t="shared" si="18"/>
        <v>4.0676933200079587E-8</v>
      </c>
      <c r="Y56" s="338">
        <f t="shared" si="7"/>
        <v>-14.601959266348555</v>
      </c>
      <c r="Z56" s="346">
        <f t="shared" si="19"/>
        <v>4.4654840342214265E-2</v>
      </c>
      <c r="AA56" s="346">
        <f t="shared" si="20"/>
        <v>0.30581403171781962</v>
      </c>
      <c r="AB56" s="346">
        <f t="shared" si="8"/>
        <v>8.930968068442853E-2</v>
      </c>
      <c r="AC56" s="336">
        <f t="shared" si="2"/>
        <v>5.8776852839114808E-11</v>
      </c>
      <c r="AD56" s="337">
        <f t="shared" si="3"/>
        <v>3.3424800568502875E-12</v>
      </c>
      <c r="AE56" s="308">
        <f t="shared" si="9"/>
        <v>5.6867285255972986</v>
      </c>
      <c r="AF56" s="337">
        <f t="shared" si="10"/>
        <v>6.684960113700575E-12</v>
      </c>
      <c r="AG56" s="338">
        <f t="shared" si="21"/>
        <v>-23.55727299772682</v>
      </c>
      <c r="AH56" s="339">
        <f t="shared" si="22"/>
        <v>5.6867285255972989E-2</v>
      </c>
      <c r="AI56" s="340">
        <f t="shared" si="23"/>
        <v>0.24140011987576174</v>
      </c>
      <c r="AJ56" s="341">
        <f t="shared" si="11"/>
        <v>0.11373457051194598</v>
      </c>
    </row>
    <row r="57" spans="1:36" x14ac:dyDescent="0.2">
      <c r="A57" s="309">
        <v>50</v>
      </c>
      <c r="B57" s="309">
        <v>142.083333333333</v>
      </c>
      <c r="C57" s="1">
        <v>497</v>
      </c>
      <c r="D57" s="347">
        <v>2</v>
      </c>
      <c r="E57" s="326">
        <f t="shared" si="4"/>
        <v>12.98448354216711</v>
      </c>
      <c r="F57" s="327">
        <f t="shared" si="0"/>
        <v>3.2860469938648558E-2</v>
      </c>
      <c r="G57" s="309">
        <v>14.6666666666667</v>
      </c>
      <c r="H57" s="1">
        <v>5400</v>
      </c>
      <c r="I57" s="324">
        <v>30</v>
      </c>
      <c r="J57" s="1">
        <v>5.0030400000000003E-3</v>
      </c>
      <c r="K57" s="1">
        <v>1.9093740000000002E-4</v>
      </c>
      <c r="L57" s="328">
        <f t="shared" si="5"/>
        <v>3.8164276120118967</v>
      </c>
      <c r="M57" s="329">
        <f t="shared" si="6"/>
        <v>3.1028727112310375E-2</v>
      </c>
      <c r="N57" s="342">
        <f>(1/$J$69)*SQRT(((1-J58/$J$69)*K57)^2+(J58/$J$69)^2*(SUMSQ(K$8:K56)+SUMSQ(K58:K$68)))</f>
        <v>1.1852983067399934E-3</v>
      </c>
      <c r="O57" s="340">
        <f t="shared" si="12"/>
        <v>3.8200030006056442</v>
      </c>
      <c r="P57" s="332">
        <f t="shared" si="1"/>
        <v>0.4473245518747731</v>
      </c>
      <c r="Q57" s="342">
        <f>SQRT(((1-P57)/$J$69)^2*SUMSQ(K$8:K57)+(P57/$J$69)^2*SUMSQ(K58:K$68))</f>
        <v>3.9950252693469719E-3</v>
      </c>
      <c r="R57" s="340">
        <f t="shared" si="13"/>
        <v>0.89309322562410243</v>
      </c>
      <c r="S57" s="343">
        <f t="shared" si="14"/>
        <v>6.7275187203781182E-7</v>
      </c>
      <c r="T57" s="344">
        <f t="shared" si="15"/>
        <v>3.7375104002100662E-9</v>
      </c>
      <c r="U57" s="344">
        <f>IF(P57&lt;=0.85, (1/(3*H57*$J$69))*SQRT( ((1-P57)*(1/SQRT(1-PI()*P57/3)-1) + (1-P56)*(1-1/SQRT(1-PI()*P56/3)))^2*SUMSQ(K$8:K56) + ( (1-P57)*(1/SQRT(1-PI()*P57/3)-1) -P56*(1-1/SQRT(1-PI()*P56/3)) )^2*K57^2 + ( P57*(1-1/SQRT(1-PI()*P57/3)) - P56*(1-1/SQRT(1-PI()*P56/3)) )^2*SUMSQ(K58:K$68) ), (1/(PI()^2*H57*$J$69))*SQRT((1+P56/(1-P56))^2*K57^2+(P56/(1-P56)-P57/(1-P57))^2*SUMSQ(K58:K$68)) )</f>
        <v>2.8576753905254408E-8</v>
      </c>
      <c r="V57" s="345">
        <f t="shared" si="16"/>
        <v>2.8820129211250101E-8</v>
      </c>
      <c r="W57" s="340">
        <f t="shared" si="17"/>
        <v>4.2839166131120443</v>
      </c>
      <c r="X57" s="345">
        <f t="shared" si="18"/>
        <v>5.7640258422500201E-8</v>
      </c>
      <c r="Y57" s="338">
        <f t="shared" si="7"/>
        <v>-14.211889264678367</v>
      </c>
      <c r="Z57" s="346">
        <f t="shared" si="19"/>
        <v>4.2839166131120439E-2</v>
      </c>
      <c r="AA57" s="346">
        <f t="shared" si="20"/>
        <v>0.30143188800092258</v>
      </c>
      <c r="AB57" s="346">
        <f t="shared" si="8"/>
        <v>8.5678332262240878E-2</v>
      </c>
      <c r="AC57" s="336">
        <f t="shared" si="2"/>
        <v>8.6818359985730786E-11</v>
      </c>
      <c r="AD57" s="337">
        <f t="shared" si="3"/>
        <v>4.8143324982000275E-12</v>
      </c>
      <c r="AE57" s="308">
        <f t="shared" si="9"/>
        <v>5.5452930681843071</v>
      </c>
      <c r="AF57" s="337">
        <f t="shared" si="10"/>
        <v>9.628664996400055E-12</v>
      </c>
      <c r="AG57" s="338">
        <f t="shared" si="21"/>
        <v>-23.167202996056631</v>
      </c>
      <c r="AH57" s="339">
        <f t="shared" si="22"/>
        <v>5.5452930681843073E-2</v>
      </c>
      <c r="AI57" s="340">
        <f t="shared" si="23"/>
        <v>0.23935962701790936</v>
      </c>
      <c r="AJ57" s="341">
        <f t="shared" si="11"/>
        <v>0.11090586136368615</v>
      </c>
    </row>
    <row r="58" spans="1:36" x14ac:dyDescent="0.2">
      <c r="A58" s="309">
        <v>51</v>
      </c>
      <c r="B58" s="309">
        <v>146.583333333333</v>
      </c>
      <c r="C58" s="1">
        <v>507</v>
      </c>
      <c r="D58" s="347">
        <v>2</v>
      </c>
      <c r="E58" s="326">
        <f t="shared" si="4"/>
        <v>12.818047811318337</v>
      </c>
      <c r="F58" s="327">
        <f t="shared" si="0"/>
        <v>3.2034791341569196E-2</v>
      </c>
      <c r="G58" s="309">
        <v>15.1666666666667</v>
      </c>
      <c r="H58" s="1">
        <v>5400</v>
      </c>
      <c r="I58" s="324">
        <v>30</v>
      </c>
      <c r="J58" s="1">
        <v>6.3645799999999999E-3</v>
      </c>
      <c r="K58" s="1">
        <v>2.2763429999999999E-4</v>
      </c>
      <c r="L58" s="328">
        <f t="shared" si="5"/>
        <v>3.5765800728406272</v>
      </c>
      <c r="M58" s="329">
        <f t="shared" si="6"/>
        <v>3.9472963639001157E-2</v>
      </c>
      <c r="N58" s="342">
        <f>(1/$J$69)*SQRT(((1-J59/$J$69)*K58)^2+(J59/$J$69)^2*(SUMSQ(K$8:K57)+SUMSQ(K59:K$68)))</f>
        <v>1.4023635673992296E-3</v>
      </c>
      <c r="O58" s="340">
        <f t="shared" si="12"/>
        <v>3.5527192237818901</v>
      </c>
      <c r="P58" s="332">
        <f t="shared" si="1"/>
        <v>0.48679751551377426</v>
      </c>
      <c r="Q58" s="342">
        <f>SQRT(((1-P58)/$J$69)^2*SUMSQ(K$8:K58)+(P58/$J$69)^2*SUMSQ(K59:K$68))</f>
        <v>4.2002161654994602E-3</v>
      </c>
      <c r="R58" s="340">
        <f t="shared" si="13"/>
        <v>0.86282613029905908</v>
      </c>
      <c r="S58" s="343">
        <f t="shared" si="14"/>
        <v>9.7303210611067231E-7</v>
      </c>
      <c r="T58" s="344">
        <f t="shared" si="15"/>
        <v>5.4057339228370696E-9</v>
      </c>
      <c r="U58" s="344">
        <f>IF(P58&lt;=0.85, (1/(3*H58*$J$69))*SQRT( ((1-P58)*(1/SQRT(1-PI()*P58/3)-1) + (1-P57)*(1-1/SQRT(1-PI()*P57/3)))^2*SUMSQ(K$8:K57) + ( (1-P58)*(1/SQRT(1-PI()*P58/3)-1) -P57*(1-1/SQRT(1-PI()*P57/3)) )^2*K58^2 + ( P58*(1-1/SQRT(1-PI()*P58/3)) - P57*(1-1/SQRT(1-PI()*P57/3)) )^2*SUMSQ(K59:K$68) ), (1/(PI()^2*H58*$J$69))*SQRT((1+P57/(1-P57))^2*K58^2+(P57/(1-P57)-P58/(1-P58))^2*SUMSQ(K59:K$68)) )</f>
        <v>3.9147117613913341E-8</v>
      </c>
      <c r="V58" s="345">
        <f t="shared" si="16"/>
        <v>3.9518587736938115E-8</v>
      </c>
      <c r="W58" s="340">
        <f t="shared" si="17"/>
        <v>4.061385794853031</v>
      </c>
      <c r="X58" s="345">
        <f t="shared" si="18"/>
        <v>7.903717547387623E-8</v>
      </c>
      <c r="Y58" s="338">
        <f t="shared" si="7"/>
        <v>-13.8428487582743</v>
      </c>
      <c r="Z58" s="346">
        <f t="shared" si="19"/>
        <v>4.0613857948530306E-2</v>
      </c>
      <c r="AA58" s="346">
        <f t="shared" si="20"/>
        <v>0.29339234038986478</v>
      </c>
      <c r="AB58" s="346">
        <f t="shared" si="8"/>
        <v>8.1227715897060612E-2</v>
      </c>
      <c r="AC58" s="336">
        <f t="shared" si="2"/>
        <v>1.2556940408073981E-10</v>
      </c>
      <c r="AD58" s="337">
        <f t="shared" si="3"/>
        <v>6.7496548713894378E-12</v>
      </c>
      <c r="AE58" s="308">
        <f t="shared" si="9"/>
        <v>5.3752384355105169</v>
      </c>
      <c r="AF58" s="337">
        <f t="shared" si="10"/>
        <v>1.3499309742778876E-11</v>
      </c>
      <c r="AG58" s="338">
        <f t="shared" si="21"/>
        <v>-22.798162489652565</v>
      </c>
      <c r="AH58" s="339">
        <f t="shared" si="22"/>
        <v>5.3752384355105168E-2</v>
      </c>
      <c r="AI58" s="340">
        <f t="shared" si="23"/>
        <v>0.23577507344945825</v>
      </c>
      <c r="AJ58" s="341">
        <f t="shared" si="11"/>
        <v>0.10750476871021034</v>
      </c>
    </row>
    <row r="59" spans="1:36" x14ac:dyDescent="0.2">
      <c r="A59" s="309">
        <v>52</v>
      </c>
      <c r="B59" s="309">
        <v>151.083333333333</v>
      </c>
      <c r="C59" s="1">
        <v>516.99</v>
      </c>
      <c r="D59" s="347">
        <v>2</v>
      </c>
      <c r="E59" s="326">
        <f t="shared" si="4"/>
        <v>12.655985015313743</v>
      </c>
      <c r="F59" s="327">
        <f t="shared" si="0"/>
        <v>3.1239065370423976E-2</v>
      </c>
      <c r="G59" s="309">
        <v>15.6666666666667</v>
      </c>
      <c r="H59" s="1">
        <v>5400</v>
      </c>
      <c r="I59" s="324">
        <v>30</v>
      </c>
      <c r="J59" s="1">
        <v>7.5878100000000004E-3</v>
      </c>
      <c r="K59" s="1">
        <v>2.6217659999999997E-4</v>
      </c>
      <c r="L59" s="328">
        <f t="shared" si="5"/>
        <v>3.4552341189355027</v>
      </c>
      <c r="M59" s="329">
        <f t="shared" si="6"/>
        <v>4.7059405055738066E-2</v>
      </c>
      <c r="N59" s="342">
        <f>(1/$J$69)*SQRT(((1-J60/$J$69)*K59)^2+(J60/$J$69)^2*(SUMSQ(K$8:K58)+SUMSQ(K60:K$68)))</f>
        <v>1.6034328405703979E-3</v>
      </c>
      <c r="O59" s="340">
        <f t="shared" si="12"/>
        <v>3.4072526813104869</v>
      </c>
      <c r="P59" s="332">
        <f t="shared" si="1"/>
        <v>0.53385692056951228</v>
      </c>
      <c r="Q59" s="342">
        <f>SQRT(((1-P59)/$J$69)^2*SUMSQ(K$8:K59)+(P59/$J$69)^2*SUMSQ(K60:K$68))</f>
        <v>4.4174012315655441E-3</v>
      </c>
      <c r="R59" s="340">
        <f t="shared" si="13"/>
        <v>0.82745040128975234</v>
      </c>
      <c r="S59" s="343">
        <f t="shared" si="14"/>
        <v>1.3538607112426374E-6</v>
      </c>
      <c r="T59" s="344">
        <f t="shared" si="15"/>
        <v>7.5214483957924307E-9</v>
      </c>
      <c r="U59" s="344">
        <f>IF(P59&lt;=0.85, (1/(3*H59*$J$69))*SQRT( ((1-P59)*(1/SQRT(1-PI()*P59/3)-1) + (1-P58)*(1-1/SQRT(1-PI()*P58/3)))^2*SUMSQ(K$8:K58) + ( (1-P59)*(1/SQRT(1-PI()*P59/3)-1) -P58*(1-1/SQRT(1-PI()*P58/3)) )^2*K59^2 + ( P59*(1-1/SQRT(1-PI()*P59/3)) - P58*(1-1/SQRT(1-PI()*P58/3)) )^2*SUMSQ(K60:K$68) ), (1/(PI()^2*H59*$J$69))*SQRT((1+P58/(1-P58))^2*K59^2+(P58/(1-P58)-P59/(1-P59))^2*SUMSQ(K60:K$68)) )</f>
        <v>5.2881490361818123E-8</v>
      </c>
      <c r="V59" s="345">
        <f t="shared" si="16"/>
        <v>5.3413708061298567E-8</v>
      </c>
      <c r="W59" s="340">
        <f t="shared" si="17"/>
        <v>3.9452882868779708</v>
      </c>
      <c r="X59" s="345">
        <f t="shared" si="18"/>
        <v>1.0682741612259713E-7</v>
      </c>
      <c r="Y59" s="338">
        <f t="shared" si="7"/>
        <v>-13.512550260817111</v>
      </c>
      <c r="Z59" s="346">
        <f t="shared" si="19"/>
        <v>3.945288286877971E-2</v>
      </c>
      <c r="AA59" s="346">
        <f t="shared" si="20"/>
        <v>0.29197214520772463</v>
      </c>
      <c r="AB59" s="346">
        <f t="shared" si="8"/>
        <v>7.8905765737559419E-2</v>
      </c>
      <c r="AC59" s="336">
        <f t="shared" si="2"/>
        <v>1.7471518324157785E-10</v>
      </c>
      <c r="AD59" s="337">
        <f t="shared" si="3"/>
        <v>9.2390527662972379E-12</v>
      </c>
      <c r="AE59" s="308">
        <f t="shared" si="9"/>
        <v>5.2880651783551311</v>
      </c>
      <c r="AF59" s="337">
        <f t="shared" si="10"/>
        <v>1.8478105532594476E-11</v>
      </c>
      <c r="AG59" s="338">
        <f t="shared" si="21"/>
        <v>-22.467863992195376</v>
      </c>
      <c r="AH59" s="339">
        <f t="shared" si="22"/>
        <v>5.2880651783551315E-2</v>
      </c>
      <c r="AI59" s="340">
        <f t="shared" si="23"/>
        <v>0.23536127778733384</v>
      </c>
      <c r="AJ59" s="341">
        <f t="shared" si="11"/>
        <v>0.10576130356710263</v>
      </c>
    </row>
    <row r="60" spans="1:36" x14ac:dyDescent="0.2">
      <c r="A60" s="309">
        <v>53</v>
      </c>
      <c r="B60" s="309">
        <v>155.583333333333</v>
      </c>
      <c r="C60" s="1">
        <v>526.99</v>
      </c>
      <c r="D60" s="347">
        <v>2</v>
      </c>
      <c r="E60" s="326">
        <f t="shared" si="4"/>
        <v>12.497812882745519</v>
      </c>
      <c r="F60" s="327">
        <f t="shared" si="0"/>
        <v>3.0472623398490786E-2</v>
      </c>
      <c r="G60" s="309">
        <v>16.1666666666667</v>
      </c>
      <c r="H60" s="1">
        <v>5400</v>
      </c>
      <c r="I60" s="324">
        <v>30</v>
      </c>
      <c r="J60" s="1">
        <v>8.7392199999999989E-3</v>
      </c>
      <c r="K60" s="1">
        <v>2.7918060000000001E-4</v>
      </c>
      <c r="L60" s="328">
        <f t="shared" si="5"/>
        <v>3.1945711402161758</v>
      </c>
      <c r="M60" s="329">
        <f t="shared" si="6"/>
        <v>5.4200420655130685E-2</v>
      </c>
      <c r="N60" s="342">
        <f>(1/$J$69)*SQRT(((1-J61/$J$69)*K60)^2+(J61/$J$69)^2*(SUMSQ(K$8:K59)+SUMSQ(K61:K$68)))</f>
        <v>1.7012432458691992E-3</v>
      </c>
      <c r="O60" s="340">
        <f t="shared" si="12"/>
        <v>3.1388008161301184</v>
      </c>
      <c r="P60" s="332">
        <f t="shared" si="1"/>
        <v>0.58805734122464293</v>
      </c>
      <c r="Q60" s="342">
        <f>SQRT(((1-P60)/$J$69)^2*SUMSQ(K$8:K60)+(P60/$J$69)^2*SUMSQ(K61:K$68))</f>
        <v>4.6324804519596247E-3</v>
      </c>
      <c r="R60" s="340">
        <f t="shared" si="13"/>
        <v>0.78775998992077512</v>
      </c>
      <c r="S60" s="343">
        <f t="shared" si="14"/>
        <v>1.8662143846957316E-6</v>
      </c>
      <c r="T60" s="344">
        <f t="shared" si="15"/>
        <v>1.0367857692754066E-8</v>
      </c>
      <c r="U60" s="344">
        <f>IF(P60&lt;=0.85, (1/(3*H60*$J$69))*SQRT( ((1-P60)*(1/SQRT(1-PI()*P60/3)-1) + (1-P59)*(1-1/SQRT(1-PI()*P59/3)))^2*SUMSQ(K$8:K59) + ( (1-P60)*(1/SQRT(1-PI()*P60/3)-1) -P59*(1-1/SQRT(1-PI()*P59/3)) )^2*K60^2 + ( P60*(1-1/SQRT(1-PI()*P60/3)) - P59*(1-1/SQRT(1-PI()*P59/3)) )^2*SUMSQ(K61:K$68) ), (1/(PI()^2*H60*$J$69))*SQRT((1+P59/(1-P59))^2*K60^2+(P59/(1-P59)-P60/(1-P60))^2*SUMSQ(K61:K$68)) )</f>
        <v>6.8990856067196771E-8</v>
      </c>
      <c r="V60" s="345">
        <f t="shared" si="16"/>
        <v>6.9765540878157467E-8</v>
      </c>
      <c r="W60" s="340">
        <f t="shared" si="17"/>
        <v>3.7383454682529451</v>
      </c>
      <c r="X60" s="345">
        <f t="shared" si="18"/>
        <v>1.3953108175631493E-7</v>
      </c>
      <c r="Y60" s="338">
        <f t="shared" si="7"/>
        <v>-13.191598572162194</v>
      </c>
      <c r="Z60" s="346">
        <f t="shared" si="19"/>
        <v>3.7383454682529453E-2</v>
      </c>
      <c r="AA60" s="346">
        <f t="shared" si="20"/>
        <v>0.28338835871960621</v>
      </c>
      <c r="AB60" s="346">
        <f t="shared" si="8"/>
        <v>7.4766909365058906E-2</v>
      </c>
      <c r="AC60" s="336">
        <f t="shared" si="2"/>
        <v>2.4083421985923026E-10</v>
      </c>
      <c r="AD60" s="337">
        <f t="shared" si="3"/>
        <v>1.2368088316294175E-11</v>
      </c>
      <c r="AE60" s="308">
        <f t="shared" si="9"/>
        <v>5.1355194969898514</v>
      </c>
      <c r="AF60" s="337">
        <f t="shared" si="10"/>
        <v>2.473617663258835E-11</v>
      </c>
      <c r="AG60" s="338">
        <f t="shared" si="21"/>
        <v>-22.146912303540457</v>
      </c>
      <c r="AH60" s="339">
        <f t="shared" si="22"/>
        <v>5.1355194969898516E-2</v>
      </c>
      <c r="AI60" s="340">
        <f t="shared" si="23"/>
        <v>0.23188422054522137</v>
      </c>
      <c r="AJ60" s="341">
        <f t="shared" si="11"/>
        <v>0.10271038993979703</v>
      </c>
    </row>
    <row r="61" spans="1:36" x14ac:dyDescent="0.2">
      <c r="A61" s="309">
        <v>54</v>
      </c>
      <c r="B61" s="309">
        <v>160.083333333333</v>
      </c>
      <c r="C61" s="1">
        <v>536.99</v>
      </c>
      <c r="D61" s="347">
        <v>2</v>
      </c>
      <c r="E61" s="326">
        <f t="shared" si="4"/>
        <v>12.343545560026662</v>
      </c>
      <c r="F61" s="327">
        <f t="shared" si="0"/>
        <v>2.9734771035540737E-2</v>
      </c>
      <c r="G61" s="309">
        <v>16.6666666666667</v>
      </c>
      <c r="H61" s="1">
        <v>5400</v>
      </c>
      <c r="I61" s="324">
        <v>30</v>
      </c>
      <c r="J61" s="1">
        <v>9.3060199999999999E-3</v>
      </c>
      <c r="K61" s="1">
        <v>2.8951650000000003E-4</v>
      </c>
      <c r="L61" s="328">
        <f t="shared" si="5"/>
        <v>3.1110668148144969</v>
      </c>
      <c r="M61" s="329">
        <f t="shared" si="6"/>
        <v>5.7715699870819058E-2</v>
      </c>
      <c r="N61" s="342">
        <f>(1/$J$69)*SQRT(((1-J62/$J$69)*K61)^2+(J62/$J$69)^2*(SUMSQ(K$8:K60)+SUMSQ(K62:K$68)))</f>
        <v>1.7603179112754676E-3</v>
      </c>
      <c r="O61" s="340">
        <f t="shared" si="12"/>
        <v>3.0499810540554164</v>
      </c>
      <c r="P61" s="332">
        <f t="shared" si="1"/>
        <v>0.64577304109546196</v>
      </c>
      <c r="Q61" s="342">
        <f>SQRT(((1-P61)/$J$69)^2*SUMSQ(K$8:K61)+(P61/$J$69)^2*SUMSQ(K62:K$68))</f>
        <v>4.824790150323134E-3</v>
      </c>
      <c r="R61" s="340">
        <f t="shared" si="13"/>
        <v>0.74713403057807504</v>
      </c>
      <c r="S61" s="343">
        <f t="shared" si="14"/>
        <v>2.4309854962958716E-6</v>
      </c>
      <c r="T61" s="344">
        <f t="shared" si="15"/>
        <v>1.3505474979421512E-8</v>
      </c>
      <c r="U61" s="344">
        <f>IF(P61&lt;=0.85, (1/(3*H61*$J$69))*SQRT( ((1-P61)*(1/SQRT(1-PI()*P61/3)-1) + (1-P60)*(1-1/SQRT(1-PI()*P60/3)))^2*SUMSQ(K$8:K60) + ( (1-P61)*(1/SQRT(1-PI()*P61/3)-1) -P60*(1-1/SQRT(1-PI()*P60/3)) )^2*K61^2 + ( P61*(1-1/SQRT(1-PI()*P61/3)) - P60*(1-1/SQRT(1-PI()*P60/3)) )^2*SUMSQ(K62:K$68) ), (1/(PI()^2*H61*$J$69))*SQRT((1+P60/(1-P60))^2*K61^2+(P60/(1-P60)-P61/(1-P61))^2*SUMSQ(K62:K$68)) )</f>
        <v>8.9072561464179086E-8</v>
      </c>
      <c r="V61" s="345">
        <f t="shared" si="16"/>
        <v>9.0090615827675097E-8</v>
      </c>
      <c r="W61" s="340">
        <f t="shared" si="17"/>
        <v>3.7059297953421564</v>
      </c>
      <c r="X61" s="345">
        <f t="shared" si="18"/>
        <v>1.8018123165535019E-7</v>
      </c>
      <c r="Y61" s="338">
        <f t="shared" si="7"/>
        <v>-12.927213828795402</v>
      </c>
      <c r="Z61" s="346">
        <f t="shared" si="19"/>
        <v>3.7059297953421562E-2</v>
      </c>
      <c r="AA61" s="346">
        <f t="shared" si="20"/>
        <v>0.28667660676325996</v>
      </c>
      <c r="AB61" s="346">
        <f t="shared" si="8"/>
        <v>7.4118595906843124E-2</v>
      </c>
      <c r="AC61" s="336">
        <f t="shared" si="2"/>
        <v>3.1371770590278367E-10</v>
      </c>
      <c r="AD61" s="337">
        <f t="shared" si="3"/>
        <v>1.6037158702123154E-11</v>
      </c>
      <c r="AE61" s="308">
        <f t="shared" si="9"/>
        <v>5.1119711767536717</v>
      </c>
      <c r="AF61" s="337">
        <f t="shared" si="10"/>
        <v>3.2074317404246309E-11</v>
      </c>
      <c r="AG61" s="338">
        <f t="shared" si="21"/>
        <v>-21.882527560173667</v>
      </c>
      <c r="AH61" s="339">
        <f t="shared" si="22"/>
        <v>5.111971176753672E-2</v>
      </c>
      <c r="AI61" s="340">
        <f t="shared" si="23"/>
        <v>0.23360972185212692</v>
      </c>
      <c r="AJ61" s="341">
        <f t="shared" si="11"/>
        <v>0.10223942353507344</v>
      </c>
    </row>
    <row r="62" spans="1:36" x14ac:dyDescent="0.2">
      <c r="A62" s="309">
        <v>55</v>
      </c>
      <c r="B62" s="309">
        <v>164.583333333333</v>
      </c>
      <c r="C62" s="1">
        <v>546.98</v>
      </c>
      <c r="D62" s="347">
        <v>2</v>
      </c>
      <c r="E62" s="326">
        <f t="shared" si="4"/>
        <v>12.193188884689013</v>
      </c>
      <c r="F62" s="327">
        <f t="shared" si="0"/>
        <v>2.8335899887454469E-2</v>
      </c>
      <c r="G62" s="309">
        <v>17.1666666666667</v>
      </c>
      <c r="H62" s="1">
        <v>5400</v>
      </c>
      <c r="I62" s="324">
        <v>30</v>
      </c>
      <c r="J62" s="1">
        <v>9.6505500000000008E-3</v>
      </c>
      <c r="K62" s="1">
        <v>2.7492420000000003E-4</v>
      </c>
      <c r="L62" s="328">
        <f t="shared" si="5"/>
        <v>2.8487930739698775</v>
      </c>
      <c r="M62" s="329">
        <f t="shared" si="6"/>
        <v>5.9852466187299502E-2</v>
      </c>
      <c r="N62" s="342">
        <f>(1/$J$69)*SQRT(((1-J63/$J$69)*K62)^2+(J63/$J$69)^2*(SUMSQ(K$8:K61)+SUMSQ(K63:K$68)))</f>
        <v>1.6768323331152978E-3</v>
      </c>
      <c r="O62" s="340">
        <f t="shared" si="12"/>
        <v>2.8016094238588218</v>
      </c>
      <c r="P62" s="332">
        <f t="shared" si="1"/>
        <v>0.70562550728276152</v>
      </c>
      <c r="Q62" s="342">
        <f>SQRT(((1-P62)/$J$69)^2*SUMSQ(K$8:K62)+(P62/$J$69)^2*SUMSQ(K63:K$68))</f>
        <v>5.0069662690195348E-3</v>
      </c>
      <c r="R62" s="340">
        <f t="shared" si="13"/>
        <v>0.70957841196819427</v>
      </c>
      <c r="S62" s="343">
        <f t="shared" si="14"/>
        <v>3.1476329481394037E-6</v>
      </c>
      <c r="T62" s="344">
        <f t="shared" si="15"/>
        <v>1.7486849711885576E-8</v>
      </c>
      <c r="U62" s="344">
        <f>IF(P62&lt;=0.85, (1/(3*H62*$J$69))*SQRT( ((1-P62)*(1/SQRT(1-PI()*P62/3)-1) + (1-P61)*(1-1/SQRT(1-PI()*P61/3)))^2*SUMSQ(K$8:K61) + ( (1-P62)*(1/SQRT(1-PI()*P62/3)-1) -P61*(1-1/SQRT(1-PI()*P61/3)) )^2*K62^2 + ( P62*(1-1/SQRT(1-PI()*P62/3)) - P61*(1-1/SQRT(1-PI()*P61/3)) )^2*SUMSQ(K63:K$68) ), (1/(PI()^2*H62*$J$69))*SQRT((1+P61/(1-P61))^2*K62^2+(P61/(1-P61)-P62/(1-P62))^2*SUMSQ(K63:K$68)) )</f>
        <v>1.1237999484373401E-7</v>
      </c>
      <c r="V62" s="345">
        <f t="shared" si="16"/>
        <v>1.1373237513533143E-7</v>
      </c>
      <c r="W62" s="340">
        <f t="shared" si="17"/>
        <v>3.6132667629673829</v>
      </c>
      <c r="X62" s="345">
        <f t="shared" si="18"/>
        <v>2.2746475027066287E-7</v>
      </c>
      <c r="Y62" s="338">
        <f t="shared" si="7"/>
        <v>-12.668859832638182</v>
      </c>
      <c r="Z62" s="346">
        <f t="shared" si="19"/>
        <v>3.6132667629673827E-2</v>
      </c>
      <c r="AA62" s="346">
        <f t="shared" si="20"/>
        <v>0.28520852000104185</v>
      </c>
      <c r="AB62" s="346">
        <f t="shared" si="8"/>
        <v>7.2265335259347654E-2</v>
      </c>
      <c r="AC62" s="336">
        <f t="shared" si="2"/>
        <v>4.0620077290421073E-10</v>
      </c>
      <c r="AD62" s="337">
        <f t="shared" si="3"/>
        <v>2.0493636291820522E-11</v>
      </c>
      <c r="AE62" s="308">
        <f t="shared" si="9"/>
        <v>5.0451987437880339</v>
      </c>
      <c r="AF62" s="337">
        <f t="shared" si="10"/>
        <v>4.0987272583641044E-11</v>
      </c>
      <c r="AG62" s="338">
        <f t="shared" si="21"/>
        <v>-21.624173564016445</v>
      </c>
      <c r="AH62" s="339">
        <f t="shared" si="22"/>
        <v>5.0451987437880333E-2</v>
      </c>
      <c r="AI62" s="340">
        <f t="shared" si="23"/>
        <v>0.23331290459966805</v>
      </c>
      <c r="AJ62" s="341">
        <f t="shared" si="11"/>
        <v>0.10090397487576067</v>
      </c>
    </row>
    <row r="63" spans="1:36" x14ac:dyDescent="0.2">
      <c r="A63" s="309">
        <v>56</v>
      </c>
      <c r="B63" s="309">
        <v>169.083333333333</v>
      </c>
      <c r="C63" s="1">
        <v>566.98</v>
      </c>
      <c r="D63" s="347">
        <v>2</v>
      </c>
      <c r="E63" s="326">
        <f t="shared" si="4"/>
        <v>11.90291978622356</v>
      </c>
      <c r="F63" s="327">
        <f t="shared" si="0"/>
        <v>2.7710994185571824E-2</v>
      </c>
      <c r="G63" s="309">
        <v>17.6666666666667</v>
      </c>
      <c r="H63" s="1">
        <v>3600</v>
      </c>
      <c r="I63" s="324">
        <v>30</v>
      </c>
      <c r="J63" s="1">
        <v>9.1641399999999994E-3</v>
      </c>
      <c r="K63" s="1">
        <v>2.6053499999999994E-4</v>
      </c>
      <c r="L63" s="328">
        <f t="shared" si="5"/>
        <v>2.8429836296695594</v>
      </c>
      <c r="M63" s="329">
        <f t="shared" si="6"/>
        <v>5.6835763711465023E-2</v>
      </c>
      <c r="N63" s="342">
        <f>(1/$J$69)*SQRT(((1-J64/$J$69)*K63)^2+(J64/$J$69)^2*(SUMSQ(K$8:K62)+SUMSQ(K64:K$68)))</f>
        <v>1.593949053933668E-3</v>
      </c>
      <c r="O63" s="340">
        <f t="shared" si="12"/>
        <v>2.8044825121477754</v>
      </c>
      <c r="P63" s="332">
        <f t="shared" si="1"/>
        <v>0.76246127099422656</v>
      </c>
      <c r="Q63" s="342">
        <f>SQRT(((1-P63)/$J$69)^2*SUMSQ(K$8:K63)+(P63/$J$69)^2*SUMSQ(K64:K$68))</f>
        <v>5.1659761098300583E-3</v>
      </c>
      <c r="R63" s="340">
        <f t="shared" si="13"/>
        <v>0.67753947726338692</v>
      </c>
      <c r="S63" s="343">
        <f t="shared" si="14"/>
        <v>5.7022983614140237E-6</v>
      </c>
      <c r="T63" s="344">
        <f t="shared" si="15"/>
        <v>4.7519153011783521E-8</v>
      </c>
      <c r="U63" s="344">
        <f>IF(P63&lt;=0.85, (1/(3*H63*$J$69))*SQRT( ((1-P63)*(1/SQRT(1-PI()*P63/3)-1) + (1-P62)*(1-1/SQRT(1-PI()*P62/3)))^2*SUMSQ(K$8:K62) + ( (1-P63)*(1/SQRT(1-PI()*P63/3)-1) -P62*(1-1/SQRT(1-PI()*P62/3)) )^2*K63^2 + ( P63*(1-1/SQRT(1-PI()*P63/3)) - P62*(1-1/SQRT(1-PI()*P62/3)) )^2*SUMSQ(K64:K$68) ), (1/(PI()^2*H63*$J$69))*SQRT((1+P62/(1-P62))^2*K63^2+(P62/(1-P62)-P63/(1-P63))^2*SUMSQ(K64:K$68)) )</f>
        <v>2.1442999729581491E-7</v>
      </c>
      <c r="V63" s="345">
        <f t="shared" si="16"/>
        <v>2.1963217806878956E-7</v>
      </c>
      <c r="W63" s="340">
        <f t="shared" si="17"/>
        <v>3.851643041952761</v>
      </c>
      <c r="X63" s="345">
        <f t="shared" si="18"/>
        <v>4.3926435613757912E-7</v>
      </c>
      <c r="Y63" s="338">
        <f t="shared" si="7"/>
        <v>-12.074641243094925</v>
      </c>
      <c r="Z63" s="346">
        <f t="shared" si="19"/>
        <v>3.8516430419527611E-2</v>
      </c>
      <c r="AA63" s="346">
        <f t="shared" si="20"/>
        <v>0.31898612674354898</v>
      </c>
      <c r="AB63" s="346">
        <f t="shared" si="8"/>
        <v>7.7032860839055223E-2</v>
      </c>
      <c r="AC63" s="336">
        <f t="shared" si="2"/>
        <v>7.358793226211352E-10</v>
      </c>
      <c r="AD63" s="337">
        <f t="shared" si="3"/>
        <v>3.8402388101264394E-11</v>
      </c>
      <c r="AE63" s="308">
        <f t="shared" si="9"/>
        <v>5.2185714315872582</v>
      </c>
      <c r="AF63" s="337">
        <f t="shared" si="10"/>
        <v>7.6804776202528788E-11</v>
      </c>
      <c r="AG63" s="338">
        <f t="shared" si="21"/>
        <v>-21.029954974473188</v>
      </c>
      <c r="AH63" s="339">
        <f t="shared" si="22"/>
        <v>5.2185714315872579E-2</v>
      </c>
      <c r="AI63" s="340">
        <f t="shared" si="23"/>
        <v>0.24814943436263756</v>
      </c>
      <c r="AJ63" s="341">
        <f t="shared" si="11"/>
        <v>0.10437142863174516</v>
      </c>
    </row>
    <row r="64" spans="1:36" x14ac:dyDescent="0.2">
      <c r="A64" s="309">
        <v>57</v>
      </c>
      <c r="B64" s="309">
        <v>173.583333333333</v>
      </c>
      <c r="C64" s="1">
        <v>576.4</v>
      </c>
      <c r="D64" s="347">
        <v>2</v>
      </c>
      <c r="E64" s="326">
        <f t="shared" si="4"/>
        <v>11.770937555176271</v>
      </c>
      <c r="F64" s="327">
        <f t="shared" si="0"/>
        <v>2.717672747423747E-2</v>
      </c>
      <c r="G64" s="309">
        <v>18.1666666666667</v>
      </c>
      <c r="H64" s="1">
        <v>3600</v>
      </c>
      <c r="I64" s="324">
        <v>30</v>
      </c>
      <c r="J64" s="1">
        <v>8.6844999999999995E-3</v>
      </c>
      <c r="K64" s="1">
        <v>2.2882379999999999E-4</v>
      </c>
      <c r="L64" s="328">
        <f t="shared" si="5"/>
        <v>2.634852898842766</v>
      </c>
      <c r="M64" s="329">
        <f t="shared" si="6"/>
        <v>5.3861048603820759E-2</v>
      </c>
      <c r="N64" s="342">
        <f>(1/$J$69)*SQRT(((1-J65/$J$69)*K64)^2+(J65/$J$69)^2*(SUMSQ(K$8:K63)+SUMSQ(K65:K$68)))</f>
        <v>1.4093402288209045E-3</v>
      </c>
      <c r="O64" s="340">
        <f t="shared" si="12"/>
        <v>2.6166223372059072</v>
      </c>
      <c r="P64" s="332">
        <f t="shared" si="1"/>
        <v>0.81632231959804735</v>
      </c>
      <c r="Q64" s="342">
        <f>SQRT(((1-P64)/$J$69)^2*SUMSQ(K$8:K64)+(P64/$J$69)^2*SUMSQ(K65:K$68))</f>
        <v>5.3289131522622794E-3</v>
      </c>
      <c r="R64" s="340">
        <f t="shared" si="13"/>
        <v>0.65279522859134942</v>
      </c>
      <c r="S64" s="343">
        <f t="shared" si="14"/>
        <v>7.0310628298396486E-6</v>
      </c>
      <c r="T64" s="344">
        <f t="shared" si="15"/>
        <v>5.8592190248663741E-8</v>
      </c>
      <c r="U64" s="344">
        <f>IF(P64&lt;=0.85, (1/(3*H64*$J$69))*SQRT( ((1-P64)*(1/SQRT(1-PI()*P64/3)-1) + (1-P63)*(1-1/SQRT(1-PI()*P63/3)))^2*SUMSQ(K$8:K63) + ( (1-P64)*(1/SQRT(1-PI()*P64/3)-1) -P63*(1-1/SQRT(1-PI()*P63/3)) )^2*K64^2 + ( P64*(1-1/SQRT(1-PI()*P64/3)) - P63*(1-1/SQRT(1-PI()*P63/3)) )^2*SUMSQ(K65:K$68) ), (1/(PI()^2*H64*$J$69))*SQRT((1+P63/(1-P63))^2*K64^2+(P63/(1-P63)-P64/(1-P64))^2*SUMSQ(K65:K$68)) )</f>
        <v>2.8270359645460632E-7</v>
      </c>
      <c r="V64" s="345">
        <f t="shared" si="16"/>
        <v>2.8871156576504604E-7</v>
      </c>
      <c r="W64" s="340">
        <f t="shared" si="17"/>
        <v>4.1062293532602441</v>
      </c>
      <c r="X64" s="345">
        <f t="shared" si="18"/>
        <v>5.7742313153009209E-7</v>
      </c>
      <c r="Y64" s="338">
        <f t="shared" si="7"/>
        <v>-11.865172678670032</v>
      </c>
      <c r="Z64" s="346">
        <f t="shared" si="19"/>
        <v>4.1062293532602441E-2</v>
      </c>
      <c r="AA64" s="346">
        <f t="shared" si="20"/>
        <v>0.34607413347148286</v>
      </c>
      <c r="AB64" s="346">
        <f t="shared" si="8"/>
        <v>8.2124587065204882E-2</v>
      </c>
      <c r="AC64" s="336">
        <f t="shared" si="2"/>
        <v>9.0735584576567473E-10</v>
      </c>
      <c r="AD64" s="337">
        <f t="shared" si="3"/>
        <v>4.9080699559650831E-11</v>
      </c>
      <c r="AE64" s="308">
        <f t="shared" si="9"/>
        <v>5.4092007880583992</v>
      </c>
      <c r="AF64" s="337">
        <f t="shared" si="10"/>
        <v>9.8161399119301662E-11</v>
      </c>
      <c r="AG64" s="338">
        <f t="shared" si="21"/>
        <v>-20.820486410048296</v>
      </c>
      <c r="AH64" s="339">
        <f t="shared" si="22"/>
        <v>5.4092007880583992E-2</v>
      </c>
      <c r="AI64" s="340">
        <f t="shared" si="23"/>
        <v>0.25980184523680644</v>
      </c>
      <c r="AJ64" s="341">
        <f t="shared" si="11"/>
        <v>0.10818401576116798</v>
      </c>
    </row>
    <row r="65" spans="1:36" x14ac:dyDescent="0.2">
      <c r="A65" s="309">
        <v>58</v>
      </c>
      <c r="B65" s="309">
        <v>178.083333333333</v>
      </c>
      <c r="C65" s="1">
        <v>584.71</v>
      </c>
      <c r="D65" s="347">
        <v>2</v>
      </c>
      <c r="E65" s="326">
        <f t="shared" si="4"/>
        <v>11.656913715524677</v>
      </c>
      <c r="F65" s="327">
        <f t="shared" si="0"/>
        <v>2.6599998130206332E-2</v>
      </c>
      <c r="G65" s="309">
        <v>18.6666666666667</v>
      </c>
      <c r="H65" s="1">
        <v>3600</v>
      </c>
      <c r="I65" s="324">
        <v>30</v>
      </c>
      <c r="J65" s="1">
        <v>7.62746E-3</v>
      </c>
      <c r="K65" s="1">
        <v>2.0643000000000001E-4</v>
      </c>
      <c r="L65" s="328">
        <f t="shared" si="5"/>
        <v>2.7064055399831664</v>
      </c>
      <c r="M65" s="329">
        <f t="shared" si="6"/>
        <v>4.730531334949608E-2</v>
      </c>
      <c r="N65" s="342">
        <f>(1/$J$69)*SQRT(((1-J66/$J$69)*K65)^2+(J66/$J$69)^2*(SUMSQ(K$8:K64)+SUMSQ(K66:K$68)))</f>
        <v>1.2773698129377037E-3</v>
      </c>
      <c r="O65" s="340">
        <f t="shared" si="12"/>
        <v>2.7002671000197718</v>
      </c>
      <c r="P65" s="332">
        <f t="shared" si="1"/>
        <v>0.86362763294754341</v>
      </c>
      <c r="Q65" s="342">
        <f>SQRT(((1-P65)/$J$69)^2*SUMSQ(K$8:K65)+(P65/$J$69)^2*SUMSQ(K66:K$68))</f>
        <v>5.4757438202336275E-3</v>
      </c>
      <c r="R65" s="340">
        <f t="shared" si="13"/>
        <v>0.63403990462243842</v>
      </c>
      <c r="S65" s="343">
        <f t="shared" si="14"/>
        <v>8.3813262298970916E-6</v>
      </c>
      <c r="T65" s="344">
        <f t="shared" si="15"/>
        <v>6.9844385249142427E-8</v>
      </c>
      <c r="U65" s="344">
        <f>IF(P65&lt;=0.85, (1/(3*H65*$J$69))*SQRT( ((1-P65)*(1/SQRT(1-PI()*P65/3)-1) + (1-P64)*(1-1/SQRT(1-PI()*P64/3)))^2*SUMSQ(K$8:K64) + ( (1-P65)*(1/SQRT(1-PI()*P65/3)-1) -P64*(1-1/SQRT(1-PI()*P64/3)) )^2*K65^2 + ( P65*(1-1/SQRT(1-PI()*P65/3)) - P64*(1-1/SQRT(1-PI()*P64/3)) )^2*SUMSQ(K66:K$68) ), (1/(PI()^2*H65*$J$69))*SQRT((1+P64/(1-P64))^2*K65^2+(P64/(1-P64)-P65/(1-P65))^2*SUMSQ(K66:K$68)) )</f>
        <v>3.8692254274545303E-7</v>
      </c>
      <c r="V65" s="345">
        <f t="shared" si="16"/>
        <v>3.9317590495278008E-7</v>
      </c>
      <c r="W65" s="340">
        <f t="shared" si="17"/>
        <v>4.6910941558422978</v>
      </c>
      <c r="X65" s="345">
        <f t="shared" si="18"/>
        <v>7.8635180990556017E-7</v>
      </c>
      <c r="Y65" s="338">
        <f t="shared" si="7"/>
        <v>-11.689504394668049</v>
      </c>
      <c r="Z65" s="346">
        <f t="shared" si="19"/>
        <v>4.6910941558422979E-2</v>
      </c>
      <c r="AA65" s="346">
        <f t="shared" si="20"/>
        <v>0.40130821611068929</v>
      </c>
      <c r="AB65" s="346">
        <f t="shared" si="8"/>
        <v>9.3821883116845958E-2</v>
      </c>
      <c r="AC65" s="336">
        <f t="shared" si="2"/>
        <v>1.0816067974377276E-9</v>
      </c>
      <c r="AD65" s="337">
        <f t="shared" si="3"/>
        <v>6.3442207090773873E-11</v>
      </c>
      <c r="AE65" s="308">
        <f t="shared" si="9"/>
        <v>5.865551810608558</v>
      </c>
      <c r="AF65" s="337">
        <f t="shared" si="10"/>
        <v>1.2688441418154775E-10</v>
      </c>
      <c r="AG65" s="338">
        <f t="shared" si="21"/>
        <v>-20.644818126046314</v>
      </c>
      <c r="AH65" s="339">
        <f t="shared" si="22"/>
        <v>5.8655518106085588E-2</v>
      </c>
      <c r="AI65" s="340">
        <f t="shared" si="23"/>
        <v>0.2841173884311603</v>
      </c>
      <c r="AJ65" s="341">
        <f t="shared" si="11"/>
        <v>0.11731103621217118</v>
      </c>
    </row>
    <row r="66" spans="1:36" x14ac:dyDescent="0.2">
      <c r="A66" s="309">
        <v>59</v>
      </c>
      <c r="B66" s="309">
        <v>182.583333333333</v>
      </c>
      <c r="C66" s="1">
        <v>593.96</v>
      </c>
      <c r="D66" s="347">
        <v>2</v>
      </c>
      <c r="E66" s="326">
        <f t="shared" si="4"/>
        <v>11.532562189341606</v>
      </c>
      <c r="F66" s="327">
        <f t="shared" si="0"/>
        <v>2.6528970947004262E-2</v>
      </c>
      <c r="G66" s="309">
        <v>19.1666666666667</v>
      </c>
      <c r="H66" s="1">
        <v>3600</v>
      </c>
      <c r="I66" s="324">
        <v>30</v>
      </c>
      <c r="J66" s="1">
        <v>6.881E-3</v>
      </c>
      <c r="K66" s="1">
        <v>1.533138E-4</v>
      </c>
      <c r="L66" s="328">
        <f t="shared" si="5"/>
        <v>2.2280744077895656</v>
      </c>
      <c r="M66" s="329">
        <f>J66/$J$69</f>
        <v>4.2675787373238606E-2</v>
      </c>
      <c r="N66" s="342">
        <f>(1/$J$69)*SQRT(((1-J67/$J$69)*K66)^2+(J67/$J$69)^2*(SUMSQ(K$8:K65)+SUMSQ(K67:K$68)))</f>
        <v>9.5909942565966088E-4</v>
      </c>
      <c r="O66" s="340">
        <f t="shared" si="12"/>
        <v>2.2474088580287068</v>
      </c>
      <c r="P66" s="332">
        <f t="shared" si="1"/>
        <v>0.90630342032078204</v>
      </c>
      <c r="Q66" s="342">
        <f>SQRT(((1-P66)/$J$69)^2*SUMSQ(K$8:K66)+(P66/$J$69)^2*SUMSQ(K67:K$68))</f>
        <v>5.6475730524204494E-3</v>
      </c>
      <c r="R66" s="340">
        <f t="shared" si="13"/>
        <v>0.62314374256929494</v>
      </c>
      <c r="S66" s="343">
        <f t="shared" si="14"/>
        <v>1.0563506013925877E-5</v>
      </c>
      <c r="T66" s="344">
        <f t="shared" si="15"/>
        <v>8.8029216782715647E-8</v>
      </c>
      <c r="U66" s="344">
        <f>IF(P66&lt;=0.85, (1/(3*H66*$J$69))*SQRT( ((1-P66)*(1/SQRT(1-PI()*P66/3)-1) + (1-P65)*(1-1/SQRT(1-PI()*P65/3)))^2*SUMSQ(K$8:K65) + ( (1-P66)*(1/SQRT(1-PI()*P66/3)-1) -P65*(1-1/SQRT(1-PI()*P65/3)) )^2*K66^2 + ( P66*(1-1/SQRT(1-PI()*P66/3)) - P65*(1-1/SQRT(1-PI()*P65/3)) )^2*SUMSQ(K67:K$68) ), (1/(PI()^2*H66*$J$69))*SQRT((1+P65/(1-P65))^2*K66^2+(P65/(1-P65)-P66/(1-P66))^2*SUMSQ(K67:K$68)) )</f>
        <v>6.1512890255323551E-7</v>
      </c>
      <c r="V66" s="345">
        <f t="shared" si="16"/>
        <v>6.2139577546337267E-7</v>
      </c>
      <c r="W66" s="340">
        <f t="shared" si="17"/>
        <v>5.8824766573161051</v>
      </c>
      <c r="X66" s="345">
        <f t="shared" si="18"/>
        <v>1.2427915509267453E-6</v>
      </c>
      <c r="Y66" s="338">
        <f t="shared" si="7"/>
        <v>-11.458105325894421</v>
      </c>
      <c r="Z66" s="346">
        <f t="shared" si="19"/>
        <v>5.8824766573161054E-2</v>
      </c>
      <c r="AA66" s="346">
        <f t="shared" si="20"/>
        <v>0.51338999686293418</v>
      </c>
      <c r="AB66" s="346">
        <f t="shared" si="8"/>
        <v>0.11764953314632211</v>
      </c>
      <c r="AC66" s="336">
        <f t="shared" si="2"/>
        <v>1.3632162256947287E-9</v>
      </c>
      <c r="AD66" s="337">
        <f t="shared" si="3"/>
        <v>9.3459250392520995E-11</v>
      </c>
      <c r="AE66" s="308">
        <f t="shared" si="9"/>
        <v>6.8557906391476413</v>
      </c>
      <c r="AF66" s="337">
        <f t="shared" si="10"/>
        <v>1.8691850078504199E-10</v>
      </c>
      <c r="AG66" s="338">
        <f t="shared" si="21"/>
        <v>-20.413419057272684</v>
      </c>
      <c r="AH66" s="339">
        <f t="shared" si="22"/>
        <v>6.8557906391476409E-2</v>
      </c>
      <c r="AI66" s="340">
        <f t="shared" si="23"/>
        <v>0.33584724929776671</v>
      </c>
      <c r="AJ66" s="341">
        <f t="shared" si="11"/>
        <v>0.13711581278295282</v>
      </c>
    </row>
    <row r="67" spans="1:36" x14ac:dyDescent="0.2">
      <c r="A67" s="309">
        <v>60</v>
      </c>
      <c r="B67" s="309">
        <v>187.083333333333</v>
      </c>
      <c r="C67" s="1">
        <v>595.12</v>
      </c>
      <c r="D67" s="347">
        <v>2</v>
      </c>
      <c r="E67" s="326">
        <f t="shared" si="4"/>
        <v>11.517154802077695</v>
      </c>
      <c r="F67" s="327">
        <f t="shared" si="0"/>
        <v>0.26805726735251134</v>
      </c>
      <c r="G67" s="309">
        <v>19.6666666666667</v>
      </c>
      <c r="H67" s="1">
        <v>3600</v>
      </c>
      <c r="I67" s="324">
        <v>30</v>
      </c>
      <c r="J67" s="1">
        <v>5.1104599999999998E-3</v>
      </c>
      <c r="K67" s="1">
        <v>0</v>
      </c>
      <c r="L67" s="328">
        <f t="shared" si="5"/>
        <v>0</v>
      </c>
      <c r="M67" s="329">
        <f>J67/$J$69</f>
        <v>3.1694943226194004E-2</v>
      </c>
      <c r="N67" s="342">
        <f>(1/$J$69)*SQRT(((1-J68/$J$69)*K67)^2+(J68/$J$69)^2*(SUMSQ(K$8:K66)+SUMSQ(K68:K$68)))</f>
        <v>5.2894677643925813E-4</v>
      </c>
      <c r="O67" s="340">
        <f t="shared" si="12"/>
        <v>1.6688680357127592</v>
      </c>
      <c r="P67" s="332">
        <f t="shared" si="1"/>
        <v>0.93799836354697608</v>
      </c>
      <c r="Q67" s="342">
        <f>SQRT(((1-P67)/$J$69)^2*SUMSQ(K$8:K67)+(P67/$J$69)^2*SUMSQ(K68:K$68))</f>
        <v>5.8287552684702718E-3</v>
      </c>
      <c r="R67" s="340">
        <f t="shared" si="13"/>
        <v>0.62140356475988245</v>
      </c>
      <c r="S67" s="343">
        <f t="shared" si="14"/>
        <v>1.1621002384021474E-5</v>
      </c>
      <c r="T67" s="344">
        <f t="shared" si="15"/>
        <v>9.6841686533512292E-8</v>
      </c>
      <c r="U67" s="344">
        <f>IF(P67&lt;=0.85, (1/(3*H67*$J$69))*SQRT( ((1-P67)*(1/SQRT(1-PI()*P67/3)-1) + (1-P66)*(1-1/SQRT(1-PI()*P66/3)))^2*SUMSQ(K$8:K66) + ( (1-P67)*(1/SQRT(1-PI()*P67/3)-1) -P66*(1-1/SQRT(1-PI()*P66/3)) )^2*K67^2 + ( P67*(1-1/SQRT(1-PI()*P67/3)) - P66*(1-1/SQRT(1-PI()*P66/3)) )^2*SUMSQ(K68:K$68) ), (1/(PI()^2*H67*$J$69))*SQRT((1+P66/(1-P66))^2*K67^2+(P66/(1-P66)-P67/(1-P67))^2*SUMSQ(K68:K$68)) )</f>
        <v>9.523373709294771E-7</v>
      </c>
      <c r="V67" s="345">
        <f>SQRT(T67^2+U67^2)</f>
        <v>9.5724854678370944E-7</v>
      </c>
      <c r="W67" s="340">
        <f>100*(V67/S67)</f>
        <v>8.2372287273591578</v>
      </c>
      <c r="X67" s="345">
        <f t="shared" si="18"/>
        <v>1.9144970935674189E-6</v>
      </c>
      <c r="Y67" s="338">
        <f t="shared" si="7"/>
        <v>-11.362696546575854</v>
      </c>
      <c r="Z67" s="346">
        <f t="shared" si="19"/>
        <v>8.2372287273591582E-2</v>
      </c>
      <c r="AA67" s="346">
        <f t="shared" si="20"/>
        <v>0.72493608304988522</v>
      </c>
      <c r="AB67" s="346">
        <f t="shared" si="8"/>
        <v>0.16474457454718316</v>
      </c>
      <c r="AC67" s="336">
        <f t="shared" si="2"/>
        <v>1.4996857092570174E-9</v>
      </c>
      <c r="AD67" s="337">
        <f t="shared" si="3"/>
        <v>1.3434561824250521E-10</v>
      </c>
      <c r="AE67" s="308">
        <f t="shared" si="9"/>
        <v>8.9582515465232682</v>
      </c>
      <c r="AF67" s="337">
        <f t="shared" si="10"/>
        <v>2.6869123648501042E-10</v>
      </c>
      <c r="AG67" s="338">
        <f t="shared" si="21"/>
        <v>-20.318010277954119</v>
      </c>
      <c r="AH67" s="339">
        <f t="shared" si="22"/>
        <v>8.9582515465232687E-2</v>
      </c>
      <c r="AI67" s="340">
        <f t="shared" si="23"/>
        <v>0.44090200880759184</v>
      </c>
      <c r="AJ67" s="341">
        <f t="shared" si="11"/>
        <v>0.17916503093046537</v>
      </c>
    </row>
    <row r="68" spans="1:36" x14ac:dyDescent="0.2">
      <c r="I68" s="302"/>
      <c r="J68" s="338">
        <v>0.01</v>
      </c>
      <c r="K68" s="346">
        <f>IF(J68&lt;0.06,J68*0.1,IF(J68&lt;0.2,J68*0.06,J68*0.03))</f>
        <v>1E-3</v>
      </c>
      <c r="L68" s="328">
        <f t="shared" si="5"/>
        <v>10</v>
      </c>
      <c r="M68" s="329">
        <f>J68/$J$69</f>
        <v>6.2019746218919647E-2</v>
      </c>
      <c r="N68" s="342">
        <f>(1/$J$69)*SQRT(((1-J68/$J$69)*K68)^2+(J68/$J$69)^2*(SUMSQ(K$8:K67)+SUMSQ(K$8:K67)))</f>
        <v>5.8399478750770705E-3</v>
      </c>
      <c r="O68" s="340">
        <f t="shared" si="12"/>
        <v>9.416271802311158</v>
      </c>
      <c r="P68" s="332">
        <f t="shared" si="1"/>
        <v>1.0000181097658958</v>
      </c>
      <c r="Q68" s="342">
        <f>SQRT(((1-P68)/$J$69)^2*SUMSQ(K$8:K68)+(P68/$J$69)^2*SUMSQ(K$68:K69))</f>
        <v>1.0545470901455004E-2</v>
      </c>
      <c r="R68" s="340">
        <f t="shared" si="13"/>
        <v>1.0545279928904185</v>
      </c>
      <c r="S68" s="343"/>
      <c r="T68" s="344"/>
      <c r="U68" s="344"/>
      <c r="V68" s="345"/>
      <c r="W68" s="340"/>
      <c r="X68" s="345"/>
      <c r="Y68" s="338"/>
      <c r="Z68" s="346"/>
      <c r="AA68" s="346"/>
      <c r="AB68" s="346"/>
      <c r="AC68" s="336"/>
      <c r="AD68" s="337"/>
      <c r="AE68" s="308"/>
      <c r="AF68" s="337"/>
      <c r="AG68" s="338"/>
      <c r="AH68" s="339"/>
      <c r="AI68" s="340"/>
      <c r="AJ68" s="341"/>
    </row>
    <row r="69" spans="1:36" x14ac:dyDescent="0.2">
      <c r="I69" s="348"/>
      <c r="J69" s="120">
        <f>SUM(J9:J68)</f>
        <v>0.16123897000000004</v>
      </c>
      <c r="K69" s="346">
        <f>SQRT(SUMSQ(K8:K68))</f>
        <v>1.3751561174861564E-3</v>
      </c>
      <c r="L69" s="328">
        <f t="shared" si="5"/>
        <v>0.85286833417886276</v>
      </c>
      <c r="M69" s="329"/>
      <c r="N69" s="342"/>
      <c r="O69" s="340"/>
      <c r="P69" s="33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10A9-6C72-A74A-BA5F-EFC42EECF514}">
  <dimension ref="A1:AM65"/>
  <sheetViews>
    <sheetView topLeftCell="A7" zoomScale="50" zoomScaleNormal="100" workbookViewId="0">
      <selection activeCell="AC4" sqref="AC1:AJ1048576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hidden="1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620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1</v>
      </c>
      <c r="C8" s="1">
        <v>279.97000000000003</v>
      </c>
      <c r="D8" s="1">
        <v>0.81</v>
      </c>
      <c r="E8" s="326">
        <f>10000/(C8+273.15)</f>
        <v>18.079259473531962</v>
      </c>
      <c r="F8" s="327">
        <f t="shared" ref="F8:F42" si="0">SQRT((((-1)*10^4/(C9+273.15)^2)*D8)^2)</f>
        <v>2.4659185931610268E-2</v>
      </c>
      <c r="G8" s="309">
        <f>H8/60/60</f>
        <v>1</v>
      </c>
      <c r="H8" s="1">
        <v>3600</v>
      </c>
      <c r="I8" s="324">
        <v>30</v>
      </c>
      <c r="J8" s="1">
        <v>1.4540000000000001E-2</v>
      </c>
      <c r="K8" s="1">
        <v>1.19999999999999E-4</v>
      </c>
      <c r="L8" s="328">
        <f>100*(K8/J8)</f>
        <v>0.82530949105914031</v>
      </c>
      <c r="M8" s="329">
        <f t="shared" ref="M8:M43" si="1">J8/$J$44</f>
        <v>1.7707542999248591E-3</v>
      </c>
      <c r="N8" s="330">
        <f>(1/$J$44)*SQRT(((1-J9/$J$44)*K8)^2+(J9/$J$44)^2*SUMSQ(K9:K$43))</f>
        <v>4.8826911134956589E-5</v>
      </c>
      <c r="O8" s="331">
        <f>100*(N8/M8)</f>
        <v>2.7574074583373043</v>
      </c>
      <c r="P8" s="332">
        <f>M8+P7</f>
        <v>1.7707542999248591E-3</v>
      </c>
      <c r="Q8" s="330">
        <f>SQRT(((1-P8)/$J$44)^2*SUMSQ(K$8:K8)+(P8/$J$44)^2*SUMSQ(K9:K$43))</f>
        <v>4.329771528937017E-5</v>
      </c>
      <c r="R8" s="331">
        <f>100*(Q8/P8)</f>
        <v>2.4451565805152913</v>
      </c>
      <c r="S8" s="333">
        <f>IF(P8&lt;=0.85, ((2*PI()-PI()^2*P8/3-2*PI()*SQRT(1-PI()*P8/3))/PI()^2/H8), ((-1)*LN((1-P8)*PI()^2/6)/PI()^2/H8 ))</f>
        <v>7.6078934946833738E-11</v>
      </c>
      <c r="T8" s="333">
        <f>IF(P8&lt;=0.85, ABS((2/PI()-P8/3-2*SQRT(1-PI()*P8/3)/PI())*(-1)*I8/H8^2), ABS((-1)*LN((1-P8)*PI()^2/6)*(-1)*I8/PI()^2/H8^2))</f>
        <v>6.3399112477370002E-13</v>
      </c>
      <c r="U8" s="333">
        <f>IF(P8&lt;=0.85, ((1/(3*H8*$J$44))*((1/SQRT(1-PI()*P8/3))-1)*SQRT(((1-P8)*K8)^2+(-P8)^2*SUMSQ(K9:K$43))),  (1/(PI()^2*H8*$J$44))*SQRT(K8^2+(P8/(1-P8))^2*SUMSQ(K9:K$43)))</f>
        <v>3.7222253282616819E-12</v>
      </c>
      <c r="V8" s="334">
        <f>SQRT(T8^2+U8^2)</f>
        <v>3.7758318475065343E-12</v>
      </c>
      <c r="W8" s="331">
        <f>100*(V8/S8)</f>
        <v>4.9630450927647711</v>
      </c>
      <c r="X8" s="334">
        <f>V8*2</f>
        <v>7.5516636950130685E-12</v>
      </c>
      <c r="Y8" s="335">
        <f>LN(S8)</f>
        <v>-23.299249696910934</v>
      </c>
      <c r="Z8" s="335">
        <f>V8/S8</f>
        <v>4.9630450927647708E-2</v>
      </c>
      <c r="AA8" s="335">
        <f>ABS(100*(Z8/Y8))</f>
        <v>0.21301308657260248</v>
      </c>
      <c r="AB8" s="335">
        <f>2*Z8</f>
        <v>9.9260901855295416E-2</v>
      </c>
      <c r="AC8" s="336">
        <f t="shared" ref="AC8:AC42" si="2">S8*($AC$3^2)*10^(-8)</f>
        <v>9.8179561233149148E-15</v>
      </c>
      <c r="AD8" s="337">
        <f t="shared" ref="AD8:AD42" si="3">AC8*SQRT((V8/S8)^2+(2*$AD$3/$AC$3)^2)</f>
        <v>5.9744622868663639E-16</v>
      </c>
      <c r="AE8" s="308">
        <f>100*AD8/AC8</f>
        <v>6.085240361462481</v>
      </c>
      <c r="AF8" s="337">
        <f>2*AD8</f>
        <v>1.1948924573732728E-15</v>
      </c>
      <c r="AG8" s="338">
        <f>LN(AC8)</f>
        <v>-32.254563428289202</v>
      </c>
      <c r="AH8" s="339">
        <f>AD8/AC8</f>
        <v>6.0852403614624816E-2</v>
      </c>
      <c r="AI8" s="340">
        <f>ABS(100*(AH8/AG8))</f>
        <v>0.18866292749525662</v>
      </c>
      <c r="AJ8" s="341">
        <f>2*AH8</f>
        <v>0.12170480722924963</v>
      </c>
    </row>
    <row r="9" spans="1:39" x14ac:dyDescent="0.2">
      <c r="A9" s="309">
        <v>2</v>
      </c>
      <c r="B9" s="309">
        <f>G9+B8</f>
        <v>2</v>
      </c>
      <c r="C9" s="1">
        <v>299.98</v>
      </c>
      <c r="D9" s="1">
        <v>0.87</v>
      </c>
      <c r="E9" s="326">
        <f t="shared" ref="E9:E42" si="4">10000/(C9+273.15)</f>
        <v>17.448048435782457</v>
      </c>
      <c r="F9" s="327">
        <f t="shared" si="0"/>
        <v>2.3916487130294022E-2</v>
      </c>
      <c r="G9" s="309">
        <f t="shared" ref="G9:G42" si="5">H9/60/60</f>
        <v>1</v>
      </c>
      <c r="H9" s="1">
        <v>3600</v>
      </c>
      <c r="I9" s="324">
        <v>30</v>
      </c>
      <c r="J9" s="1">
        <v>1.6619999999999999E-2</v>
      </c>
      <c r="K9" s="122">
        <v>9.0000000000000006E-5</v>
      </c>
      <c r="L9" s="328">
        <f t="shared" ref="L9:L44" si="6">100*(K9/J9)</f>
        <v>0.54151624548736466</v>
      </c>
      <c r="M9" s="329">
        <f t="shared" si="1"/>
        <v>2.0240671571355676E-3</v>
      </c>
      <c r="N9" s="342">
        <f>(1/$J$44)*SQRT(((1-J10/$J$44)*K9)^2+(J10/$J$44)^2*(SUMSQ(K$8:K8)+SUMSQ(K10:K$43)))</f>
        <v>1.2683291308549389E-4</v>
      </c>
      <c r="O9" s="340">
        <f>100*(N9/M9)</f>
        <v>6.2662403585949242</v>
      </c>
      <c r="P9" s="332">
        <f t="shared" ref="P9:P42" si="7">M9+P8</f>
        <v>3.7948214570604267E-3</v>
      </c>
      <c r="Q9" s="342">
        <f>SQRT(((1-P9)/$J$44)^2*SUMSQ(K$8:K9)+(P9/$J$44)^2*SUMSQ(K10:K$43))</f>
        <v>8.9239172467522391E-5</v>
      </c>
      <c r="R9" s="340">
        <f>100*(Q9/P9)</f>
        <v>2.3516039813016527</v>
      </c>
      <c r="S9" s="343">
        <f>IF(P9&lt;=0.85, (((-1)*PI()^2*(P9-P8)/3-2*PI()*(SQRT(1-PI()*P9/3)-SQRT(1-PI()*P8/3)))/PI()^2/H9), ((-1)*LN((1-P9)/(1-P8))/PI()^2/H9 ))</f>
        <v>2.7369849509634629E-10</v>
      </c>
      <c r="T9" s="344">
        <f>IF(P9&lt;=0.85, ABS(((-1)*(P9-P8)/3-2*(SQRT(1-PI()*P9/3)-SQRT(1-PI()*P8/3))/PI())*(-1)*I9/H9^2), ABS((-1)*LN((1-P9)/(1-P8))*(-1)*I9/PI()^2/H9^2))</f>
        <v>2.2808207924695153E-12</v>
      </c>
      <c r="U9" s="344">
        <f>IF(P9&lt;=0.85, (1/(3*H9*$J$44))*SQRT( ((1-P9)*(1/SQRT(1-PI()*P9/3)-1) + (1-P8)*(1-1/SQRT(1-PI()*P8/3)))^2*SUMSQ(K$8:K8) + ( (1-P9)*(1/SQRT(1-PI()*P9/3)-1) -P8*(1-1/SQRT(1-PI()*P8/3)) )^2*K9^2 + ( P9*(1-1/SQRT(1-PI()*P9/3)) - P8*(1-1/SQRT(1-PI()*P8/3)) )^2*SUMSQ(K10:K$43) ), (1/(PI()^2*H9*$J$44))*SQRT((1+P8/(1-P8))^2*K9^2+(P8/(1-P8)-P9/(1-P9))^2*SUMSQ(K10:K$43)) )</f>
        <v>1.2856701602945104E-11</v>
      </c>
      <c r="V9" s="345">
        <f>SQRT(T9^2+U9^2)</f>
        <v>1.3057446901846184E-11</v>
      </c>
      <c r="W9" s="340">
        <f>100*(V9/S9)</f>
        <v>4.7707412118761381</v>
      </c>
      <c r="X9" s="345">
        <f>V9*2</f>
        <v>2.6114893803692368E-11</v>
      </c>
      <c r="Y9" s="338">
        <f t="shared" ref="Y9:Y42" si="8">LN(S9)</f>
        <v>-22.018993998266243</v>
      </c>
      <c r="Z9" s="346">
        <f>V9/S9</f>
        <v>4.770741211876138E-2</v>
      </c>
      <c r="AA9" s="346">
        <f>ABS(100*(Z9/Y9))</f>
        <v>0.21666481276355234</v>
      </c>
      <c r="AB9" s="346">
        <f t="shared" ref="AB9:AB42" si="9">2*Z9</f>
        <v>9.5414824237522761E-2</v>
      </c>
      <c r="AC9" s="336">
        <f t="shared" si="2"/>
        <v>3.5320681312785449E-14</v>
      </c>
      <c r="AD9" s="337">
        <f t="shared" si="3"/>
        <v>2.0943199957926455E-15</v>
      </c>
      <c r="AE9" s="308">
        <f t="shared" ref="AE9:AE42" si="10">100*AD9/AC9</f>
        <v>5.9294439346914283</v>
      </c>
      <c r="AF9" s="337">
        <f t="shared" ref="AF9:AF42" si="11">2*AD9</f>
        <v>4.1886399915852911E-15</v>
      </c>
      <c r="AG9" s="338">
        <f>LN(AC9)</f>
        <v>-30.974307729644508</v>
      </c>
      <c r="AH9" s="339">
        <f>AD9/AC9</f>
        <v>5.9294439346914279E-2</v>
      </c>
      <c r="AI9" s="340">
        <f>ABS(100*(AH9/AG9))</f>
        <v>0.19143103976514539</v>
      </c>
      <c r="AJ9" s="341">
        <f t="shared" ref="AJ9:AJ42" si="12">2*AH9</f>
        <v>0.11858887869382856</v>
      </c>
    </row>
    <row r="10" spans="1:39" x14ac:dyDescent="0.2">
      <c r="A10" s="309">
        <v>3</v>
      </c>
      <c r="B10" s="309">
        <f t="shared" ref="B10:B42" si="13">G10+B9</f>
        <v>3</v>
      </c>
      <c r="C10" s="1">
        <v>329.98</v>
      </c>
      <c r="D10" s="1">
        <v>0.89</v>
      </c>
      <c r="E10" s="326">
        <f t="shared" si="4"/>
        <v>16.580173428614064</v>
      </c>
      <c r="F10" s="327">
        <f t="shared" si="0"/>
        <v>2.3674721232531608E-2</v>
      </c>
      <c r="G10" s="309">
        <f t="shared" si="5"/>
        <v>1</v>
      </c>
      <c r="H10" s="1">
        <v>3600</v>
      </c>
      <c r="I10" s="324">
        <v>30</v>
      </c>
      <c r="J10" s="1">
        <v>4.5069999999999999E-2</v>
      </c>
      <c r="K10" s="1">
        <v>2.0000000000000001E-4</v>
      </c>
      <c r="L10" s="328">
        <f t="shared" si="6"/>
        <v>0.44375416019525188</v>
      </c>
      <c r="M10" s="329">
        <f t="shared" si="1"/>
        <v>5.4888511896570421E-3</v>
      </c>
      <c r="N10" s="342">
        <f>(1/$J$44)*SQRT(((1-J11/$J$44)*K10)^2+(J11/$J$44)^2*(SUMSQ(K$8:K9)+SUMSQ(K11:K$43)))</f>
        <v>1.3486396572850082E-4</v>
      </c>
      <c r="O10" s="340">
        <f t="shared" ref="O10:O42" si="14">100*(N10/M10)</f>
        <v>2.4570526885959802</v>
      </c>
      <c r="P10" s="332">
        <f t="shared" si="7"/>
        <v>9.2836726467174693E-3</v>
      </c>
      <c r="Q10" s="342">
        <f>SQRT(((1-P10)/$J$44)^2*SUMSQ(K$8:K10)+(P10/$J$44)^2*SUMSQ(K11:K$43))</f>
        <v>2.1584538094384604E-4</v>
      </c>
      <c r="R10" s="340">
        <f t="shared" ref="R10:R42" si="15">100*(Q10/P10)</f>
        <v>2.3249999128326104</v>
      </c>
      <c r="S10" s="343">
        <f t="shared" ref="S10:S42" si="16">IF(P10&lt;=0.85, (((-1)*PI()^2*(P10-P9)/3-2*PI()*(SQRT(1-PI()*P10/3)-SQRT(1-PI()*P9/3)))/PI()^2/H10), ((-1)*LN((1-P10)/(1-P9))/PI()^2/H10 ))</f>
        <v>1.7496618403974246E-9</v>
      </c>
      <c r="T10" s="344">
        <f t="shared" ref="T10:T42" si="17">IF(P10&lt;=0.85, ABS(((-1)*(P10-P9)/3-2*(SQRT(1-PI()*P10/3)-SQRT(1-PI()*P9/3))/PI())*(-1)*I10/H10^2), ABS((-1)*LN((1-P10)/(1-P9))*(-1)*I10/PI()^2/H10^2))</f>
        <v>1.4580515336645584E-11</v>
      </c>
      <c r="U10" s="344">
        <f>IF(P10&lt;=0.85, (1/(3*H10*$J$44))*SQRT( ((1-P10)*(1/SQRT(1-PI()*P10/3)-1) + (1-P9)*(1-1/SQRT(1-PI()*P9/3)))^2*SUMSQ(K$8:K9) + ( (1-P10)*(1/SQRT(1-PI()*P10/3)-1) -P9*(1-1/SQRT(1-PI()*P9/3)) )^2*K10^2 + ( P10*(1-1/SQRT(1-PI()*P10/3)) - P9*(1-1/SQRT(1-PI()*P9/3)) )^2*SUMSQ(K11:K$43) ), (1/(PI()^2*H10*$J$44))*SQRT((1+P9/(1-P9))^2*K10^2+(P9/(1-P9)-P10/(1-P10))^2*SUMSQ(K11:K$43)) )</f>
        <v>8.1665354043162382E-11</v>
      </c>
      <c r="V10" s="345">
        <f t="shared" ref="V10:V42" si="18">SQRT(T10^2+U10^2)</f>
        <v>8.2956744623190324E-11</v>
      </c>
      <c r="W10" s="340">
        <f t="shared" ref="W10:W42" si="19">100*(V10/S10)</f>
        <v>4.7413015879884099</v>
      </c>
      <c r="X10" s="345">
        <f t="shared" ref="X10:X42" si="20">V10*2</f>
        <v>1.6591348924638065E-10</v>
      </c>
      <c r="Y10" s="338">
        <f t="shared" si="8"/>
        <v>-20.163843301741711</v>
      </c>
      <c r="Z10" s="346">
        <f t="shared" ref="Z10:Z42" si="21">V10/S10</f>
        <v>4.7413015879884099E-2</v>
      </c>
      <c r="AA10" s="346">
        <f t="shared" ref="AA10:AA42" si="22">ABS(100*(Z10/Y10))</f>
        <v>0.23513878366525823</v>
      </c>
      <c r="AB10" s="346">
        <f t="shared" si="9"/>
        <v>9.4826031759768198E-2</v>
      </c>
      <c r="AC10" s="336">
        <f t="shared" si="2"/>
        <v>2.2579316063855148E-13</v>
      </c>
      <c r="AD10" s="337">
        <f t="shared" si="3"/>
        <v>1.3334854396113104E-14</v>
      </c>
      <c r="AE10" s="308">
        <f t="shared" si="10"/>
        <v>5.9057831328467341</v>
      </c>
      <c r="AF10" s="337">
        <f t="shared" si="11"/>
        <v>2.6669708792226208E-14</v>
      </c>
      <c r="AG10" s="338">
        <f t="shared" ref="AG10:AG42" si="23">LN(AC10)</f>
        <v>-29.119157033119972</v>
      </c>
      <c r="AH10" s="339">
        <f t="shared" ref="AH10:AH42" si="24">AD10/AC10</f>
        <v>5.9057831328467342E-2</v>
      </c>
      <c r="AI10" s="340">
        <f t="shared" ref="AI10:AI42" si="25">ABS(100*(AH10/AG10))</f>
        <v>0.20281435778273144</v>
      </c>
      <c r="AJ10" s="341">
        <f t="shared" si="12"/>
        <v>0.11811566265693468</v>
      </c>
    </row>
    <row r="11" spans="1:39" x14ac:dyDescent="0.2">
      <c r="A11" s="309">
        <v>4</v>
      </c>
      <c r="B11" s="309">
        <f t="shared" si="13"/>
        <v>4</v>
      </c>
      <c r="C11" s="1">
        <v>339.98</v>
      </c>
      <c r="D11" s="1">
        <v>0.89</v>
      </c>
      <c r="E11" s="326">
        <f t="shared" si="4"/>
        <v>16.309754864384388</v>
      </c>
      <c r="F11" s="327">
        <f t="shared" si="0"/>
        <v>2.2202619781456677E-2</v>
      </c>
      <c r="G11" s="309">
        <f t="shared" si="5"/>
        <v>1</v>
      </c>
      <c r="H11" s="1">
        <v>3600</v>
      </c>
      <c r="I11" s="324">
        <v>30</v>
      </c>
      <c r="J11" s="1">
        <v>4.7320000000000001E-2</v>
      </c>
      <c r="K11" s="1">
        <v>1.8000000000000001E-4</v>
      </c>
      <c r="L11" s="328">
        <f t="shared" si="6"/>
        <v>0.38038884192730349</v>
      </c>
      <c r="M11" s="329">
        <f t="shared" si="1"/>
        <v>5.7628675015436266E-3</v>
      </c>
      <c r="N11" s="342">
        <f>(1/$J$44)*SQRT(((1-J12/$J$44)*K11)^2+(J12/$J$44)^2*(SUMSQ(K$8:K10)+SUMSQ(K12:K$43)))</f>
        <v>2.4438322835070231E-4</v>
      </c>
      <c r="O11" s="340">
        <f t="shared" si="14"/>
        <v>4.2406532561306065</v>
      </c>
      <c r="P11" s="332">
        <f t="shared" si="7"/>
        <v>1.5046540148261095E-2</v>
      </c>
      <c r="Q11" s="342">
        <f>SQRT(((1-P11)/$J$44)^2*SUMSQ(K$8:K11)+(P11/$J$44)^2*SUMSQ(K12:K$43))</f>
        <v>3.4836449192258935E-4</v>
      </c>
      <c r="R11" s="340">
        <f t="shared" si="15"/>
        <v>2.3152464851718704</v>
      </c>
      <c r="S11" s="343">
        <f t="shared" si="16"/>
        <v>3.4322794331574015E-9</v>
      </c>
      <c r="T11" s="344">
        <f t="shared" si="17"/>
        <v>2.8602328609644849E-11</v>
      </c>
      <c r="U11" s="344">
        <f>IF(P11&lt;=0.85, (1/(3*H11*$J$44))*SQRT( ((1-P11)*(1/SQRT(1-PI()*P11/3)-1) + (1-P10)*(1-1/SQRT(1-PI()*P10/3)))^2*SUMSQ(K$8:K10) + ( (1-P11)*(1/SQRT(1-PI()*P11/3)-1) -P10*(1-1/SQRT(1-PI()*P10/3)) )^2*K11^2 + ( P11*(1-1/SQRT(1-PI()*P11/3)) - P10*(1-1/SQRT(1-PI()*P10/3)) )^2*SUMSQ(K12:K$43) ), (1/(PI()^2*H11*$J$44))*SQRT((1+P10/(1-P10))^2*K11^2+(P10/(1-P10)-P11/(1-P11))^2*SUMSQ(K12:K$43)) )</f>
        <v>1.5984467058220023E-10</v>
      </c>
      <c r="V11" s="345">
        <f t="shared" si="18"/>
        <v>1.6238353338755198E-10</v>
      </c>
      <c r="W11" s="340">
        <f t="shared" si="19"/>
        <v>4.7310697322267004</v>
      </c>
      <c r="X11" s="345">
        <f t="shared" si="20"/>
        <v>3.2476706677510396E-10</v>
      </c>
      <c r="Y11" s="338">
        <f t="shared" si="8"/>
        <v>-19.49004123871746</v>
      </c>
      <c r="Z11" s="346">
        <f t="shared" si="21"/>
        <v>4.7310697322267004E-2</v>
      </c>
      <c r="AA11" s="346">
        <f t="shared" si="22"/>
        <v>0.2427429308270683</v>
      </c>
      <c r="AB11" s="346">
        <f t="shared" si="9"/>
        <v>9.4621394644534007E-2</v>
      </c>
      <c r="AC11" s="336">
        <f t="shared" si="2"/>
        <v>4.429342879371894E-13</v>
      </c>
      <c r="AD11" s="337">
        <f t="shared" si="3"/>
        <v>2.6122368160736206E-14</v>
      </c>
      <c r="AE11" s="308">
        <f t="shared" si="10"/>
        <v>5.8975719135206139</v>
      </c>
      <c r="AF11" s="337">
        <f t="shared" si="11"/>
        <v>5.2244736321472411E-14</v>
      </c>
      <c r="AG11" s="338">
        <f t="shared" si="23"/>
        <v>-28.445354970095721</v>
      </c>
      <c r="AH11" s="339">
        <f t="shared" si="24"/>
        <v>5.8975719135206134E-2</v>
      </c>
      <c r="AI11" s="340">
        <f t="shared" si="25"/>
        <v>0.20732987581700649</v>
      </c>
      <c r="AJ11" s="341">
        <f t="shared" si="12"/>
        <v>0.11795143827041227</v>
      </c>
    </row>
    <row r="12" spans="1:39" x14ac:dyDescent="0.2">
      <c r="A12" s="309">
        <v>5</v>
      </c>
      <c r="B12" s="309">
        <f t="shared" si="13"/>
        <v>5</v>
      </c>
      <c r="C12" s="1">
        <v>359.98</v>
      </c>
      <c r="D12" s="1">
        <v>0.82</v>
      </c>
      <c r="E12" s="326">
        <f t="shared" si="4"/>
        <v>15.794544564307488</v>
      </c>
      <c r="F12" s="327">
        <f t="shared" si="0"/>
        <v>1.9222708816261841E-2</v>
      </c>
      <c r="G12" s="309">
        <f t="shared" si="5"/>
        <v>1</v>
      </c>
      <c r="H12" s="1">
        <v>3600</v>
      </c>
      <c r="I12" s="324">
        <v>30</v>
      </c>
      <c r="J12" s="1">
        <v>8.6819999999999994E-2</v>
      </c>
      <c r="K12" s="1">
        <v>3.3E-4</v>
      </c>
      <c r="L12" s="328">
        <f t="shared" si="6"/>
        <v>0.38009675190048381</v>
      </c>
      <c r="M12" s="329">
        <f t="shared" si="1"/>
        <v>1.0573376087996991E-2</v>
      </c>
      <c r="N12" s="342">
        <f>(1/$J$44)*SQRT(((1-J13/$J$44)*K12)^2+(J13/$J$44)^2*(SUMSQ(K$8:K11)+SUMSQ(K13:K$43)))</f>
        <v>3.8359912426456488E-4</v>
      </c>
      <c r="O12" s="340">
        <f t="shared" si="14"/>
        <v>3.6279720031904543</v>
      </c>
      <c r="P12" s="332">
        <f t="shared" si="7"/>
        <v>2.5619916236258086E-2</v>
      </c>
      <c r="Q12" s="342">
        <f>SQRT(((1-P12)/$J$44)^2*SUMSQ(K$8:K12)+(P12/$J$44)^2*SUMSQ(K13:K$43))</f>
        <v>5.9224459885643408E-4</v>
      </c>
      <c r="R12" s="340">
        <f t="shared" si="15"/>
        <v>2.311657046006542</v>
      </c>
      <c r="S12" s="343">
        <f t="shared" si="16"/>
        <v>1.0596472112748955E-8</v>
      </c>
      <c r="T12" s="344">
        <f t="shared" si="17"/>
        <v>8.8303934272906805E-11</v>
      </c>
      <c r="U12" s="344">
        <f>IF(P12&lt;=0.85, (1/(3*H12*$J$44))*SQRT( ((1-P12)*(1/SQRT(1-PI()*P12/3)-1) + (1-P11)*(1-1/SQRT(1-PI()*P11/3)))^2*SUMSQ(K$8:K11) + ( (1-P12)*(1/SQRT(1-PI()*P12/3)-1) -P11*(1-1/SQRT(1-PI()*P11/3)) )^2*K12^2 + ( P12*(1-1/SQRT(1-PI()*P12/3)) - P11*(1-1/SQRT(1-PI()*P11/3)) )^2*SUMSQ(K13:K$43) ), (1/(PI()^2*H12*$J$44))*SQRT((1+P11/(1-P11))^2*K12^2+(P11/(1-P11)-P12/(1-P12))^2*SUMSQ(K13:K$43)) )</f>
        <v>4.9487825979973177E-10</v>
      </c>
      <c r="V12" s="345">
        <f t="shared" si="18"/>
        <v>5.0269481480365864E-10</v>
      </c>
      <c r="W12" s="340">
        <f t="shared" si="19"/>
        <v>4.7439828034733411</v>
      </c>
      <c r="X12" s="345">
        <f t="shared" si="20"/>
        <v>1.0053896296073173E-9</v>
      </c>
      <c r="Y12" s="338">
        <f t="shared" si="8"/>
        <v>-18.362744710777093</v>
      </c>
      <c r="Z12" s="346">
        <f t="shared" si="21"/>
        <v>4.7439828034733407E-2</v>
      </c>
      <c r="AA12" s="346">
        <f t="shared" si="22"/>
        <v>0.25834824140909052</v>
      </c>
      <c r="AB12" s="346">
        <f t="shared" si="9"/>
        <v>9.4879656069466814E-2</v>
      </c>
      <c r="AC12" s="336">
        <f t="shared" si="2"/>
        <v>1.3674704875614076E-12</v>
      </c>
      <c r="AD12" s="337">
        <f t="shared" si="3"/>
        <v>8.0789279746713228E-14</v>
      </c>
      <c r="AE12" s="308">
        <f t="shared" si="10"/>
        <v>5.9079358919682221</v>
      </c>
      <c r="AF12" s="337">
        <f t="shared" si="11"/>
        <v>1.6157855949342646E-13</v>
      </c>
      <c r="AG12" s="338">
        <f t="shared" si="23"/>
        <v>-27.318058442155358</v>
      </c>
      <c r="AH12" s="339">
        <f t="shared" si="24"/>
        <v>5.9079358919682211E-2</v>
      </c>
      <c r="AI12" s="340">
        <f t="shared" si="25"/>
        <v>0.21626485295351366</v>
      </c>
      <c r="AJ12" s="341">
        <f t="shared" si="12"/>
        <v>0.11815871783936442</v>
      </c>
    </row>
    <row r="13" spans="1:39" x14ac:dyDescent="0.2">
      <c r="A13" s="309">
        <v>6</v>
      </c>
      <c r="B13" s="309">
        <f t="shared" si="13"/>
        <v>6</v>
      </c>
      <c r="C13" s="1">
        <v>379.98</v>
      </c>
      <c r="D13" s="1">
        <v>0.8</v>
      </c>
      <c r="E13" s="326">
        <f t="shared" si="4"/>
        <v>15.310887572152557</v>
      </c>
      <c r="F13" s="327">
        <f t="shared" si="0"/>
        <v>1.7656515403911294E-2</v>
      </c>
      <c r="G13" s="309">
        <f t="shared" si="5"/>
        <v>1</v>
      </c>
      <c r="H13" s="1">
        <v>3600</v>
      </c>
      <c r="I13" s="324">
        <v>30</v>
      </c>
      <c r="J13" s="1">
        <v>0.13608999999999999</v>
      </c>
      <c r="K13" s="1">
        <v>3.1E-4</v>
      </c>
      <c r="L13" s="328">
        <f t="shared" si="6"/>
        <v>0.22779043280182235</v>
      </c>
      <c r="M13" s="329">
        <f t="shared" si="1"/>
        <v>1.6573724393175657E-2</v>
      </c>
      <c r="N13" s="342">
        <f>(1/$J$44)*SQRT(((1-J14/$J$44)*K13)^2+(J14/$J$44)^2*(SUMSQ(K$8:K12)+SUMSQ(K14:K$43)))</f>
        <v>5.0968066318852004E-4</v>
      </c>
      <c r="O13" s="340">
        <f t="shared" si="14"/>
        <v>3.0752331286405634</v>
      </c>
      <c r="P13" s="332">
        <f t="shared" si="7"/>
        <v>4.2193640629433746E-2</v>
      </c>
      <c r="Q13" s="342">
        <f>SQRT(((1-P13)/$J$44)^2*SUMSQ(K$8:K13)+(P13/$J$44)^2*SUMSQ(K14:K$43))</f>
        <v>9.7347077892234789E-4</v>
      </c>
      <c r="R13" s="340">
        <f t="shared" si="15"/>
        <v>2.307150471967728</v>
      </c>
      <c r="S13" s="343">
        <f t="shared" si="16"/>
        <v>2.8008171411130873E-8</v>
      </c>
      <c r="T13" s="344">
        <f t="shared" si="17"/>
        <v>2.3340142842609274E-10</v>
      </c>
      <c r="U13" s="344">
        <f>IF(P13&lt;=0.85, (1/(3*H13*$J$44))*SQRT( ((1-P13)*(1/SQRT(1-PI()*P13/3)-1) + (1-P12)*(1-1/SQRT(1-PI()*P12/3)))^2*SUMSQ(K$8:K12) + ( (1-P13)*(1/SQRT(1-PI()*P13/3)-1) -P12*(1-1/SQRT(1-PI()*P12/3)) )^2*K13^2 + ( P13*(1-1/SQRT(1-PI()*P13/3)) - P12*(1-1/SQRT(1-PI()*P12/3)) )^2*SUMSQ(K14:K$43) ), (1/(PI()^2*H13*$J$44))*SQRT((1+P12/(1-P12))^2*K13^2+(P12/(1-P12)-P13/(1-P13))^2*SUMSQ(K14:K$43)) )</f>
        <v>1.3107643663599526E-9</v>
      </c>
      <c r="V13" s="345">
        <f t="shared" si="18"/>
        <v>1.3313825336507719E-9</v>
      </c>
      <c r="W13" s="340">
        <f t="shared" si="19"/>
        <v>4.7535503625262026</v>
      </c>
      <c r="X13" s="345">
        <f t="shared" si="20"/>
        <v>2.6627650673015438E-9</v>
      </c>
      <c r="Y13" s="338">
        <f t="shared" si="8"/>
        <v>-17.390769533235265</v>
      </c>
      <c r="Z13" s="346">
        <f t="shared" si="21"/>
        <v>4.7535503625262029E-2</v>
      </c>
      <c r="AA13" s="346">
        <f t="shared" si="22"/>
        <v>0.27333755147762478</v>
      </c>
      <c r="AB13" s="346">
        <f t="shared" si="9"/>
        <v>9.5071007250524059E-2</v>
      </c>
      <c r="AC13" s="336">
        <f t="shared" si="2"/>
        <v>3.6144433173378744E-12</v>
      </c>
      <c r="AD13" s="337">
        <f t="shared" si="3"/>
        <v>2.1381677676505201E-13</v>
      </c>
      <c r="AE13" s="308">
        <f t="shared" si="10"/>
        <v>5.915621244892928</v>
      </c>
      <c r="AF13" s="337">
        <f t="shared" si="11"/>
        <v>4.2763355353010403E-13</v>
      </c>
      <c r="AG13" s="338">
        <f t="shared" si="23"/>
        <v>-26.346083264613529</v>
      </c>
      <c r="AH13" s="339">
        <f t="shared" si="24"/>
        <v>5.9156212448929282E-2</v>
      </c>
      <c r="AI13" s="340">
        <f t="shared" si="25"/>
        <v>0.22453513053450469</v>
      </c>
      <c r="AJ13" s="341">
        <f t="shared" si="12"/>
        <v>0.11831242489785856</v>
      </c>
    </row>
    <row r="14" spans="1:39" x14ac:dyDescent="0.2">
      <c r="A14" s="309">
        <v>7</v>
      </c>
      <c r="B14" s="309">
        <f t="shared" si="13"/>
        <v>7</v>
      </c>
      <c r="C14" s="1">
        <v>399.97</v>
      </c>
      <c r="D14" s="1">
        <v>0.8</v>
      </c>
      <c r="E14" s="326">
        <f t="shared" si="4"/>
        <v>14.856192060850963</v>
      </c>
      <c r="F14" s="327">
        <f t="shared" si="0"/>
        <v>1.6652257801036584E-2</v>
      </c>
      <c r="G14" s="309">
        <f t="shared" si="5"/>
        <v>1</v>
      </c>
      <c r="H14" s="1">
        <v>3600</v>
      </c>
      <c r="I14" s="324">
        <v>30</v>
      </c>
      <c r="J14" s="1">
        <v>0.18131</v>
      </c>
      <c r="K14" s="1">
        <v>4.0999999999999999E-4</v>
      </c>
      <c r="L14" s="328">
        <f t="shared" si="6"/>
        <v>0.22613203904914234</v>
      </c>
      <c r="M14" s="329">
        <f t="shared" si="1"/>
        <v>2.2080843336958471E-2</v>
      </c>
      <c r="N14" s="342">
        <f>(1/$J$44)*SQRT(((1-J15/$J$44)*K14)^2+(J15/$J$44)^2*(SUMSQ(K$8:K13)+SUMSQ(K15:K$43)))</f>
        <v>5.9318926973081531E-4</v>
      </c>
      <c r="O14" s="340">
        <f t="shared" si="14"/>
        <v>2.6864429980260178</v>
      </c>
      <c r="P14" s="332">
        <f t="shared" si="7"/>
        <v>6.427448396639221E-2</v>
      </c>
      <c r="Q14" s="342">
        <f>SQRT(((1-P14)/$J$44)^2*SUMSQ(K$8:K14)+(P14/$J$44)^2*SUMSQ(K15:K$43))</f>
        <v>1.4817616496277577E-3</v>
      </c>
      <c r="R14" s="340">
        <f t="shared" si="15"/>
        <v>2.3053652992415152</v>
      </c>
      <c r="S14" s="343">
        <f t="shared" si="16"/>
        <v>5.9526018216136675E-8</v>
      </c>
      <c r="T14" s="344">
        <f t="shared" si="17"/>
        <v>4.9605015180114029E-10</v>
      </c>
      <c r="U14" s="344">
        <f>IF(P14&lt;=0.85, (1/(3*H14*$J$44))*SQRT( ((1-P14)*(1/SQRT(1-PI()*P14/3)-1) + (1-P13)*(1-1/SQRT(1-PI()*P13/3)))^2*SUMSQ(K$8:K13) + ( (1-P14)*(1/SQRT(1-PI()*P14/3)-1) -P13*(1-1/SQRT(1-PI()*P13/3)) )^2*K14^2 + ( P14*(1-1/SQRT(1-PI()*P14/3)) - P13*(1-1/SQRT(1-PI()*P13/3)) )^2*SUMSQ(K15:K$43) ), (1/(PI()^2*H14*$J$44))*SQRT((1+P13/(1-P13))^2*K14^2+(P13/(1-P13)-P14/(1-P14))^2*SUMSQ(K15:K$43)) )</f>
        <v>2.807480705109077E-9</v>
      </c>
      <c r="V14" s="345">
        <f t="shared" si="18"/>
        <v>2.8509671451389433E-9</v>
      </c>
      <c r="W14" s="340">
        <f t="shared" si="19"/>
        <v>4.7894470864609007</v>
      </c>
      <c r="X14" s="345">
        <f t="shared" si="20"/>
        <v>5.7019342902778866E-9</v>
      </c>
      <c r="Y14" s="338">
        <f t="shared" si="8"/>
        <v>-16.636852339030803</v>
      </c>
      <c r="Z14" s="346">
        <f t="shared" si="21"/>
        <v>4.7894470864609011E-2</v>
      </c>
      <c r="AA14" s="346">
        <f t="shared" si="22"/>
        <v>0.2878818053355347</v>
      </c>
      <c r="AB14" s="346">
        <f t="shared" si="9"/>
        <v>9.5788941729218022E-2</v>
      </c>
      <c r="AC14" s="336">
        <f t="shared" si="2"/>
        <v>7.6818088403851515E-12</v>
      </c>
      <c r="AD14" s="337">
        <f t="shared" si="3"/>
        <v>4.5664549356837974E-13</v>
      </c>
      <c r="AE14" s="308">
        <f t="shared" si="10"/>
        <v>5.9445047781934175</v>
      </c>
      <c r="AF14" s="337">
        <f t="shared" si="11"/>
        <v>9.1329098713675947E-13</v>
      </c>
      <c r="AG14" s="338">
        <f t="shared" si="23"/>
        <v>-25.592166070409068</v>
      </c>
      <c r="AH14" s="339">
        <f t="shared" si="24"/>
        <v>5.9445047781934178E-2</v>
      </c>
      <c r="AI14" s="340">
        <f t="shared" si="25"/>
        <v>0.23227829804788386</v>
      </c>
      <c r="AJ14" s="341">
        <f t="shared" si="12"/>
        <v>0.11889009556386836</v>
      </c>
    </row>
    <row r="15" spans="1:39" x14ac:dyDescent="0.2">
      <c r="A15" s="309">
        <v>8</v>
      </c>
      <c r="B15" s="309">
        <f t="shared" si="13"/>
        <v>8</v>
      </c>
      <c r="C15" s="1">
        <v>419.97</v>
      </c>
      <c r="D15" s="1">
        <v>0.8</v>
      </c>
      <c r="E15" s="326">
        <f t="shared" si="4"/>
        <v>14.427516158818097</v>
      </c>
      <c r="F15" s="327">
        <f t="shared" si="0"/>
        <v>1.5731305080647733E-2</v>
      </c>
      <c r="G15" s="309">
        <f t="shared" si="5"/>
        <v>1</v>
      </c>
      <c r="H15" s="1">
        <v>3600</v>
      </c>
      <c r="I15" s="324">
        <v>30</v>
      </c>
      <c r="J15" s="1">
        <v>0.21085999999999999</v>
      </c>
      <c r="K15" s="1">
        <v>6.6E-4</v>
      </c>
      <c r="L15" s="328">
        <f t="shared" si="6"/>
        <v>0.31300388883619462</v>
      </c>
      <c r="M15" s="329">
        <f t="shared" si="1"/>
        <v>2.5679590899735608E-2</v>
      </c>
      <c r="N15" s="342">
        <f>(1/$J$44)*SQRT(((1-J16/$J$44)*K15)^2+(J16/$J$44)^2*(SUMSQ(K$8:K14)+SUMSQ(K16:K$43)))</f>
        <v>6.019377811280742E-4</v>
      </c>
      <c r="O15" s="340">
        <f t="shared" si="14"/>
        <v>2.3440318168552743</v>
      </c>
      <c r="P15" s="332">
        <f t="shared" si="7"/>
        <v>8.9954074866127817E-2</v>
      </c>
      <c r="Q15" s="342">
        <f>SQRT(((1-P15)/$J$44)^2*SUMSQ(K$8:K15)+(P15/$J$44)^2*SUMSQ(K16:K$43))</f>
        <v>2.073563348961768E-3</v>
      </c>
      <c r="R15" s="340">
        <f t="shared" si="15"/>
        <v>2.3051355394935729</v>
      </c>
      <c r="S15" s="343">
        <f t="shared" si="16"/>
        <v>1.0230794585834708E-7</v>
      </c>
      <c r="T15" s="344">
        <f t="shared" si="17"/>
        <v>8.5256621548622791E-10</v>
      </c>
      <c r="U15" s="344">
        <f>IF(P15&lt;=0.85, (1/(3*H15*$J$44))*SQRT( ((1-P15)*(1/SQRT(1-PI()*P15/3)-1) + (1-P14)*(1-1/SQRT(1-PI()*P14/3)))^2*SUMSQ(K$8:K14) + ( (1-P15)*(1/SQRT(1-PI()*P15/3)-1) -P14*(1-1/SQRT(1-PI()*P14/3)) )^2*K15^2 + ( P15*(1-1/SQRT(1-PI()*P15/3)) - P14*(1-1/SQRT(1-PI()*P14/3)) )^2*SUMSQ(K16:K$43) ), (1/(PI()^2*H15*$J$44))*SQRT((1+P14/(1-P14))^2*K15^2+(P14/(1-P14)-P15/(1-P15))^2*SUMSQ(K16:K$43)) )</f>
        <v>4.8807923044369993E-9</v>
      </c>
      <c r="V15" s="345">
        <f t="shared" si="18"/>
        <v>4.9546950128983662E-9</v>
      </c>
      <c r="W15" s="340">
        <f t="shared" si="19"/>
        <v>4.8429229727263889</v>
      </c>
      <c r="X15" s="345">
        <f t="shared" si="20"/>
        <v>9.9093900257967324E-9</v>
      </c>
      <c r="Y15" s="338">
        <f t="shared" si="8"/>
        <v>-16.095278494880549</v>
      </c>
      <c r="Z15" s="346">
        <f t="shared" si="21"/>
        <v>4.8429229727263885E-2</v>
      </c>
      <c r="AA15" s="346">
        <f t="shared" si="22"/>
        <v>0.30089090873865804</v>
      </c>
      <c r="AB15" s="346">
        <f t="shared" si="9"/>
        <v>9.6858459454527771E-2</v>
      </c>
      <c r="AC15" s="336">
        <f t="shared" si="2"/>
        <v>1.3202799489841346E-11</v>
      </c>
      <c r="AD15" s="337">
        <f t="shared" si="3"/>
        <v>7.9054055542960485E-13</v>
      </c>
      <c r="AE15" s="308">
        <f t="shared" si="10"/>
        <v>5.9876737205459492</v>
      </c>
      <c r="AF15" s="337">
        <f t="shared" si="11"/>
        <v>1.5810811108592097E-12</v>
      </c>
      <c r="AG15" s="338">
        <f t="shared" si="23"/>
        <v>-25.050592226258811</v>
      </c>
      <c r="AH15" s="339">
        <f t="shared" si="24"/>
        <v>5.9876737205459489E-2</v>
      </c>
      <c r="AI15" s="340">
        <f t="shared" si="25"/>
        <v>0.23902324010805157</v>
      </c>
      <c r="AJ15" s="341">
        <f t="shared" si="12"/>
        <v>0.11975347441091898</v>
      </c>
    </row>
    <row r="16" spans="1:39" x14ac:dyDescent="0.2">
      <c r="A16" s="309">
        <v>9</v>
      </c>
      <c r="B16" s="309">
        <f t="shared" si="13"/>
        <v>9</v>
      </c>
      <c r="C16" s="1">
        <v>439.97</v>
      </c>
      <c r="D16" s="1">
        <v>0.82</v>
      </c>
      <c r="E16" s="326">
        <f t="shared" si="4"/>
        <v>14.022885348889387</v>
      </c>
      <c r="F16" s="327">
        <f t="shared" si="0"/>
        <v>1.5681698711613665E-2</v>
      </c>
      <c r="G16" s="309">
        <f t="shared" si="5"/>
        <v>1</v>
      </c>
      <c r="H16" s="1">
        <v>3600</v>
      </c>
      <c r="I16" s="324">
        <v>30</v>
      </c>
      <c r="J16" s="1">
        <v>0.212869999999999</v>
      </c>
      <c r="K16" s="1">
        <v>7.9000000000000001E-4</v>
      </c>
      <c r="L16" s="328">
        <f t="shared" si="6"/>
        <v>0.37111852304223408</v>
      </c>
      <c r="M16" s="329">
        <f t="shared" si="1"/>
        <v>2.5924378805020836E-2</v>
      </c>
      <c r="N16" s="342">
        <f>(1/$J$44)*SQRT(((1-J17/$J$44)*K16)^2+(J17/$J$44)^2*(SUMSQ(K$8:K15)+SUMSQ(K17:K$43)))</f>
        <v>4.2766951303248866E-4</v>
      </c>
      <c r="O16" s="340">
        <f t="shared" si="14"/>
        <v>1.6496808515606971</v>
      </c>
      <c r="P16" s="332">
        <f t="shared" si="7"/>
        <v>0.11587845367114866</v>
      </c>
      <c r="Q16" s="342">
        <f>SQRT(((1-P16)/$J$44)^2*SUMSQ(K$8:K16)+(P16/$J$44)^2*SUMSQ(K17:K$43))</f>
        <v>2.670999765351313E-3</v>
      </c>
      <c r="R16" s="340">
        <f t="shared" si="15"/>
        <v>2.3050012152659027</v>
      </c>
      <c r="S16" s="343">
        <f t="shared" si="16"/>
        <v>1.4091627974546938E-7</v>
      </c>
      <c r="T16" s="344">
        <f t="shared" si="17"/>
        <v>1.1743023312122462E-9</v>
      </c>
      <c r="U16" s="344">
        <f>IF(P16&lt;=0.85, (1/(3*H16*$J$44))*SQRT( ((1-P16)*(1/SQRT(1-PI()*P16/3)-1) + (1-P15)*(1-1/SQRT(1-PI()*P15/3)))^2*SUMSQ(K$8:K15) + ( (1-P16)*(1/SQRT(1-PI()*P16/3)-1) -P15*(1-1/SQRT(1-PI()*P15/3)) )^2*K16^2 + ( P16*(1-1/SQRT(1-PI()*P16/3)) - P15*(1-1/SQRT(1-PI()*P15/3)) )^2*SUMSQ(K17:K$43) ), (1/(PI()^2*H16*$J$44))*SQRT((1+P15/(1-P15))^2*K16^2+(P15/(1-P15)-P16/(1-P16))^2*SUMSQ(K17:K$43)) )</f>
        <v>6.8063969120758342E-9</v>
      </c>
      <c r="V16" s="345">
        <f t="shared" si="18"/>
        <v>6.9069548203101749E-9</v>
      </c>
      <c r="W16" s="340">
        <f t="shared" si="19"/>
        <v>4.9014598120145454</v>
      </c>
      <c r="X16" s="345">
        <f t="shared" si="20"/>
        <v>1.381390964062035E-8</v>
      </c>
      <c r="Y16" s="338">
        <f t="shared" si="8"/>
        <v>-15.775099883584348</v>
      </c>
      <c r="Z16" s="346">
        <f t="shared" si="21"/>
        <v>4.9014598120145456E-2</v>
      </c>
      <c r="AA16" s="346">
        <f t="shared" si="22"/>
        <v>0.31070863881597544</v>
      </c>
      <c r="AB16" s="346">
        <f t="shared" si="9"/>
        <v>9.8029196240290911E-2</v>
      </c>
      <c r="AC16" s="336">
        <f t="shared" si="2"/>
        <v>1.8185189534640924E-11</v>
      </c>
      <c r="AD16" s="337">
        <f t="shared" si="3"/>
        <v>1.0974975366373628E-12</v>
      </c>
      <c r="AE16" s="308">
        <f t="shared" si="10"/>
        <v>6.0351173934521958</v>
      </c>
      <c r="AF16" s="337">
        <f t="shared" si="11"/>
        <v>2.1949950732747256E-12</v>
      </c>
      <c r="AG16" s="338">
        <f t="shared" si="23"/>
        <v>-24.730413614962611</v>
      </c>
      <c r="AH16" s="339">
        <f t="shared" si="24"/>
        <v>6.0351173934521954E-2</v>
      </c>
      <c r="AI16" s="340">
        <f t="shared" si="25"/>
        <v>0.24403624975365459</v>
      </c>
      <c r="AJ16" s="341">
        <f t="shared" si="12"/>
        <v>0.12070234786904391</v>
      </c>
    </row>
    <row r="17" spans="1:39" x14ac:dyDescent="0.2">
      <c r="A17" s="309">
        <v>10</v>
      </c>
      <c r="B17" s="309">
        <f t="shared" si="13"/>
        <v>10</v>
      </c>
      <c r="C17" s="1">
        <v>449.97</v>
      </c>
      <c r="D17" s="1">
        <v>0.85</v>
      </c>
      <c r="E17" s="326">
        <f t="shared" si="4"/>
        <v>13.828963380904968</v>
      </c>
      <c r="F17" s="327">
        <f t="shared" si="0"/>
        <v>1.7193330946257114E-2</v>
      </c>
      <c r="G17" s="309">
        <f t="shared" si="5"/>
        <v>1</v>
      </c>
      <c r="H17" s="1">
        <v>3600</v>
      </c>
      <c r="I17" s="324">
        <v>30</v>
      </c>
      <c r="J17" s="1">
        <v>0.14877000000000001</v>
      </c>
      <c r="K17" s="1">
        <v>3.3999999999999899E-4</v>
      </c>
      <c r="L17" s="328">
        <f t="shared" si="6"/>
        <v>0.22854070041002819</v>
      </c>
      <c r="M17" s="329">
        <f t="shared" si="1"/>
        <v>1.8117958541940943E-2</v>
      </c>
      <c r="N17" s="342">
        <f>(1/$J$44)*SQRT(((1-J18/$J$44)*K17)^2+(J18/$J$44)^2*(SUMSQ(K$8:K16)+SUMSQ(K18:K$43)))</f>
        <v>1.2364365213020806E-4</v>
      </c>
      <c r="O17" s="340">
        <f t="shared" si="14"/>
        <v>0.68243699666266233</v>
      </c>
      <c r="P17" s="332">
        <f t="shared" si="7"/>
        <v>0.13399641221308961</v>
      </c>
      <c r="Q17" s="342">
        <f>SQRT(((1-P17)/$J$44)^2*SUMSQ(K$8:K17)+(P17/$J$44)^2*SUMSQ(K18:K$43))</f>
        <v>3.087738991531514E-3</v>
      </c>
      <c r="R17" s="340">
        <f t="shared" si="15"/>
        <v>2.3043445272409198</v>
      </c>
      <c r="S17" s="343">
        <f t="shared" si="16"/>
        <v>1.2186484444287856E-7</v>
      </c>
      <c r="T17" s="344">
        <f t="shared" si="17"/>
        <v>1.0155403703573205E-9</v>
      </c>
      <c r="U17" s="344">
        <f>IF(P17&lt;=0.85, (1/(3*H17*$J$44))*SQRT( ((1-P17)*(1/SQRT(1-PI()*P17/3)-1) + (1-P16)*(1-1/SQRT(1-PI()*P16/3)))^2*SUMSQ(K$8:K16) + ( (1-P17)*(1/SQRT(1-PI()*P17/3)-1) -P16*(1-1/SQRT(1-PI()*P16/3)) )^2*K17^2 + ( P17*(1-1/SQRT(1-PI()*P17/3)) - P16*(1-1/SQRT(1-PI()*P16/3)) )^2*SUMSQ(K18:K$43) ), (1/(PI()^2*H17*$J$44))*SQRT((1+P16/(1-P16))^2*K17^2+(P16/(1-P16)-P17/(1-P17))^2*SUMSQ(K18:K$43)) )</f>
        <v>5.9332147911825772E-9</v>
      </c>
      <c r="V17" s="345">
        <f t="shared" si="18"/>
        <v>6.019498318143564E-9</v>
      </c>
      <c r="W17" s="340">
        <f t="shared" si="19"/>
        <v>4.9394871389386381</v>
      </c>
      <c r="X17" s="345">
        <f t="shared" si="20"/>
        <v>1.2038996636287128E-8</v>
      </c>
      <c r="Y17" s="338">
        <f t="shared" si="8"/>
        <v>-15.920353238748516</v>
      </c>
      <c r="Z17" s="346">
        <f t="shared" si="21"/>
        <v>4.9394871389386377E-2</v>
      </c>
      <c r="AA17" s="346">
        <f t="shared" si="22"/>
        <v>0.31026240843176955</v>
      </c>
      <c r="AB17" s="346">
        <f t="shared" si="9"/>
        <v>9.8789742778772754E-2</v>
      </c>
      <c r="AC17" s="336">
        <f t="shared" si="2"/>
        <v>1.57266094294157E-11</v>
      </c>
      <c r="AD17" s="337">
        <f t="shared" si="3"/>
        <v>9.5398275019658556E-13</v>
      </c>
      <c r="AE17" s="308">
        <f t="shared" si="10"/>
        <v>6.0660421083022307</v>
      </c>
      <c r="AF17" s="337">
        <f t="shared" si="11"/>
        <v>1.9079655003931711E-12</v>
      </c>
      <c r="AG17" s="338">
        <f t="shared" si="23"/>
        <v>-24.87566697012678</v>
      </c>
      <c r="AH17" s="339">
        <f t="shared" si="24"/>
        <v>6.066042108302231E-2</v>
      </c>
      <c r="AI17" s="340">
        <f t="shared" si="25"/>
        <v>0.24385445084093418</v>
      </c>
      <c r="AJ17" s="341">
        <f t="shared" si="12"/>
        <v>0.12132084216604462</v>
      </c>
      <c r="AM17" s="322"/>
    </row>
    <row r="18" spans="1:39" x14ac:dyDescent="0.2">
      <c r="A18" s="309">
        <v>11</v>
      </c>
      <c r="B18" s="309">
        <f t="shared" si="13"/>
        <v>11</v>
      </c>
      <c r="C18" s="1">
        <v>429.97</v>
      </c>
      <c r="D18" s="1">
        <v>0.91</v>
      </c>
      <c r="E18" s="326">
        <f t="shared" si="4"/>
        <v>14.222323358743884</v>
      </c>
      <c r="F18" s="327">
        <f t="shared" si="0"/>
        <v>1.9500002915250437E-2</v>
      </c>
      <c r="G18" s="309">
        <f t="shared" si="5"/>
        <v>1</v>
      </c>
      <c r="H18" s="1">
        <v>3600</v>
      </c>
      <c r="I18" s="324">
        <v>30</v>
      </c>
      <c r="J18" s="1">
        <v>4.1579999999999999E-2</v>
      </c>
      <c r="K18" s="1">
        <v>2.7E-4</v>
      </c>
      <c r="L18" s="328">
        <f t="shared" si="6"/>
        <v>0.64935064935064934</v>
      </c>
      <c r="M18" s="329">
        <f t="shared" si="1"/>
        <v>5.0638214436640738E-3</v>
      </c>
      <c r="N18" s="342">
        <f>(1/$J$44)*SQRT(((1-J19/$J$44)*K18)^2+(J19/$J$44)^2*(SUMSQ(K$8:K17)+SUMSQ(K19:K$43)))</f>
        <v>5.6330854415741389E-5</v>
      </c>
      <c r="O18" s="340">
        <f t="shared" si="14"/>
        <v>1.1124178654881949</v>
      </c>
      <c r="P18" s="332">
        <f t="shared" si="7"/>
        <v>0.13906023365675368</v>
      </c>
      <c r="Q18" s="342">
        <f>SQRT(((1-P18)/$J$44)^2*SUMSQ(K$8:K18)+(P18/$J$44)^2*SUMSQ(K19:K$43))</f>
        <v>3.2042957724851282E-3</v>
      </c>
      <c r="R18" s="340">
        <f t="shared" si="15"/>
        <v>2.3042502433832968</v>
      </c>
      <c r="S18" s="343">
        <f t="shared" si="16"/>
        <v>3.760224854387361E-8</v>
      </c>
      <c r="T18" s="344">
        <f t="shared" si="17"/>
        <v>3.1335207119894694E-10</v>
      </c>
      <c r="U18" s="344">
        <f>IF(P18&lt;=0.85, (1/(3*H18*$J$44))*SQRT( ((1-P18)*(1/SQRT(1-PI()*P18/3)-1) + (1-P17)*(1-1/SQRT(1-PI()*P17/3)))^2*SUMSQ(K$8:K17) + ( (1-P18)*(1/SQRT(1-PI()*P18/3)-1) -P17*(1-1/SQRT(1-PI()*P17/3)) )^2*K18^2 + ( P18*(1-1/SQRT(1-PI()*P18/3)) - P17*(1-1/SQRT(1-PI()*P17/3)) )^2*SUMSQ(K19:K$43) ), (1/(PI()^2*H18*$J$44))*SQRT((1+P17/(1-P17))^2*K18^2+(P17/(1-P17)-P18/(1-P18))^2*SUMSQ(K19:K$43)) )</f>
        <v>1.8550599962072698E-9</v>
      </c>
      <c r="V18" s="345">
        <f t="shared" si="18"/>
        <v>1.8813391799601647E-9</v>
      </c>
      <c r="W18" s="340">
        <f t="shared" si="19"/>
        <v>5.0032624452366266</v>
      </c>
      <c r="X18" s="345">
        <f t="shared" si="20"/>
        <v>3.7626783599203295E-9</v>
      </c>
      <c r="Y18" s="338">
        <f t="shared" si="8"/>
        <v>-17.096201986639848</v>
      </c>
      <c r="Z18" s="346">
        <f t="shared" si="21"/>
        <v>5.0032624452366267E-2</v>
      </c>
      <c r="AA18" s="346">
        <f t="shared" si="22"/>
        <v>0.29265344718941205</v>
      </c>
      <c r="AB18" s="346">
        <f t="shared" si="9"/>
        <v>0.10006524890473253</v>
      </c>
      <c r="AC18" s="336">
        <f t="shared" si="2"/>
        <v>4.8525551336874713E-12</v>
      </c>
      <c r="AD18" s="337">
        <f t="shared" si="3"/>
        <v>2.968834663607072E-13</v>
      </c>
      <c r="AE18" s="308">
        <f t="shared" si="10"/>
        <v>6.1180853835060827</v>
      </c>
      <c r="AF18" s="337">
        <f t="shared" si="11"/>
        <v>5.9376693272141441E-13</v>
      </c>
      <c r="AG18" s="338">
        <f t="shared" si="23"/>
        <v>-26.051515718018109</v>
      </c>
      <c r="AH18" s="339">
        <f t="shared" si="24"/>
        <v>6.1180853835060819E-2</v>
      </c>
      <c r="AI18" s="340">
        <f t="shared" si="25"/>
        <v>0.2348456592594575</v>
      </c>
      <c r="AJ18" s="341">
        <f t="shared" si="12"/>
        <v>0.12236170767012164</v>
      </c>
    </row>
    <row r="19" spans="1:39" x14ac:dyDescent="0.2">
      <c r="A19" s="309">
        <v>12</v>
      </c>
      <c r="B19" s="309">
        <f t="shared" si="13"/>
        <v>12</v>
      </c>
      <c r="C19" s="1">
        <v>409.98</v>
      </c>
      <c r="D19" s="1">
        <v>0.9</v>
      </c>
      <c r="E19" s="326">
        <f t="shared" si="4"/>
        <v>14.638502188456076</v>
      </c>
      <c r="F19" s="327">
        <f t="shared" si="0"/>
        <v>1.8465875692330231E-2</v>
      </c>
      <c r="G19" s="309">
        <f t="shared" si="5"/>
        <v>1</v>
      </c>
      <c r="H19" s="1">
        <v>3600</v>
      </c>
      <c r="I19" s="324">
        <v>30</v>
      </c>
      <c r="J19" s="1">
        <v>1.6330000000000001E-2</v>
      </c>
      <c r="K19" s="122">
        <v>9.0000000000000006E-5</v>
      </c>
      <c r="L19" s="328">
        <f t="shared" si="6"/>
        <v>0.55113288426209428</v>
      </c>
      <c r="M19" s="329">
        <f t="shared" si="1"/>
        <v>1.9887494991590749E-3</v>
      </c>
      <c r="N19" s="342">
        <f>(1/$J$44)*SQRT(((1-J20/$J$44)*K19)^2+(J20/$J$44)^2*(SUMSQ(K$8:K18)+SUMSQ(K20:K$43)))</f>
        <v>7.543038354339526E-5</v>
      </c>
      <c r="O19" s="340">
        <f t="shared" si="14"/>
        <v>3.7928549359932124</v>
      </c>
      <c r="P19" s="332">
        <f t="shared" si="7"/>
        <v>0.14104898315591277</v>
      </c>
      <c r="Q19" s="342">
        <f>SQRT(((1-P19)/$J$44)^2*SUMSQ(K$8:K19)+(P19/$J$44)^2*SUMSQ(K20:K$43))</f>
        <v>3.2500377978862769E-3</v>
      </c>
      <c r="R19" s="340">
        <f t="shared" si="15"/>
        <v>2.3041908740977943</v>
      </c>
      <c r="S19" s="343">
        <f t="shared" si="16"/>
        <v>1.5197507971006016E-8</v>
      </c>
      <c r="T19" s="344">
        <f t="shared" si="17"/>
        <v>1.2664589975838347E-10</v>
      </c>
      <c r="U19" s="344">
        <f>IF(P19&lt;=0.85, (1/(3*H19*$J$44))*SQRT( ((1-P19)*(1/SQRT(1-PI()*P19/3)-1) + (1-P18)*(1-1/SQRT(1-PI()*P18/3)))^2*SUMSQ(K$8:K18) + ( (1-P19)*(1/SQRT(1-PI()*P19/3)-1) -P18*(1-1/SQRT(1-PI()*P18/3)) )^2*K19^2 + ( P19*(1-1/SQRT(1-PI()*P19/3)) - P18*(1-1/SQRT(1-PI()*P18/3)) )^2*SUMSQ(K20:K$43) ), (1/(PI()^2*H19*$J$44))*SQRT((1+P18/(1-P18))^2*K19^2+(P18/(1-P18)-P19/(1-P19))^2*SUMSQ(K20:K$43)) )</f>
        <v>7.4910946508074793E-10</v>
      </c>
      <c r="V19" s="345">
        <f t="shared" si="18"/>
        <v>7.5973954392224109E-10</v>
      </c>
      <c r="W19" s="340">
        <f t="shared" si="19"/>
        <v>4.9991060729935537</v>
      </c>
      <c r="X19" s="345">
        <f t="shared" si="20"/>
        <v>1.5194790878444822E-9</v>
      </c>
      <c r="Y19" s="338">
        <f t="shared" si="8"/>
        <v>-18.002134371811252</v>
      </c>
      <c r="Z19" s="346">
        <f t="shared" si="21"/>
        <v>4.9991060729935533E-2</v>
      </c>
      <c r="AA19" s="346">
        <f t="shared" si="22"/>
        <v>0.27769518712300212</v>
      </c>
      <c r="AB19" s="346">
        <f t="shared" si="9"/>
        <v>9.9982121459871065E-2</v>
      </c>
      <c r="AC19" s="336">
        <f t="shared" si="2"/>
        <v>1.9612323246551378E-12</v>
      </c>
      <c r="AD19" s="337">
        <f t="shared" si="3"/>
        <v>1.1992321492443229E-13</v>
      </c>
      <c r="AE19" s="308">
        <f t="shared" si="10"/>
        <v>6.1146868434120645</v>
      </c>
      <c r="AF19" s="337">
        <f t="shared" si="11"/>
        <v>2.3984642984886458E-13</v>
      </c>
      <c r="AG19" s="338">
        <f t="shared" si="23"/>
        <v>-26.957448103189517</v>
      </c>
      <c r="AH19" s="339">
        <f t="shared" si="24"/>
        <v>6.1146868434120642E-2</v>
      </c>
      <c r="AI19" s="340">
        <f t="shared" si="25"/>
        <v>0.22682736214518001</v>
      </c>
      <c r="AJ19" s="341">
        <f t="shared" si="12"/>
        <v>0.12229373686824128</v>
      </c>
    </row>
    <row r="20" spans="1:39" x14ac:dyDescent="0.2">
      <c r="A20" s="309">
        <v>13</v>
      </c>
      <c r="B20" s="309">
        <f t="shared" si="13"/>
        <v>13</v>
      </c>
      <c r="C20" s="1">
        <v>424.98</v>
      </c>
      <c r="D20" s="1">
        <v>0.9</v>
      </c>
      <c r="E20" s="326">
        <f t="shared" si="4"/>
        <v>14.323979774540559</v>
      </c>
      <c r="F20" s="327">
        <f t="shared" si="0"/>
        <v>1.745164499030193E-2</v>
      </c>
      <c r="G20" s="309">
        <f t="shared" si="5"/>
        <v>1</v>
      </c>
      <c r="H20" s="1">
        <v>3600</v>
      </c>
      <c r="I20" s="324">
        <v>30</v>
      </c>
      <c r="J20" s="1">
        <v>2.6619999999999901E-2</v>
      </c>
      <c r="K20" s="1">
        <v>1.6000000000000001E-4</v>
      </c>
      <c r="L20" s="328">
        <f t="shared" si="6"/>
        <v>0.6010518407212645</v>
      </c>
      <c r="M20" s="329">
        <f t="shared" si="1"/>
        <v>3.2419174321870405E-3</v>
      </c>
      <c r="N20" s="342">
        <f>(1/$J$44)*SQRT(((1-J21/$J$44)*K20)^2+(J21/$J$44)^2*(SUMSQ(K$8:K19)+SUMSQ(K21:K$43)))</f>
        <v>1.392683688736316E-4</v>
      </c>
      <c r="O20" s="340">
        <f t="shared" si="14"/>
        <v>4.2958641540626559</v>
      </c>
      <c r="P20" s="332">
        <f t="shared" si="7"/>
        <v>0.14429090058809982</v>
      </c>
      <c r="Q20" s="342">
        <f>SQRT(((1-P20)/$J$44)^2*SUMSQ(K$8:K20)+(P20/$J$44)^2*SUMSQ(K21:K$43))</f>
        <v>3.3246250652739814E-3</v>
      </c>
      <c r="R20" s="340">
        <f t="shared" si="15"/>
        <v>2.3041127692207191</v>
      </c>
      <c r="S20" s="343">
        <f t="shared" si="16"/>
        <v>2.5296716606212947E-8</v>
      </c>
      <c r="T20" s="344">
        <f t="shared" si="17"/>
        <v>2.1080597171844082E-10</v>
      </c>
      <c r="U20" s="344">
        <f>IF(P20&lt;=0.85, (1/(3*H20*$J$44))*SQRT( ((1-P20)*(1/SQRT(1-PI()*P20/3)-1) + (1-P19)*(1-1/SQRT(1-PI()*P19/3)))^2*SUMSQ(K$8:K19) + ( (1-P20)*(1/SQRT(1-PI()*P20/3)-1) -P19*(1-1/SQRT(1-PI()*P19/3)) )^2*K20^2 + ( P20*(1-1/SQRT(1-PI()*P20/3)) - P19*(1-1/SQRT(1-PI()*P19/3)) )^2*SUMSQ(K21:K$43) ), (1/(PI()^2*H20*$J$44))*SQRT((1+P19/(1-P19))^2*K20^2+(P19/(1-P19)-P20/(1-P20))^2*SUMSQ(K21:K$43)) )</f>
        <v>1.2500290889296471E-9</v>
      </c>
      <c r="V20" s="345">
        <f t="shared" si="18"/>
        <v>1.2676797233064981E-9</v>
      </c>
      <c r="W20" s="340">
        <f t="shared" si="19"/>
        <v>5.011242142765485</v>
      </c>
      <c r="X20" s="345">
        <f t="shared" si="20"/>
        <v>2.5353594466129961E-9</v>
      </c>
      <c r="Y20" s="338">
        <f t="shared" si="8"/>
        <v>-17.492591228045438</v>
      </c>
      <c r="Z20" s="346">
        <f t="shared" si="21"/>
        <v>5.0112421427654853E-2</v>
      </c>
      <c r="AA20" s="346">
        <f t="shared" si="22"/>
        <v>0.28647797672943304</v>
      </c>
      <c r="AB20" s="346">
        <f t="shared" si="9"/>
        <v>0.10022484285530971</v>
      </c>
      <c r="AC20" s="336">
        <f t="shared" si="2"/>
        <v>3.2645311593451383E-12</v>
      </c>
      <c r="AD20" s="337">
        <f t="shared" si="3"/>
        <v>1.9993989198587964E-13</v>
      </c>
      <c r="AE20" s="308">
        <f t="shared" si="10"/>
        <v>6.1246127614229104</v>
      </c>
      <c r="AF20" s="337">
        <f t="shared" si="11"/>
        <v>3.9987978397175928E-13</v>
      </c>
      <c r="AG20" s="338">
        <f t="shared" si="23"/>
        <v>-26.447904959423703</v>
      </c>
      <c r="AH20" s="339">
        <f t="shared" si="24"/>
        <v>6.1246127614229109E-2</v>
      </c>
      <c r="AI20" s="340">
        <f t="shared" si="25"/>
        <v>0.23157270002366059</v>
      </c>
      <c r="AJ20" s="341">
        <f t="shared" si="12"/>
        <v>0.12249225522845822</v>
      </c>
    </row>
    <row r="21" spans="1:39" x14ac:dyDescent="0.2">
      <c r="A21" s="309">
        <v>14</v>
      </c>
      <c r="B21" s="309">
        <f t="shared" si="13"/>
        <v>14</v>
      </c>
      <c r="C21" s="1">
        <v>444.98</v>
      </c>
      <c r="D21" s="1">
        <v>0.86</v>
      </c>
      <c r="E21" s="326">
        <f t="shared" si="4"/>
        <v>13.925055352095026</v>
      </c>
      <c r="F21" s="327">
        <f t="shared" si="0"/>
        <v>1.57849970513185E-2</v>
      </c>
      <c r="G21" s="309">
        <f t="shared" si="5"/>
        <v>1</v>
      </c>
      <c r="H21" s="1">
        <v>3600</v>
      </c>
      <c r="I21" s="324">
        <v>30</v>
      </c>
      <c r="J21" s="1">
        <v>4.9189999999999998E-2</v>
      </c>
      <c r="K21" s="1">
        <v>2.7E-4</v>
      </c>
      <c r="L21" s="328">
        <f t="shared" si="6"/>
        <v>0.54889205122992479</v>
      </c>
      <c r="M21" s="329">
        <f t="shared" si="1"/>
        <v>5.9906055029782541E-3</v>
      </c>
      <c r="N21" s="342">
        <f>(1/$J$44)*SQRT(((1-J22/$J$44)*K21)^2+(J22/$J$44)^2*(SUMSQ(K$8:K20)+SUMSQ(K22:K$43)))</f>
        <v>2.1566928074842184E-4</v>
      </c>
      <c r="O21" s="340">
        <f t="shared" si="14"/>
        <v>3.6001249062586576</v>
      </c>
      <c r="P21" s="332">
        <f t="shared" si="7"/>
        <v>0.15028150609107807</v>
      </c>
      <c r="Q21" s="342">
        <f>SQRT(((1-P21)/$J$44)^2*SUMSQ(K$8:K21)+(P21/$J$44)^2*SUMSQ(K22:K$43))</f>
        <v>3.4624936858396863E-3</v>
      </c>
      <c r="R21" s="340">
        <f t="shared" si="15"/>
        <v>2.3040051806116733</v>
      </c>
      <c r="S21" s="343">
        <f t="shared" si="16"/>
        <v>4.8461850038238938E-8</v>
      </c>
      <c r="T21" s="344">
        <f t="shared" si="17"/>
        <v>4.038487503186575E-10</v>
      </c>
      <c r="U21" s="344">
        <f>IF(P21&lt;=0.85, (1/(3*H21*$J$44))*SQRT( ((1-P21)*(1/SQRT(1-PI()*P21/3)-1) + (1-P20)*(1-1/SQRT(1-PI()*P20/3)))^2*SUMSQ(K$8:K20) + ( (1-P21)*(1/SQRT(1-PI()*P21/3)-1) -P20*(1-1/SQRT(1-PI()*P20/3)) )^2*K21^2 + ( P21*(1-1/SQRT(1-PI()*P21/3)) - P20*(1-1/SQRT(1-PI()*P20/3)) )^2*SUMSQ(K22:K$43) ), (1/(PI()^2*H21*$J$44))*SQRT((1+P20/(1-P20))^2*K21^2+(P20/(1-P20)-P21/(1-P21))^2*SUMSQ(K22:K$43)) )</f>
        <v>2.3973124026531345E-9</v>
      </c>
      <c r="V21" s="345">
        <f t="shared" si="18"/>
        <v>2.4310904074197826E-9</v>
      </c>
      <c r="W21" s="340">
        <f t="shared" si="19"/>
        <v>5.0165035084329732</v>
      </c>
      <c r="X21" s="345">
        <f t="shared" si="20"/>
        <v>4.8621808148395653E-9</v>
      </c>
      <c r="Y21" s="338">
        <f t="shared" si="8"/>
        <v>-16.84248894568255</v>
      </c>
      <c r="Z21" s="346">
        <f t="shared" si="21"/>
        <v>5.0165035084329734E-2</v>
      </c>
      <c r="AA21" s="346">
        <f t="shared" si="22"/>
        <v>0.29784811049075488</v>
      </c>
      <c r="AB21" s="346">
        <f t="shared" si="9"/>
        <v>0.10033007016865947</v>
      </c>
      <c r="AC21" s="336">
        <f t="shared" si="2"/>
        <v>6.25398236269472E-12</v>
      </c>
      <c r="AD21" s="337">
        <f t="shared" si="3"/>
        <v>3.8330147759779028E-13</v>
      </c>
      <c r="AE21" s="308">
        <f t="shared" si="10"/>
        <v>6.1289184293866974</v>
      </c>
      <c r="AF21" s="337">
        <f t="shared" si="11"/>
        <v>7.6660295519558057E-13</v>
      </c>
      <c r="AG21" s="338">
        <f t="shared" si="23"/>
        <v>-25.797802677060815</v>
      </c>
      <c r="AH21" s="339">
        <f t="shared" si="24"/>
        <v>6.1289184293866969E-2</v>
      </c>
      <c r="AI21" s="340">
        <f t="shared" si="25"/>
        <v>0.23757521158329031</v>
      </c>
      <c r="AJ21" s="341">
        <f t="shared" si="12"/>
        <v>0.12257836858773394</v>
      </c>
    </row>
    <row r="22" spans="1:39" x14ac:dyDescent="0.2">
      <c r="A22" s="309">
        <v>15</v>
      </c>
      <c r="B22" s="309">
        <f t="shared" si="13"/>
        <v>15</v>
      </c>
      <c r="C22" s="1">
        <v>464.97</v>
      </c>
      <c r="D22" s="1">
        <v>0.86</v>
      </c>
      <c r="E22" s="326">
        <f t="shared" si="4"/>
        <v>13.547932585487455</v>
      </c>
      <c r="F22" s="327">
        <f t="shared" si="0"/>
        <v>1.4963133247698183E-2</v>
      </c>
      <c r="G22" s="309">
        <f t="shared" si="5"/>
        <v>1</v>
      </c>
      <c r="H22" s="1">
        <v>3600</v>
      </c>
      <c r="I22" s="324">
        <v>30</v>
      </c>
      <c r="J22" s="1">
        <v>7.6039999999999996E-2</v>
      </c>
      <c r="K22" s="1">
        <v>2.5999999999999998E-4</v>
      </c>
      <c r="L22" s="328">
        <f t="shared" si="6"/>
        <v>0.34192530247238295</v>
      </c>
      <c r="M22" s="329">
        <f t="shared" si="1"/>
        <v>9.2605334914914912E-3</v>
      </c>
      <c r="N22" s="342">
        <f>(1/$J$44)*SQRT(((1-J23/$J$44)*K22)^2+(J23/$J$44)^2*(SUMSQ(K$8:K21)+SUMSQ(K23:K$43)))</f>
        <v>2.6732257616337912E-4</v>
      </c>
      <c r="O22" s="340">
        <f t="shared" si="14"/>
        <v>2.8866865651853981</v>
      </c>
      <c r="P22" s="332">
        <f t="shared" si="7"/>
        <v>0.15954203958256957</v>
      </c>
      <c r="Q22" s="342">
        <f>SQRT(((1-P22)/$J$44)^2*SUMSQ(K$8:K22)+(P22/$J$44)^2*SUMSQ(K23:K$43))</f>
        <v>3.675554840203848E-3</v>
      </c>
      <c r="R22" s="340">
        <f t="shared" si="15"/>
        <v>2.303815878135115</v>
      </c>
      <c r="S22" s="343">
        <f t="shared" si="16"/>
        <v>7.9349732152980701E-8</v>
      </c>
      <c r="T22" s="344">
        <f t="shared" si="17"/>
        <v>6.6124776794150517E-10</v>
      </c>
      <c r="U22" s="344">
        <f>IF(P22&lt;=0.85, (1/(3*H22*$J$44))*SQRT( ((1-P22)*(1/SQRT(1-PI()*P22/3)-1) + (1-P21)*(1-1/SQRT(1-PI()*P21/3)))^2*SUMSQ(K$8:K21) + ( (1-P22)*(1/SQRT(1-PI()*P22/3)-1) -P21*(1-1/SQRT(1-PI()*P21/3)) )^2*K22^2 + ( P22*(1-1/SQRT(1-PI()*P22/3)) - P21*(1-1/SQRT(1-PI()*P21/3)) )^2*SUMSQ(K23:K$43) ), (1/(PI()^2*H22*$J$44))*SQRT((1+P21/(1-P21))^2*K22^2+(P21/(1-P21)-P22/(1-P22))^2*SUMSQ(K23:K$43)) )</f>
        <v>3.9252199771069843E-9</v>
      </c>
      <c r="V22" s="345">
        <f t="shared" si="18"/>
        <v>3.9805276634244583E-9</v>
      </c>
      <c r="W22" s="340">
        <f t="shared" si="19"/>
        <v>5.0164349083753441</v>
      </c>
      <c r="X22" s="345">
        <f t="shared" si="20"/>
        <v>7.9610553268489166E-9</v>
      </c>
      <c r="Y22" s="338">
        <f t="shared" si="8"/>
        <v>-16.349400765493481</v>
      </c>
      <c r="Z22" s="346">
        <f t="shared" si="21"/>
        <v>5.0164349083753439E-2</v>
      </c>
      <c r="AA22" s="346">
        <f t="shared" si="22"/>
        <v>0.30682683606134786</v>
      </c>
      <c r="AB22" s="346">
        <f t="shared" si="9"/>
        <v>0.10032869816750688</v>
      </c>
      <c r="AC22" s="336">
        <f t="shared" si="2"/>
        <v>1.0240051194449299E-11</v>
      </c>
      <c r="AD22" s="337">
        <f t="shared" si="3"/>
        <v>6.2759863516539368E-13</v>
      </c>
      <c r="AE22" s="308">
        <f t="shared" si="10"/>
        <v>6.1288622805478603</v>
      </c>
      <c r="AF22" s="337">
        <f t="shared" si="11"/>
        <v>1.2551972703307874E-12</v>
      </c>
      <c r="AG22" s="338">
        <f t="shared" si="23"/>
        <v>-25.304714496871746</v>
      </c>
      <c r="AH22" s="339">
        <f t="shared" si="24"/>
        <v>6.1288622805478601E-2</v>
      </c>
      <c r="AI22" s="340">
        <f t="shared" si="25"/>
        <v>0.24220238806905053</v>
      </c>
      <c r="AJ22" s="341">
        <f t="shared" si="12"/>
        <v>0.1225772456109572</v>
      </c>
    </row>
    <row r="23" spans="1:39" x14ac:dyDescent="0.2">
      <c r="A23" s="309">
        <v>16</v>
      </c>
      <c r="B23" s="309">
        <f t="shared" si="13"/>
        <v>16</v>
      </c>
      <c r="C23" s="1">
        <v>484.97</v>
      </c>
      <c r="D23" s="1">
        <v>0.85</v>
      </c>
      <c r="E23" s="326">
        <f t="shared" si="4"/>
        <v>13.190523927610405</v>
      </c>
      <c r="F23" s="327">
        <f t="shared" si="0"/>
        <v>1.4038663666251677E-2</v>
      </c>
      <c r="G23" s="309">
        <f t="shared" si="5"/>
        <v>1</v>
      </c>
      <c r="H23" s="1">
        <v>3600</v>
      </c>
      <c r="I23" s="324">
        <v>30</v>
      </c>
      <c r="J23" s="1">
        <v>9.4689999999999996E-2</v>
      </c>
      <c r="K23" s="1">
        <v>3.2000000000000003E-4</v>
      </c>
      <c r="L23" s="328">
        <f t="shared" si="6"/>
        <v>0.33794487274263391</v>
      </c>
      <c r="M23" s="329">
        <f t="shared" si="1"/>
        <v>1.153182425446251E-2</v>
      </c>
      <c r="N23" s="342">
        <f>(1/$J$44)*SQRT(((1-J24/$J$44)*K23)^2+(J24/$J$44)^2*(SUMSQ(K$8:K22)+SUMSQ(K24:K$43)))</f>
        <v>2.9255804904271715E-4</v>
      </c>
      <c r="O23" s="340">
        <f t="shared" si="14"/>
        <v>2.5369624318503203</v>
      </c>
      <c r="P23" s="332">
        <f t="shared" si="7"/>
        <v>0.17107386383703208</v>
      </c>
      <c r="Q23" s="342">
        <f>SQRT(((1-P23)/$J$44)^2*SUMSQ(K$8:K23)+(P23/$J$44)^2*SUMSQ(K24:K$43))</f>
        <v>3.9409087594396994E-3</v>
      </c>
      <c r="R23" s="340">
        <f t="shared" si="15"/>
        <v>2.3036299473506232</v>
      </c>
      <c r="S23" s="343">
        <f t="shared" si="16"/>
        <v>1.0646885767528141E-7</v>
      </c>
      <c r="T23" s="344">
        <f t="shared" si="17"/>
        <v>8.8724048062734566E-10</v>
      </c>
      <c r="U23" s="344">
        <f>IF(P23&lt;=0.85, (1/(3*H23*$J$44))*SQRT( ((1-P23)*(1/SQRT(1-PI()*P23/3)-1) + (1-P22)*(1-1/SQRT(1-PI()*P22/3)))^2*SUMSQ(K$8:K22) + ( (1-P23)*(1/SQRT(1-PI()*P23/3)-1) -P22*(1-1/SQRT(1-PI()*P22/3)) )^2*K23^2 + ( P23*(1-1/SQRT(1-PI()*P23/3)) - P22*(1-1/SQRT(1-PI()*P22/3)) )^2*SUMSQ(K24:K$43) ), (1/(PI()^2*H23*$J$44))*SQRT((1+P22/(1-P22))^2*K23^2+(P22/(1-P22)-P23/(1-P23))^2*SUMSQ(K24:K$43)) )</f>
        <v>5.2944165157768395E-9</v>
      </c>
      <c r="V23" s="345">
        <f t="shared" si="18"/>
        <v>5.3682438388167891E-9</v>
      </c>
      <c r="W23" s="340">
        <f t="shared" si="19"/>
        <v>5.0420789290229422</v>
      </c>
      <c r="X23" s="345">
        <f t="shared" si="20"/>
        <v>1.0736487677633578E-8</v>
      </c>
      <c r="Y23" s="338">
        <f t="shared" si="8"/>
        <v>-16.055413310753423</v>
      </c>
      <c r="Z23" s="346">
        <f t="shared" si="21"/>
        <v>5.0420789290229417E-2</v>
      </c>
      <c r="AA23" s="346">
        <f t="shared" si="22"/>
        <v>0.31404230034027913</v>
      </c>
      <c r="AB23" s="346">
        <f t="shared" si="9"/>
        <v>0.10084157858045883</v>
      </c>
      <c r="AC23" s="336">
        <f t="shared" si="2"/>
        <v>1.3739763495451995E-11</v>
      </c>
      <c r="AD23" s="337">
        <f t="shared" si="3"/>
        <v>8.4497751031857344E-13</v>
      </c>
      <c r="AE23" s="308">
        <f t="shared" si="10"/>
        <v>6.1498693962110034</v>
      </c>
      <c r="AF23" s="337">
        <f t="shared" si="11"/>
        <v>1.6899550206371469E-12</v>
      </c>
      <c r="AG23" s="338">
        <f t="shared" si="23"/>
        <v>-25.010727042131688</v>
      </c>
      <c r="AH23" s="339">
        <f t="shared" si="24"/>
        <v>6.1498693962110038E-2</v>
      </c>
      <c r="AI23" s="340">
        <f t="shared" si="25"/>
        <v>0.24588926926639412</v>
      </c>
      <c r="AJ23" s="341">
        <f t="shared" si="12"/>
        <v>0.12299738792422008</v>
      </c>
    </row>
    <row r="24" spans="1:39" x14ac:dyDescent="0.2">
      <c r="A24" s="309">
        <v>17</v>
      </c>
      <c r="B24" s="309">
        <f t="shared" si="13"/>
        <v>17</v>
      </c>
      <c r="C24" s="1">
        <v>504.97</v>
      </c>
      <c r="D24" s="1">
        <v>0.97</v>
      </c>
      <c r="E24" s="326">
        <f t="shared" si="4"/>
        <v>12.851488202333829</v>
      </c>
      <c r="F24" s="327">
        <f t="shared" si="0"/>
        <v>1.5228117862588516E-2</v>
      </c>
      <c r="G24" s="309">
        <f t="shared" si="5"/>
        <v>1</v>
      </c>
      <c r="H24" s="1">
        <v>3600</v>
      </c>
      <c r="I24" s="324">
        <v>30</v>
      </c>
      <c r="J24" s="1">
        <v>0.10344</v>
      </c>
      <c r="K24" s="1">
        <v>3.3999999999999899E-4</v>
      </c>
      <c r="L24" s="328">
        <f t="shared" si="6"/>
        <v>0.32869296210363397</v>
      </c>
      <c r="M24" s="329">
        <f t="shared" si="1"/>
        <v>1.259744324513256E-2</v>
      </c>
      <c r="N24" s="342">
        <f>(1/$J$44)*SQRT(((1-J25/$J$44)*K24)^2+(J25/$J$44)^2*(SUMSQ(K$8:K23)+SUMSQ(K25:K$43)))</f>
        <v>3.2967420709096792E-4</v>
      </c>
      <c r="O24" s="340">
        <f t="shared" si="14"/>
        <v>2.6169929935453249</v>
      </c>
      <c r="P24" s="332">
        <f t="shared" si="7"/>
        <v>0.18367130708216464</v>
      </c>
      <c r="Q24" s="342">
        <f>SQRT(((1-P24)/$J$44)^2*SUMSQ(K$8:K24)+(P24/$J$44)^2*SUMSQ(K25:K$43))</f>
        <v>4.2307965519083864E-3</v>
      </c>
      <c r="R24" s="340">
        <f t="shared" si="15"/>
        <v>2.3034607958747504</v>
      </c>
      <c r="S24" s="343">
        <f t="shared" si="16"/>
        <v>1.2622250965121791E-7</v>
      </c>
      <c r="T24" s="344">
        <f t="shared" si="17"/>
        <v>1.0518542470934827E-9</v>
      </c>
      <c r="U24" s="344">
        <f>IF(P24&lt;=0.85, (1/(3*H24*$J$44))*SQRT( ((1-P24)*(1/SQRT(1-PI()*P24/3)-1) + (1-P23)*(1-1/SQRT(1-PI()*P23/3)))^2*SUMSQ(K$8:K23) + ( (1-P24)*(1/SQRT(1-PI()*P24/3)-1) -P23*(1-1/SQRT(1-PI()*P23/3)) )^2*K24^2 + ( P24*(1-1/SQRT(1-PI()*P24/3)) - P23*(1-1/SQRT(1-PI()*P23/3)) )^2*SUMSQ(K25:K$43) ), (1/(PI()^2*H24*$J$44))*SQRT((1+P23/(1-P23))^2*K24^2+(P23/(1-P23)-P24/(1-P24))^2*SUMSQ(K25:K$43)) )</f>
        <v>6.3153309765055521E-9</v>
      </c>
      <c r="V24" s="345">
        <f t="shared" si="18"/>
        <v>6.4023279125595534E-9</v>
      </c>
      <c r="W24" s="340">
        <f t="shared" si="19"/>
        <v>5.0722552817644582</v>
      </c>
      <c r="X24" s="345">
        <f t="shared" si="20"/>
        <v>1.2804655825119107E-8</v>
      </c>
      <c r="Y24" s="338">
        <f t="shared" si="8"/>
        <v>-15.885219537837788</v>
      </c>
      <c r="Z24" s="346">
        <f t="shared" si="21"/>
        <v>5.0722552817644581E-2</v>
      </c>
      <c r="AA24" s="346">
        <f t="shared" si="22"/>
        <v>0.31930658998338696</v>
      </c>
      <c r="AB24" s="346">
        <f t="shared" si="9"/>
        <v>0.10144510563528916</v>
      </c>
      <c r="AC24" s="336">
        <f t="shared" si="2"/>
        <v>1.628896438148581E-11</v>
      </c>
      <c r="AD24" s="337">
        <f t="shared" si="3"/>
        <v>1.0057839629336018E-12</v>
      </c>
      <c r="AE24" s="308">
        <f t="shared" si="10"/>
        <v>6.1746341840908272</v>
      </c>
      <c r="AF24" s="337">
        <f t="shared" si="11"/>
        <v>2.0115679258672036E-12</v>
      </c>
      <c r="AG24" s="338">
        <f t="shared" si="23"/>
        <v>-24.840533269216053</v>
      </c>
      <c r="AH24" s="339">
        <f t="shared" si="24"/>
        <v>6.174634184090827E-2</v>
      </c>
      <c r="AI24" s="340">
        <f t="shared" si="25"/>
        <v>0.24857091903670286</v>
      </c>
      <c r="AJ24" s="341">
        <f t="shared" si="12"/>
        <v>0.12349268368181654</v>
      </c>
    </row>
    <row r="25" spans="1:39" x14ac:dyDescent="0.2">
      <c r="A25" s="309">
        <v>18</v>
      </c>
      <c r="B25" s="309">
        <f t="shared" si="13"/>
        <v>18</v>
      </c>
      <c r="C25" s="1">
        <v>524.96</v>
      </c>
      <c r="D25" s="1">
        <v>0.84</v>
      </c>
      <c r="E25" s="326">
        <f t="shared" si="4"/>
        <v>12.529601182794352</v>
      </c>
      <c r="F25" s="327">
        <f t="shared" si="0"/>
        <v>1.255035133534956E-2</v>
      </c>
      <c r="G25" s="309">
        <f t="shared" si="5"/>
        <v>1</v>
      </c>
      <c r="H25" s="1">
        <v>3600</v>
      </c>
      <c r="I25" s="324">
        <v>30</v>
      </c>
      <c r="J25" s="1">
        <v>0.11667999999999901</v>
      </c>
      <c r="K25" s="1">
        <v>3.6999999999999999E-4</v>
      </c>
      <c r="L25" s="328">
        <f t="shared" si="6"/>
        <v>0.31710661638670135</v>
      </c>
      <c r="M25" s="329">
        <f t="shared" si="1"/>
        <v>1.4209877009300605E-2</v>
      </c>
      <c r="N25" s="342">
        <f>(1/$J$44)*SQRT(((1-J26/$J$44)*K25)^2+(J26/$J$44)^2*(SUMSQ(K$8:K24)+SUMSQ(K26:K$43)))</f>
        <v>4.149888547399993E-4</v>
      </c>
      <c r="O25" s="340">
        <f t="shared" si="14"/>
        <v>2.9204253806586933</v>
      </c>
      <c r="P25" s="332">
        <f t="shared" si="7"/>
        <v>0.19788118409146524</v>
      </c>
      <c r="Q25" s="342">
        <f>SQRT(((1-P25)/$J$44)^2*SUMSQ(K$8:K25)+(P25/$J$44)^2*SUMSQ(K26:K$43))</f>
        <v>4.5578037978968068E-3</v>
      </c>
      <c r="R25" s="340">
        <f t="shared" si="15"/>
        <v>2.3033032770766546</v>
      </c>
      <c r="S25" s="343">
        <f t="shared" si="16"/>
        <v>1.5511483663730866E-7</v>
      </c>
      <c r="T25" s="344">
        <f t="shared" si="17"/>
        <v>1.2926236386442385E-9</v>
      </c>
      <c r="U25" s="344">
        <f>IF(P25&lt;=0.85, (1/(3*H25*$J$44))*SQRT( ((1-P25)*(1/SQRT(1-PI()*P25/3)-1) + (1-P24)*(1-1/SQRT(1-PI()*P24/3)))^2*SUMSQ(K$8:K24) + ( (1-P25)*(1/SQRT(1-PI()*P25/3)-1) -P24*(1-1/SQRT(1-PI()*P24/3)) )^2*K25^2 + ( P25*(1-1/SQRT(1-PI()*P25/3)) - P24*(1-1/SQRT(1-PI()*P24/3)) )^2*SUMSQ(K26:K$43) ), (1/(PI()^2*H25*$J$44))*SQRT((1+P24/(1-P24))^2*K25^2+(P24/(1-P24)-P25/(1-P25))^2*SUMSQ(K26:K$43)) )</f>
        <v>7.8152835526631504E-9</v>
      </c>
      <c r="V25" s="345">
        <f t="shared" si="18"/>
        <v>7.9214602744512345E-9</v>
      </c>
      <c r="W25" s="340">
        <f t="shared" si="19"/>
        <v>5.1068359714508071</v>
      </c>
      <c r="X25" s="345">
        <f t="shared" si="20"/>
        <v>1.5842920548902469E-8</v>
      </c>
      <c r="Y25" s="338">
        <f t="shared" si="8"/>
        <v>-15.67910011281338</v>
      </c>
      <c r="Z25" s="346">
        <f t="shared" si="21"/>
        <v>5.1068359714508071E-2</v>
      </c>
      <c r="AA25" s="346">
        <f t="shared" si="22"/>
        <v>0.32570976234008253</v>
      </c>
      <c r="AB25" s="346">
        <f t="shared" si="9"/>
        <v>0.10213671942901614</v>
      </c>
      <c r="AC25" s="336">
        <f t="shared" si="2"/>
        <v>2.0017507622110029E-11</v>
      </c>
      <c r="AD25" s="337">
        <f t="shared" si="3"/>
        <v>1.2417004921468914E-12</v>
      </c>
      <c r="AE25" s="308">
        <f t="shared" si="10"/>
        <v>6.2030724083521278</v>
      </c>
      <c r="AF25" s="337">
        <f t="shared" si="11"/>
        <v>2.4834009842937828E-12</v>
      </c>
      <c r="AG25" s="338">
        <f t="shared" si="23"/>
        <v>-24.634413844191645</v>
      </c>
      <c r="AH25" s="339">
        <f t="shared" si="24"/>
        <v>6.2030724083521283E-2</v>
      </c>
      <c r="AI25" s="340">
        <f t="shared" si="25"/>
        <v>0.25180515548636456</v>
      </c>
      <c r="AJ25" s="341">
        <f t="shared" si="12"/>
        <v>0.12406144816704257</v>
      </c>
    </row>
    <row r="26" spans="1:39" x14ac:dyDescent="0.2">
      <c r="A26" s="309">
        <v>19</v>
      </c>
      <c r="B26" s="309">
        <f t="shared" si="13"/>
        <v>19</v>
      </c>
      <c r="C26" s="1">
        <v>544.96</v>
      </c>
      <c r="D26" s="1">
        <v>0.93</v>
      </c>
      <c r="E26" s="326">
        <f t="shared" si="4"/>
        <v>12.223295155908129</v>
      </c>
      <c r="F26" s="327">
        <f t="shared" si="0"/>
        <v>1.4241049190611187E-2</v>
      </c>
      <c r="G26" s="309">
        <f t="shared" si="5"/>
        <v>1</v>
      </c>
      <c r="H26" s="1">
        <v>3600</v>
      </c>
      <c r="I26" s="324">
        <v>30</v>
      </c>
      <c r="J26" s="1">
        <v>0.14717</v>
      </c>
      <c r="K26" s="1">
        <v>5.0999999999999895E-4</v>
      </c>
      <c r="L26" s="328">
        <f t="shared" si="6"/>
        <v>0.3465380172589515</v>
      </c>
      <c r="M26" s="329">
        <f t="shared" si="1"/>
        <v>1.7923102497932702E-2</v>
      </c>
      <c r="N26" s="342">
        <f>(1/$J$44)*SQRT(((1-J27/$J$44)*K26)^2+(J27/$J$44)^2*(SUMSQ(K$8:K25)+SUMSQ(K27:K$43)))</f>
        <v>1.6655570042952675E-4</v>
      </c>
      <c r="O26" s="340">
        <f t="shared" si="14"/>
        <v>0.92927940599981351</v>
      </c>
      <c r="P26" s="332">
        <f t="shared" si="7"/>
        <v>0.21580428658939793</v>
      </c>
      <c r="Q26" s="342">
        <f>SQRT(((1-P26)/$J$44)^2*SUMSQ(K$8:K26)+(P26/$J$44)^2*SUMSQ(K27:K$43))</f>
        <v>4.9703444141916209E-3</v>
      </c>
      <c r="R26" s="340">
        <f t="shared" si="15"/>
        <v>2.3031722366333223</v>
      </c>
      <c r="S26" s="343">
        <f t="shared" si="16"/>
        <v>2.1547769739281574E-7</v>
      </c>
      <c r="T26" s="344">
        <f t="shared" si="17"/>
        <v>1.7956474782734657E-9</v>
      </c>
      <c r="U26" s="344">
        <f>IF(P26&lt;=0.85, (1/(3*H26*$J$44))*SQRT( ((1-P26)*(1/SQRT(1-PI()*P26/3)-1) + (1-P25)*(1-1/SQRT(1-PI()*P25/3)))^2*SUMSQ(K$8:K25) + ( (1-P26)*(1/SQRT(1-PI()*P26/3)-1) -P25*(1-1/SQRT(1-PI()*P25/3)) )^2*K26^2 + ( P26*(1-1/SQRT(1-PI()*P26/3)) - P25*(1-1/SQRT(1-PI()*P25/3)) )^2*SUMSQ(K27:K$43) ), (1/(PI()^2*H26*$J$44))*SQRT((1+P25/(1-P25))^2*K26^2+(P25/(1-P25)-P26/(1-P26))^2*SUMSQ(K27:K$43)) )</f>
        <v>1.0957039288214098E-8</v>
      </c>
      <c r="V26" s="345">
        <f t="shared" si="18"/>
        <v>1.1103200431843838E-8</v>
      </c>
      <c r="W26" s="340">
        <f t="shared" si="19"/>
        <v>5.1528304628217318</v>
      </c>
      <c r="X26" s="345">
        <f t="shared" si="20"/>
        <v>2.2206400863687675E-8</v>
      </c>
      <c r="Y26" s="338">
        <f t="shared" si="8"/>
        <v>-15.35040842513504</v>
      </c>
      <c r="Z26" s="346">
        <f t="shared" si="21"/>
        <v>5.1528304628217315E-2</v>
      </c>
      <c r="AA26" s="346">
        <f t="shared" si="22"/>
        <v>0.3356803493504702</v>
      </c>
      <c r="AB26" s="346">
        <f t="shared" si="9"/>
        <v>0.10305660925643463</v>
      </c>
      <c r="AC26" s="336">
        <f t="shared" si="2"/>
        <v>2.7807310657463911E-11</v>
      </c>
      <c r="AD26" s="337">
        <f t="shared" si="3"/>
        <v>1.7354523520882605E-12</v>
      </c>
      <c r="AE26" s="308">
        <f t="shared" si="10"/>
        <v>6.2409931455289378</v>
      </c>
      <c r="AF26" s="337">
        <f t="shared" si="11"/>
        <v>3.4709047041765209E-12</v>
      </c>
      <c r="AG26" s="338">
        <f t="shared" si="23"/>
        <v>-24.305722156513301</v>
      </c>
      <c r="AH26" s="339">
        <f t="shared" si="24"/>
        <v>6.2409931455289377E-2</v>
      </c>
      <c r="AI26" s="340">
        <f t="shared" si="25"/>
        <v>0.25677052939801315</v>
      </c>
      <c r="AJ26" s="341">
        <f t="shared" si="12"/>
        <v>0.12481986291057875</v>
      </c>
    </row>
    <row r="27" spans="1:39" x14ac:dyDescent="0.2">
      <c r="A27" s="309">
        <v>20</v>
      </c>
      <c r="B27" s="309">
        <f t="shared" si="13"/>
        <v>20</v>
      </c>
      <c r="C27" s="1">
        <v>534.96</v>
      </c>
      <c r="D27" s="1">
        <v>0.96</v>
      </c>
      <c r="E27" s="326">
        <f t="shared" si="4"/>
        <v>12.374552969273985</v>
      </c>
      <c r="F27" s="327">
        <f t="shared" si="0"/>
        <v>1.5456015933900488E-2</v>
      </c>
      <c r="G27" s="309">
        <f t="shared" si="5"/>
        <v>1</v>
      </c>
      <c r="H27" s="1">
        <v>3600</v>
      </c>
      <c r="I27" s="324">
        <v>30</v>
      </c>
      <c r="J27" s="1">
        <v>5.5179999999999903E-2</v>
      </c>
      <c r="K27" s="1">
        <v>2.5999999999999998E-4</v>
      </c>
      <c r="L27" s="328">
        <f t="shared" si="6"/>
        <v>0.47118521203334618</v>
      </c>
      <c r="M27" s="329">
        <f t="shared" si="1"/>
        <v>6.7200978177340814E-3</v>
      </c>
      <c r="N27" s="342">
        <f>(1/$J$44)*SQRT(((1-J28/$J$44)*K27)^2+(J28/$J$44)^2*(SUMSQ(K$8:K26)+SUMSQ(K28:K$43)))</f>
        <v>6.9445358749656389E-5</v>
      </c>
      <c r="O27" s="340">
        <f t="shared" si="14"/>
        <v>1.0333980342725479</v>
      </c>
      <c r="P27" s="332">
        <f t="shared" si="7"/>
        <v>0.22252438440713201</v>
      </c>
      <c r="Q27" s="342">
        <f>SQRT(((1-P27)/$J$44)^2*SUMSQ(K$8:K27)+(P27/$J$44)^2*SUMSQ(K28:K$43))</f>
        <v>5.1249950717527889E-3</v>
      </c>
      <c r="R27" s="340">
        <f t="shared" si="15"/>
        <v>2.3031161665303457</v>
      </c>
      <c r="S27" s="343">
        <f t="shared" si="16"/>
        <v>8.6642650391752902E-8</v>
      </c>
      <c r="T27" s="344">
        <f t="shared" si="17"/>
        <v>7.2202208659794145E-10</v>
      </c>
      <c r="U27" s="344">
        <f>IF(P27&lt;=0.85, (1/(3*H27*$J$44))*SQRT( ((1-P27)*(1/SQRT(1-PI()*P27/3)-1) + (1-P26)*(1-1/SQRT(1-PI()*P26/3)))^2*SUMSQ(K$8:K26) + ( (1-P27)*(1/SQRT(1-PI()*P27/3)-1) -P26*(1-1/SQRT(1-PI()*P26/3)) )^2*K27^2 + ( P27*(1-1/SQRT(1-PI()*P27/3)) - P26*(1-1/SQRT(1-PI()*P26/3)) )^2*SUMSQ(K28:K$43) ), (1/(PI()^2*H27*$J$44))*SQRT((1+P26/(1-P26))^2*K27^2+(P26/(1-P26)-P27/(1-P27))^2*SUMSQ(K28:K$43)) )</f>
        <v>4.4444945481491052E-9</v>
      </c>
      <c r="V27" s="345">
        <f t="shared" si="18"/>
        <v>4.5027600071580946E-9</v>
      </c>
      <c r="W27" s="340">
        <f t="shared" si="19"/>
        <v>5.1969324423929333</v>
      </c>
      <c r="X27" s="345">
        <f t="shared" si="20"/>
        <v>9.0055200143161891E-9</v>
      </c>
      <c r="Y27" s="338">
        <f t="shared" si="8"/>
        <v>-16.261473643865692</v>
      </c>
      <c r="Z27" s="346">
        <f t="shared" si="21"/>
        <v>5.1969324423929333E-2</v>
      </c>
      <c r="AA27" s="346">
        <f t="shared" si="22"/>
        <v>0.31958557731041615</v>
      </c>
      <c r="AB27" s="346">
        <f t="shared" si="9"/>
        <v>0.10393864884785867</v>
      </c>
      <c r="AC27" s="336">
        <f t="shared" si="2"/>
        <v>1.1181199375995554E-11</v>
      </c>
      <c r="AD27" s="337">
        <f t="shared" si="3"/>
        <v>7.0189475214348615E-13</v>
      </c>
      <c r="AE27" s="308">
        <f t="shared" si="10"/>
        <v>6.2774549360988443</v>
      </c>
      <c r="AF27" s="337">
        <f t="shared" si="11"/>
        <v>1.4037895042869723E-12</v>
      </c>
      <c r="AG27" s="338">
        <f t="shared" si="23"/>
        <v>-25.216787375243957</v>
      </c>
      <c r="AH27" s="339">
        <f t="shared" si="24"/>
        <v>6.2774549360988446E-2</v>
      </c>
      <c r="AI27" s="340">
        <f t="shared" si="25"/>
        <v>0.24893951964164962</v>
      </c>
      <c r="AJ27" s="341">
        <f t="shared" si="12"/>
        <v>0.12554909872197689</v>
      </c>
    </row>
    <row r="28" spans="1:39" x14ac:dyDescent="0.2">
      <c r="A28" s="309">
        <v>21</v>
      </c>
      <c r="B28" s="309">
        <f t="shared" si="13"/>
        <v>21</v>
      </c>
      <c r="C28" s="1">
        <v>514.96</v>
      </c>
      <c r="D28" s="1">
        <v>0.95</v>
      </c>
      <c r="E28" s="326">
        <f t="shared" si="4"/>
        <v>12.688584080902412</v>
      </c>
      <c r="F28" s="327">
        <f t="shared" si="0"/>
        <v>1.610188671601636E-2</v>
      </c>
      <c r="G28" s="309">
        <f t="shared" si="5"/>
        <v>1</v>
      </c>
      <c r="H28" s="1">
        <v>3600</v>
      </c>
      <c r="I28" s="324">
        <v>30</v>
      </c>
      <c r="J28" s="1">
        <v>2.206E-2</v>
      </c>
      <c r="K28" s="1">
        <v>1.2999999999999999E-4</v>
      </c>
      <c r="L28" s="328">
        <f t="shared" si="6"/>
        <v>0.58930190389845871</v>
      </c>
      <c r="M28" s="329">
        <f t="shared" si="1"/>
        <v>2.6865777067635755E-3</v>
      </c>
      <c r="N28" s="342">
        <f>(1/$J$44)*SQRT(((1-J29/$J$44)*K28)^2+(J29/$J$44)^2*(SUMSQ(K$8:K27)+SUMSQ(K29:K$43)))</f>
        <v>2.9755995292332924E-5</v>
      </c>
      <c r="O28" s="340">
        <f t="shared" si="14"/>
        <v>1.1075799228669589</v>
      </c>
      <c r="P28" s="332">
        <f t="shared" si="7"/>
        <v>0.2252109621138956</v>
      </c>
      <c r="Q28" s="342">
        <f>SQRT(((1-P28)/$J$44)^2*SUMSQ(K$8:K28)+(P28/$J$44)^2*SUMSQ(K29:K$43))</f>
        <v>5.1868139977960144E-3</v>
      </c>
      <c r="R28" s="340">
        <f t="shared" si="15"/>
        <v>2.3030912656786642</v>
      </c>
      <c r="S28" s="343">
        <f t="shared" si="16"/>
        <v>3.5547757228728192E-8</v>
      </c>
      <c r="T28" s="344">
        <f t="shared" si="17"/>
        <v>2.9623131023940164E-10</v>
      </c>
      <c r="U28" s="344">
        <f>IF(P28&lt;=0.85, (1/(3*H28*$J$44))*SQRT( ((1-P28)*(1/SQRT(1-PI()*P28/3)-1) + (1-P27)*(1-1/SQRT(1-PI()*P27/3)))^2*SUMSQ(K$8:K27) + ( (1-P28)*(1/SQRT(1-PI()*P28/3)-1) -P27*(1-1/SQRT(1-PI()*P27/3)) )^2*K28^2 + ( P28*(1-1/SQRT(1-PI()*P28/3)) - P27*(1-1/SQRT(1-PI()*P27/3)) )^2*SUMSQ(K29:K$43) ), (1/(PI()^2*H28*$J$44))*SQRT((1+P27/(1-P27))^2*K28^2+(P27/(1-P27)-P28/(1-P28))^2*SUMSQ(K29:K$43)) )</f>
        <v>1.8326510245082802E-9</v>
      </c>
      <c r="V28" s="345">
        <f t="shared" si="18"/>
        <v>1.8564381936378604E-9</v>
      </c>
      <c r="W28" s="340">
        <f t="shared" si="19"/>
        <v>5.2223778329890402</v>
      </c>
      <c r="X28" s="345">
        <f t="shared" si="20"/>
        <v>3.7128763872757207E-9</v>
      </c>
      <c r="Y28" s="338">
        <f t="shared" si="8"/>
        <v>-17.15238877048677</v>
      </c>
      <c r="Z28" s="346">
        <f t="shared" si="21"/>
        <v>5.2223778329890405E-2</v>
      </c>
      <c r="AA28" s="346">
        <f t="shared" si="22"/>
        <v>0.30446941839231839</v>
      </c>
      <c r="AB28" s="346">
        <f t="shared" si="9"/>
        <v>0.10444755665978081</v>
      </c>
      <c r="AC28" s="336">
        <f t="shared" si="2"/>
        <v>4.5874238512644817E-12</v>
      </c>
      <c r="AD28" s="337">
        <f t="shared" si="3"/>
        <v>2.8894057242820345E-13</v>
      </c>
      <c r="AE28" s="308">
        <f t="shared" si="10"/>
        <v>6.2985366470673858</v>
      </c>
      <c r="AF28" s="337">
        <f t="shared" si="11"/>
        <v>5.7788114485640689E-13</v>
      </c>
      <c r="AG28" s="338">
        <f t="shared" si="23"/>
        <v>-26.107702501865031</v>
      </c>
      <c r="AH28" s="339">
        <f t="shared" si="24"/>
        <v>6.2985366470673862E-2</v>
      </c>
      <c r="AI28" s="340">
        <f t="shared" si="25"/>
        <v>0.24125204608170495</v>
      </c>
      <c r="AJ28" s="341">
        <f t="shared" si="12"/>
        <v>0.12597073294134772</v>
      </c>
    </row>
    <row r="29" spans="1:39" x14ac:dyDescent="0.2">
      <c r="A29" s="309">
        <v>22</v>
      </c>
      <c r="B29" s="309">
        <f t="shared" si="13"/>
        <v>22</v>
      </c>
      <c r="C29" s="1">
        <v>494.96</v>
      </c>
      <c r="D29" s="1">
        <v>0.92</v>
      </c>
      <c r="E29" s="326">
        <f t="shared" si="4"/>
        <v>13.018968637304555</v>
      </c>
      <c r="F29" s="327">
        <f t="shared" si="0"/>
        <v>1.6437860745470594E-2</v>
      </c>
      <c r="G29" s="309">
        <f t="shared" si="5"/>
        <v>1</v>
      </c>
      <c r="H29" s="1">
        <v>3600</v>
      </c>
      <c r="I29" s="324">
        <v>30</v>
      </c>
      <c r="J29" s="1">
        <v>8.9899999999999997E-3</v>
      </c>
      <c r="K29" s="122">
        <v>9.0000000000000006E-5</v>
      </c>
      <c r="L29" s="328">
        <f t="shared" si="6"/>
        <v>1.0011123470522802</v>
      </c>
      <c r="M29" s="329">
        <f t="shared" si="1"/>
        <v>1.0948473972712848E-3</v>
      </c>
      <c r="N29" s="342">
        <f>(1/$J$44)*SQRT(((1-J30/$J$44)*K29)^2+(J30/$J$44)^2*(SUMSQ(K$8:K28)+SUMSQ(K30:K$43)))</f>
        <v>1.5981171787170147E-5</v>
      </c>
      <c r="O29" s="340">
        <f t="shared" si="14"/>
        <v>1.4596711675983718</v>
      </c>
      <c r="P29" s="332">
        <f t="shared" si="7"/>
        <v>0.22630580951116688</v>
      </c>
      <c r="Q29" s="342">
        <f>SQRT(((1-P29)/$J$44)^2*SUMSQ(K$8:K29)+(P29/$J$44)^2*SUMSQ(K30:K$43))</f>
        <v>5.2120078337582528E-3</v>
      </c>
      <c r="R29" s="340">
        <f t="shared" si="15"/>
        <v>2.3030817657825398</v>
      </c>
      <c r="S29" s="343">
        <f t="shared" si="16"/>
        <v>1.4636671293055374E-8</v>
      </c>
      <c r="T29" s="344">
        <f t="shared" si="17"/>
        <v>1.2197226077546143E-10</v>
      </c>
      <c r="U29" s="344">
        <f>IF(P29&lt;=0.85, (1/(3*H29*$J$44))*SQRT( ((1-P29)*(1/SQRT(1-PI()*P29/3)-1) + (1-P28)*(1-1/SQRT(1-PI()*P28/3)))^2*SUMSQ(K$8:K28) + ( (1-P29)*(1/SQRT(1-PI()*P29/3)-1) -P28*(1-1/SQRT(1-PI()*P28/3)) )^2*K29^2 + ( P29*(1-1/SQRT(1-PI()*P29/3)) - P28*(1-1/SQRT(1-PI()*P28/3)) )^2*SUMSQ(K30:K$43) ), (1/(PI()^2*H29*$J$44))*SQRT((1+P28/(1-P28))^2*K29^2+(P28/(1-P28)-P29/(1-P29))^2*SUMSQ(K30:K$43)) )</f>
        <v>7.6463267153719231E-10</v>
      </c>
      <c r="V29" s="345">
        <f t="shared" si="18"/>
        <v>7.7429991268292218E-10</v>
      </c>
      <c r="W29" s="340">
        <f t="shared" si="19"/>
        <v>5.2901366518376509</v>
      </c>
      <c r="X29" s="345">
        <f t="shared" si="20"/>
        <v>1.5485998253658444E-9</v>
      </c>
      <c r="Y29" s="338">
        <f t="shared" si="8"/>
        <v>-18.03973572495882</v>
      </c>
      <c r="Z29" s="346">
        <f t="shared" si="21"/>
        <v>5.2901366518376514E-2</v>
      </c>
      <c r="AA29" s="346">
        <f t="shared" si="22"/>
        <v>0.29324912141137965</v>
      </c>
      <c r="AB29" s="346">
        <f t="shared" si="9"/>
        <v>0.10580273303675303</v>
      </c>
      <c r="AC29" s="336">
        <f t="shared" si="2"/>
        <v>1.8888565757002784E-12</v>
      </c>
      <c r="AD29" s="337">
        <f t="shared" si="3"/>
        <v>1.2003364681540094E-13</v>
      </c>
      <c r="AE29" s="308">
        <f t="shared" si="10"/>
        <v>6.3548311904464967</v>
      </c>
      <c r="AF29" s="337">
        <f t="shared" si="11"/>
        <v>2.4006729363080189E-13</v>
      </c>
      <c r="AG29" s="338">
        <f t="shared" si="23"/>
        <v>-26.995049456337082</v>
      </c>
      <c r="AH29" s="339">
        <f t="shared" si="24"/>
        <v>6.3548311904464971E-2</v>
      </c>
      <c r="AI29" s="340">
        <f t="shared" si="25"/>
        <v>0.23540728090626636</v>
      </c>
      <c r="AJ29" s="341">
        <f t="shared" si="12"/>
        <v>0.12709662380892994</v>
      </c>
    </row>
    <row r="30" spans="1:39" x14ac:dyDescent="0.2">
      <c r="A30" s="309">
        <v>23</v>
      </c>
      <c r="B30" s="309">
        <f t="shared" si="13"/>
        <v>23</v>
      </c>
      <c r="C30" s="1">
        <v>474.97</v>
      </c>
      <c r="D30" s="1">
        <v>0.94</v>
      </c>
      <c r="E30" s="326">
        <f t="shared" si="4"/>
        <v>13.366839544458108</v>
      </c>
      <c r="F30" s="327">
        <f t="shared" si="0"/>
        <v>1.7729564775571863E-2</v>
      </c>
      <c r="G30" s="309">
        <f t="shared" si="5"/>
        <v>1</v>
      </c>
      <c r="H30" s="1">
        <v>3600</v>
      </c>
      <c r="I30" s="324">
        <v>30</v>
      </c>
      <c r="J30" s="1">
        <v>4.15E-3</v>
      </c>
      <c r="K30" s="122">
        <v>5.0000000000000002E-5</v>
      </c>
      <c r="L30" s="328">
        <f t="shared" si="6"/>
        <v>1.2048192771084338</v>
      </c>
      <c r="M30" s="329">
        <f t="shared" si="1"/>
        <v>5.0540786414636626E-4</v>
      </c>
      <c r="N30" s="342">
        <f>(1/$J$44)*SQRT(((1-J31/$J$44)*K30)^2+(J31/$J$44)^2*(SUMSQ(K$8:K29)+SUMSQ(K31:K$43)))</f>
        <v>9.9560842645496456E-6</v>
      </c>
      <c r="O30" s="340">
        <f t="shared" si="14"/>
        <v>1.9699108325837922</v>
      </c>
      <c r="P30" s="332">
        <f t="shared" si="7"/>
        <v>0.22681121737531326</v>
      </c>
      <c r="Q30" s="342">
        <f>SQRT(((1-P30)/$J$44)^2*SUMSQ(K$8:K30)+(P30/$J$44)^2*SUMSQ(K31:K$43))</f>
        <v>5.2236369733669264E-3</v>
      </c>
      <c r="R30" s="340">
        <f t="shared" si="15"/>
        <v>2.3030769967268299</v>
      </c>
      <c r="S30" s="343">
        <f t="shared" si="16"/>
        <v>6.7860428853593548E-9</v>
      </c>
      <c r="T30" s="344">
        <f t="shared" si="17"/>
        <v>5.6550357377994612E-11</v>
      </c>
      <c r="U30" s="344">
        <f>IF(P30&lt;=0.85, (1/(3*H30*$J$44))*SQRT( ((1-P30)*(1/SQRT(1-PI()*P30/3)-1) + (1-P29)*(1-1/SQRT(1-PI()*P29/3)))^2*SUMSQ(K$8:K29) + ( (1-P30)*(1/SQRT(1-PI()*P30/3)-1) -P29*(1-1/SQRT(1-PI()*P29/3)) )^2*K30^2 + ( P30*(1-1/SQRT(1-PI()*P30/3)) - P29*(1-1/SQRT(1-PI()*P29/3)) )^2*SUMSQ(K31:K$43) ), (1/(PI()^2*H30*$J$44))*SQRT((1+P29/(1-P29))^2*K30^2+(P29/(1-P29)-P30/(1-P30))^2*SUMSQ(K31:K$43)) )</f>
        <v>3.5757006049720301E-10</v>
      </c>
      <c r="V30" s="345">
        <f t="shared" si="18"/>
        <v>3.6201421392474677E-10</v>
      </c>
      <c r="W30" s="340">
        <f t="shared" si="19"/>
        <v>5.334687977079831</v>
      </c>
      <c r="X30" s="345">
        <f t="shared" si="20"/>
        <v>7.2402842784949353E-10</v>
      </c>
      <c r="Y30" s="338">
        <f t="shared" si="8"/>
        <v>-18.808397850922738</v>
      </c>
      <c r="Z30" s="346">
        <f t="shared" si="21"/>
        <v>5.3346879770798314E-2</v>
      </c>
      <c r="AA30" s="346">
        <f t="shared" si="22"/>
        <v>0.28363330143072829</v>
      </c>
      <c r="AB30" s="346">
        <f t="shared" si="9"/>
        <v>0.10669375954159663</v>
      </c>
      <c r="AC30" s="336">
        <f t="shared" si="2"/>
        <v>8.7573611993847047E-13</v>
      </c>
      <c r="AD30" s="337">
        <f t="shared" si="3"/>
        <v>5.5976755126335811E-14</v>
      </c>
      <c r="AE30" s="308">
        <f t="shared" si="10"/>
        <v>6.3919660102941469</v>
      </c>
      <c r="AF30" s="337">
        <f t="shared" si="11"/>
        <v>1.1195351025267162E-13</v>
      </c>
      <c r="AG30" s="338">
        <f t="shared" si="23"/>
        <v>-27.763711582301003</v>
      </c>
      <c r="AH30" s="339">
        <f t="shared" si="24"/>
        <v>6.3919660102941464E-2</v>
      </c>
      <c r="AI30" s="340">
        <f t="shared" si="25"/>
        <v>0.23022735960018184</v>
      </c>
      <c r="AJ30" s="341">
        <f t="shared" si="12"/>
        <v>0.12783932020588293</v>
      </c>
    </row>
    <row r="31" spans="1:39" x14ac:dyDescent="0.2">
      <c r="A31" s="309">
        <v>24</v>
      </c>
      <c r="B31" s="309">
        <f t="shared" si="13"/>
        <v>24.5</v>
      </c>
      <c r="C31" s="1">
        <v>454.99</v>
      </c>
      <c r="D31" s="1">
        <v>0.9</v>
      </c>
      <c r="E31" s="326">
        <f t="shared" si="4"/>
        <v>13.733622654983932</v>
      </c>
      <c r="F31" s="327">
        <f t="shared" si="0"/>
        <v>1.794751215610723E-2</v>
      </c>
      <c r="G31" s="309">
        <f t="shared" si="5"/>
        <v>1.5</v>
      </c>
      <c r="H31" s="1">
        <v>5400</v>
      </c>
      <c r="I31" s="324">
        <v>30</v>
      </c>
      <c r="J31" s="1">
        <v>2.81E-3</v>
      </c>
      <c r="K31" s="122">
        <v>5.0000000000000002E-5</v>
      </c>
      <c r="L31" s="328">
        <f t="shared" si="6"/>
        <v>1.7793594306049825</v>
      </c>
      <c r="M31" s="329">
        <f t="shared" si="1"/>
        <v>3.4221592728946726E-4</v>
      </c>
      <c r="N31" s="342">
        <f>(1/$J$44)*SQRT(((1-J32/$J$44)*K31)^2+(J32/$J$44)^2*(SUMSQ(K$8:K30)+SUMSQ(K32:K$43)))</f>
        <v>7.2897672955879964E-6</v>
      </c>
      <c r="O31" s="340">
        <f t="shared" si="14"/>
        <v>2.1301659900305761</v>
      </c>
      <c r="P31" s="332">
        <f t="shared" si="7"/>
        <v>0.22715343330260274</v>
      </c>
      <c r="Q31" s="342">
        <f>SQRT(((1-P31)/$J$44)^2*SUMSQ(K$8:K31)+(P31/$J$44)^2*SUMSQ(K32:K$43))</f>
        <v>5.2315117981234878E-3</v>
      </c>
      <c r="R31" s="340">
        <f t="shared" si="15"/>
        <v>2.3030740597058563</v>
      </c>
      <c r="S31" s="343">
        <f t="shared" si="16"/>
        <v>3.0702977462172817E-9</v>
      </c>
      <c r="T31" s="344">
        <f t="shared" si="17"/>
        <v>1.7057209701207114E-11</v>
      </c>
      <c r="U31" s="344">
        <f>IF(P31&lt;=0.85, (1/(3*H31*$J$44))*SQRT( ((1-P31)*(1/SQRT(1-PI()*P31/3)-1) + (1-P30)*(1-1/SQRT(1-PI()*P30/3)))^2*SUMSQ(K$8:K30) + ( (1-P31)*(1/SQRT(1-PI()*P31/3)-1) -P30*(1-1/SQRT(1-PI()*P30/3)) )^2*K31^2 + ( P31*(1-1/SQRT(1-PI()*P31/3)) - P30*(1-1/SQRT(1-PI()*P30/3)) )^2*SUMSQ(K32:K$43) ), (1/(PI()^2*H31*$J$44))*SQRT((1+P30/(1-P30))^2*K31^2+(P30/(1-P30)-P31/(1-P31))^2*SUMSQ(K32:K$43)) )</f>
        <v>1.6673791362388543E-10</v>
      </c>
      <c r="V31" s="345">
        <f t="shared" si="18"/>
        <v>1.6760811508527033E-10</v>
      </c>
      <c r="W31" s="340">
        <f t="shared" si="19"/>
        <v>5.4590182757281314</v>
      </c>
      <c r="X31" s="345">
        <f t="shared" si="20"/>
        <v>3.3521623017054067E-10</v>
      </c>
      <c r="Y31" s="338">
        <f t="shared" si="8"/>
        <v>-19.60149129431159</v>
      </c>
      <c r="Z31" s="346">
        <f t="shared" si="21"/>
        <v>5.4590182757281315E-2</v>
      </c>
      <c r="AA31" s="346">
        <f t="shared" si="22"/>
        <v>0.27850015051213756</v>
      </c>
      <c r="AB31" s="346">
        <f t="shared" si="9"/>
        <v>0.10918036551456263</v>
      </c>
      <c r="AC31" s="336">
        <f t="shared" si="2"/>
        <v>3.962206960302417E-13</v>
      </c>
      <c r="AD31" s="337">
        <f t="shared" si="3"/>
        <v>2.57388618295714E-14</v>
      </c>
      <c r="AE31" s="308">
        <f t="shared" si="10"/>
        <v>6.4960922252296669</v>
      </c>
      <c r="AF31" s="337">
        <f t="shared" si="11"/>
        <v>5.14777236591428E-14</v>
      </c>
      <c r="AG31" s="338">
        <f t="shared" si="23"/>
        <v>-28.556805025689854</v>
      </c>
      <c r="AH31" s="339">
        <f t="shared" si="24"/>
        <v>6.496092225229666E-2</v>
      </c>
      <c r="AI31" s="340">
        <f t="shared" si="25"/>
        <v>0.22747965745417761</v>
      </c>
      <c r="AJ31" s="341">
        <f t="shared" si="12"/>
        <v>0.12992184450459332</v>
      </c>
    </row>
    <row r="32" spans="1:39" x14ac:dyDescent="0.2">
      <c r="A32" s="309">
        <v>25</v>
      </c>
      <c r="B32" s="309">
        <f t="shared" si="13"/>
        <v>26</v>
      </c>
      <c r="C32" s="1">
        <v>434.99</v>
      </c>
      <c r="D32" s="1">
        <v>0.87</v>
      </c>
      <c r="E32" s="326">
        <f t="shared" si="4"/>
        <v>14.121501398028638</v>
      </c>
      <c r="F32" s="327">
        <f t="shared" si="0"/>
        <v>1.8372923583961965E-2</v>
      </c>
      <c r="G32" s="309">
        <f t="shared" si="5"/>
        <v>1.5</v>
      </c>
      <c r="H32" s="1">
        <v>5400</v>
      </c>
      <c r="I32" s="324">
        <v>30</v>
      </c>
      <c r="J32" s="1">
        <v>1.4300000000000001E-3</v>
      </c>
      <c r="K32" s="122">
        <v>2.0000000000000002E-5</v>
      </c>
      <c r="L32" s="328">
        <f t="shared" si="6"/>
        <v>1.3986013986013985</v>
      </c>
      <c r="M32" s="329">
        <f t="shared" si="1"/>
        <v>1.7415258933236235E-4</v>
      </c>
      <c r="N32" s="342">
        <f>(1/$J$44)*SQRT(((1-J33/$J$44)*K32)^2+(J33/$J$44)^2*(SUMSQ(K$8:K31)+SUMSQ(K33:K$43)))</f>
        <v>5.1043202840726092E-6</v>
      </c>
      <c r="O32" s="340">
        <f t="shared" si="14"/>
        <v>2.9309471100261648</v>
      </c>
      <c r="P32" s="332">
        <f t="shared" si="7"/>
        <v>0.22732758589193511</v>
      </c>
      <c r="Q32" s="342">
        <f>SQRT(((1-P32)/$J$44)^2*SUMSQ(K$8:K32)+(P32/$J$44)^2*SUMSQ(K33:K$43))</f>
        <v>5.2355185997881833E-3</v>
      </c>
      <c r="R32" s="340">
        <f t="shared" si="15"/>
        <v>2.3030722731015127</v>
      </c>
      <c r="S32" s="343">
        <f t="shared" si="16"/>
        <v>1.5646486934927905E-9</v>
      </c>
      <c r="T32" s="344">
        <f t="shared" si="17"/>
        <v>8.6924927416266161E-12</v>
      </c>
      <c r="U32" s="344">
        <f>IF(P32&lt;=0.85, (1/(3*H32*$J$44))*SQRT( ((1-P32)*(1/SQRT(1-PI()*P32/3)-1) + (1-P31)*(1-1/SQRT(1-PI()*P31/3)))^2*SUMSQ(K$8:K31) + ( (1-P32)*(1/SQRT(1-PI()*P32/3)-1) -P31*(1-1/SQRT(1-PI()*P31/3)) )^2*K32^2 + ( P32*(1-1/SQRT(1-PI()*P32/3)) - P31*(1-1/SQRT(1-PI()*P31/3)) )^2*SUMSQ(K33:K$43) ), (1/(PI()^2*H32*$J$44))*SQRT((1+P31/(1-P31))^2*K32^2+(P31/(1-P31)-P32/(1-P32))^2*SUMSQ(K33:K$43)) )</f>
        <v>8.322016059186095E-11</v>
      </c>
      <c r="V32" s="345">
        <f t="shared" si="18"/>
        <v>8.3672902178652545E-11</v>
      </c>
      <c r="W32" s="340">
        <f t="shared" si="19"/>
        <v>5.347711759619866</v>
      </c>
      <c r="X32" s="345">
        <f t="shared" si="20"/>
        <v>1.6734580435730509E-10</v>
      </c>
      <c r="Y32" s="338">
        <f t="shared" si="8"/>
        <v>-20.275604515154441</v>
      </c>
      <c r="Z32" s="346">
        <f t="shared" si="21"/>
        <v>5.3477117596198658E-2</v>
      </c>
      <c r="AA32" s="346">
        <f t="shared" si="22"/>
        <v>0.26375103911811193</v>
      </c>
      <c r="AB32" s="346">
        <f t="shared" si="9"/>
        <v>0.10695423519239732</v>
      </c>
      <c r="AC32" s="336">
        <f t="shared" si="2"/>
        <v>2.019172880357672E-13</v>
      </c>
      <c r="AD32" s="337">
        <f t="shared" si="3"/>
        <v>1.2928440043636972E-14</v>
      </c>
      <c r="AE32" s="308">
        <f t="shared" si="10"/>
        <v>6.4028395831796514</v>
      </c>
      <c r="AF32" s="337">
        <f t="shared" si="11"/>
        <v>2.5856880087273944E-14</v>
      </c>
      <c r="AG32" s="338">
        <f t="shared" si="23"/>
        <v>-29.230918246532703</v>
      </c>
      <c r="AH32" s="339">
        <f t="shared" si="24"/>
        <v>6.4028395831796509E-2</v>
      </c>
      <c r="AI32" s="340">
        <f t="shared" si="25"/>
        <v>0.21904339539313444</v>
      </c>
      <c r="AJ32" s="341">
        <f t="shared" si="12"/>
        <v>0.12805679166359302</v>
      </c>
    </row>
    <row r="33" spans="1:36" x14ac:dyDescent="0.2">
      <c r="A33" s="309">
        <v>26</v>
      </c>
      <c r="B33" s="309">
        <f t="shared" si="13"/>
        <v>27.5</v>
      </c>
      <c r="C33" s="1">
        <v>414.98</v>
      </c>
      <c r="D33" s="1">
        <v>0.9</v>
      </c>
      <c r="E33" s="326">
        <f t="shared" si="4"/>
        <v>14.532137822795111</v>
      </c>
      <c r="F33" s="327">
        <f t="shared" si="0"/>
        <v>1.8360002203494024E-2</v>
      </c>
      <c r="G33" s="309">
        <f t="shared" si="5"/>
        <v>1.5</v>
      </c>
      <c r="H33" s="1">
        <v>5400</v>
      </c>
      <c r="I33" s="324">
        <v>30</v>
      </c>
      <c r="J33" s="1">
        <v>1.6000000000000001E-3</v>
      </c>
      <c r="K33" s="122">
        <v>1.0000000000000001E-5</v>
      </c>
      <c r="L33" s="328">
        <f t="shared" si="6"/>
        <v>0.625</v>
      </c>
      <c r="M33" s="329">
        <f t="shared" si="1"/>
        <v>1.948560440082376E-4</v>
      </c>
      <c r="N33" s="342">
        <f>(1/$J$44)*SQRT(((1-J34/$J$44)*K33)^2+(J34/$J$44)^2*(SUMSQ(K$8:K32)+SUMSQ(K34:K$43)))</f>
        <v>3.420336271624362E-6</v>
      </c>
      <c r="O33" s="340">
        <f t="shared" si="14"/>
        <v>1.7553144368874525</v>
      </c>
      <c r="P33" s="332">
        <f t="shared" si="7"/>
        <v>0.22752244193594334</v>
      </c>
      <c r="Q33" s="342">
        <f>SQRT(((1-P33)/$J$44)^2*SUMSQ(K$8:K33)+(P33/$J$44)^2*SUMSQ(K34:K$43))</f>
        <v>5.2400014705707406E-3</v>
      </c>
      <c r="R33" s="340">
        <f t="shared" si="15"/>
        <v>2.303070161336441</v>
      </c>
      <c r="S33" s="343">
        <f t="shared" si="16"/>
        <v>1.7524030155037482E-9</v>
      </c>
      <c r="T33" s="344">
        <f t="shared" si="17"/>
        <v>9.7355723083541639E-12</v>
      </c>
      <c r="U33" s="344">
        <f>IF(P33&lt;=0.85, (1/(3*H33*$J$44))*SQRT( ((1-P33)*(1/SQRT(1-PI()*P33/3)-1) + (1-P32)*(1-1/SQRT(1-PI()*P32/3)))^2*SUMSQ(K$8:K32) + ( (1-P33)*(1/SQRT(1-PI()*P33/3)-1) -P32*(1-1/SQRT(1-PI()*P32/3)) )^2*K33^2 + ( P33*(1-1/SQRT(1-PI()*P33/3)) - P32*(1-1/SQRT(1-PI()*P32/3)) )^2*SUMSQ(K34:K$43) ), (1/(PI()^2*H33*$J$44))*SQRT((1+P32/(1-P32))^2*K33^2+(P32/(1-P32)-P33/(1-P33))^2*SUMSQ(K34:K$43)) )</f>
        <v>9.059992363475178E-11</v>
      </c>
      <c r="V33" s="345">
        <f t="shared" si="18"/>
        <v>9.11214987299597E-11</v>
      </c>
      <c r="W33" s="340">
        <f t="shared" si="19"/>
        <v>5.1998026666123822</v>
      </c>
      <c r="X33" s="345">
        <f t="shared" si="20"/>
        <v>1.822429974599194E-10</v>
      </c>
      <c r="Y33" s="338">
        <f t="shared" si="8"/>
        <v>-20.16227783920522</v>
      </c>
      <c r="Z33" s="346">
        <f t="shared" si="21"/>
        <v>5.1998026666123826E-2</v>
      </c>
      <c r="AA33" s="346">
        <f t="shared" si="22"/>
        <v>0.25789758022783771</v>
      </c>
      <c r="AB33" s="346">
        <f t="shared" si="9"/>
        <v>0.10399605333224765</v>
      </c>
      <c r="AC33" s="336">
        <f t="shared" si="2"/>
        <v>2.261469081895525E-13</v>
      </c>
      <c r="AD33" s="337">
        <f t="shared" si="3"/>
        <v>1.4201644374742928E-14</v>
      </c>
      <c r="AE33" s="308">
        <f t="shared" si="10"/>
        <v>6.2798313222303044</v>
      </c>
      <c r="AF33" s="337">
        <f t="shared" si="11"/>
        <v>2.8403288749485855E-14</v>
      </c>
      <c r="AG33" s="338">
        <f t="shared" si="23"/>
        <v>-29.117591570583485</v>
      </c>
      <c r="AH33" s="339">
        <f t="shared" si="24"/>
        <v>6.2798313222303045E-2</v>
      </c>
      <c r="AI33" s="340">
        <f t="shared" si="25"/>
        <v>0.21567138569848632</v>
      </c>
      <c r="AJ33" s="341">
        <f t="shared" si="12"/>
        <v>0.12559662644460609</v>
      </c>
    </row>
    <row r="34" spans="1:36" x14ac:dyDescent="0.2">
      <c r="A34" s="309">
        <v>27</v>
      </c>
      <c r="B34" s="309">
        <f t="shared" si="13"/>
        <v>29</v>
      </c>
      <c r="C34" s="1">
        <v>426.99</v>
      </c>
      <c r="D34" s="1">
        <v>0.41</v>
      </c>
      <c r="E34" s="326">
        <f t="shared" si="4"/>
        <v>14.282857714171453</v>
      </c>
      <c r="F34" s="327">
        <f t="shared" si="0"/>
        <v>7.484586995932181E-3</v>
      </c>
      <c r="G34" s="309">
        <f t="shared" si="5"/>
        <v>1.5</v>
      </c>
      <c r="H34" s="1">
        <v>5400</v>
      </c>
      <c r="I34" s="324">
        <v>30</v>
      </c>
      <c r="J34" s="1">
        <v>1.14E-3</v>
      </c>
      <c r="K34" s="122">
        <v>2.0000000000000002E-5</v>
      </c>
      <c r="L34" s="328">
        <f t="shared" si="6"/>
        <v>1.754385964912281</v>
      </c>
      <c r="M34" s="329">
        <f t="shared" si="1"/>
        <v>1.3883493135586928E-4</v>
      </c>
      <c r="N34" s="342">
        <f>(1/$J$44)*SQRT(((1-J35/$J$44)*K34)^2+(J35/$J$44)^2*(SUMSQ(K$8:K33)+SUMSQ(K35:K$43)))</f>
        <v>1.1667941089792265E-5</v>
      </c>
      <c r="O34" s="340">
        <f t="shared" si="14"/>
        <v>8.404182561148362</v>
      </c>
      <c r="P34" s="332">
        <f t="shared" si="7"/>
        <v>0.2276612768672992</v>
      </c>
      <c r="Q34" s="342">
        <f>SQRT(((1-P34)/$J$44)^2*SUMSQ(K$8:K34)+(P34/$J$44)^2*SUMSQ(K35:K$43))</f>
        <v>5.2431957724111437E-3</v>
      </c>
      <c r="R34" s="340">
        <f t="shared" si="15"/>
        <v>2.303068771536116</v>
      </c>
      <c r="S34" s="343">
        <f t="shared" si="16"/>
        <v>1.2497132325255234E-9</v>
      </c>
      <c r="T34" s="344">
        <f t="shared" si="17"/>
        <v>6.9428512918084615E-12</v>
      </c>
      <c r="U34" s="344">
        <f>IF(P34&lt;=0.85, (1/(3*H34*$J$44))*SQRT( ((1-P34)*(1/SQRT(1-PI()*P34/3)-1) + (1-P33)*(1-1/SQRT(1-PI()*P33/3)))^2*SUMSQ(K$8:K33) + ( (1-P34)*(1/SQRT(1-PI()*P34/3)-1) -P33*(1-1/SQRT(1-PI()*P33/3)) )^2*K34^2 + ( P34*(1-1/SQRT(1-PI()*P34/3)) - P33*(1-1/SQRT(1-PI()*P33/3)) )^2*SUMSQ(K35:K$43) ), (1/(PI()^2*H34*$J$44))*SQRT((1+P33/(1-P33))^2*K34^2+(P33/(1-P33)-P34/(1-P34))^2*SUMSQ(K35:K$43)) )</f>
        <v>6.7786988462725428E-11</v>
      </c>
      <c r="V34" s="345">
        <f t="shared" si="18"/>
        <v>6.8141609820328108E-11</v>
      </c>
      <c r="W34" s="340">
        <f t="shared" si="19"/>
        <v>5.4525796836304536</v>
      </c>
      <c r="X34" s="345">
        <f t="shared" si="20"/>
        <v>1.3628321964065622E-10</v>
      </c>
      <c r="Y34" s="338">
        <f t="shared" si="8"/>
        <v>-20.500351725931196</v>
      </c>
      <c r="Z34" s="346">
        <f t="shared" si="21"/>
        <v>5.4525796836304541E-2</v>
      </c>
      <c r="AA34" s="346">
        <f t="shared" si="22"/>
        <v>0.26597493333411476</v>
      </c>
      <c r="AB34" s="346">
        <f t="shared" si="9"/>
        <v>0.10905159367260908</v>
      </c>
      <c r="AC34" s="336">
        <f t="shared" si="2"/>
        <v>1.6127499277212578E-13</v>
      </c>
      <c r="AD34" s="337">
        <f t="shared" si="3"/>
        <v>1.0467847677388215E-14</v>
      </c>
      <c r="AE34" s="308">
        <f t="shared" si="10"/>
        <v>6.4906824656807194</v>
      </c>
      <c r="AF34" s="337">
        <f t="shared" si="11"/>
        <v>2.093569535477643E-14</v>
      </c>
      <c r="AG34" s="338">
        <f t="shared" si="23"/>
        <v>-29.455665457309458</v>
      </c>
      <c r="AH34" s="339">
        <f t="shared" si="24"/>
        <v>6.4906824656807194E-2</v>
      </c>
      <c r="AI34" s="340">
        <f t="shared" si="25"/>
        <v>0.2203542973791498</v>
      </c>
      <c r="AJ34" s="341">
        <f t="shared" si="12"/>
        <v>0.12981364931361439</v>
      </c>
    </row>
    <row r="35" spans="1:36" x14ac:dyDescent="0.2">
      <c r="A35" s="309">
        <v>28</v>
      </c>
      <c r="B35" s="309">
        <f t="shared" si="13"/>
        <v>30.5</v>
      </c>
      <c r="C35" s="1">
        <v>466.98</v>
      </c>
      <c r="D35" s="1">
        <v>0.6</v>
      </c>
      <c r="E35" s="326">
        <f t="shared" si="4"/>
        <v>13.511139934876306</v>
      </c>
      <c r="F35" s="327">
        <f t="shared" si="0"/>
        <v>1.0384258820919342E-2</v>
      </c>
      <c r="G35" s="309">
        <f t="shared" si="5"/>
        <v>1.5</v>
      </c>
      <c r="H35" s="1">
        <v>5400</v>
      </c>
      <c r="I35" s="324">
        <v>30</v>
      </c>
      <c r="J35" s="1">
        <v>4.0699999999999998E-3</v>
      </c>
      <c r="K35" s="122">
        <v>5.0000000000000002E-5</v>
      </c>
      <c r="L35" s="328">
        <f t="shared" si="6"/>
        <v>1.2285012285012287</v>
      </c>
      <c r="M35" s="329">
        <f t="shared" si="1"/>
        <v>4.9566506194595429E-4</v>
      </c>
      <c r="N35" s="342">
        <f>(1/$J$44)*SQRT(((1-J36/$J$44)*K35)^2+(J36/$J$44)^2*(SUMSQ(K$8:K34)+SUMSQ(K36:K$43)))</f>
        <v>2.4840252410213312E-5</v>
      </c>
      <c r="O35" s="340">
        <f t="shared" si="14"/>
        <v>5.0114995623641132</v>
      </c>
      <c r="P35" s="332">
        <f t="shared" si="7"/>
        <v>0.22815694192924516</v>
      </c>
      <c r="Q35" s="342">
        <f>SQRT(((1-P35)/$J$44)^2*SUMSQ(K$8:K35)+(P35/$J$44)^2*SUMSQ(K36:K$43))</f>
        <v>5.254600829555648E-3</v>
      </c>
      <c r="R35" s="340">
        <f t="shared" si="15"/>
        <v>2.3030641913079188</v>
      </c>
      <c r="S35" s="343">
        <f t="shared" si="16"/>
        <v>4.4693443202278746E-9</v>
      </c>
      <c r="T35" s="344">
        <f t="shared" si="17"/>
        <v>2.4829690667932643E-11</v>
      </c>
      <c r="U35" s="344">
        <f>IF(P35&lt;=0.85, (1/(3*H35*$J$44))*SQRT( ((1-P35)*(1/SQRT(1-PI()*P35/3)-1) + (1-P34)*(1-1/SQRT(1-PI()*P34/3)))^2*SUMSQ(K$8:K34) + ( (1-P35)*(1/SQRT(1-PI()*P35/3)-1) -P34*(1-1/SQRT(1-PI()*P34/3)) )^2*K35^2 + ( P35*(1-1/SQRT(1-PI()*P35/3)) - P34*(1-1/SQRT(1-PI()*P34/3)) )^2*SUMSQ(K36:K$43) ), (1/(PI()^2*H35*$J$44))*SQRT((1+P34/(1-P34))^2*K35^2+(P34/(1-P34)-P35/(1-P35))^2*SUMSQ(K36:K$43)) )</f>
        <v>2.3591762183932454E-10</v>
      </c>
      <c r="V35" s="345">
        <f t="shared" si="18"/>
        <v>2.3722065220588988E-10</v>
      </c>
      <c r="W35" s="340">
        <f t="shared" si="19"/>
        <v>5.3077282753143287</v>
      </c>
      <c r="X35" s="345">
        <f t="shared" si="20"/>
        <v>4.7444130441177976E-10</v>
      </c>
      <c r="Y35" s="338">
        <f t="shared" si="8"/>
        <v>-19.226024123592939</v>
      </c>
      <c r="Z35" s="346">
        <f t="shared" si="21"/>
        <v>5.3077282753143287E-2</v>
      </c>
      <c r="AA35" s="346">
        <f t="shared" si="22"/>
        <v>0.27606998936410498</v>
      </c>
      <c r="AB35" s="346">
        <f t="shared" si="9"/>
        <v>0.10615456550628657</v>
      </c>
      <c r="AC35" s="336">
        <f t="shared" si="2"/>
        <v>5.7676709678767905E-13</v>
      </c>
      <c r="AD35" s="337">
        <f t="shared" si="3"/>
        <v>3.6737081917445446E-14</v>
      </c>
      <c r="AE35" s="308">
        <f t="shared" si="10"/>
        <v>6.3694829545675686</v>
      </c>
      <c r="AF35" s="337">
        <f t="shared" si="11"/>
        <v>7.3474163834890892E-14</v>
      </c>
      <c r="AG35" s="338">
        <f t="shared" si="23"/>
        <v>-28.181337854971204</v>
      </c>
      <c r="AH35" s="339">
        <f t="shared" si="24"/>
        <v>6.369482954567568E-2</v>
      </c>
      <c r="AI35" s="340">
        <f t="shared" si="25"/>
        <v>0.22601776350529035</v>
      </c>
      <c r="AJ35" s="341">
        <f t="shared" si="12"/>
        <v>0.12738965909135136</v>
      </c>
    </row>
    <row r="36" spans="1:36" x14ac:dyDescent="0.2">
      <c r="A36" s="309">
        <v>29</v>
      </c>
      <c r="B36" s="309">
        <f t="shared" si="13"/>
        <v>32</v>
      </c>
      <c r="C36" s="1">
        <v>486.98</v>
      </c>
      <c r="D36" s="1">
        <v>0.77</v>
      </c>
      <c r="E36" s="326">
        <f t="shared" si="4"/>
        <v>13.155644429242367</v>
      </c>
      <c r="F36" s="327">
        <f t="shared" si="0"/>
        <v>1.2651929610219326E-2</v>
      </c>
      <c r="G36" s="309">
        <f t="shared" si="5"/>
        <v>1.5</v>
      </c>
      <c r="H36" s="1">
        <v>5400</v>
      </c>
      <c r="I36" s="324">
        <v>30</v>
      </c>
      <c r="J36" s="1">
        <v>8.5900000000000004E-3</v>
      </c>
      <c r="K36" s="122">
        <v>8.0000000000000007E-5</v>
      </c>
      <c r="L36" s="328">
        <f t="shared" si="6"/>
        <v>0.93131548311990686</v>
      </c>
      <c r="M36" s="329">
        <f t="shared" si="1"/>
        <v>1.0461333862692255E-3</v>
      </c>
      <c r="N36" s="342">
        <f>(1/$J$44)*SQRT(((1-J37/$J$44)*K36)^2+(J37/$J$44)^2*(SUMSQ(K$8:K35)+SUMSQ(K37:K$43)))</f>
        <v>4.2701359188929051E-5</v>
      </c>
      <c r="O36" s="340">
        <f t="shared" si="14"/>
        <v>4.081827398818886</v>
      </c>
      <c r="P36" s="332">
        <f t="shared" si="7"/>
        <v>0.22920307531551437</v>
      </c>
      <c r="Q36" s="342">
        <f>SQRT(((1-P36)/$J$44)^2*SUMSQ(K$8:K36)+(P36/$J$44)^2*SUMSQ(K37:K$43))</f>
        <v>5.2786728635783936E-3</v>
      </c>
      <c r="R36" s="340">
        <f t="shared" si="15"/>
        <v>2.3030549901269537</v>
      </c>
      <c r="S36" s="343">
        <f t="shared" si="16"/>
        <v>9.472115008674968E-9</v>
      </c>
      <c r="T36" s="344">
        <f t="shared" si="17"/>
        <v>5.2622861159305408E-11</v>
      </c>
      <c r="U36" s="344">
        <f>IF(P36&lt;=0.85, (1/(3*H36*$J$44))*SQRT( ((1-P36)*(1/SQRT(1-PI()*P36/3)-1) + (1-P35)*(1-1/SQRT(1-PI()*P35/3)))^2*SUMSQ(K$8:K35) + ( (1-P36)*(1/SQRT(1-PI()*P36/3)-1) -P35*(1-1/SQRT(1-PI()*P35/3)) )^2*K36^2 + ( P36*(1-1/SQRT(1-PI()*P36/3)) - P35*(1-1/SQRT(1-PI()*P35/3)) )^2*SUMSQ(K37:K$43) ), (1/(PI()^2*H36*$J$44))*SQRT((1+P35/(1-P35))^2*K36^2+(P35/(1-P35)-P36/(1-P36))^2*SUMSQ(K37:K$43)) )</f>
        <v>4.9441583405801074E-10</v>
      </c>
      <c r="V36" s="345">
        <f t="shared" si="18"/>
        <v>4.9720838939409501E-10</v>
      </c>
      <c r="W36" s="340">
        <f t="shared" si="19"/>
        <v>5.2491802405136578</v>
      </c>
      <c r="X36" s="345">
        <f t="shared" si="20"/>
        <v>9.9441677878819001E-10</v>
      </c>
      <c r="Y36" s="338">
        <f t="shared" si="8"/>
        <v>-18.474913616915323</v>
      </c>
      <c r="Z36" s="346">
        <f t="shared" si="21"/>
        <v>5.2491802405136581E-2</v>
      </c>
      <c r="AA36" s="346">
        <f t="shared" si="22"/>
        <v>0.28412475150669159</v>
      </c>
      <c r="AB36" s="346">
        <f t="shared" si="9"/>
        <v>0.10498360481027316</v>
      </c>
      <c r="AC36" s="336">
        <f t="shared" si="2"/>
        <v>1.2223726530235011E-12</v>
      </c>
      <c r="AD36" s="337">
        <f t="shared" si="3"/>
        <v>7.7263454319704688E-14</v>
      </c>
      <c r="AE36" s="308">
        <f t="shared" si="10"/>
        <v>6.3207773937510714</v>
      </c>
      <c r="AF36" s="337">
        <f t="shared" si="11"/>
        <v>1.5452690863940938E-13</v>
      </c>
      <c r="AG36" s="338">
        <f t="shared" si="23"/>
        <v>-27.430227348293588</v>
      </c>
      <c r="AH36" s="339">
        <f t="shared" si="24"/>
        <v>6.3207773937510717E-2</v>
      </c>
      <c r="AI36" s="340">
        <f t="shared" si="25"/>
        <v>0.23043109754408514</v>
      </c>
      <c r="AJ36" s="341">
        <f t="shared" si="12"/>
        <v>0.12641554787502143</v>
      </c>
    </row>
    <row r="37" spans="1:36" x14ac:dyDescent="0.2">
      <c r="A37" s="309">
        <v>30</v>
      </c>
      <c r="B37" s="309">
        <f t="shared" si="13"/>
        <v>33.5</v>
      </c>
      <c r="C37" s="1">
        <v>506.98</v>
      </c>
      <c r="D37" s="1">
        <v>0.77</v>
      </c>
      <c r="E37" s="326">
        <f t="shared" si="4"/>
        <v>12.81837642444208</v>
      </c>
      <c r="F37" s="327">
        <f t="shared" si="0"/>
        <v>1.2982628872142637E-2</v>
      </c>
      <c r="G37" s="309">
        <f t="shared" si="5"/>
        <v>1.5</v>
      </c>
      <c r="H37" s="1">
        <v>5400</v>
      </c>
      <c r="I37" s="324">
        <v>30</v>
      </c>
      <c r="J37" s="1">
        <v>1.4829999999999999E-2</v>
      </c>
      <c r="K37" s="1">
        <v>1.3999999999999999E-4</v>
      </c>
      <c r="L37" s="328">
        <f t="shared" si="6"/>
        <v>0.94403236682400538</v>
      </c>
      <c r="M37" s="329">
        <f t="shared" si="1"/>
        <v>1.806071957901352E-3</v>
      </c>
      <c r="N37" s="342">
        <f>(1/$J$44)*SQRT(((1-J38/$J$44)*K37)^2+(J38/$J$44)^2*(SUMSQ(K$8:K36)+SUMSQ(K38:K$43)))</f>
        <v>2.7986083689698132E-5</v>
      </c>
      <c r="O37" s="340">
        <f t="shared" si="14"/>
        <v>1.5495552969117488</v>
      </c>
      <c r="P37" s="332">
        <f t="shared" si="7"/>
        <v>0.23100914727341573</v>
      </c>
      <c r="Q37" s="342">
        <f>SQRT(((1-P37)/$J$44)^2*SUMSQ(K$8:K37)+(P37/$J$44)^2*SUMSQ(K38:K$43))</f>
        <v>5.3202380290319042E-3</v>
      </c>
      <c r="R37" s="340">
        <f t="shared" si="15"/>
        <v>2.3030421486881747</v>
      </c>
      <c r="S37" s="343">
        <f t="shared" si="16"/>
        <v>1.6478623622533181E-8</v>
      </c>
      <c r="T37" s="344">
        <f t="shared" si="17"/>
        <v>9.1547909014073197E-11</v>
      </c>
      <c r="U37" s="344">
        <f>IF(P37&lt;=0.85, (1/(3*H37*$J$44))*SQRT( ((1-P37)*(1/SQRT(1-PI()*P37/3)-1) + (1-P36)*(1-1/SQRT(1-PI()*P36/3)))^2*SUMSQ(K$8:K36) + ( (1-P37)*(1/SQRT(1-PI()*P37/3)-1) -P36*(1-1/SQRT(1-PI()*P36/3)) )^2*K37^2 + ( P37*(1-1/SQRT(1-PI()*P37/3)) - P36*(1-1/SQRT(1-PI()*P36/3)) )^2*SUMSQ(K38:K$43) ), (1/(PI()^2*H37*$J$44))*SQRT((1+P36/(1-P36))^2*K37^2+(P36/(1-P36)-P37/(1-P37))^2*SUMSQ(K38:K$43)) )</f>
        <v>8.6121270495177022E-10</v>
      </c>
      <c r="V37" s="345">
        <f t="shared" si="18"/>
        <v>8.6606486062834453E-10</v>
      </c>
      <c r="W37" s="340">
        <f t="shared" si="19"/>
        <v>5.2556868854269547</v>
      </c>
      <c r="X37" s="345">
        <f t="shared" si="20"/>
        <v>1.7321297212566891E-9</v>
      </c>
      <c r="Y37" s="338">
        <f t="shared" si="8"/>
        <v>-17.921201834003082</v>
      </c>
      <c r="Z37" s="346">
        <f t="shared" si="21"/>
        <v>5.2556868854269544E-2</v>
      </c>
      <c r="AA37" s="346">
        <f t="shared" si="22"/>
        <v>0.29326643012607512</v>
      </c>
      <c r="AB37" s="346">
        <f t="shared" si="9"/>
        <v>0.10511373770853909</v>
      </c>
      <c r="AC37" s="336">
        <f t="shared" si="2"/>
        <v>2.1265597870384579E-12</v>
      </c>
      <c r="AD37" s="337">
        <f t="shared" si="3"/>
        <v>1.3453004180209147E-13</v>
      </c>
      <c r="AE37" s="308">
        <f t="shared" si="10"/>
        <v>6.3261819687394736</v>
      </c>
      <c r="AF37" s="337">
        <f t="shared" si="11"/>
        <v>2.6906008360418295E-13</v>
      </c>
      <c r="AG37" s="338">
        <f t="shared" si="23"/>
        <v>-26.876515565381347</v>
      </c>
      <c r="AH37" s="339">
        <f t="shared" si="24"/>
        <v>6.3261819687394735E-2</v>
      </c>
      <c r="AI37" s="340">
        <f t="shared" si="25"/>
        <v>0.23537954365215394</v>
      </c>
      <c r="AJ37" s="341">
        <f t="shared" si="12"/>
        <v>0.12652363937478947</v>
      </c>
    </row>
    <row r="38" spans="1:36" x14ac:dyDescent="0.2">
      <c r="A38" s="309">
        <v>31</v>
      </c>
      <c r="B38" s="309">
        <f t="shared" si="13"/>
        <v>35</v>
      </c>
      <c r="C38" s="1">
        <v>496.98</v>
      </c>
      <c r="D38" s="1">
        <v>0.41</v>
      </c>
      <c r="E38" s="326">
        <f t="shared" si="4"/>
        <v>12.984820744549621</v>
      </c>
      <c r="F38" s="327">
        <f t="shared" si="0"/>
        <v>7.2863627308941241E-3</v>
      </c>
      <c r="G38" s="309">
        <f t="shared" si="5"/>
        <v>1.5</v>
      </c>
      <c r="H38" s="1">
        <v>5400</v>
      </c>
      <c r="I38" s="324">
        <v>30</v>
      </c>
      <c r="J38" s="1">
        <v>7.92E-3</v>
      </c>
      <c r="K38" s="122">
        <v>9.0000000000000006E-5</v>
      </c>
      <c r="L38" s="328">
        <f t="shared" si="6"/>
        <v>1.1363636363636365</v>
      </c>
      <c r="M38" s="329">
        <f t="shared" si="1"/>
        <v>9.6453741784077599E-4</v>
      </c>
      <c r="N38" s="342">
        <f>(1/$J$44)*SQRT(((1-J39/$J$44)*K38)^2+(J39/$J$44)^2*(SUMSQ(K$8:K37)+SUMSQ(K39:K$43)))</f>
        <v>1.3594149748036871E-5</v>
      </c>
      <c r="O38" s="340">
        <f t="shared" si="14"/>
        <v>1.4093957887573594</v>
      </c>
      <c r="P38" s="332">
        <f t="shared" si="7"/>
        <v>0.23197368469125651</v>
      </c>
      <c r="Q38" s="342">
        <f>SQRT(((1-P38)/$J$44)^2*SUMSQ(K$8:K38)+(P38/$J$44)^2*SUMSQ(K39:K$43))</f>
        <v>5.3424342606856285E-3</v>
      </c>
      <c r="R38" s="340">
        <f t="shared" si="15"/>
        <v>2.3030346169636</v>
      </c>
      <c r="S38" s="343">
        <f t="shared" si="16"/>
        <v>8.8658425594857467E-9</v>
      </c>
      <c r="T38" s="344">
        <f t="shared" si="17"/>
        <v>4.9254680886031907E-11</v>
      </c>
      <c r="U38" s="344">
        <f>IF(P38&lt;=0.85, (1/(3*H38*$J$44))*SQRT( ((1-P38)*(1/SQRT(1-PI()*P38/3)-1) + (1-P37)*(1-1/SQRT(1-PI()*P37/3)))^2*SUMSQ(K$8:K37) + ( (1-P38)*(1/SQRT(1-PI()*P38/3)-1) -P37*(1-1/SQRT(1-PI()*P37/3)) )^2*K38^2 + ( P38*(1-1/SQRT(1-PI()*P38/3)) - P37*(1-1/SQRT(1-PI()*P37/3)) )^2*SUMSQ(K39:K$43) ), (1/(PI()^2*H38*$J$44))*SQRT((1+P37/(1-P37))^2*K38^2+(P37/(1-P37)-P38/(1-P38))^2*SUMSQ(K39:K$43)) )</f>
        <v>4.6708898072473087E-10</v>
      </c>
      <c r="V38" s="345">
        <f t="shared" si="18"/>
        <v>4.6967876203172405E-10</v>
      </c>
      <c r="W38" s="340">
        <f t="shared" si="19"/>
        <v>5.2976212794260045</v>
      </c>
      <c r="X38" s="345">
        <f t="shared" si="20"/>
        <v>9.3935752406344811E-10</v>
      </c>
      <c r="Y38" s="338">
        <f t="shared" si="8"/>
        <v>-18.541059858565369</v>
      </c>
      <c r="Z38" s="346">
        <f t="shared" si="21"/>
        <v>5.2976212794260048E-2</v>
      </c>
      <c r="AA38" s="346">
        <f t="shared" si="22"/>
        <v>0.28572375688537971</v>
      </c>
      <c r="AB38" s="346">
        <f t="shared" si="9"/>
        <v>0.1059524255885201</v>
      </c>
      <c r="AC38" s="336">
        <f t="shared" si="2"/>
        <v>1.1441334359646117E-12</v>
      </c>
      <c r="AD38" s="337">
        <f t="shared" si="3"/>
        <v>7.2779050818951469E-14</v>
      </c>
      <c r="AE38" s="308">
        <f t="shared" si="10"/>
        <v>6.3610631881928965</v>
      </c>
      <c r="AF38" s="337">
        <f t="shared" si="11"/>
        <v>1.4555810163790294E-13</v>
      </c>
      <c r="AG38" s="338">
        <f t="shared" si="23"/>
        <v>-27.496373589943634</v>
      </c>
      <c r="AH38" s="339">
        <f t="shared" si="24"/>
        <v>6.3610631881928975E-2</v>
      </c>
      <c r="AI38" s="340">
        <f t="shared" si="25"/>
        <v>0.23134189559161927</v>
      </c>
      <c r="AJ38" s="341">
        <f t="shared" si="12"/>
        <v>0.12722126376385795</v>
      </c>
    </row>
    <row r="39" spans="1:36" x14ac:dyDescent="0.2">
      <c r="A39" s="309">
        <v>32</v>
      </c>
      <c r="B39" s="309">
        <f t="shared" si="13"/>
        <v>36.5</v>
      </c>
      <c r="C39" s="1">
        <v>476.98</v>
      </c>
      <c r="D39" s="1">
        <v>0.78</v>
      </c>
      <c r="E39" s="326">
        <f t="shared" si="4"/>
        <v>13.33102262274539</v>
      </c>
      <c r="F39" s="327">
        <f t="shared" si="0"/>
        <v>1.4631279939214368E-2</v>
      </c>
      <c r="G39" s="309">
        <f t="shared" si="5"/>
        <v>1.5</v>
      </c>
      <c r="H39" s="1">
        <v>5400</v>
      </c>
      <c r="I39" s="324">
        <v>30</v>
      </c>
      <c r="J39" s="1">
        <v>2.8699999999999902E-3</v>
      </c>
      <c r="K39" s="122">
        <v>2.9999999999999899E-5</v>
      </c>
      <c r="L39" s="328">
        <f t="shared" si="6"/>
        <v>1.0452961672473868</v>
      </c>
      <c r="M39" s="329">
        <f t="shared" si="1"/>
        <v>3.4952302893977497E-4</v>
      </c>
      <c r="N39" s="342">
        <f>(1/$J$44)*SQRT(((1-J40/$J$44)*K39)^2+(J40/$J$44)^2*(SUMSQ(K$8:K38)+SUMSQ(K40:K$43)))</f>
        <v>5.1405709639410724E-6</v>
      </c>
      <c r="O39" s="340">
        <f t="shared" si="14"/>
        <v>1.4707388464600499</v>
      </c>
      <c r="P39" s="332">
        <f t="shared" si="7"/>
        <v>0.2323232077201963</v>
      </c>
      <c r="Q39" s="342">
        <f>SQRT(((1-P39)/$J$44)^2*SUMSQ(K$8:K39)+(P39/$J$44)^2*SUMSQ(K40:K$43))</f>
        <v>5.3504760901710961E-3</v>
      </c>
      <c r="R39" s="340">
        <f t="shared" si="15"/>
        <v>2.3030312566168867</v>
      </c>
      <c r="S39" s="343">
        <f t="shared" si="16"/>
        <v>3.2240113835428748E-9</v>
      </c>
      <c r="T39" s="344">
        <f t="shared" si="17"/>
        <v>1.7911174353015959E-11</v>
      </c>
      <c r="U39" s="344">
        <f>IF(P39&lt;=0.85, (1/(3*H39*$J$44))*SQRT( ((1-P39)*(1/SQRT(1-PI()*P39/3)-1) + (1-P38)*(1-1/SQRT(1-PI()*P38/3)))^2*SUMSQ(K$8:K38) + ( (1-P39)*(1/SQRT(1-PI()*P39/3)-1) -P38*(1-1/SQRT(1-PI()*P38/3)) )^2*K39^2 + ( P39*(1-1/SQRT(1-PI()*P39/3)) - P38*(1-1/SQRT(1-PI()*P38/3)) )^2*SUMSQ(K40:K$43) ), (1/(PI()^2*H39*$J$44))*SQRT((1+P38/(1-P38))^2*K39^2+(P38/(1-P38)-P39/(1-P39))^2*SUMSQ(K40:K$43)) )</f>
        <v>1.6930536178986674E-10</v>
      </c>
      <c r="V39" s="345">
        <f t="shared" si="18"/>
        <v>1.7025015623341379E-10</v>
      </c>
      <c r="W39" s="340">
        <f t="shared" si="19"/>
        <v>5.280693396507969</v>
      </c>
      <c r="X39" s="345">
        <f t="shared" si="20"/>
        <v>3.4050031246682759E-10</v>
      </c>
      <c r="Y39" s="338">
        <f t="shared" si="8"/>
        <v>-19.552639481432681</v>
      </c>
      <c r="Z39" s="346">
        <f t="shared" si="21"/>
        <v>5.280693396507969E-2</v>
      </c>
      <c r="AA39" s="346">
        <f t="shared" si="22"/>
        <v>0.27007573077397307</v>
      </c>
      <c r="AB39" s="346">
        <f t="shared" si="9"/>
        <v>0.10561386793015938</v>
      </c>
      <c r="AC39" s="336">
        <f t="shared" si="2"/>
        <v>4.1605737944165459E-13</v>
      </c>
      <c r="AD39" s="337">
        <f t="shared" si="3"/>
        <v>2.6407046308949693E-14</v>
      </c>
      <c r="AE39" s="308">
        <f t="shared" si="10"/>
        <v>6.3469722239725019</v>
      </c>
      <c r="AF39" s="337">
        <f t="shared" si="11"/>
        <v>5.2814092617899386E-14</v>
      </c>
      <c r="AG39" s="338">
        <f t="shared" si="23"/>
        <v>-28.507953212810946</v>
      </c>
      <c r="AH39" s="339">
        <f t="shared" si="24"/>
        <v>6.346972223972501E-2</v>
      </c>
      <c r="AI39" s="340">
        <f t="shared" si="25"/>
        <v>0.2226386502248183</v>
      </c>
      <c r="AJ39" s="341">
        <f t="shared" si="12"/>
        <v>0.12693944447945002</v>
      </c>
    </row>
    <row r="40" spans="1:36" x14ac:dyDescent="0.2">
      <c r="A40" s="309">
        <v>33</v>
      </c>
      <c r="B40" s="309">
        <f t="shared" si="13"/>
        <v>38</v>
      </c>
      <c r="C40" s="1">
        <v>456.99</v>
      </c>
      <c r="D40" s="1">
        <v>0.24</v>
      </c>
      <c r="E40" s="326">
        <f t="shared" si="4"/>
        <v>13.696003506176897</v>
      </c>
      <c r="F40" s="327">
        <f t="shared" si="0"/>
        <v>4.7590831204079231E-3</v>
      </c>
      <c r="G40" s="309">
        <f t="shared" si="5"/>
        <v>1.5</v>
      </c>
      <c r="H40" s="1">
        <v>5400</v>
      </c>
      <c r="I40" s="324">
        <v>30</v>
      </c>
      <c r="J40" s="1">
        <v>1.2899999999999999E-3</v>
      </c>
      <c r="K40" s="122">
        <v>2.0000000000000002E-5</v>
      </c>
      <c r="L40" s="328">
        <f t="shared" si="6"/>
        <v>1.5503875968992249</v>
      </c>
      <c r="M40" s="329">
        <f t="shared" si="1"/>
        <v>1.5710268548164153E-4</v>
      </c>
      <c r="N40" s="342">
        <f>(1/$J$44)*SQRT(((1-J41/$J$44)*K40)^2+(J41/$J$44)^2*(SUMSQ(K$8:K39)+SUMSQ(K41:K$43)))</f>
        <v>3.3300099699051974E-6</v>
      </c>
      <c r="O40" s="340">
        <f t="shared" si="14"/>
        <v>2.1196391135492911</v>
      </c>
      <c r="P40" s="332">
        <f t="shared" si="7"/>
        <v>0.23248031040567793</v>
      </c>
      <c r="Q40" s="342">
        <f>SQRT(((1-P40)/$J$44)^2*SUMSQ(K$8:K40)+(P40/$J$44)^2*SUMSQ(K41:K$43))</f>
        <v>5.3540907112117784E-3</v>
      </c>
      <c r="R40" s="340">
        <f t="shared" si="15"/>
        <v>2.3030297498609213</v>
      </c>
      <c r="S40" s="343">
        <f t="shared" si="16"/>
        <v>1.451073858108104E-9</v>
      </c>
      <c r="T40" s="344">
        <f t="shared" si="17"/>
        <v>8.061521433933907E-12</v>
      </c>
      <c r="U40" s="344">
        <f>IF(P40&lt;=0.85, (1/(3*H40*$J$44))*SQRT( ((1-P40)*(1/SQRT(1-PI()*P40/3)-1) + (1-P39)*(1-1/SQRT(1-PI()*P39/3)))^2*SUMSQ(K$8:K39) + ( (1-P40)*(1/SQRT(1-PI()*P40/3)-1) -P39*(1-1/SQRT(1-PI()*P39/3)) )^2*K40^2 + ( P40*(1-1/SQRT(1-PI()*P40/3)) - P39*(1-1/SQRT(1-PI()*P39/3)) )^2*SUMSQ(K41:K$43) ), (1/(PI()^2*H40*$J$44))*SQRT((1+P39/(1-P39))^2*K40^2+(P39/(1-P39)-P40/(1-P40))^2*SUMSQ(K41:K$43)) )</f>
        <v>7.8002468442461616E-11</v>
      </c>
      <c r="V40" s="345">
        <f t="shared" si="18"/>
        <v>7.8417939343921787E-11</v>
      </c>
      <c r="W40" s="340">
        <f t="shared" si="19"/>
        <v>5.4041314923943524</v>
      </c>
      <c r="X40" s="345">
        <f t="shared" si="20"/>
        <v>1.5683587868784357E-10</v>
      </c>
      <c r="Y40" s="338">
        <f t="shared" si="8"/>
        <v>-20.350961962818019</v>
      </c>
      <c r="Z40" s="346">
        <f t="shared" si="21"/>
        <v>5.4041314923943526E-2</v>
      </c>
      <c r="AA40" s="346">
        <f t="shared" si="22"/>
        <v>0.26554673446237609</v>
      </c>
      <c r="AB40" s="346">
        <f t="shared" si="9"/>
        <v>0.10808262984788705</v>
      </c>
      <c r="AC40" s="336">
        <f t="shared" si="2"/>
        <v>1.8726050095930758E-13</v>
      </c>
      <c r="AD40" s="337">
        <f t="shared" si="3"/>
        <v>1.2078370661916342E-14</v>
      </c>
      <c r="AE40" s="308">
        <f t="shared" si="10"/>
        <v>6.4500364999776538</v>
      </c>
      <c r="AF40" s="337">
        <f t="shared" si="11"/>
        <v>2.4156741323832685E-14</v>
      </c>
      <c r="AG40" s="338">
        <f t="shared" si="23"/>
        <v>-29.30627569419628</v>
      </c>
      <c r="AH40" s="339">
        <f t="shared" si="24"/>
        <v>6.450036499977653E-2</v>
      </c>
      <c r="AI40" s="340">
        <f t="shared" si="25"/>
        <v>0.22009062384051062</v>
      </c>
      <c r="AJ40" s="341">
        <f t="shared" si="12"/>
        <v>0.12900072999955306</v>
      </c>
    </row>
    <row r="41" spans="1:36" x14ac:dyDescent="0.2">
      <c r="A41" s="309">
        <v>34</v>
      </c>
      <c r="B41" s="309">
        <f t="shared" si="13"/>
        <v>39.5</v>
      </c>
      <c r="C41" s="1">
        <v>436.99</v>
      </c>
      <c r="D41" s="1">
        <v>0.27</v>
      </c>
      <c r="E41" s="326">
        <f t="shared" si="4"/>
        <v>14.08173036302701</v>
      </c>
      <c r="F41" s="327">
        <f t="shared" si="0"/>
        <v>5.5081580043986316E-3</v>
      </c>
      <c r="G41" s="309">
        <f t="shared" si="5"/>
        <v>1.5</v>
      </c>
      <c r="H41" s="1">
        <v>5400</v>
      </c>
      <c r="I41" s="324">
        <v>30</v>
      </c>
      <c r="J41" s="1">
        <v>8.0999999999999996E-4</v>
      </c>
      <c r="K41" s="122">
        <v>1.0000000000000001E-5</v>
      </c>
      <c r="L41" s="328">
        <f t="shared" si="6"/>
        <v>1.2345679012345681</v>
      </c>
      <c r="M41" s="329">
        <f t="shared" si="1"/>
        <v>9.8645872279170269E-5</v>
      </c>
      <c r="N41" s="342">
        <f>(1/$J$44)*SQRT(((1-J42/$J$44)*K41)^2+(J42/$J$44)^2*(SUMSQ(K$8:K40)+SUMSQ(K42:K$43)))</f>
        <v>1.7334531208762136E-6</v>
      </c>
      <c r="O41" s="340">
        <f t="shared" si="14"/>
        <v>1.7572485100750066</v>
      </c>
      <c r="P41" s="332">
        <f t="shared" si="7"/>
        <v>0.23257895627795711</v>
      </c>
      <c r="Q41" s="342">
        <f>SQRT(((1-P41)/$J$44)^2*SUMSQ(K$8:K41)+(P41/$J$44)^2*SUMSQ(K42:K$43))</f>
        <v>5.3563602463729014E-3</v>
      </c>
      <c r="R41" s="340">
        <f t="shared" si="15"/>
        <v>2.3030287572412482</v>
      </c>
      <c r="S41" s="343">
        <f t="shared" si="16"/>
        <v>9.1175894608636754E-10</v>
      </c>
      <c r="T41" s="344">
        <f t="shared" si="17"/>
        <v>5.0653274782575988E-12</v>
      </c>
      <c r="U41" s="344">
        <f>IF(P41&lt;=0.85, (1/(3*H41*$J$44))*SQRT( ((1-P41)*(1/SQRT(1-PI()*P41/3)-1) + (1-P40)*(1-1/SQRT(1-PI()*P40/3)))^2*SUMSQ(K$8:K40) + ( (1-P41)*(1/SQRT(1-PI()*P41/3)-1) -P40*(1-1/SQRT(1-PI()*P40/3)) )^2*K41^2 + ( P41*(1-1/SQRT(1-PI()*P41/3)) - P40*(1-1/SQRT(1-PI()*P40/3)) )^2*SUMSQ(K42:K$43) ), (1/(PI()^2*H41*$J$44))*SQRT((1+P40/(1-P40))^2*K41^2+(P40/(1-P40)-P41/(1-P41))^2*SUMSQ(K42:K$43)) )</f>
        <v>4.8263174860877896E-11</v>
      </c>
      <c r="V41" s="345">
        <f t="shared" si="18"/>
        <v>4.8528255584902985E-11</v>
      </c>
      <c r="W41" s="340">
        <f t="shared" si="19"/>
        <v>5.3224874615385547</v>
      </c>
      <c r="X41" s="345">
        <f t="shared" si="20"/>
        <v>9.705651116980597E-11</v>
      </c>
      <c r="Y41" s="338">
        <f t="shared" si="8"/>
        <v>-20.815645474292978</v>
      </c>
      <c r="Z41" s="346">
        <f t="shared" si="21"/>
        <v>5.3224874615385546E-2</v>
      </c>
      <c r="AA41" s="346">
        <f t="shared" si="22"/>
        <v>0.25569648887956659</v>
      </c>
      <c r="AB41" s="346">
        <f t="shared" si="9"/>
        <v>0.10644974923077109</v>
      </c>
      <c r="AC41" s="336">
        <f t="shared" si="2"/>
        <v>1.1766212728886728E-13</v>
      </c>
      <c r="AD41" s="337">
        <f t="shared" si="3"/>
        <v>7.5089464473058015E-15</v>
      </c>
      <c r="AE41" s="308">
        <f t="shared" si="10"/>
        <v>6.3817870884408761</v>
      </c>
      <c r="AF41" s="337">
        <f t="shared" si="11"/>
        <v>1.5017892894611603E-14</v>
      </c>
      <c r="AG41" s="338">
        <f t="shared" si="23"/>
        <v>-29.77095920567124</v>
      </c>
      <c r="AH41" s="339">
        <f t="shared" si="24"/>
        <v>6.3817870884408767E-2</v>
      </c>
      <c r="AI41" s="340">
        <f t="shared" si="25"/>
        <v>0.21436283071541656</v>
      </c>
      <c r="AJ41" s="341">
        <f t="shared" si="12"/>
        <v>0.12763574176881753</v>
      </c>
    </row>
    <row r="42" spans="1:36" x14ac:dyDescent="0.2">
      <c r="A42" s="309">
        <v>35</v>
      </c>
      <c r="B42" s="309">
        <f t="shared" si="13"/>
        <v>41</v>
      </c>
      <c r="C42" s="1">
        <v>426.98</v>
      </c>
      <c r="D42" s="1">
        <v>0.21</v>
      </c>
      <c r="E42" s="326">
        <f t="shared" si="4"/>
        <v>14.28306171710968</v>
      </c>
      <c r="F42" s="327">
        <f t="shared" si="0"/>
        <v>2.8146013072013691E-2</v>
      </c>
      <c r="G42" s="309">
        <f t="shared" si="5"/>
        <v>1.5</v>
      </c>
      <c r="H42" s="1">
        <v>5400</v>
      </c>
      <c r="I42" s="324">
        <v>30</v>
      </c>
      <c r="J42" s="1">
        <v>4.4000000000000002E-4</v>
      </c>
      <c r="K42" s="122">
        <v>1.0000000000000001E-5</v>
      </c>
      <c r="L42" s="328">
        <f t="shared" si="6"/>
        <v>2.2727272727272729</v>
      </c>
      <c r="M42" s="329">
        <f t="shared" si="1"/>
        <v>5.3585412102265333E-5</v>
      </c>
      <c r="N42" s="342">
        <f>(1/$J$44)*SQRT(((1-J43/$J$44)*K42)^2+(J43/$J$44)^2*(SUMSQ(K$8:K41)+SUMSQ(K43:K$43)))</f>
        <v>1.7666237532148573E-2</v>
      </c>
      <c r="O42" s="340">
        <f t="shared" si="14"/>
        <v>32968.371127637052</v>
      </c>
      <c r="P42" s="332">
        <f t="shared" si="7"/>
        <v>0.23263254169005937</v>
      </c>
      <c r="Q42" s="342">
        <f>SQRT(((1-P42)/$J$44)^2*SUMSQ(K$8:K42)+(P42/$J$44)^2*SUMSQ(K43:K$43))</f>
        <v>5.3575931145994843E-3</v>
      </c>
      <c r="R42" s="340">
        <f t="shared" si="15"/>
        <v>2.3030282331426806</v>
      </c>
      <c r="S42" s="343">
        <f t="shared" si="16"/>
        <v>4.9547683121980641E-10</v>
      </c>
      <c r="T42" s="344">
        <f t="shared" si="17"/>
        <v>2.7526490623322579E-12</v>
      </c>
      <c r="U42" s="344">
        <f>IF(P42&lt;=0.85, (1/(3*H42*$J$44))*SQRT( ((1-P42)*(1/SQRT(1-PI()*P42/3)-1) + (1-P41)*(1-1/SQRT(1-PI()*P41/3)))^2*SUMSQ(K$8:K41) + ( (1-P42)*(1/SQRT(1-PI()*P42/3)-1) -P41*(1-1/SQRT(1-PI()*P41/3)) )^2*K42^2 + ( P42*(1-1/SQRT(1-PI()*P42/3)) - P41*(1-1/SQRT(1-PI()*P41/3)) )^2*SUMSQ(K43:K$43) ), (1/(PI()^2*H42*$J$44))*SQRT((1+P41/(1-P41))^2*K42^2+(P41/(1-P41)-P42/(1-P42))^2*SUMSQ(K43:K$43)) )</f>
        <v>2.7880791328008561E-11</v>
      </c>
      <c r="V42" s="345">
        <f t="shared" si="18"/>
        <v>2.8016345263726244E-11</v>
      </c>
      <c r="W42" s="340">
        <f t="shared" si="19"/>
        <v>5.6544208524853232</v>
      </c>
      <c r="X42" s="345">
        <f t="shared" si="20"/>
        <v>5.6032690527452488E-11</v>
      </c>
      <c r="Y42" s="338">
        <f t="shared" si="8"/>
        <v>-21.425500521637574</v>
      </c>
      <c r="Z42" s="346">
        <f t="shared" si="21"/>
        <v>5.6544208524853236E-2</v>
      </c>
      <c r="AA42" s="346">
        <f t="shared" si="22"/>
        <v>0.26391079390537153</v>
      </c>
      <c r="AB42" s="346">
        <f t="shared" si="9"/>
        <v>0.11308841704970647</v>
      </c>
      <c r="AC42" s="336">
        <f t="shared" si="2"/>
        <v>6.3941086878183522E-14</v>
      </c>
      <c r="AD42" s="337">
        <f t="shared" si="3"/>
        <v>4.2592064059633797E-15</v>
      </c>
      <c r="AE42" s="308">
        <f t="shared" si="10"/>
        <v>6.66114170701813</v>
      </c>
      <c r="AF42" s="337">
        <f t="shared" si="11"/>
        <v>8.5184128119267594E-15</v>
      </c>
      <c r="AG42" s="338">
        <f t="shared" si="23"/>
        <v>-30.380814253015835</v>
      </c>
      <c r="AH42" s="339">
        <f t="shared" si="24"/>
        <v>6.6611417070181311E-2</v>
      </c>
      <c r="AI42" s="340">
        <f t="shared" si="25"/>
        <v>0.21925487748758726</v>
      </c>
      <c r="AJ42" s="341">
        <f t="shared" si="12"/>
        <v>0.13322283414036262</v>
      </c>
    </row>
    <row r="43" spans="1:36" x14ac:dyDescent="0.2">
      <c r="J43" s="338">
        <v>6.3010000000000002</v>
      </c>
      <c r="K43" s="346">
        <f>IF(J43&lt;0.06,J43*0.1,IF(J43&lt;0.2,J43*0.06,J43*0.03))</f>
        <v>0.18903</v>
      </c>
      <c r="L43" s="328">
        <f t="shared" si="6"/>
        <v>3</v>
      </c>
      <c r="M43" s="329">
        <f t="shared" si="1"/>
        <v>0.76736745830994058</v>
      </c>
      <c r="N43" s="342"/>
      <c r="O43" s="340"/>
      <c r="P43" s="332"/>
      <c r="Q43" s="342"/>
      <c r="R43" s="340"/>
      <c r="S43" s="343"/>
      <c r="T43" s="344"/>
      <c r="U43" s="344"/>
      <c r="V43" s="345"/>
      <c r="W43" s="340"/>
      <c r="X43" s="345"/>
      <c r="Y43" s="338"/>
      <c r="Z43" s="346"/>
      <c r="AA43" s="346"/>
      <c r="AB43" s="346"/>
      <c r="AC43" s="336"/>
      <c r="AD43" s="337"/>
      <c r="AE43" s="308"/>
      <c r="AF43" s="337"/>
      <c r="AG43" s="338"/>
      <c r="AH43" s="339"/>
      <c r="AI43" s="340"/>
      <c r="AJ43" s="341"/>
    </row>
    <row r="44" spans="1:36" x14ac:dyDescent="0.2">
      <c r="J44" s="120">
        <f>SUM(J8:J43)</f>
        <v>8.2111899999999984</v>
      </c>
      <c r="K44" s="346">
        <f>SQRT(SUMSQ(K8:K43))</f>
        <v>0.18903698817956235</v>
      </c>
      <c r="L44" s="328">
        <f t="shared" si="6"/>
        <v>2.3021874804938429</v>
      </c>
      <c r="M44" s="329"/>
      <c r="N44" s="342"/>
      <c r="O44" s="340"/>
      <c r="P44" s="332"/>
      <c r="Q44" s="342"/>
      <c r="R44" s="340"/>
      <c r="S44" s="343"/>
      <c r="T44" s="344"/>
      <c r="U44" s="344"/>
      <c r="V44" s="345"/>
      <c r="W44" s="340"/>
      <c r="X44" s="345"/>
      <c r="Y44" s="338"/>
      <c r="Z44" s="346"/>
      <c r="AA44" s="346"/>
      <c r="AB44" s="346"/>
      <c r="AC44" s="336"/>
      <c r="AD44" s="337"/>
      <c r="AE44" s="308"/>
      <c r="AF44" s="337"/>
      <c r="AG44" s="338"/>
      <c r="AH44" s="339"/>
      <c r="AI44" s="340"/>
      <c r="AJ44" s="341"/>
    </row>
    <row r="45" spans="1:36" x14ac:dyDescent="0.2">
      <c r="K45" s="120"/>
      <c r="L45" s="328"/>
      <c r="M45" s="329"/>
      <c r="N45" s="342"/>
      <c r="O45" s="340"/>
      <c r="P45" s="332"/>
      <c r="Q45" s="342"/>
      <c r="R45" s="340"/>
      <c r="S45" s="343"/>
      <c r="T45" s="344"/>
      <c r="U45" s="344"/>
      <c r="V45" s="345"/>
      <c r="W45" s="340"/>
      <c r="X45" s="345"/>
      <c r="Y45" s="338"/>
      <c r="Z45" s="346"/>
      <c r="AA45" s="346"/>
      <c r="AB45" s="346"/>
      <c r="AC45" s="336"/>
      <c r="AD45" s="337"/>
      <c r="AE45" s="308"/>
      <c r="AF45" s="337"/>
      <c r="AG45" s="338"/>
      <c r="AH45" s="339"/>
      <c r="AI45" s="340"/>
      <c r="AJ45" s="341"/>
    </row>
    <row r="46" spans="1:36" x14ac:dyDescent="0.2">
      <c r="L46" s="328"/>
      <c r="M46" s="329"/>
      <c r="N46" s="342"/>
      <c r="O46" s="340"/>
      <c r="P46" s="332"/>
      <c r="Q46" s="342"/>
      <c r="R46" s="340"/>
      <c r="S46" s="343"/>
      <c r="T46" s="344"/>
      <c r="U46" s="344"/>
      <c r="V46" s="345"/>
      <c r="W46" s="340"/>
      <c r="X46" s="345"/>
      <c r="Y46" s="338"/>
      <c r="Z46" s="346"/>
      <c r="AA46" s="346"/>
      <c r="AB46" s="346"/>
      <c r="AC46" s="336"/>
      <c r="AD46" s="337"/>
      <c r="AE46" s="308"/>
      <c r="AF46" s="337"/>
      <c r="AG46" s="338"/>
      <c r="AH46" s="339"/>
      <c r="AI46" s="340"/>
      <c r="AJ46" s="341"/>
    </row>
    <row r="47" spans="1:36" x14ac:dyDescent="0.2">
      <c r="L47" s="328"/>
      <c r="M47" s="329"/>
      <c r="N47" s="342"/>
      <c r="O47" s="340"/>
      <c r="P47" s="332"/>
      <c r="Q47" s="342"/>
      <c r="R47" s="340"/>
      <c r="S47" s="343"/>
      <c r="T47" s="344"/>
      <c r="U47" s="344"/>
      <c r="V47" s="345"/>
      <c r="W47" s="340"/>
      <c r="X47" s="345"/>
      <c r="Y47" s="338"/>
      <c r="Z47" s="346"/>
      <c r="AA47" s="346"/>
      <c r="AB47" s="346"/>
      <c r="AC47" s="336"/>
      <c r="AD47" s="337"/>
      <c r="AE47" s="308"/>
      <c r="AF47" s="337"/>
      <c r="AG47" s="338"/>
      <c r="AH47" s="339"/>
      <c r="AI47" s="340"/>
      <c r="AJ47" s="341"/>
    </row>
    <row r="48" spans="1:36" x14ac:dyDescent="0.2">
      <c r="K48" s="349"/>
      <c r="L48" s="328"/>
      <c r="M48" s="329"/>
      <c r="N48" s="342"/>
      <c r="O48" s="340"/>
      <c r="P48" s="332"/>
      <c r="Q48" s="342"/>
      <c r="R48" s="340"/>
      <c r="S48" s="343"/>
      <c r="T48" s="344"/>
      <c r="U48" s="344"/>
      <c r="V48" s="345"/>
      <c r="W48" s="340"/>
      <c r="X48" s="345"/>
      <c r="Y48" s="338"/>
      <c r="Z48" s="346"/>
      <c r="AA48" s="346"/>
      <c r="AB48" s="346"/>
      <c r="AC48" s="336"/>
      <c r="AD48" s="337"/>
      <c r="AE48" s="308"/>
      <c r="AF48" s="337"/>
      <c r="AG48" s="338"/>
      <c r="AH48" s="339"/>
      <c r="AI48" s="340"/>
      <c r="AJ48" s="341"/>
    </row>
    <row r="49" spans="12:36" x14ac:dyDescent="0.2">
      <c r="L49" s="328"/>
      <c r="M49" s="329"/>
      <c r="N49" s="342"/>
      <c r="O49" s="340"/>
      <c r="P49" s="332"/>
      <c r="Q49" s="342"/>
      <c r="R49" s="340"/>
      <c r="S49" s="343"/>
      <c r="T49" s="344"/>
      <c r="U49" s="344"/>
      <c r="V49" s="345"/>
      <c r="W49" s="340"/>
      <c r="X49" s="345"/>
      <c r="Y49" s="338"/>
      <c r="Z49" s="346"/>
      <c r="AA49" s="346"/>
      <c r="AB49" s="346"/>
      <c r="AC49" s="336"/>
      <c r="AD49" s="337"/>
      <c r="AE49" s="308"/>
      <c r="AF49" s="337"/>
      <c r="AG49" s="338"/>
      <c r="AH49" s="339"/>
      <c r="AI49" s="340"/>
      <c r="AJ49" s="341"/>
    </row>
    <row r="50" spans="12:36" x14ac:dyDescent="0.2">
      <c r="L50" s="328"/>
      <c r="M50" s="329"/>
      <c r="N50" s="342"/>
      <c r="O50" s="340"/>
      <c r="P50" s="332"/>
      <c r="Q50" s="342"/>
      <c r="R50" s="340"/>
      <c r="S50" s="343"/>
      <c r="T50" s="344"/>
      <c r="U50" s="344"/>
      <c r="V50" s="345"/>
      <c r="W50" s="340"/>
      <c r="X50" s="345"/>
      <c r="Y50" s="338"/>
      <c r="Z50" s="346"/>
      <c r="AA50" s="346"/>
      <c r="AB50" s="346"/>
      <c r="AC50" s="336"/>
      <c r="AD50" s="337"/>
      <c r="AE50" s="308"/>
      <c r="AF50" s="337"/>
      <c r="AG50" s="338"/>
      <c r="AH50" s="339"/>
      <c r="AI50" s="340"/>
      <c r="AJ50" s="341"/>
    </row>
    <row r="51" spans="12:36" x14ac:dyDescent="0.2">
      <c r="L51" s="328"/>
      <c r="M51" s="329"/>
      <c r="N51" s="342"/>
      <c r="O51" s="340"/>
      <c r="P51" s="332"/>
      <c r="Q51" s="342"/>
      <c r="R51" s="340"/>
      <c r="S51" s="343"/>
      <c r="T51" s="344"/>
      <c r="U51" s="344"/>
      <c r="V51" s="345"/>
      <c r="W51" s="340"/>
      <c r="X51" s="345"/>
      <c r="Y51" s="338"/>
      <c r="Z51" s="346"/>
      <c r="AA51" s="346"/>
      <c r="AB51" s="346"/>
      <c r="AC51" s="336"/>
      <c r="AD51" s="337"/>
      <c r="AE51" s="308"/>
      <c r="AF51" s="337"/>
      <c r="AG51" s="338"/>
      <c r="AH51" s="339"/>
      <c r="AI51" s="340"/>
      <c r="AJ51" s="341"/>
    </row>
    <row r="52" spans="12:36" x14ac:dyDescent="0.2">
      <c r="L52" s="328"/>
      <c r="M52" s="329"/>
      <c r="N52" s="342"/>
      <c r="O52" s="340"/>
      <c r="P52" s="332"/>
      <c r="Q52" s="342"/>
      <c r="R52" s="340"/>
      <c r="S52" s="343"/>
      <c r="T52" s="344"/>
      <c r="U52" s="344"/>
      <c r="V52" s="345"/>
      <c r="W52" s="340"/>
      <c r="X52" s="345"/>
      <c r="Y52" s="338"/>
      <c r="Z52" s="346"/>
      <c r="AA52" s="346"/>
      <c r="AB52" s="346"/>
      <c r="AC52" s="336"/>
      <c r="AD52" s="337"/>
      <c r="AE52" s="308"/>
      <c r="AF52" s="337"/>
      <c r="AG52" s="338"/>
      <c r="AH52" s="339"/>
      <c r="AI52" s="340"/>
      <c r="AJ52" s="341"/>
    </row>
    <row r="53" spans="12:36" x14ac:dyDescent="0.2">
      <c r="L53" s="328"/>
      <c r="M53" s="329"/>
      <c r="N53" s="342"/>
      <c r="O53" s="340"/>
      <c r="P53" s="332"/>
      <c r="Q53" s="342"/>
      <c r="R53" s="340"/>
      <c r="S53" s="343"/>
      <c r="T53" s="344"/>
      <c r="U53" s="344"/>
      <c r="V53" s="345"/>
      <c r="W53" s="340"/>
      <c r="X53" s="345"/>
      <c r="Y53" s="338"/>
      <c r="Z53" s="346"/>
      <c r="AA53" s="346"/>
      <c r="AB53" s="346"/>
      <c r="AC53" s="336"/>
      <c r="AD53" s="337"/>
      <c r="AE53" s="308"/>
      <c r="AF53" s="337"/>
      <c r="AG53" s="338"/>
      <c r="AH53" s="339"/>
      <c r="AI53" s="340"/>
      <c r="AJ53" s="341"/>
    </row>
    <row r="54" spans="12:36" x14ac:dyDescent="0.2">
      <c r="L54" s="328"/>
      <c r="M54" s="329"/>
      <c r="N54" s="342"/>
      <c r="O54" s="340"/>
      <c r="P54" s="332"/>
      <c r="Q54" s="342"/>
      <c r="R54" s="340"/>
      <c r="S54" s="343"/>
      <c r="T54" s="344"/>
      <c r="U54" s="344"/>
      <c r="V54" s="345"/>
      <c r="W54" s="340"/>
      <c r="X54" s="345"/>
      <c r="Y54" s="338"/>
      <c r="Z54" s="346"/>
      <c r="AA54" s="346"/>
      <c r="AB54" s="346"/>
      <c r="AC54" s="336"/>
      <c r="AD54" s="337"/>
      <c r="AE54" s="308"/>
      <c r="AF54" s="337"/>
      <c r="AG54" s="338"/>
      <c r="AH54" s="339"/>
      <c r="AI54" s="340"/>
      <c r="AJ54" s="341"/>
    </row>
    <row r="55" spans="12:36" x14ac:dyDescent="0.2">
      <c r="L55" s="328"/>
      <c r="M55" s="329"/>
      <c r="N55" s="342"/>
      <c r="O55" s="340"/>
      <c r="P55" s="332"/>
      <c r="Q55" s="342"/>
      <c r="R55" s="340"/>
      <c r="S55" s="343"/>
      <c r="T55" s="344"/>
      <c r="U55" s="344"/>
      <c r="V55" s="345"/>
      <c r="W55" s="340"/>
      <c r="X55" s="345"/>
      <c r="Y55" s="338"/>
      <c r="Z55" s="346"/>
      <c r="AA55" s="346"/>
      <c r="AB55" s="346"/>
      <c r="AC55" s="336"/>
      <c r="AD55" s="337"/>
      <c r="AE55" s="308"/>
      <c r="AF55" s="337"/>
      <c r="AG55" s="338"/>
      <c r="AH55" s="339"/>
      <c r="AI55" s="340"/>
      <c r="AJ55" s="341"/>
    </row>
    <row r="56" spans="12:36" x14ac:dyDescent="0.2">
      <c r="L56" s="328"/>
      <c r="M56" s="329"/>
      <c r="N56" s="342"/>
      <c r="O56" s="340"/>
      <c r="P56" s="332"/>
      <c r="Q56" s="342"/>
      <c r="R56" s="340"/>
      <c r="S56" s="343"/>
      <c r="T56" s="344"/>
      <c r="U56" s="344"/>
      <c r="V56" s="345"/>
      <c r="W56" s="340"/>
      <c r="X56" s="345"/>
      <c r="Y56" s="338"/>
      <c r="Z56" s="346"/>
      <c r="AA56" s="346"/>
      <c r="AB56" s="346"/>
      <c r="AC56" s="336"/>
      <c r="AD56" s="337"/>
      <c r="AE56" s="308"/>
      <c r="AF56" s="337"/>
      <c r="AG56" s="338"/>
      <c r="AH56" s="339"/>
      <c r="AI56" s="340"/>
      <c r="AJ56" s="341"/>
    </row>
    <row r="57" spans="12:36" x14ac:dyDescent="0.2">
      <c r="L57" s="328"/>
      <c r="M57" s="329"/>
      <c r="N57" s="342"/>
      <c r="O57" s="340"/>
      <c r="P57" s="332"/>
      <c r="Q57" s="342"/>
      <c r="R57" s="340"/>
      <c r="S57" s="343"/>
      <c r="T57" s="344"/>
      <c r="U57" s="344"/>
      <c r="V57" s="345"/>
      <c r="W57" s="340"/>
      <c r="X57" s="345"/>
      <c r="Y57" s="338"/>
      <c r="Z57" s="346"/>
      <c r="AA57" s="346"/>
      <c r="AB57" s="346"/>
      <c r="AC57" s="336"/>
      <c r="AD57" s="337"/>
      <c r="AE57" s="308"/>
      <c r="AF57" s="337"/>
      <c r="AG57" s="338"/>
      <c r="AH57" s="339"/>
      <c r="AI57" s="340"/>
      <c r="AJ57" s="341"/>
    </row>
    <row r="58" spans="12:36" x14ac:dyDescent="0.2">
      <c r="L58" s="328"/>
      <c r="M58" s="329"/>
      <c r="N58" s="342"/>
      <c r="O58" s="340"/>
      <c r="P58" s="332"/>
      <c r="Q58" s="342"/>
      <c r="R58" s="340"/>
      <c r="S58" s="343"/>
      <c r="T58" s="344"/>
      <c r="U58" s="344"/>
      <c r="V58" s="345"/>
      <c r="W58" s="340"/>
      <c r="X58" s="345"/>
      <c r="Y58" s="338"/>
      <c r="Z58" s="346"/>
      <c r="AA58" s="346"/>
      <c r="AB58" s="346"/>
      <c r="AC58" s="336"/>
      <c r="AD58" s="337"/>
      <c r="AE58" s="308"/>
      <c r="AF58" s="337"/>
      <c r="AG58" s="338"/>
      <c r="AH58" s="339"/>
      <c r="AI58" s="340"/>
      <c r="AJ58" s="341"/>
    </row>
    <row r="59" spans="12:36" x14ac:dyDescent="0.2">
      <c r="L59" s="328"/>
      <c r="M59" s="329"/>
      <c r="N59" s="342"/>
      <c r="O59" s="340"/>
      <c r="P59" s="332"/>
      <c r="Q59" s="342"/>
      <c r="R59" s="340"/>
      <c r="S59" s="343"/>
      <c r="T59" s="344"/>
      <c r="U59" s="344"/>
      <c r="V59" s="345"/>
      <c r="W59" s="340"/>
      <c r="X59" s="345"/>
      <c r="Y59" s="338"/>
      <c r="Z59" s="346"/>
      <c r="AA59" s="346"/>
      <c r="AB59" s="346"/>
      <c r="AC59" s="336"/>
      <c r="AD59" s="337"/>
      <c r="AE59" s="308"/>
      <c r="AF59" s="337"/>
      <c r="AG59" s="338"/>
      <c r="AH59" s="339"/>
      <c r="AI59" s="340"/>
      <c r="AJ59" s="341"/>
    </row>
    <row r="60" spans="12:36" x14ac:dyDescent="0.2">
      <c r="L60" s="328"/>
      <c r="M60" s="329"/>
      <c r="N60" s="342"/>
      <c r="O60" s="340"/>
      <c r="P60" s="332"/>
      <c r="Q60" s="342"/>
      <c r="R60" s="340"/>
      <c r="S60" s="343"/>
      <c r="T60" s="344"/>
      <c r="U60" s="344"/>
      <c r="V60" s="345"/>
      <c r="W60" s="340"/>
      <c r="X60" s="345"/>
      <c r="Y60" s="338"/>
      <c r="Z60" s="346"/>
      <c r="AA60" s="346"/>
      <c r="AB60" s="346"/>
      <c r="AC60" s="336"/>
      <c r="AD60" s="337"/>
      <c r="AE60" s="308"/>
      <c r="AF60" s="337"/>
      <c r="AG60" s="338"/>
      <c r="AH60" s="339"/>
      <c r="AI60" s="340"/>
      <c r="AJ60" s="341"/>
    </row>
    <row r="61" spans="12:36" x14ac:dyDescent="0.2">
      <c r="L61" s="328"/>
      <c r="M61" s="329"/>
      <c r="N61" s="342"/>
      <c r="O61" s="340"/>
      <c r="P61" s="332"/>
      <c r="Q61" s="342"/>
      <c r="R61" s="340"/>
      <c r="S61" s="343"/>
      <c r="T61" s="344"/>
      <c r="U61" s="344"/>
      <c r="V61" s="345"/>
      <c r="W61" s="340"/>
      <c r="X61" s="345"/>
      <c r="Y61" s="338"/>
      <c r="Z61" s="346"/>
      <c r="AA61" s="346"/>
      <c r="AB61" s="346"/>
      <c r="AC61" s="336"/>
      <c r="AD61" s="337"/>
      <c r="AE61" s="308"/>
      <c r="AF61" s="337"/>
      <c r="AG61" s="338"/>
      <c r="AH61" s="339"/>
      <c r="AI61" s="340"/>
      <c r="AJ61" s="341"/>
    </row>
    <row r="62" spans="12:36" x14ac:dyDescent="0.2">
      <c r="L62" s="328"/>
      <c r="M62" s="329"/>
      <c r="N62" s="342"/>
      <c r="O62" s="340"/>
      <c r="P62" s="332"/>
      <c r="Q62" s="342"/>
      <c r="R62" s="340"/>
      <c r="S62" s="343"/>
      <c r="T62" s="344"/>
      <c r="U62" s="344"/>
      <c r="V62" s="345"/>
      <c r="W62" s="340"/>
      <c r="X62" s="345"/>
      <c r="Y62" s="338"/>
      <c r="Z62" s="346"/>
      <c r="AA62" s="346"/>
      <c r="AB62" s="346"/>
      <c r="AC62" s="336"/>
      <c r="AD62" s="337"/>
      <c r="AE62" s="308"/>
      <c r="AF62" s="337"/>
      <c r="AG62" s="338"/>
      <c r="AH62" s="339"/>
      <c r="AI62" s="340"/>
      <c r="AJ62" s="341"/>
    </row>
    <row r="63" spans="12:36" x14ac:dyDescent="0.2">
      <c r="L63" s="328"/>
      <c r="M63" s="329"/>
      <c r="N63" s="342"/>
      <c r="O63" s="340"/>
      <c r="P63" s="332"/>
      <c r="Q63" s="342"/>
      <c r="R63" s="340"/>
      <c r="S63" s="343"/>
      <c r="T63" s="344"/>
      <c r="U63" s="344"/>
      <c r="V63" s="345"/>
      <c r="W63" s="340"/>
      <c r="X63" s="345"/>
      <c r="Y63" s="338"/>
      <c r="Z63" s="346"/>
      <c r="AA63" s="346"/>
      <c r="AB63" s="346"/>
      <c r="AC63" s="336"/>
      <c r="AD63" s="337"/>
      <c r="AE63" s="308"/>
      <c r="AF63" s="337"/>
      <c r="AG63" s="338"/>
      <c r="AH63" s="339"/>
      <c r="AI63" s="340"/>
      <c r="AJ63" s="341"/>
    </row>
    <row r="64" spans="12:36" x14ac:dyDescent="0.2">
      <c r="L64" s="328"/>
      <c r="M64" s="329"/>
      <c r="N64" s="342"/>
      <c r="O64" s="340"/>
      <c r="P64" s="332"/>
      <c r="Q64" s="342"/>
      <c r="R64" s="340"/>
      <c r="S64" s="343"/>
      <c r="T64" s="344"/>
      <c r="U64" s="344"/>
      <c r="V64" s="345"/>
      <c r="W64" s="340"/>
      <c r="X64" s="345"/>
      <c r="Y64" s="338"/>
      <c r="Z64" s="346"/>
      <c r="AA64" s="346"/>
      <c r="AB64" s="346"/>
      <c r="AC64" s="336"/>
      <c r="AD64" s="337"/>
      <c r="AE64" s="308"/>
      <c r="AF64" s="337"/>
      <c r="AG64" s="338"/>
      <c r="AH64" s="339"/>
      <c r="AI64" s="340"/>
      <c r="AJ64" s="341"/>
    </row>
    <row r="65" spans="12:36" x14ac:dyDescent="0.2">
      <c r="L65" s="328"/>
      <c r="M65" s="329"/>
      <c r="N65" s="342"/>
      <c r="O65" s="340"/>
      <c r="P65" s="332"/>
      <c r="Q65" s="342"/>
      <c r="R65" s="340"/>
      <c r="S65" s="343"/>
      <c r="T65" s="344"/>
      <c r="U65" s="344"/>
      <c r="V65" s="345"/>
      <c r="W65" s="340"/>
      <c r="X65" s="345"/>
      <c r="Y65" s="338"/>
      <c r="Z65" s="346"/>
      <c r="AA65" s="346"/>
      <c r="AB65" s="346"/>
      <c r="AC65" s="336"/>
      <c r="AD65" s="337"/>
      <c r="AE65" s="308"/>
      <c r="AF65" s="337"/>
      <c r="AG65" s="338"/>
      <c r="AH65" s="339"/>
      <c r="AI65" s="340"/>
      <c r="AJ65" s="34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0C25-E18A-A448-932F-60A8CFE6DEFF}">
  <dimension ref="A1:AM93"/>
  <sheetViews>
    <sheetView topLeftCell="W4" zoomScale="89" zoomScaleNormal="100" workbookViewId="0">
      <selection activeCell="AC3" sqref="AC1:AJ1048576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620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0.64649444444444448</v>
      </c>
      <c r="C8" s="1">
        <v>210.05</v>
      </c>
      <c r="D8" s="347">
        <v>2</v>
      </c>
      <c r="E8" s="326">
        <f>10000/(C8+273.15)</f>
        <v>20.695364238410598</v>
      </c>
      <c r="F8" s="327">
        <f t="shared" ref="F8:F64" si="0">SQRT((((-1)*10^4/(C9+273.15)^2)*D8)^2)</f>
        <v>8.222120925692418E-2</v>
      </c>
      <c r="G8" s="309">
        <f>H8/60/60</f>
        <v>0.64649444444444448</v>
      </c>
      <c r="H8" s="1">
        <v>2327.38</v>
      </c>
      <c r="I8" s="324">
        <v>30</v>
      </c>
      <c r="J8" s="1">
        <v>2.3029999999999998E-2</v>
      </c>
      <c r="K8" s="1">
        <v>2.4000000000000001E-4</v>
      </c>
      <c r="L8" s="328">
        <f>100*(K8/J8)</f>
        <v>1.0421189752496745</v>
      </c>
      <c r="M8" s="329">
        <f t="shared" ref="M8:M71" si="1">J8/$J$77</f>
        <v>3.103899079477607E-2</v>
      </c>
      <c r="N8" s="330">
        <f>(1/$J$77)*SQRT(((1-J9/$J$77)*K8)^2+(J9/$J$77)^2*SUMSQ(K9:K$76))</f>
        <v>4.4916528298619878E-4</v>
      </c>
      <c r="O8" s="331">
        <f>100*(N8/M8)</f>
        <v>1.4471001520506726</v>
      </c>
      <c r="P8" s="332">
        <f>M8+P7</f>
        <v>3.103899079477607E-2</v>
      </c>
      <c r="Q8" s="330">
        <f>SQRT(((1-P8)/$J$77)^2*SUMSQ(K$8:K8)+(P8/$J$77)^2*SUMSQ(K9:K$76))</f>
        <v>3.8557906991604235E-4</v>
      </c>
      <c r="R8" s="331">
        <f>100*(Q8/P8)</f>
        <v>1.2422410008927744</v>
      </c>
      <c r="S8" s="333">
        <f>IF(P8&lt;=0.85, ((2*PI()-PI()^2*P8/3-2*PI()*SQRT(1-PI()*P8/3))/PI()^2/H8), ((-1)*LN((1-P8)*PI()^2/6)/PI()^2/H8 ))</f>
        <v>3.6723242580579472E-8</v>
      </c>
      <c r="T8" s="333">
        <f>IF(P8&lt;=0.85, ABS((2/PI()-P8/3-2*SQRT(1-PI()*P8/3)/PI())*(-1)*I8/H8^2), ABS((-1)*LN((1-P8)*PI()^2/6)*(-1)*I8/PI()^2/H8^2))</f>
        <v>4.7336372978117772E-10</v>
      </c>
      <c r="U8" s="333">
        <f>IF(P8&lt;=0.85, ((1/(3*H8*$J$77))*((1/SQRT(1-PI()*P8/3))-1)*SQRT(((1-P8)*K8)^2+(-P8)^2*SUMSQ(K9:K$76))),  (1/(PI()^2*H8*$J$77))*SQRT(K8^2+(P8/(1-P8))^2*SUMSQ(K9:K$76)))</f>
        <v>9.1998213863835523E-10</v>
      </c>
      <c r="V8" s="334">
        <f>SQRT(T8^2+U8^2)</f>
        <v>1.0346208755316846E-9</v>
      </c>
      <c r="W8" s="331">
        <f>100*(V8/S8)</f>
        <v>2.8173461895732164</v>
      </c>
      <c r="X8" s="334">
        <f>V8*2</f>
        <v>2.0692417510633691E-9</v>
      </c>
      <c r="Y8" s="335">
        <f>LN(S8)</f>
        <v>-17.119855969521492</v>
      </c>
      <c r="Z8" s="335">
        <f>V8/S8</f>
        <v>2.8173461895732162E-2</v>
      </c>
      <c r="AA8" s="335">
        <f>ABS(100*(Z8/Y8))</f>
        <v>0.16456599836990113</v>
      </c>
      <c r="AB8" s="335">
        <f>2*Z8</f>
        <v>5.6346923791464325E-2</v>
      </c>
      <c r="AC8" s="336">
        <f t="shared" ref="AC8:AC71" si="2">S8*($AC$3^2)*10^(-8)</f>
        <v>4.7391197657267483E-12</v>
      </c>
      <c r="AD8" s="337">
        <f t="shared" ref="AD8:AD71" si="3">AC8*SQRT((V8/S8)^2+(2*$AD$3/$AC$3)^2)</f>
        <v>2.1371156724487791E-13</v>
      </c>
      <c r="AE8" s="308">
        <f>100*AD8/AC8</f>
        <v>4.5095202866666746</v>
      </c>
      <c r="AF8" s="337">
        <f>2*AD8</f>
        <v>4.2742313448975581E-13</v>
      </c>
      <c r="AG8" s="338">
        <f>LN(AC8)</f>
        <v>-26.075169700899757</v>
      </c>
      <c r="AH8" s="339">
        <f>AD8/AC8</f>
        <v>4.5095202866666746E-2</v>
      </c>
      <c r="AI8" s="340">
        <f>ABS(100*(AH8/AG8))</f>
        <v>0.17294308487323357</v>
      </c>
      <c r="AJ8" s="341">
        <f>2*AH8</f>
        <v>9.0190405733333492E-2</v>
      </c>
    </row>
    <row r="9" spans="1:39" x14ac:dyDescent="0.2">
      <c r="A9" s="309">
        <v>2</v>
      </c>
      <c r="B9" s="309">
        <f>B8+G9</f>
        <v>1.2907527777777776</v>
      </c>
      <c r="C9" s="1">
        <v>220.05</v>
      </c>
      <c r="D9" s="347">
        <v>2</v>
      </c>
      <c r="E9" s="326">
        <f t="shared" ref="E9:E72" si="4">10000/(C9+273.15)</f>
        <v>20.275750202757504</v>
      </c>
      <c r="F9" s="327">
        <f t="shared" si="0"/>
        <v>7.8985747179892887E-2</v>
      </c>
      <c r="G9" s="309">
        <f t="shared" ref="G9:G72" si="5">H9/60/60</f>
        <v>0.64425833333333327</v>
      </c>
      <c r="H9" s="1">
        <v>2319.33</v>
      </c>
      <c r="I9" s="324">
        <v>30</v>
      </c>
      <c r="J9" s="1">
        <v>3.3439999999999998E-2</v>
      </c>
      <c r="K9" s="1">
        <v>2.2000000000000001E-4</v>
      </c>
      <c r="L9" s="328">
        <f t="shared" ref="L9:L72" si="6">100*(K9/J9)</f>
        <v>0.65789473684210531</v>
      </c>
      <c r="M9" s="329">
        <f t="shared" si="1"/>
        <v>4.5069207649904984E-2</v>
      </c>
      <c r="N9" s="342">
        <f>(1/$J$77)*SQRT(((1-J10/$J$77)*K9)^2+(J10/$J$77)^2*(SUMSQ(K$8:K8)+SUMSQ(K10:K$76)))</f>
        <v>4.3898985152435361E-4</v>
      </c>
      <c r="O9" s="340">
        <f>100*(N9/M9)</f>
        <v>0.97403498844355463</v>
      </c>
      <c r="P9" s="332">
        <f t="shared" ref="P9:P72" si="7">M9+P8</f>
        <v>7.6108198444681058E-2</v>
      </c>
      <c r="Q9" s="342">
        <f>SQRT(((1-P9)/$J$77)^2*SUMSQ(K$8:K9)+(P9/$J$77)^2*SUMSQ(K10:K$76))</f>
        <v>6.8344037689042111E-4</v>
      </c>
      <c r="R9" s="340">
        <f>100*(Q9/P9)</f>
        <v>0.89798522479437892</v>
      </c>
      <c r="S9" s="343">
        <f>IF(P9&lt;=0.85, (((-1)*PI()^2*(P9-P8)/3-2*PI()*(SQRT(1-PI()*P9/3)-SQRT(1-PI()*P8/3)))/PI()^2/H9), ((-1)*LN((1-P9)/(1-P8))/PI()^2/H9 ))</f>
        <v>1.9023816502469734E-7</v>
      </c>
      <c r="T9" s="344">
        <f>IF(P9&lt;=0.85, ABS(((-1)*(P9-P8)/3-2*(SQRT(1-PI()*P9/3)-SQRT(1-PI()*P8/3))/PI())*(-1)*I9/H9^2), ABS((-1)*LN((1-P9)/(1-P8))*(-1)*I9/PI()^2/H9^2))</f>
        <v>2.4606869012779229E-9</v>
      </c>
      <c r="U9" s="344">
        <f>IF(P9&lt;=0.85, (1/(3*H9*$J$77))*SQRT( ((1-P9)*(1/SQRT(1-PI()*P9/3)-1) + (1-P8)*(1-1/SQRT(1-PI()*P8/3)))^2*SUMSQ(K$8:K8) + ( (1-P9)*(1/SQRT(1-PI()*P9/3)-1) -P8*(1-1/SQRT(1-PI()*P8/3)) )^2*K9^2 + ( P9*(1-1/SQRT(1-PI()*P9/3)) - P8*(1-1/SQRT(1-PI()*P8/3)) )^2*SUMSQ(K10:K$76) ), (1/(PI()^2*H9*$J$77))*SQRT((1+P8/(1-P8))^2*K9^2+(P8/(1-P8)-P9/(1-P9))^2*SUMSQ(K10:K$76)) )</f>
        <v>3.4548798015033328E-9</v>
      </c>
      <c r="V9" s="345">
        <f>SQRT(T9^2+U9^2)</f>
        <v>4.2416004607879391E-9</v>
      </c>
      <c r="W9" s="340">
        <f>100*(V9/S9)</f>
        <v>2.2296264580965026</v>
      </c>
      <c r="X9" s="345">
        <f>V9*2</f>
        <v>8.4832009215758781E-9</v>
      </c>
      <c r="Y9" s="338">
        <f t="shared" ref="Y9:Y72" si="8">LN(S9)</f>
        <v>-15.474989049631318</v>
      </c>
      <c r="Z9" s="346">
        <f>V9/S9</f>
        <v>2.2296264580965026E-2</v>
      </c>
      <c r="AA9" s="346">
        <f>ABS(100*(Z9/Y9))</f>
        <v>0.14407935611105471</v>
      </c>
      <c r="AB9" s="346">
        <f t="shared" ref="AB9:AB72" si="9">2*Z9</f>
        <v>4.4592529161930052E-2</v>
      </c>
      <c r="AC9" s="336">
        <f t="shared" si="2"/>
        <v>2.4550159101171181E-11</v>
      </c>
      <c r="AD9" s="337">
        <f t="shared" si="3"/>
        <v>1.0231724014142997E-12</v>
      </c>
      <c r="AE9" s="308">
        <f t="shared" ref="AE9:AE72" si="10">100*AD9/AC9</f>
        <v>4.167681346576237</v>
      </c>
      <c r="AF9" s="337">
        <f t="shared" ref="AF9:AF72" si="11">2*AD9</f>
        <v>2.0463448028285993E-12</v>
      </c>
      <c r="AG9" s="338">
        <f>LN(AC9)</f>
        <v>-24.43030278100958</v>
      </c>
      <c r="AH9" s="339">
        <f>AD9/AC9</f>
        <v>4.1676813465762366E-2</v>
      </c>
      <c r="AI9" s="340">
        <f>ABS(100*(AH9/AG9))</f>
        <v>0.17059474800352872</v>
      </c>
      <c r="AJ9" s="341">
        <f t="shared" ref="AJ9:AJ72" si="12">2*AH9</f>
        <v>8.3353626931524732E-2</v>
      </c>
    </row>
    <row r="10" spans="1:39" x14ac:dyDescent="0.2">
      <c r="A10" s="309">
        <v>3</v>
      </c>
      <c r="B10" s="309">
        <f t="shared" ref="B10:B73" si="13">B9+G10</f>
        <v>1.9361305555555555</v>
      </c>
      <c r="C10" s="1">
        <v>230.05</v>
      </c>
      <c r="D10" s="347">
        <v>2</v>
      </c>
      <c r="E10" s="326">
        <f t="shared" si="4"/>
        <v>19.872813990461051</v>
      </c>
      <c r="F10" s="327">
        <f t="shared" si="0"/>
        <v>7.5940530273608697E-2</v>
      </c>
      <c r="G10" s="309">
        <f t="shared" si="5"/>
        <v>0.64537777777777783</v>
      </c>
      <c r="H10" s="1">
        <v>2323.36</v>
      </c>
      <c r="I10" s="324">
        <v>30</v>
      </c>
      <c r="J10" s="1">
        <v>3.4430000000000002E-2</v>
      </c>
      <c r="K10" s="1">
        <v>2.3000000000000001E-4</v>
      </c>
      <c r="L10" s="328">
        <f t="shared" si="6"/>
        <v>0.66802207377287248</v>
      </c>
      <c r="M10" s="329">
        <f t="shared" si="1"/>
        <v>4.6403493402698233E-2</v>
      </c>
      <c r="N10" s="342">
        <f>(1/$J$77)*SQRT(((1-J11/$J$77)*K10)^2+(J11/$J$77)^2*(SUMSQ(K$8:K9)+SUMSQ(K11:K$76)))</f>
        <v>4.4869640749258932E-4</v>
      </c>
      <c r="O10" s="340">
        <f t="shared" ref="O10:O73" si="14">100*(N10/M10)</f>
        <v>0.96694531939377404</v>
      </c>
      <c r="P10" s="332">
        <f t="shared" si="7"/>
        <v>0.12251169184737928</v>
      </c>
      <c r="Q10" s="342">
        <f>SQRT(((1-P10)/$J$77)^2*SUMSQ(K$8:K10)+(P10/$J$77)^2*SUMSQ(K11:K$76))</f>
        <v>1.0026186588523137E-3</v>
      </c>
      <c r="R10" s="340">
        <f t="shared" ref="R10:R73" si="15">100*(Q10/P10)</f>
        <v>0.81838610154967117</v>
      </c>
      <c r="S10" s="343">
        <f t="shared" ref="S10:S73" si="16">IF(P10&lt;=0.85, (((-1)*PI()^2*(P10-P9)/3-2*PI()*(SQRT(1-PI()*P10/3)-SQRT(1-PI()*P9/3)))/PI()^2/H10), ((-1)*LN((1-P10)/(1-P9))/PI()^2/H10 ))</f>
        <v>3.764049868423868E-7</v>
      </c>
      <c r="T10" s="344">
        <f t="shared" ref="T10:T73" si="17">IF(P10&lt;=0.85, ABS(((-1)*(P10-P9)/3-2*(SQRT(1-PI()*P10/3)-SQRT(1-PI()*P9/3))/PI())*(-1)*I10/H10^2), ABS((-1)*LN((1-P10)/(1-P9))*(-1)*I10/PI()^2/H10^2))</f>
        <v>4.8602668571687575E-9</v>
      </c>
      <c r="U10" s="344">
        <f>IF(P10&lt;=0.85, (1/(3*H10*$J$77))*SQRT( ((1-P10)*(1/SQRT(1-PI()*P10/3)-1) + (1-P9)*(1-1/SQRT(1-PI()*P9/3)))^2*SUMSQ(K$8:K9) + ( (1-P10)*(1/SQRT(1-PI()*P10/3)-1) -P9*(1-1/SQRT(1-PI()*P9/3)) )^2*K10^2 + ( P10*(1-1/SQRT(1-PI()*P10/3)) - P9*(1-1/SQRT(1-PI()*P9/3)) )^2*SUMSQ(K11:K$76) ), (1/(PI()^2*H10*$J$77))*SQRT((1+P9/(1-P9))^2*K10^2+(P9/(1-P9)-P10/(1-P10))^2*SUMSQ(K11:K$76)) )</f>
        <v>6.547612407285221E-9</v>
      </c>
      <c r="V10" s="345">
        <f t="shared" ref="V10:V73" si="18">SQRT(T10^2+U10^2)</f>
        <v>8.1543498918631422E-9</v>
      </c>
      <c r="W10" s="340">
        <f t="shared" ref="W10:W73" si="19">100*(V10/S10)</f>
        <v>2.1663766891796357</v>
      </c>
      <c r="X10" s="345">
        <f t="shared" ref="X10:X73" si="20">V10*2</f>
        <v>1.6308699783726284E-8</v>
      </c>
      <c r="Y10" s="338">
        <f t="shared" si="8"/>
        <v>-14.792600180538715</v>
      </c>
      <c r="Z10" s="346">
        <f t="shared" ref="Z10:Z73" si="21">V10/S10</f>
        <v>2.1663766891796356E-2</v>
      </c>
      <c r="AA10" s="346">
        <f t="shared" ref="AA10:AA73" si="22">ABS(100*(Z10/Y10))</f>
        <v>0.14645002654974354</v>
      </c>
      <c r="AB10" s="346">
        <f t="shared" si="9"/>
        <v>4.3327533783592713E-2</v>
      </c>
      <c r="AC10" s="336">
        <f t="shared" si="2"/>
        <v>4.8574912990015276E-11</v>
      </c>
      <c r="AD10" s="337">
        <f t="shared" si="3"/>
        <v>2.0081788820561166E-12</v>
      </c>
      <c r="AE10" s="308">
        <f t="shared" si="10"/>
        <v>4.1341893550461002</v>
      </c>
      <c r="AF10" s="337">
        <f t="shared" si="11"/>
        <v>4.0163577641122332E-12</v>
      </c>
      <c r="AG10" s="338">
        <f t="shared" ref="AG10:AG73" si="23">LN(AC10)</f>
        <v>-23.747913911916978</v>
      </c>
      <c r="AH10" s="339">
        <f t="shared" ref="AH10:AH73" si="24">AD10/AC10</f>
        <v>4.1341893550460994E-2</v>
      </c>
      <c r="AI10" s="340">
        <f t="shared" ref="AI10:AI73" si="25">ABS(100*(AH10/AG10))</f>
        <v>0.17408642166971625</v>
      </c>
      <c r="AJ10" s="341">
        <f t="shared" si="12"/>
        <v>8.2683787100921988E-2</v>
      </c>
    </row>
    <row r="11" spans="1:39" x14ac:dyDescent="0.2">
      <c r="A11" s="309">
        <v>4</v>
      </c>
      <c r="B11" s="309">
        <f t="shared" si="13"/>
        <v>2.5826194444444446</v>
      </c>
      <c r="C11" s="1">
        <v>240.04</v>
      </c>
      <c r="D11" s="347">
        <v>2</v>
      </c>
      <c r="E11" s="326">
        <f t="shared" si="4"/>
        <v>19.485960365556618</v>
      </c>
      <c r="F11" s="327">
        <f t="shared" si="0"/>
        <v>7.3070878863199684E-2</v>
      </c>
      <c r="G11" s="309">
        <f t="shared" si="5"/>
        <v>0.646488888888889</v>
      </c>
      <c r="H11" s="1">
        <v>2327.36</v>
      </c>
      <c r="I11" s="324">
        <v>30</v>
      </c>
      <c r="J11" s="1">
        <v>3.4619999999999998E-2</v>
      </c>
      <c r="K11" s="1">
        <v>2.3000000000000001E-4</v>
      </c>
      <c r="L11" s="328">
        <f t="shared" si="6"/>
        <v>0.66435586366262278</v>
      </c>
      <c r="M11" s="329">
        <f t="shared" si="1"/>
        <v>4.6659568446163598E-2</v>
      </c>
      <c r="N11" s="342">
        <f>(1/$J$77)*SQRT(((1-J12/$J$77)*K11)^2+(J12/$J$77)^2*(SUMSQ(K$8:K10)+SUMSQ(K12:K$76)))</f>
        <v>4.5509381210560347E-4</v>
      </c>
      <c r="O11" s="340">
        <f t="shared" si="14"/>
        <v>0.97534938119004777</v>
      </c>
      <c r="P11" s="332">
        <f t="shared" si="7"/>
        <v>0.16917126029354287</v>
      </c>
      <c r="Q11" s="342">
        <f>SQRT(((1-P11)/$J$77)^2*SUMSQ(K$8:K11)+(P11/$J$77)^2*SUMSQ(K12:K$76))</f>
        <v>1.3250717219062511E-3</v>
      </c>
      <c r="R11" s="340">
        <f t="shared" si="15"/>
        <v>0.7832723593871741</v>
      </c>
      <c r="S11" s="343">
        <f t="shared" si="16"/>
        <v>5.7811197527339635E-7</v>
      </c>
      <c r="T11" s="344">
        <f t="shared" si="17"/>
        <v>7.4519452333123701E-9</v>
      </c>
      <c r="U11" s="344">
        <f>IF(P11&lt;=0.85, (1/(3*H11*$J$77))*SQRT( ((1-P11)*(1/SQRT(1-PI()*P11/3)-1) + (1-P10)*(1-1/SQRT(1-PI()*P10/3)))^2*SUMSQ(K$8:K10) + ( (1-P11)*(1/SQRT(1-PI()*P11/3)-1) -P10*(1-1/SQRT(1-PI()*P10/3)) )^2*K11^2 + ( P11*(1-1/SQRT(1-PI()*P11/3)) - P10*(1-1/SQRT(1-PI()*P10/3)) )^2*SUMSQ(K12:K$76) ), (1/(PI()^2*H11*$J$77))*SQRT((1+P10/(1-P10))^2*K11^2+(P10/(1-P10)-P11/(1-P11))^2*SUMSQ(K12:K$76)) )</f>
        <v>9.9863158942989362E-9</v>
      </c>
      <c r="V11" s="345">
        <f t="shared" si="18"/>
        <v>1.2460256534318004E-8</v>
      </c>
      <c r="W11" s="340">
        <f t="shared" si="19"/>
        <v>2.1553361748691322</v>
      </c>
      <c r="X11" s="345">
        <f t="shared" si="20"/>
        <v>2.4920513068636008E-8</v>
      </c>
      <c r="Y11" s="338">
        <f t="shared" si="8"/>
        <v>-14.363498258190337</v>
      </c>
      <c r="Z11" s="346">
        <f t="shared" si="21"/>
        <v>2.1553361748691321E-2</v>
      </c>
      <c r="AA11" s="346">
        <f t="shared" si="22"/>
        <v>0.15005649293271009</v>
      </c>
      <c r="AB11" s="346">
        <f t="shared" si="9"/>
        <v>4.3106723497382642E-2</v>
      </c>
      <c r="AC11" s="336">
        <f t="shared" si="2"/>
        <v>7.4605119164241694E-11</v>
      </c>
      <c r="AD11" s="337">
        <f t="shared" si="3"/>
        <v>3.080008684435215E-12</v>
      </c>
      <c r="AE11" s="308">
        <f t="shared" si="10"/>
        <v>4.1284146703856033</v>
      </c>
      <c r="AF11" s="337">
        <f t="shared" si="11"/>
        <v>6.16001736887043E-12</v>
      </c>
      <c r="AG11" s="338">
        <f t="shared" si="23"/>
        <v>-23.318811989568601</v>
      </c>
      <c r="AH11" s="339">
        <f t="shared" si="24"/>
        <v>4.128414670385603E-2</v>
      </c>
      <c r="AI11" s="340">
        <f t="shared" si="25"/>
        <v>0.17704223835384073</v>
      </c>
      <c r="AJ11" s="341">
        <f t="shared" si="12"/>
        <v>8.2568293407712059E-2</v>
      </c>
    </row>
    <row r="12" spans="1:39" x14ac:dyDescent="0.2">
      <c r="A12" s="309">
        <v>5</v>
      </c>
      <c r="B12" s="309">
        <f t="shared" si="13"/>
        <v>3.2268833333333333</v>
      </c>
      <c r="C12" s="1">
        <v>250.02</v>
      </c>
      <c r="D12" s="347">
        <v>2</v>
      </c>
      <c r="E12" s="326">
        <f t="shared" si="4"/>
        <v>19.114245847430091</v>
      </c>
      <c r="F12" s="327">
        <f t="shared" si="0"/>
        <v>7.0355586197961797E-2</v>
      </c>
      <c r="G12" s="309">
        <f t="shared" si="5"/>
        <v>0.64426388888888886</v>
      </c>
      <c r="H12" s="1">
        <v>2319.35</v>
      </c>
      <c r="I12" s="324">
        <v>30</v>
      </c>
      <c r="J12" s="1">
        <v>3.5520000000000003E-2</v>
      </c>
      <c r="K12" s="1">
        <v>2.5999999999999998E-4</v>
      </c>
      <c r="L12" s="328">
        <f t="shared" si="6"/>
        <v>0.73198198198198183</v>
      </c>
      <c r="M12" s="329">
        <f t="shared" si="1"/>
        <v>4.7872555494157455E-2</v>
      </c>
      <c r="N12" s="342">
        <f>(1/$J$77)*SQRT(((1-J13/$J$77)*K12)^2+(J13/$J$77)^2*(SUMSQ(K$8:K11)+SUMSQ(K13:K$76)))</f>
        <v>4.8472314821744824E-4</v>
      </c>
      <c r="O12" s="340">
        <f t="shared" si="14"/>
        <v>1.0125282496703267</v>
      </c>
      <c r="P12" s="332">
        <f t="shared" si="7"/>
        <v>0.21704381578770032</v>
      </c>
      <c r="Q12" s="342">
        <f>SQRT(((1-P12)/$J$77)^2*SUMSQ(K$8:K12)+(P12/$J$77)^2*SUMSQ(K13:K$76))</f>
        <v>1.6608277800030126E-3</v>
      </c>
      <c r="R12" s="340">
        <f t="shared" si="15"/>
        <v>0.76520391699505419</v>
      </c>
      <c r="S12" s="343">
        <f t="shared" si="16"/>
        <v>8.2374835744715973E-7</v>
      </c>
      <c r="T12" s="344">
        <f t="shared" si="17"/>
        <v>1.0654903625332439E-8</v>
      </c>
      <c r="U12" s="344">
        <f>IF(P12&lt;=0.85, (1/(3*H12*$J$77))*SQRT( ((1-P12)*(1/SQRT(1-PI()*P12/3)-1) + (1-P11)*(1-1/SQRT(1-PI()*P11/3)))^2*SUMSQ(K$8:K11) + ( (1-P12)*(1/SQRT(1-PI()*P12/3)-1) -P11*(1-1/SQRT(1-PI()*P11/3)) )^2*K12^2 + ( P12*(1-1/SQRT(1-PI()*P12/3)) - P11*(1-1/SQRT(1-PI()*P11/3)) )^2*SUMSQ(K13:K$76) ), (1/(PI()^2*H12*$J$77))*SQRT((1+P11/(1-P11))^2*K12^2+(P11/(1-P11)-P12/(1-P12))^2*SUMSQ(K13:K$76)) )</f>
        <v>1.4578669949384866E-8</v>
      </c>
      <c r="V12" s="345">
        <f t="shared" si="18"/>
        <v>1.8057258616916903E-8</v>
      </c>
      <c r="W12" s="340">
        <f t="shared" si="19"/>
        <v>2.1920843244989663</v>
      </c>
      <c r="X12" s="345">
        <f t="shared" si="20"/>
        <v>3.6114517233833806E-8</v>
      </c>
      <c r="Y12" s="338">
        <f t="shared" si="8"/>
        <v>-14.009400745126026</v>
      </c>
      <c r="Z12" s="346">
        <f t="shared" si="21"/>
        <v>2.1920843244989663E-2</v>
      </c>
      <c r="AA12" s="346">
        <f t="shared" si="22"/>
        <v>0.15647238339310185</v>
      </c>
      <c r="AB12" s="346">
        <f t="shared" si="9"/>
        <v>4.3841686489979326E-2</v>
      </c>
      <c r="AC12" s="336">
        <f t="shared" si="2"/>
        <v>1.0630439602921298E-10</v>
      </c>
      <c r="AD12" s="337">
        <f t="shared" si="3"/>
        <v>4.4092069202955607E-12</v>
      </c>
      <c r="AE12" s="308">
        <f t="shared" si="10"/>
        <v>4.1477183305607497</v>
      </c>
      <c r="AF12" s="337">
        <f t="shared" si="11"/>
        <v>8.8184138405911214E-12</v>
      </c>
      <c r="AG12" s="338">
        <f t="shared" si="23"/>
        <v>-22.964714476504287</v>
      </c>
      <c r="AH12" s="339">
        <f t="shared" si="24"/>
        <v>4.1477183305607498E-2</v>
      </c>
      <c r="AI12" s="340">
        <f t="shared" si="25"/>
        <v>0.18061266708995549</v>
      </c>
      <c r="AJ12" s="341">
        <f t="shared" si="12"/>
        <v>8.2954366611214997E-2</v>
      </c>
    </row>
    <row r="13" spans="1:39" x14ac:dyDescent="0.2">
      <c r="A13" s="309">
        <v>6</v>
      </c>
      <c r="B13" s="309">
        <f t="shared" si="13"/>
        <v>3.8722527777777778</v>
      </c>
      <c r="C13" s="1">
        <v>260.02</v>
      </c>
      <c r="D13" s="347">
        <v>2</v>
      </c>
      <c r="E13" s="326">
        <f t="shared" si="4"/>
        <v>18.755743946583642</v>
      </c>
      <c r="F13" s="327">
        <f t="shared" si="0"/>
        <v>6.778887789432754E-2</v>
      </c>
      <c r="G13" s="309">
        <f t="shared" si="5"/>
        <v>0.64536944444444444</v>
      </c>
      <c r="H13" s="1">
        <v>2323.33</v>
      </c>
      <c r="I13" s="324">
        <v>30</v>
      </c>
      <c r="J13" s="1">
        <v>3.6089999999999997E-2</v>
      </c>
      <c r="K13" s="1">
        <v>2.5000000000000001E-4</v>
      </c>
      <c r="L13" s="328">
        <f t="shared" si="6"/>
        <v>0.69271266278747579</v>
      </c>
      <c r="M13" s="329">
        <f t="shared" si="1"/>
        <v>4.8640780624553556E-2</v>
      </c>
      <c r="N13" s="342">
        <f>(1/$J$77)*SQRT(((1-J14/$J$77)*K13)^2+(J14/$J$77)^2*(SUMSQ(K$8:K12)+SUMSQ(K14:K$76)))</f>
        <v>4.7512214569118478E-4</v>
      </c>
      <c r="O13" s="340">
        <f t="shared" si="14"/>
        <v>0.97679794524380259</v>
      </c>
      <c r="P13" s="332">
        <f t="shared" si="7"/>
        <v>0.26568459641225389</v>
      </c>
      <c r="Q13" s="342">
        <f>SQRT(((1-P13)/$J$77)^2*SUMSQ(K$8:K13)+(P13/$J$77)^2*SUMSQ(K14:K$76))</f>
        <v>1.9984696360683223E-3</v>
      </c>
      <c r="R13" s="340">
        <f t="shared" si="15"/>
        <v>0.75219627447553039</v>
      </c>
      <c r="S13" s="343">
        <f t="shared" si="16"/>
        <v>1.0956127601826098E-6</v>
      </c>
      <c r="T13" s="344">
        <f t="shared" si="17"/>
        <v>1.4147100414266718E-8</v>
      </c>
      <c r="U13" s="344">
        <f>IF(P13&lt;=0.85, (1/(3*H13*$J$77))*SQRT( ((1-P13)*(1/SQRT(1-PI()*P13/3)-1) + (1-P12)*(1-1/SQRT(1-PI()*P12/3)))^2*SUMSQ(K$8:K12) + ( (1-P13)*(1/SQRT(1-PI()*P13/3)-1) -P12*(1-1/SQRT(1-PI()*P12/3)) )^2*K13^2 + ( P13*(1-1/SQRT(1-PI()*P13/3)) - P12*(1-1/SQRT(1-PI()*P12/3)) )^2*SUMSQ(K14:K$76) ), (1/(PI()^2*H13*$J$77))*SQRT((1+P12/(1-P12))^2*K13^2+(P12/(1-P12)-P13/(1-P13))^2*SUMSQ(K14:K$76)) )</f>
        <v>1.9486250605203986E-8</v>
      </c>
      <c r="V13" s="345">
        <f t="shared" si="18"/>
        <v>2.4080166377750762E-8</v>
      </c>
      <c r="W13" s="340">
        <f t="shared" si="19"/>
        <v>2.1978720267676719</v>
      </c>
      <c r="X13" s="345">
        <f t="shared" si="20"/>
        <v>4.8160332755501524E-8</v>
      </c>
      <c r="Y13" s="338">
        <f t="shared" si="8"/>
        <v>-13.72419675287229</v>
      </c>
      <c r="Z13" s="346">
        <f t="shared" si="21"/>
        <v>2.1978720267676721E-2</v>
      </c>
      <c r="AA13" s="346">
        <f t="shared" si="22"/>
        <v>0.16014576782482276</v>
      </c>
      <c r="AB13" s="346">
        <f t="shared" si="9"/>
        <v>4.3957440535353443E-2</v>
      </c>
      <c r="AC13" s="336">
        <f t="shared" si="2"/>
        <v>1.413883884564617E-10</v>
      </c>
      <c r="AD13" s="337">
        <f t="shared" si="3"/>
        <v>5.8687210358039262E-12</v>
      </c>
      <c r="AE13" s="308">
        <f t="shared" si="10"/>
        <v>4.1507800604227878</v>
      </c>
      <c r="AF13" s="337">
        <f t="shared" si="11"/>
        <v>1.1737442071607852E-11</v>
      </c>
      <c r="AG13" s="338">
        <f t="shared" si="23"/>
        <v>-22.679510484250553</v>
      </c>
      <c r="AH13" s="339">
        <f t="shared" si="24"/>
        <v>4.1507800604227874E-2</v>
      </c>
      <c r="AI13" s="340">
        <f t="shared" si="25"/>
        <v>0.18301894405107352</v>
      </c>
      <c r="AJ13" s="341">
        <f t="shared" si="12"/>
        <v>8.3015601208455747E-2</v>
      </c>
    </row>
    <row r="14" spans="1:39" x14ac:dyDescent="0.2">
      <c r="A14" s="309">
        <v>7</v>
      </c>
      <c r="B14" s="309">
        <f t="shared" si="13"/>
        <v>4.5187416666666671</v>
      </c>
      <c r="C14" s="1">
        <v>270.02</v>
      </c>
      <c r="D14" s="347">
        <v>2</v>
      </c>
      <c r="E14" s="326">
        <f t="shared" si="4"/>
        <v>18.410442402930943</v>
      </c>
      <c r="F14" s="327">
        <f t="shared" si="0"/>
        <v>6.5360107464748837E-2</v>
      </c>
      <c r="G14" s="309">
        <f t="shared" si="5"/>
        <v>0.646488888888889</v>
      </c>
      <c r="H14" s="1">
        <v>2327.36</v>
      </c>
      <c r="I14" s="324">
        <v>30</v>
      </c>
      <c r="J14" s="1">
        <v>3.5959999999999999E-2</v>
      </c>
      <c r="K14" s="1">
        <v>2.5000000000000001E-4</v>
      </c>
      <c r="L14" s="328">
        <f t="shared" si="6"/>
        <v>0.69521690767519473</v>
      </c>
      <c r="M14" s="329">
        <f t="shared" si="1"/>
        <v>4.8465571384287781E-2</v>
      </c>
      <c r="N14" s="342">
        <f>(1/$J$77)*SQRT(((1-J15/$J$77)*K14)^2+(J15/$J$77)^2*(SUMSQ(K$8:K13)+SUMSQ(K15:K$76)))</f>
        <v>4.6490323816451216E-4</v>
      </c>
      <c r="O14" s="340">
        <f t="shared" si="14"/>
        <v>0.95924431485239992</v>
      </c>
      <c r="P14" s="332">
        <f t="shared" si="7"/>
        <v>0.3141501677965417</v>
      </c>
      <c r="Q14" s="342">
        <f>SQRT(((1-P14)/$J$77)^2*SUMSQ(K$8:K14)+(P14/$J$77)^2*SUMSQ(K15:K$76))</f>
        <v>2.3345284890191327E-3</v>
      </c>
      <c r="R14" s="340">
        <f t="shared" si="15"/>
        <v>0.74312501737420111</v>
      </c>
      <c r="S14" s="343">
        <f t="shared" si="16"/>
        <v>1.377967148094412E-6</v>
      </c>
      <c r="T14" s="344">
        <f t="shared" si="17"/>
        <v>1.7762191686216296E-8</v>
      </c>
      <c r="U14" s="344">
        <f>IF(P14&lt;=0.85, (1/(3*H14*$J$77))*SQRT( ((1-P14)*(1/SQRT(1-PI()*P14/3)-1) + (1-P13)*(1-1/SQRT(1-PI()*P13/3)))^2*SUMSQ(K$8:K13) + ( (1-P14)*(1/SQRT(1-PI()*P14/3)-1) -P13*(1-1/SQRT(1-PI()*P13/3)) )^2*K14^2 + ( P14*(1-1/SQRT(1-PI()*P14/3)) - P13*(1-1/SQRT(1-PI()*P13/3)) )^2*SUMSQ(K15:K$76) ), (1/(PI()^2*H14*$J$77))*SQRT((1+P13/(1-P13))^2*K14^2+(P13/(1-P13)-P14/(1-P14))^2*SUMSQ(K15:K$76)) )</f>
        <v>2.5013149013049394E-8</v>
      </c>
      <c r="V14" s="345">
        <f t="shared" si="18"/>
        <v>3.0678218283448361E-8</v>
      </c>
      <c r="W14" s="340">
        <f t="shared" si="19"/>
        <v>2.2263388735989249</v>
      </c>
      <c r="X14" s="345">
        <f t="shared" si="20"/>
        <v>6.1356436566896722E-8</v>
      </c>
      <c r="Y14" s="338">
        <f t="shared" si="8"/>
        <v>-13.494901225936808</v>
      </c>
      <c r="Z14" s="346">
        <f t="shared" si="21"/>
        <v>2.2263388735989247E-2</v>
      </c>
      <c r="AA14" s="346">
        <f t="shared" si="22"/>
        <v>0.16497630003545088</v>
      </c>
      <c r="AB14" s="346">
        <f t="shared" si="9"/>
        <v>4.4526777471978495E-2</v>
      </c>
      <c r="AC14" s="336">
        <f t="shared" si="2"/>
        <v>1.7782610927472461E-10</v>
      </c>
      <c r="AD14" s="337">
        <f t="shared" si="3"/>
        <v>7.4080996404519205E-12</v>
      </c>
      <c r="AE14" s="308">
        <f t="shared" si="10"/>
        <v>4.1659234803406191</v>
      </c>
      <c r="AF14" s="337">
        <f t="shared" si="11"/>
        <v>1.4816199280903841E-11</v>
      </c>
      <c r="AG14" s="338">
        <f t="shared" si="23"/>
        <v>-22.450214957315072</v>
      </c>
      <c r="AH14" s="339">
        <f t="shared" si="24"/>
        <v>4.1659234803406192E-2</v>
      </c>
      <c r="AI14" s="340">
        <f t="shared" si="25"/>
        <v>0.18556274353102414</v>
      </c>
      <c r="AJ14" s="341">
        <f t="shared" si="12"/>
        <v>8.3318469606812384E-2</v>
      </c>
    </row>
    <row r="15" spans="1:39" x14ac:dyDescent="0.2">
      <c r="A15" s="309">
        <v>8</v>
      </c>
      <c r="B15" s="309">
        <f t="shared" si="13"/>
        <v>5.163561111111111</v>
      </c>
      <c r="C15" s="1">
        <v>280.02</v>
      </c>
      <c r="D15" s="347">
        <v>2</v>
      </c>
      <c r="E15" s="326">
        <f t="shared" si="4"/>
        <v>18.077625323137553</v>
      </c>
      <c r="F15" s="327">
        <f t="shared" si="0"/>
        <v>6.3059565180228261E-2</v>
      </c>
      <c r="G15" s="309">
        <f t="shared" si="5"/>
        <v>0.64481944444444439</v>
      </c>
      <c r="H15" s="1">
        <v>2321.35</v>
      </c>
      <c r="I15" s="324">
        <v>30</v>
      </c>
      <c r="J15" s="1">
        <v>3.4459999999999998E-2</v>
      </c>
      <c r="K15" s="1">
        <v>2.0000000000000001E-4</v>
      </c>
      <c r="L15" s="328">
        <f t="shared" si="6"/>
        <v>0.58038305281485791</v>
      </c>
      <c r="M15" s="329">
        <f t="shared" si="1"/>
        <v>4.6443926304298021E-2</v>
      </c>
      <c r="N15" s="342">
        <f>(1/$J$77)*SQRT(((1-J16/$J$77)*K15)^2+(J16/$J$77)^2*(SUMSQ(K$8:K14)+SUMSQ(K16:K$76)))</f>
        <v>4.0485209964485598E-4</v>
      </c>
      <c r="O15" s="340">
        <f t="shared" si="14"/>
        <v>0.87170084844310436</v>
      </c>
      <c r="P15" s="332">
        <f t="shared" si="7"/>
        <v>0.3605940941008397</v>
      </c>
      <c r="Q15" s="342">
        <f>SQRT(((1-P15)/$J$77)^2*SUMSQ(K$8:K15)+(P15/$J$77)^2*SUMSQ(K16:K$76))</f>
        <v>2.6544166455045467E-3</v>
      </c>
      <c r="R15" s="340">
        <f t="shared" si="15"/>
        <v>0.73612316145206813</v>
      </c>
      <c r="S15" s="343">
        <f t="shared" si="16"/>
        <v>1.6254146000438403E-6</v>
      </c>
      <c r="T15" s="344">
        <f t="shared" si="17"/>
        <v>2.1006068882897962E-8</v>
      </c>
      <c r="U15" s="344">
        <f>IF(P15&lt;=0.85, (1/(3*H15*$J$77))*SQRT( ((1-P15)*(1/SQRT(1-PI()*P15/3)-1) + (1-P14)*(1-1/SQRT(1-PI()*P14/3)))^2*SUMSQ(K$8:K14) + ( (1-P15)*(1/SQRT(1-PI()*P15/3)-1) -P14*(1-1/SQRT(1-PI()*P14/3)) )^2*K15^2 + ( P15*(1-1/SQRT(1-PI()*P15/3)) - P14*(1-1/SQRT(1-PI()*P14/3)) )^2*SUMSQ(K16:K$76) ), (1/(PI()^2*H15*$J$77))*SQRT((1+P14/(1-P14))^2*K15^2+(P14/(1-P14)-P15/(1-P15))^2*SUMSQ(K16:K$76)) )</f>
        <v>2.9602171986136739E-8</v>
      </c>
      <c r="V15" s="345">
        <f t="shared" si="18"/>
        <v>3.6297982260862278E-8</v>
      </c>
      <c r="W15" s="340">
        <f t="shared" si="19"/>
        <v>2.2331522222012312</v>
      </c>
      <c r="X15" s="345">
        <f t="shared" si="20"/>
        <v>7.2595964521724556E-8</v>
      </c>
      <c r="Y15" s="338">
        <f t="shared" si="8"/>
        <v>-13.329747636236345</v>
      </c>
      <c r="Z15" s="346">
        <f t="shared" si="21"/>
        <v>2.2331522222012314E-2</v>
      </c>
      <c r="AA15" s="346">
        <f t="shared" si="22"/>
        <v>0.16753147044813538</v>
      </c>
      <c r="AB15" s="346">
        <f t="shared" si="9"/>
        <v>4.4663044444024629E-2</v>
      </c>
      <c r="AC15" s="336">
        <f t="shared" si="2"/>
        <v>2.0975910396981758E-10</v>
      </c>
      <c r="AD15" s="337">
        <f t="shared" si="3"/>
        <v>8.7460497854190981E-12</v>
      </c>
      <c r="AE15" s="308">
        <f t="shared" si="10"/>
        <v>4.1695686241478107</v>
      </c>
      <c r="AF15" s="337">
        <f t="shared" si="11"/>
        <v>1.7492099570838196E-11</v>
      </c>
      <c r="AG15" s="338">
        <f t="shared" si="23"/>
        <v>-22.28506136761461</v>
      </c>
      <c r="AH15" s="339">
        <f t="shared" si="24"/>
        <v>4.1695686241478104E-2</v>
      </c>
      <c r="AI15" s="340">
        <f t="shared" si="25"/>
        <v>0.18710150963313774</v>
      </c>
      <c r="AJ15" s="341">
        <f t="shared" si="12"/>
        <v>8.3391372482956208E-2</v>
      </c>
    </row>
    <row r="16" spans="1:39" x14ac:dyDescent="0.2">
      <c r="A16" s="309">
        <v>9</v>
      </c>
      <c r="B16" s="309">
        <f t="shared" si="13"/>
        <v>5.8089388888888891</v>
      </c>
      <c r="C16" s="1">
        <v>290.02</v>
      </c>
      <c r="D16" s="347">
        <v>2</v>
      </c>
      <c r="E16" s="326">
        <f t="shared" si="4"/>
        <v>17.756627661274571</v>
      </c>
      <c r="F16" s="327">
        <f t="shared" si="0"/>
        <v>6.0878380875440924E-2</v>
      </c>
      <c r="G16" s="309">
        <f t="shared" si="5"/>
        <v>0.64537777777777783</v>
      </c>
      <c r="H16" s="1">
        <v>2323.36</v>
      </c>
      <c r="I16" s="324">
        <v>30</v>
      </c>
      <c r="J16" s="1">
        <v>3.1989999999999998E-2</v>
      </c>
      <c r="K16" s="1">
        <v>1.8000000000000001E-4</v>
      </c>
      <c r="L16" s="328">
        <f t="shared" si="6"/>
        <v>0.56267583619881212</v>
      </c>
      <c r="M16" s="329">
        <f t="shared" si="1"/>
        <v>4.3114950739248217E-2</v>
      </c>
      <c r="N16" s="342">
        <f>(1/$J$77)*SQRT(((1-J17/$J$77)*K16)^2+(J17/$J$77)^2*(SUMSQ(K$8:K15)+SUMSQ(K17:K$76)))</f>
        <v>3.6498236353524685E-4</v>
      </c>
      <c r="O16" s="340">
        <f t="shared" si="14"/>
        <v>0.84653317996951272</v>
      </c>
      <c r="P16" s="332">
        <f t="shared" si="7"/>
        <v>0.40370904484008791</v>
      </c>
      <c r="Q16" s="342">
        <f>SQRT(((1-P16)/$J$77)^2*SUMSQ(K$8:K16)+(P16/$J$77)^2*SUMSQ(K17:K$76))</f>
        <v>2.9523308907005471E-3</v>
      </c>
      <c r="R16" s="340">
        <f t="shared" si="15"/>
        <v>0.73130164618184046</v>
      </c>
      <c r="S16" s="343">
        <f t="shared" si="16"/>
        <v>1.8026773929998862E-6</v>
      </c>
      <c r="T16" s="344">
        <f t="shared" si="17"/>
        <v>2.3276772342640227E-8</v>
      </c>
      <c r="U16" s="344">
        <f>IF(P16&lt;=0.85, (1/(3*H16*$J$77))*SQRT( ((1-P16)*(1/SQRT(1-PI()*P16/3)-1) + (1-P15)*(1-1/SQRT(1-PI()*P15/3)))^2*SUMSQ(K$8:K15) + ( (1-P16)*(1/SQRT(1-PI()*P16/3)-1) -P15*(1-1/SQRT(1-PI()*P15/3)) )^2*K16^2 + ( P16*(1-1/SQRT(1-PI()*P16/3)) - P15*(1-1/SQRT(1-PI()*P15/3)) )^2*SUMSQ(K17:K$76) ), (1/(PI()^2*H16*$J$77))*SQRT((1+P15/(1-P15))^2*K16^2+(P15/(1-P15)-P16/(1-P16))^2*SUMSQ(K17:K$76)) )</f>
        <v>3.3695294458551853E-8</v>
      </c>
      <c r="V16" s="345">
        <f t="shared" si="18"/>
        <v>4.0953400339161288E-8</v>
      </c>
      <c r="W16" s="340">
        <f t="shared" si="19"/>
        <v>2.2718097258106495</v>
      </c>
      <c r="X16" s="345">
        <f t="shared" si="20"/>
        <v>8.1906800678322575E-8</v>
      </c>
      <c r="Y16" s="338">
        <f t="shared" si="8"/>
        <v>-13.226237557650611</v>
      </c>
      <c r="Z16" s="346">
        <f t="shared" si="21"/>
        <v>2.2718097258106498E-2</v>
      </c>
      <c r="AA16" s="346">
        <f t="shared" si="22"/>
        <v>0.17176538043478129</v>
      </c>
      <c r="AB16" s="346">
        <f t="shared" si="9"/>
        <v>4.5436194516212995E-2</v>
      </c>
      <c r="AC16" s="336">
        <f t="shared" si="2"/>
        <v>2.3263479649567809E-10</v>
      </c>
      <c r="AD16" s="337">
        <f t="shared" si="3"/>
        <v>9.7483287716827949E-12</v>
      </c>
      <c r="AE16" s="308">
        <f t="shared" si="10"/>
        <v>4.1904001114742524</v>
      </c>
      <c r="AF16" s="337">
        <f t="shared" si="11"/>
        <v>1.949665754336559E-11</v>
      </c>
      <c r="AG16" s="338">
        <f t="shared" si="23"/>
        <v>-22.181551289028874</v>
      </c>
      <c r="AH16" s="339">
        <f t="shared" si="24"/>
        <v>4.1904001114742524E-2</v>
      </c>
      <c r="AI16" s="340">
        <f t="shared" si="25"/>
        <v>0.18891375345541539</v>
      </c>
      <c r="AJ16" s="341">
        <f t="shared" si="12"/>
        <v>8.3808002229485049E-2</v>
      </c>
    </row>
    <row r="17" spans="1:39" x14ac:dyDescent="0.2">
      <c r="A17" s="309">
        <v>10</v>
      </c>
      <c r="B17" s="309">
        <f t="shared" si="13"/>
        <v>6.455977777777778</v>
      </c>
      <c r="C17" s="1">
        <v>300.02</v>
      </c>
      <c r="D17" s="347">
        <v>2</v>
      </c>
      <c r="E17" s="326">
        <f t="shared" si="4"/>
        <v>17.446830783188236</v>
      </c>
      <c r="F17" s="327">
        <f t="shared" si="0"/>
        <v>5.8808438318958697E-2</v>
      </c>
      <c r="G17" s="309">
        <f t="shared" si="5"/>
        <v>0.64703888888888883</v>
      </c>
      <c r="H17" s="1">
        <v>2329.34</v>
      </c>
      <c r="I17" s="324">
        <v>30</v>
      </c>
      <c r="J17" s="1">
        <v>2.878E-2</v>
      </c>
      <c r="K17" s="1">
        <v>2.3000000000000001E-4</v>
      </c>
      <c r="L17" s="328">
        <f t="shared" si="6"/>
        <v>0.79916608756080609</v>
      </c>
      <c r="M17" s="329">
        <f t="shared" si="1"/>
        <v>3.878863026807014E-2</v>
      </c>
      <c r="N17" s="342">
        <f>(1/$J$77)*SQRT(((1-J18/$J$77)*K17)^2+(J18/$J$77)^2*(SUMSQ(K$8:K16)+SUMSQ(K18:K$76)))</f>
        <v>3.9165666381048211E-4</v>
      </c>
      <c r="O17" s="340">
        <f t="shared" si="14"/>
        <v>1.0097202739661688</v>
      </c>
      <c r="P17" s="332">
        <f t="shared" si="7"/>
        <v>0.44249767510815807</v>
      </c>
      <c r="Q17" s="342">
        <f>SQRT(((1-P17)/$J$77)^2*SUMSQ(K$8:K17)+(P17/$J$77)^2*SUMSQ(K18:K$76))</f>
        <v>3.2220987305418636E-3</v>
      </c>
      <c r="R17" s="340">
        <f t="shared" si="15"/>
        <v>0.72816173096373848</v>
      </c>
      <c r="S17" s="343">
        <f t="shared" si="16"/>
        <v>1.8884175180886227E-6</v>
      </c>
      <c r="T17" s="344">
        <f t="shared" si="17"/>
        <v>2.4321277933946385E-8</v>
      </c>
      <c r="U17" s="344">
        <f>IF(P17&lt;=0.85, (1/(3*H17*$J$77))*SQRT( ((1-P17)*(1/SQRT(1-PI()*P17/3)-1) + (1-P16)*(1-1/SQRT(1-PI()*P16/3)))^2*SUMSQ(K$8:K16) + ( (1-P17)*(1/SQRT(1-PI()*P17/3)-1) -P16*(1-1/SQRT(1-PI()*P16/3)) )^2*K17^2 + ( P17*(1-1/SQRT(1-PI()*P17/3)) - P16*(1-1/SQRT(1-PI()*P16/3)) )^2*SUMSQ(K18:K$76) ), (1/(PI()^2*H17*$J$77))*SQRT((1+P16/(1-P16))^2*K17^2+(P16/(1-P16)-P17/(1-P17))^2*SUMSQ(K18:K$76)) )</f>
        <v>3.7843700772768541E-8</v>
      </c>
      <c r="V17" s="345">
        <f t="shared" si="18"/>
        <v>4.4985222557181039E-8</v>
      </c>
      <c r="W17" s="340">
        <f t="shared" si="19"/>
        <v>2.3821650734691979</v>
      </c>
      <c r="X17" s="345">
        <f t="shared" si="20"/>
        <v>8.9970445114362078E-8</v>
      </c>
      <c r="Y17" s="338">
        <f t="shared" si="8"/>
        <v>-13.179771371634072</v>
      </c>
      <c r="Z17" s="346">
        <f t="shared" si="21"/>
        <v>2.3821650734691977E-2</v>
      </c>
      <c r="AA17" s="346">
        <f t="shared" si="22"/>
        <v>0.18074403616713489</v>
      </c>
      <c r="AB17" s="346">
        <f t="shared" si="9"/>
        <v>4.7643301469383954E-2</v>
      </c>
      <c r="AC17" s="336">
        <f t="shared" si="2"/>
        <v>2.4369952534232952E-10</v>
      </c>
      <c r="AD17" s="337">
        <f t="shared" si="3"/>
        <v>1.036025243595007E-11</v>
      </c>
      <c r="AE17" s="308">
        <f t="shared" si="10"/>
        <v>4.2512403015134392</v>
      </c>
      <c r="AF17" s="337">
        <f t="shared" si="11"/>
        <v>2.0720504871900139E-11</v>
      </c>
      <c r="AG17" s="338">
        <f t="shared" si="23"/>
        <v>-22.135085103012337</v>
      </c>
      <c r="AH17" s="339">
        <f t="shared" si="24"/>
        <v>4.2512403015134391E-2</v>
      </c>
      <c r="AI17" s="340">
        <f t="shared" si="25"/>
        <v>0.19205890927136726</v>
      </c>
      <c r="AJ17" s="341">
        <f t="shared" si="12"/>
        <v>8.5024806030268782E-2</v>
      </c>
      <c r="AM17" s="322"/>
    </row>
    <row r="18" spans="1:39" x14ac:dyDescent="0.2">
      <c r="A18" s="309">
        <v>11</v>
      </c>
      <c r="B18" s="309">
        <f t="shared" si="13"/>
        <v>7.1013555555555561</v>
      </c>
      <c r="C18" s="1">
        <v>310.02</v>
      </c>
      <c r="D18" s="347">
        <v>2</v>
      </c>
      <c r="E18" s="326">
        <f t="shared" si="4"/>
        <v>17.147658487233571</v>
      </c>
      <c r="F18" s="327">
        <f t="shared" si="0"/>
        <v>5.6842299602193516E-2</v>
      </c>
      <c r="G18" s="309">
        <f t="shared" si="5"/>
        <v>0.64537777777777783</v>
      </c>
      <c r="H18" s="1">
        <v>2323.36</v>
      </c>
      <c r="I18" s="324">
        <v>30</v>
      </c>
      <c r="J18" s="1">
        <v>2.5919999999999999E-2</v>
      </c>
      <c r="K18" s="1">
        <v>2.1000000000000001E-4</v>
      </c>
      <c r="L18" s="328">
        <f t="shared" si="6"/>
        <v>0.81018518518518534</v>
      </c>
      <c r="M18" s="329">
        <f t="shared" si="1"/>
        <v>3.4934026982223004E-2</v>
      </c>
      <c r="N18" s="342">
        <f>(1/$J$77)*SQRT(((1-J19/$J$77)*K18)^2+(J19/$J$77)^2*(SUMSQ(K$8:K17)+SUMSQ(K19:K$76)))</f>
        <v>3.5776411946993253E-4</v>
      </c>
      <c r="O18" s="340">
        <f t="shared" si="14"/>
        <v>1.0241135946107478</v>
      </c>
      <c r="P18" s="332">
        <f t="shared" si="7"/>
        <v>0.4774317020903811</v>
      </c>
      <c r="Q18" s="342">
        <f>SQRT(((1-P18)/$J$77)^2*SUMSQ(K$8:K18)+(P18/$J$77)^2*SUMSQ(K19:K$76))</f>
        <v>3.4646942707027566E-3</v>
      </c>
      <c r="R18" s="340">
        <f t="shared" si="15"/>
        <v>0.72569422087661573</v>
      </c>
      <c r="S18" s="343">
        <f t="shared" si="16"/>
        <v>1.9506908088413353E-6</v>
      </c>
      <c r="T18" s="344">
        <f t="shared" si="17"/>
        <v>2.5187970983937093E-8</v>
      </c>
      <c r="U18" s="344">
        <f>IF(P18&lt;=0.85, (1/(3*H18*$J$77))*SQRT( ((1-P18)*(1/SQRT(1-PI()*P18/3)-1) + (1-P17)*(1-1/SQRT(1-PI()*P17/3)))^2*SUMSQ(K$8:K17) + ( (1-P18)*(1/SQRT(1-PI()*P18/3)-1) -P17*(1-1/SQRT(1-PI()*P17/3)) )^2*K18^2 + ( P18*(1-1/SQRT(1-PI()*P18/3)) - P17*(1-1/SQRT(1-PI()*P17/3)) )^2*SUMSQ(K19:K$76) ), (1/(PI()^2*H18*$J$77))*SQRT((1+P17/(1-P17))^2*K18^2+(P17/(1-P17)-P18/(1-P18))^2*SUMSQ(K19:K$76)) )</f>
        <v>4.0296441133752528E-8</v>
      </c>
      <c r="V18" s="345">
        <f t="shared" si="18"/>
        <v>4.7520911716144924E-8</v>
      </c>
      <c r="W18" s="340">
        <f t="shared" si="19"/>
        <v>2.4361068140968603</v>
      </c>
      <c r="X18" s="345">
        <f t="shared" si="20"/>
        <v>9.5041823432289847E-8</v>
      </c>
      <c r="Y18" s="338">
        <f t="shared" si="8"/>
        <v>-13.147326987179936</v>
      </c>
      <c r="Z18" s="346">
        <f t="shared" si="21"/>
        <v>2.4361068140968601E-2</v>
      </c>
      <c r="AA18" s="346">
        <f t="shared" si="22"/>
        <v>0.18529293570262059</v>
      </c>
      <c r="AB18" s="346">
        <f t="shared" si="9"/>
        <v>4.8722136281937202E-2</v>
      </c>
      <c r="AC18" s="336">
        <f t="shared" si="2"/>
        <v>2.5173586860465075E-10</v>
      </c>
      <c r="AD18" s="337">
        <f t="shared" si="3"/>
        <v>1.077857327019478E-11</v>
      </c>
      <c r="AE18" s="308">
        <f t="shared" si="10"/>
        <v>4.2816994375650319</v>
      </c>
      <c r="AF18" s="337">
        <f t="shared" si="11"/>
        <v>2.155714654038956E-11</v>
      </c>
      <c r="AG18" s="338">
        <f t="shared" si="23"/>
        <v>-22.102640718558199</v>
      </c>
      <c r="AH18" s="339">
        <f t="shared" si="24"/>
        <v>4.2816994375650327E-2</v>
      </c>
      <c r="AI18" s="340">
        <f t="shared" si="25"/>
        <v>0.19371890861755531</v>
      </c>
      <c r="AJ18" s="341">
        <f t="shared" si="12"/>
        <v>8.5633988751300655E-2</v>
      </c>
    </row>
    <row r="19" spans="1:39" x14ac:dyDescent="0.2">
      <c r="A19" s="309">
        <v>12</v>
      </c>
      <c r="B19" s="309">
        <f t="shared" si="13"/>
        <v>7.7472805555555562</v>
      </c>
      <c r="C19" s="1">
        <v>320.02</v>
      </c>
      <c r="D19" s="347">
        <v>2</v>
      </c>
      <c r="E19" s="326">
        <f t="shared" si="4"/>
        <v>16.858573427516564</v>
      </c>
      <c r="F19" s="327">
        <f t="shared" si="0"/>
        <v>5.4973138229462155E-2</v>
      </c>
      <c r="G19" s="309">
        <f t="shared" si="5"/>
        <v>0.64592499999999997</v>
      </c>
      <c r="H19" s="1">
        <v>2325.33</v>
      </c>
      <c r="I19" s="324">
        <v>30</v>
      </c>
      <c r="J19" s="1">
        <v>2.358E-2</v>
      </c>
      <c r="K19" s="1">
        <v>1.6000000000000001E-4</v>
      </c>
      <c r="L19" s="328">
        <f t="shared" si="6"/>
        <v>0.6785411365564038</v>
      </c>
      <c r="M19" s="329">
        <f t="shared" si="1"/>
        <v>3.1780260657438983E-2</v>
      </c>
      <c r="N19" s="342">
        <f>(1/$J$77)*SQRT(((1-J20/$J$77)*K19)^2+(J20/$J$77)^2*(SUMSQ(K$8:K18)+SUMSQ(K20:K$76)))</f>
        <v>2.9814712760374405E-4</v>
      </c>
      <c r="O19" s="340">
        <f t="shared" si="14"/>
        <v>0.93815192649766743</v>
      </c>
      <c r="P19" s="332">
        <f t="shared" si="7"/>
        <v>0.5092119627478201</v>
      </c>
      <c r="Q19" s="342">
        <f>SQRT(((1-P19)/$J$77)^2*SUMSQ(K$8:K19)+(P19/$J$77)^2*SUMSQ(K20:K$76))</f>
        <v>3.6853529503689396E-3</v>
      </c>
      <c r="R19" s="340">
        <f t="shared" si="15"/>
        <v>0.72373652230830599</v>
      </c>
      <c r="S19" s="343">
        <f t="shared" si="16"/>
        <v>1.9977126217172466E-6</v>
      </c>
      <c r="T19" s="344">
        <f t="shared" si="17"/>
        <v>2.5773278911602826E-8</v>
      </c>
      <c r="U19" s="344">
        <f>IF(P19&lt;=0.85, (1/(3*H19*$J$77))*SQRT( ((1-P19)*(1/SQRT(1-PI()*P19/3)-1) + (1-P18)*(1-1/SQRT(1-PI()*P18/3)))^2*SUMSQ(K$8:K18) + ( (1-P19)*(1/SQRT(1-PI()*P19/3)-1) -P18*(1-1/SQRT(1-PI()*P18/3)) )^2*K19^2 + ( P19*(1-1/SQRT(1-PI()*P19/3)) - P18*(1-1/SQRT(1-PI()*P18/3)) )^2*SUMSQ(K20:K$76) ), (1/(PI()^2*H19*$J$77))*SQRT((1+P18/(1-P18))^2*K19^2+(P18/(1-P18)-P19/(1-P19))^2*SUMSQ(K20:K$76)) )</f>
        <v>4.1610163631943385E-8</v>
      </c>
      <c r="V19" s="345">
        <f t="shared" si="18"/>
        <v>4.8945557748710707E-8</v>
      </c>
      <c r="W19" s="340">
        <f t="shared" si="19"/>
        <v>2.4500800173468793</v>
      </c>
      <c r="X19" s="345">
        <f t="shared" si="20"/>
        <v>9.7891115497421415E-8</v>
      </c>
      <c r="Y19" s="338">
        <f t="shared" si="8"/>
        <v>-13.123507721057218</v>
      </c>
      <c r="Z19" s="346">
        <f t="shared" si="21"/>
        <v>2.4500800173468791E-2</v>
      </c>
      <c r="AA19" s="346">
        <f t="shared" si="22"/>
        <v>0.18669398985574742</v>
      </c>
      <c r="AB19" s="346">
        <f t="shared" si="9"/>
        <v>4.9001600346937582E-2</v>
      </c>
      <c r="AC19" s="336">
        <f t="shared" si="2"/>
        <v>2.5780401474756198E-10</v>
      </c>
      <c r="AD19" s="337">
        <f t="shared" si="3"/>
        <v>1.1058928572132807E-11</v>
      </c>
      <c r="AE19" s="308">
        <f t="shared" si="10"/>
        <v>4.2896649933716331</v>
      </c>
      <c r="AF19" s="337">
        <f t="shared" si="11"/>
        <v>2.2117857144265615E-11</v>
      </c>
      <c r="AG19" s="338">
        <f t="shared" si="23"/>
        <v>-22.078821452435481</v>
      </c>
      <c r="AH19" s="339">
        <f t="shared" si="24"/>
        <v>4.2896649933716328E-2</v>
      </c>
      <c r="AI19" s="340">
        <f t="shared" si="25"/>
        <v>0.19428867625986651</v>
      </c>
      <c r="AJ19" s="341">
        <f t="shared" si="12"/>
        <v>8.5793299867432657E-2</v>
      </c>
    </row>
    <row r="20" spans="1:39" x14ac:dyDescent="0.2">
      <c r="A20" s="309">
        <v>13</v>
      </c>
      <c r="B20" s="309">
        <f t="shared" si="13"/>
        <v>8.3943333333333339</v>
      </c>
      <c r="C20" s="1">
        <v>330.02</v>
      </c>
      <c r="D20" s="347">
        <v>2</v>
      </c>
      <c r="E20" s="326">
        <f t="shared" si="4"/>
        <v>16.579073892932342</v>
      </c>
      <c r="F20" s="327">
        <f t="shared" si="0"/>
        <v>5.3194679783359747E-2</v>
      </c>
      <c r="G20" s="309">
        <f t="shared" si="5"/>
        <v>0.64705277777777781</v>
      </c>
      <c r="H20" s="1">
        <v>2329.39</v>
      </c>
      <c r="I20" s="324">
        <v>30</v>
      </c>
      <c r="J20" s="1">
        <v>2.1760000000000002E-2</v>
      </c>
      <c r="K20" s="1">
        <v>1.7000000000000001E-4</v>
      </c>
      <c r="L20" s="328">
        <f t="shared" si="6"/>
        <v>0.78125</v>
      </c>
      <c r="M20" s="329">
        <f t="shared" si="1"/>
        <v>2.9327331293718079E-2</v>
      </c>
      <c r="N20" s="342">
        <f>(1/$J$77)*SQRT(((1-J21/$J$77)*K20)^2+(J21/$J$77)^2*(SUMSQ(K$8:K19)+SUMSQ(K21:K$76)))</f>
        <v>3.0103885792721419E-4</v>
      </c>
      <c r="O20" s="340">
        <f t="shared" si="14"/>
        <v>1.0264788668026428</v>
      </c>
      <c r="P20" s="332">
        <f t="shared" si="7"/>
        <v>0.53853929404153822</v>
      </c>
      <c r="Q20" s="342">
        <f>SQRT(((1-P20)/$J$77)^2*SUMSQ(K$8:K20)+(P20/$J$77)^2*SUMSQ(K21:K$76))</f>
        <v>3.88918980589687E-3</v>
      </c>
      <c r="R20" s="340">
        <f t="shared" si="15"/>
        <v>0.72217382258403817</v>
      </c>
      <c r="S20" s="343">
        <f t="shared" si="16"/>
        <v>2.0505802873498361E-6</v>
      </c>
      <c r="T20" s="344">
        <f t="shared" si="17"/>
        <v>2.6409235302158543E-8</v>
      </c>
      <c r="U20" s="344">
        <f>IF(P20&lt;=0.85, (1/(3*H20*$J$77))*SQRT( ((1-P20)*(1/SQRT(1-PI()*P20/3)-1) + (1-P19)*(1-1/SQRT(1-PI()*P19/3)))^2*SUMSQ(K$8:K19) + ( (1-P20)*(1/SQRT(1-PI()*P20/3)-1) -P19*(1-1/SQRT(1-PI()*P19/3)) )^2*K20^2 + ( P20*(1-1/SQRT(1-PI()*P20/3)) - P19*(1-1/SQRT(1-PI()*P19/3)) )^2*SUMSQ(K21:K$76) ), (1/(PI()^2*H20*$J$77))*SQRT((1+P19/(1-P19))^2*K20^2+(P19/(1-P19)-P20/(1-P20))^2*SUMSQ(K21:K$76)) )</f>
        <v>4.4719202024058703E-8</v>
      </c>
      <c r="V20" s="345">
        <f t="shared" si="18"/>
        <v>5.1935101221749372E-8</v>
      </c>
      <c r="W20" s="340">
        <f t="shared" si="19"/>
        <v>2.5327026472526049</v>
      </c>
      <c r="X20" s="345">
        <f t="shared" si="20"/>
        <v>1.0387020244349874E-7</v>
      </c>
      <c r="Y20" s="338">
        <f t="shared" si="8"/>
        <v>-13.097387737869942</v>
      </c>
      <c r="Z20" s="346">
        <f t="shared" si="21"/>
        <v>2.5327026472526049E-2</v>
      </c>
      <c r="AA20" s="346">
        <f t="shared" si="22"/>
        <v>0.19337464064910581</v>
      </c>
      <c r="AB20" s="346">
        <f t="shared" si="9"/>
        <v>5.0654052945052097E-2</v>
      </c>
      <c r="AC20" s="336">
        <f t="shared" si="2"/>
        <v>2.6462656585038142E-10</v>
      </c>
      <c r="AD20" s="337">
        <f t="shared" si="3"/>
        <v>1.1477875329784619E-11</v>
      </c>
      <c r="AE20" s="308">
        <f t="shared" si="10"/>
        <v>4.337385890528525</v>
      </c>
      <c r="AF20" s="337">
        <f t="shared" si="11"/>
        <v>2.2955750659569237E-11</v>
      </c>
      <c r="AG20" s="338">
        <f t="shared" si="23"/>
        <v>-22.052701469248206</v>
      </c>
      <c r="AH20" s="339">
        <f t="shared" si="24"/>
        <v>4.3373858905285244E-2</v>
      </c>
      <c r="AI20" s="340">
        <f t="shared" si="25"/>
        <v>0.19668274640079228</v>
      </c>
      <c r="AJ20" s="341">
        <f t="shared" si="12"/>
        <v>8.6747717810570488E-2</v>
      </c>
    </row>
    <row r="21" spans="1:39" x14ac:dyDescent="0.2">
      <c r="A21" s="309">
        <v>14</v>
      </c>
      <c r="B21" s="309">
        <f t="shared" si="13"/>
        <v>9.0391555555555563</v>
      </c>
      <c r="C21" s="1">
        <v>340.02</v>
      </c>
      <c r="D21" s="347">
        <v>2</v>
      </c>
      <c r="E21" s="326">
        <f t="shared" si="4"/>
        <v>16.308690901381347</v>
      </c>
      <c r="F21" s="327">
        <f t="shared" si="0"/>
        <v>5.1501149200892125E-2</v>
      </c>
      <c r="G21" s="309">
        <f t="shared" si="5"/>
        <v>0.6448222222222223</v>
      </c>
      <c r="H21" s="1">
        <v>2321.36</v>
      </c>
      <c r="I21" s="324">
        <v>30</v>
      </c>
      <c r="J21" s="1">
        <v>2.0760000000000001E-2</v>
      </c>
      <c r="K21" s="1">
        <v>1.8000000000000001E-4</v>
      </c>
      <c r="L21" s="328">
        <f t="shared" si="6"/>
        <v>0.86705202312138741</v>
      </c>
      <c r="M21" s="329">
        <f t="shared" si="1"/>
        <v>2.7979567907058241E-2</v>
      </c>
      <c r="N21" s="342">
        <f>(1/$J$77)*SQRT(((1-J22/$J$77)*K21)^2+(J22/$J$77)^2*(SUMSQ(K$8:K20)+SUMSQ(K22:K$76)))</f>
        <v>2.9873323537478967E-4</v>
      </c>
      <c r="O21" s="340">
        <f t="shared" si="14"/>
        <v>1.0676835195136447</v>
      </c>
      <c r="P21" s="332">
        <f t="shared" si="7"/>
        <v>0.56651886194859646</v>
      </c>
      <c r="Q21" s="342">
        <f>SQRT(((1-P21)/$J$77)^2*SUMSQ(K$8:K21)+(P21/$J$77)^2*SUMSQ(K22:K$76))</f>
        <v>4.0836279460158059E-3</v>
      </c>
      <c r="R21" s="340">
        <f t="shared" si="15"/>
        <v>0.72082824073496377</v>
      </c>
      <c r="S21" s="343">
        <f t="shared" si="16"/>
        <v>2.1724254708996993E-6</v>
      </c>
      <c r="T21" s="344">
        <f t="shared" si="17"/>
        <v>2.8075250769803479E-8</v>
      </c>
      <c r="U21" s="344">
        <f>IF(P21&lt;=0.85, (1/(3*H21*$J$77))*SQRT( ((1-P21)*(1/SQRT(1-PI()*P21/3)-1) + (1-P20)*(1-1/SQRT(1-PI()*P20/3)))^2*SUMSQ(K$8:K20) + ( (1-P21)*(1/SQRT(1-PI()*P21/3)-1) -P20*(1-1/SQRT(1-PI()*P20/3)) )^2*K21^2 + ( P21*(1-1/SQRT(1-PI()*P21/3)) - P20*(1-1/SQRT(1-PI()*P20/3)) )^2*SUMSQ(K22:K$76) ), (1/(PI()^2*H21*$J$77))*SQRT((1+P20/(1-P20))^2*K21^2+(P20/(1-P20)-P21/(1-P21))^2*SUMSQ(K22:K$76)) )</f>
        <v>4.9508007132952503E-8</v>
      </c>
      <c r="V21" s="345">
        <f t="shared" si="18"/>
        <v>5.6914519026904082E-8</v>
      </c>
      <c r="W21" s="340">
        <f t="shared" si="19"/>
        <v>2.6198606023217548</v>
      </c>
      <c r="X21" s="345">
        <f t="shared" si="20"/>
        <v>1.1382903805380816E-7</v>
      </c>
      <c r="Y21" s="338">
        <f t="shared" si="8"/>
        <v>-13.03966628608015</v>
      </c>
      <c r="Z21" s="346">
        <f t="shared" si="21"/>
        <v>2.6198606023217549E-2</v>
      </c>
      <c r="AA21" s="346">
        <f t="shared" si="22"/>
        <v>0.20091469711295121</v>
      </c>
      <c r="AB21" s="346">
        <f t="shared" si="9"/>
        <v>5.2397212046435097E-2</v>
      </c>
      <c r="AC21" s="336">
        <f t="shared" si="2"/>
        <v>2.8035063804941782E-10</v>
      </c>
      <c r="AD21" s="337">
        <f t="shared" si="3"/>
        <v>1.2304168632149912E-11</v>
      </c>
      <c r="AE21" s="308">
        <f t="shared" si="10"/>
        <v>4.3888498766252271</v>
      </c>
      <c r="AF21" s="337">
        <f t="shared" si="11"/>
        <v>2.4608337264299824E-11</v>
      </c>
      <c r="AG21" s="338">
        <f t="shared" si="23"/>
        <v>-21.994980017458413</v>
      </c>
      <c r="AH21" s="339">
        <f t="shared" si="24"/>
        <v>4.3888498766252275E-2</v>
      </c>
      <c r="AI21" s="340">
        <f t="shared" si="25"/>
        <v>0.19953870715688754</v>
      </c>
      <c r="AJ21" s="341">
        <f t="shared" si="12"/>
        <v>8.777699753250455E-2</v>
      </c>
    </row>
    <row r="22" spans="1:39" x14ac:dyDescent="0.2">
      <c r="A22" s="309">
        <v>15</v>
      </c>
      <c r="B22" s="309">
        <f t="shared" si="13"/>
        <v>9.6850916666666667</v>
      </c>
      <c r="C22" s="1">
        <v>350.02</v>
      </c>
      <c r="D22" s="347">
        <v>2</v>
      </c>
      <c r="E22" s="326">
        <f t="shared" si="4"/>
        <v>16.046985573759969</v>
      </c>
      <c r="F22" s="327">
        <f t="shared" si="0"/>
        <v>4.98887996615512E-2</v>
      </c>
      <c r="G22" s="309">
        <f t="shared" si="5"/>
        <v>0.64593611111111104</v>
      </c>
      <c r="H22" s="1">
        <v>2325.37</v>
      </c>
      <c r="I22" s="324">
        <v>30</v>
      </c>
      <c r="J22" s="1">
        <v>1.8710000000000001E-2</v>
      </c>
      <c r="K22" s="1">
        <v>2.1000000000000001E-4</v>
      </c>
      <c r="L22" s="328">
        <f t="shared" si="6"/>
        <v>1.122394441475147</v>
      </c>
      <c r="M22" s="329">
        <f t="shared" si="1"/>
        <v>2.5216652964405572E-2</v>
      </c>
      <c r="N22" s="342">
        <f>(1/$J$77)*SQRT(((1-J23/$J$77)*K22)^2+(J23/$J$77)^2*(SUMSQ(K$8:K21)+SUMSQ(K23:K$76)))</f>
        <v>3.247731183038842E-4</v>
      </c>
      <c r="O22" s="340">
        <f t="shared" si="14"/>
        <v>1.2879311095025812</v>
      </c>
      <c r="P22" s="332">
        <f t="shared" si="7"/>
        <v>0.59173551491300203</v>
      </c>
      <c r="Q22" s="342">
        <f>SQRT(((1-P22)/$J$77)^2*SUMSQ(K$8:K22)+(P22/$J$77)^2*SUMSQ(K23:K$76))</f>
        <v>4.2582760590122535E-3</v>
      </c>
      <c r="R22" s="340">
        <f t="shared" si="15"/>
        <v>0.71962489181307843</v>
      </c>
      <c r="S22" s="343">
        <f t="shared" si="16"/>
        <v>2.1481851154352266E-6</v>
      </c>
      <c r="T22" s="344">
        <f t="shared" si="17"/>
        <v>2.7714107201459038E-8</v>
      </c>
      <c r="U22" s="344">
        <f>IF(P22&lt;=0.85, (1/(3*H22*$J$77))*SQRT( ((1-P22)*(1/SQRT(1-PI()*P22/3)-1) + (1-P21)*(1-1/SQRT(1-PI()*P21/3)))^2*SUMSQ(K$8:K21) + ( (1-P22)*(1/SQRT(1-PI()*P22/3)-1) -P21*(1-1/SQRT(1-PI()*P21/3)) )^2*K22^2 + ( P22*(1-1/SQRT(1-PI()*P22/3)) - P21*(1-1/SQRT(1-PI()*P21/3)) )^2*SUMSQ(K23:K$76) ), (1/(PI()^2*H22*$J$77))*SQRT((1+P21/(1-P21))^2*K22^2+(P21/(1-P21)-P22/(1-P22))^2*SUMSQ(K23:K$76)) )</f>
        <v>5.2639606052306938E-8</v>
      </c>
      <c r="V22" s="345">
        <f t="shared" si="18"/>
        <v>5.9489493722135788E-8</v>
      </c>
      <c r="W22" s="340">
        <f t="shared" si="19"/>
        <v>2.7692908443825193</v>
      </c>
      <c r="X22" s="345">
        <f t="shared" si="20"/>
        <v>1.1897898744427158E-7</v>
      </c>
      <c r="Y22" s="338">
        <f t="shared" si="8"/>
        <v>-13.050887204660754</v>
      </c>
      <c r="Z22" s="346">
        <f t="shared" si="21"/>
        <v>2.7692908443825194E-2</v>
      </c>
      <c r="AA22" s="346">
        <f t="shared" si="22"/>
        <v>0.21219176910773899</v>
      </c>
      <c r="AB22" s="346">
        <f t="shared" si="9"/>
        <v>5.5385816887650388E-2</v>
      </c>
      <c r="AC22" s="336">
        <f t="shared" si="2"/>
        <v>2.772224298728698E-10</v>
      </c>
      <c r="AD22" s="337">
        <f t="shared" si="3"/>
        <v>1.2418607365893669E-11</v>
      </c>
      <c r="AE22" s="308">
        <f t="shared" si="10"/>
        <v>4.4796546122146976</v>
      </c>
      <c r="AF22" s="337">
        <f t="shared" si="11"/>
        <v>2.4837214731787339E-11</v>
      </c>
      <c r="AG22" s="338">
        <f t="shared" si="23"/>
        <v>-22.006200936039019</v>
      </c>
      <c r="AH22" s="339">
        <f t="shared" si="24"/>
        <v>4.479654612214698E-2</v>
      </c>
      <c r="AI22" s="340">
        <f t="shared" si="25"/>
        <v>0.20356328769490042</v>
      </c>
      <c r="AJ22" s="341">
        <f t="shared" si="12"/>
        <v>8.9593092244293959E-2</v>
      </c>
    </row>
    <row r="23" spans="1:39" x14ac:dyDescent="0.2">
      <c r="A23" s="309">
        <v>16</v>
      </c>
      <c r="B23" s="309">
        <f t="shared" si="13"/>
        <v>10.332138888888888</v>
      </c>
      <c r="C23" s="1">
        <v>360.01</v>
      </c>
      <c r="D23" s="347">
        <v>2</v>
      </c>
      <c r="E23" s="326">
        <f t="shared" si="4"/>
        <v>15.793796196853876</v>
      </c>
      <c r="F23" s="327">
        <f t="shared" si="0"/>
        <v>4.8349495028784217E-2</v>
      </c>
      <c r="G23" s="309">
        <f t="shared" si="5"/>
        <v>0.64704722222222211</v>
      </c>
      <c r="H23" s="1">
        <v>2329.37</v>
      </c>
      <c r="I23" s="324">
        <v>30</v>
      </c>
      <c r="J23" s="1">
        <v>1.7489999999999999E-2</v>
      </c>
      <c r="K23" s="1">
        <v>1.6000000000000001E-4</v>
      </c>
      <c r="L23" s="328">
        <f t="shared" si="6"/>
        <v>0.91480846197827348</v>
      </c>
      <c r="M23" s="329">
        <f t="shared" si="1"/>
        <v>2.3572381632680568E-2</v>
      </c>
      <c r="N23" s="342">
        <f>(1/$J$77)*SQRT(((1-J24/$J$77)*K23)^2+(J24/$J$77)^2*(SUMSQ(K$8:K22)+SUMSQ(K24:K$76)))</f>
        <v>2.6568166707452927E-4</v>
      </c>
      <c r="O23" s="340">
        <f t="shared" si="14"/>
        <v>1.1270887736951885</v>
      </c>
      <c r="P23" s="332">
        <f t="shared" si="7"/>
        <v>0.61530789654568263</v>
      </c>
      <c r="Q23" s="342">
        <f>SQRT(((1-P23)/$J$77)^2*SUMSQ(K$8:K23)+(P23/$J$77)^2*SUMSQ(K24:K$76))</f>
        <v>4.4220337059467053E-3</v>
      </c>
      <c r="R23" s="340">
        <f t="shared" si="15"/>
        <v>0.71867007245833348</v>
      </c>
      <c r="S23" s="343">
        <f t="shared" si="16"/>
        <v>2.1881948340708807E-6</v>
      </c>
      <c r="T23" s="344">
        <f t="shared" si="17"/>
        <v>2.8181802385248568E-8</v>
      </c>
      <c r="U23" s="344">
        <f>IF(P23&lt;=0.85, (1/(3*H23*$J$77))*SQRT( ((1-P23)*(1/SQRT(1-PI()*P23/3)-1) + (1-P22)*(1-1/SQRT(1-PI()*P22/3)))^2*SUMSQ(K$8:K22) + ( (1-P23)*(1/SQRT(1-PI()*P23/3)-1) -P22*(1-1/SQRT(1-PI()*P22/3)) )^2*K23^2 + ( P23*(1-1/SQRT(1-PI()*P23/3)) - P22*(1-1/SQRT(1-PI()*P22/3)) )^2*SUMSQ(K24:K$76) ), (1/(PI()^2*H23*$J$77))*SQRT((1+P22/(1-P22))^2*K23^2+(P22/(1-P22)-P23/(1-P23))^2*SUMSQ(K24:K$76)) )</f>
        <v>5.3474090274775895E-8</v>
      </c>
      <c r="V23" s="345">
        <f t="shared" si="18"/>
        <v>6.0445779971773745E-8</v>
      </c>
      <c r="W23" s="340">
        <f t="shared" si="19"/>
        <v>2.762358224716281</v>
      </c>
      <c r="X23" s="345">
        <f t="shared" si="20"/>
        <v>1.2089155994354749E-7</v>
      </c>
      <c r="Y23" s="338">
        <f t="shared" si="8"/>
        <v>-13.032433630718646</v>
      </c>
      <c r="Z23" s="346">
        <f t="shared" si="21"/>
        <v>2.7623582247162808E-2</v>
      </c>
      <c r="AA23" s="346">
        <f t="shared" si="22"/>
        <v>0.21196027564684064</v>
      </c>
      <c r="AB23" s="346">
        <f t="shared" si="9"/>
        <v>5.5247164494325617E-2</v>
      </c>
      <c r="AC23" s="336">
        <f t="shared" si="2"/>
        <v>2.8238566805891351E-10</v>
      </c>
      <c r="AD23" s="337">
        <f t="shared" si="3"/>
        <v>1.2637809778818338E-11</v>
      </c>
      <c r="AE23" s="308">
        <f t="shared" si="10"/>
        <v>4.4753722331905808</v>
      </c>
      <c r="AF23" s="337">
        <f t="shared" si="11"/>
        <v>2.5275619557636675E-11</v>
      </c>
      <c r="AG23" s="338">
        <f t="shared" si="23"/>
        <v>-21.987747362096908</v>
      </c>
      <c r="AH23" s="339">
        <f t="shared" si="24"/>
        <v>4.4753722331905804E-2</v>
      </c>
      <c r="AI23" s="340">
        <f t="shared" si="25"/>
        <v>0.20353936942650849</v>
      </c>
      <c r="AJ23" s="341">
        <f t="shared" si="12"/>
        <v>8.9507444663811608E-2</v>
      </c>
    </row>
    <row r="24" spans="1:39" x14ac:dyDescent="0.2">
      <c r="A24" s="309">
        <v>17</v>
      </c>
      <c r="B24" s="309">
        <f t="shared" si="13"/>
        <v>10.977511111111111</v>
      </c>
      <c r="C24" s="1">
        <v>370.01</v>
      </c>
      <c r="D24" s="347">
        <v>2</v>
      </c>
      <c r="E24" s="326">
        <f t="shared" si="4"/>
        <v>15.548230611356429</v>
      </c>
      <c r="F24" s="327">
        <f t="shared" si="0"/>
        <v>4.6880348872004991E-2</v>
      </c>
      <c r="G24" s="309">
        <f t="shared" si="5"/>
        <v>0.64537222222222235</v>
      </c>
      <c r="H24" s="1">
        <v>2323.34</v>
      </c>
      <c r="I24" s="324">
        <v>30</v>
      </c>
      <c r="J24" s="1">
        <v>1.6570000000000001E-2</v>
      </c>
      <c r="K24" s="1">
        <v>1.2999999999999999E-4</v>
      </c>
      <c r="L24" s="328">
        <f t="shared" si="6"/>
        <v>0.78455039227519596</v>
      </c>
      <c r="M24" s="329">
        <f t="shared" si="1"/>
        <v>2.2332439316953522E-2</v>
      </c>
      <c r="N24" s="342">
        <f>(1/$J$77)*SQRT(((1-J25/$J$77)*K24)^2+(J25/$J$77)^2*(SUMSQ(K$8:K23)+SUMSQ(K25:K$76)))</f>
        <v>2.2971715496035436E-4</v>
      </c>
      <c r="O24" s="340">
        <f t="shared" si="14"/>
        <v>1.0286254524196383</v>
      </c>
      <c r="P24" s="332">
        <f t="shared" si="7"/>
        <v>0.63764033586263613</v>
      </c>
      <c r="Q24" s="342">
        <f>SQRT(((1-P24)/$J$77)^2*SUMSQ(K$8:K24)+(P24/$J$77)^2*SUMSQ(K25:K$76))</f>
        <v>4.5776071431334877E-3</v>
      </c>
      <c r="R24" s="340">
        <f t="shared" si="15"/>
        <v>0.71789798820374817</v>
      </c>
      <c r="S24" s="343">
        <f t="shared" si="16"/>
        <v>2.2599492018650928E-6</v>
      </c>
      <c r="T24" s="344">
        <f t="shared" si="17"/>
        <v>2.9181469804657426E-8</v>
      </c>
      <c r="U24" s="344">
        <f>IF(P24&lt;=0.85, (1/(3*H24*$J$77))*SQRT( ((1-P24)*(1/SQRT(1-PI()*P24/3)-1) + (1-P23)*(1-1/SQRT(1-PI()*P23/3)))^2*SUMSQ(K$8:K23) + ( (1-P24)*(1/SQRT(1-PI()*P24/3)-1) -P23*(1-1/SQRT(1-PI()*P23/3)) )^2*K24^2 + ( P24*(1-1/SQRT(1-PI()*P24/3)) - P23*(1-1/SQRT(1-PI()*P23/3)) )^2*SUMSQ(K25:K$76) ), (1/(PI()^2*H24*$J$77))*SQRT((1+P23/(1-P23))^2*K24^2+(P23/(1-P23)-P24/(1-P24))^2*SUMSQ(K25:K$76)) )</f>
        <v>5.6133809306321174E-8</v>
      </c>
      <c r="V24" s="345">
        <f t="shared" si="18"/>
        <v>6.3265810096754183E-8</v>
      </c>
      <c r="W24" s="340">
        <f t="shared" si="19"/>
        <v>2.7994350512189441</v>
      </c>
      <c r="X24" s="345">
        <f t="shared" si="20"/>
        <v>1.2653162019350837E-7</v>
      </c>
      <c r="Y24" s="338">
        <f t="shared" si="8"/>
        <v>-13.000168221983536</v>
      </c>
      <c r="Z24" s="346">
        <f t="shared" si="21"/>
        <v>2.7994350512189441E-2</v>
      </c>
      <c r="AA24" s="346">
        <f t="shared" si="22"/>
        <v>0.21533837127469205</v>
      </c>
      <c r="AB24" s="346">
        <f t="shared" si="9"/>
        <v>5.5988701024378883E-2</v>
      </c>
      <c r="AC24" s="336">
        <f t="shared" si="2"/>
        <v>2.9164554052100949E-10</v>
      </c>
      <c r="AD24" s="337">
        <f t="shared" si="3"/>
        <v>1.3119242860372638E-11</v>
      </c>
      <c r="AE24" s="308">
        <f t="shared" si="10"/>
        <v>4.4983519504312657</v>
      </c>
      <c r="AF24" s="337">
        <f t="shared" si="11"/>
        <v>2.6238485720745276E-11</v>
      </c>
      <c r="AG24" s="338">
        <f t="shared" si="23"/>
        <v>-21.955481953361801</v>
      </c>
      <c r="AH24" s="339">
        <f t="shared" si="24"/>
        <v>4.4983519504312661E-2</v>
      </c>
      <c r="AI24" s="340">
        <f t="shared" si="25"/>
        <v>0.20488513802551636</v>
      </c>
      <c r="AJ24" s="341">
        <f t="shared" si="12"/>
        <v>8.9967039008625321E-2</v>
      </c>
    </row>
    <row r="25" spans="1:39" x14ac:dyDescent="0.2">
      <c r="A25" s="309">
        <v>18</v>
      </c>
      <c r="B25" s="309">
        <f t="shared" si="13"/>
        <v>11.623991666666667</v>
      </c>
      <c r="C25" s="1">
        <v>380.01</v>
      </c>
      <c r="D25" s="347">
        <v>2</v>
      </c>
      <c r="E25" s="326">
        <f t="shared" si="4"/>
        <v>15.31018433461939</v>
      </c>
      <c r="F25" s="327">
        <f t="shared" si="0"/>
        <v>4.5477161495014171E-2</v>
      </c>
      <c r="G25" s="309">
        <f t="shared" si="5"/>
        <v>0.6464805555555555</v>
      </c>
      <c r="H25" s="1">
        <v>2327.33</v>
      </c>
      <c r="I25" s="324">
        <v>30</v>
      </c>
      <c r="J25" s="1">
        <v>1.566E-2</v>
      </c>
      <c r="K25" s="1">
        <v>1.6000000000000001E-4</v>
      </c>
      <c r="L25" s="328">
        <f t="shared" si="6"/>
        <v>1.0217113665389528</v>
      </c>
      <c r="M25" s="329">
        <f t="shared" si="1"/>
        <v>2.1105974635093065E-2</v>
      </c>
      <c r="N25" s="342">
        <f>(1/$J$77)*SQRT(((1-J26/$J$77)*K25)^2+(J26/$J$77)^2*(SUMSQ(K$8:K24)+SUMSQ(K26:K$76)))</f>
        <v>2.5681028404201181E-4</v>
      </c>
      <c r="O25" s="340">
        <f t="shared" si="14"/>
        <v>1.2167658138611206</v>
      </c>
      <c r="P25" s="332">
        <f t="shared" si="7"/>
        <v>0.65874631049772925</v>
      </c>
      <c r="Q25" s="342">
        <f>SQRT(((1-P25)/$J$77)^2*SUMSQ(K$8:K25)+(P25/$J$77)^2*SUMSQ(K26:K$76))</f>
        <v>4.7241634460633E-3</v>
      </c>
      <c r="R25" s="340">
        <f t="shared" si="15"/>
        <v>0.71714457762865669</v>
      </c>
      <c r="S25" s="343">
        <f t="shared" si="16"/>
        <v>2.3115811859878063E-6</v>
      </c>
      <c r="T25" s="344">
        <f t="shared" si="17"/>
        <v>2.9796992940250934E-8</v>
      </c>
      <c r="U25" s="344">
        <f>IF(P25&lt;=0.85, (1/(3*H25*$J$77))*SQRT( ((1-P25)*(1/SQRT(1-PI()*P25/3)-1) + (1-P24)*(1-1/SQRT(1-PI()*P24/3)))^2*SUMSQ(K$8:K24) + ( (1-P25)*(1/SQRT(1-PI()*P25/3)-1) -P24*(1-1/SQRT(1-PI()*P24/3)) )^2*K25^2 + ( P25*(1-1/SQRT(1-PI()*P25/3)) - P24*(1-1/SQRT(1-PI()*P24/3)) )^2*SUMSQ(K26:K$76) ), (1/(PI()^2*H25*$J$77))*SQRT((1+P24/(1-P24))^2*K25^2+(P24/(1-P24)-P25/(1-P25))^2*SUMSQ(K26:K$76)) )</f>
        <v>6.125548883296758E-8</v>
      </c>
      <c r="V25" s="345">
        <f t="shared" si="18"/>
        <v>6.8118247925553548E-8</v>
      </c>
      <c r="W25" s="340">
        <f t="shared" si="19"/>
        <v>2.9468248114523665</v>
      </c>
      <c r="X25" s="345">
        <f t="shared" si="20"/>
        <v>1.362364958511071E-7</v>
      </c>
      <c r="Y25" s="338">
        <f t="shared" si="8"/>
        <v>-12.97757877149256</v>
      </c>
      <c r="Z25" s="346">
        <f t="shared" si="21"/>
        <v>2.9468248114523664E-2</v>
      </c>
      <c r="AA25" s="346">
        <f t="shared" si="22"/>
        <v>0.22707046232118153</v>
      </c>
      <c r="AB25" s="346">
        <f t="shared" si="9"/>
        <v>5.8936496229047328E-2</v>
      </c>
      <c r="AC25" s="336">
        <f t="shared" si="2"/>
        <v>2.9830862741925199E-10</v>
      </c>
      <c r="AD25" s="337">
        <f t="shared" si="3"/>
        <v>1.3696917903850089E-11</v>
      </c>
      <c r="AE25" s="308">
        <f t="shared" si="10"/>
        <v>4.591525904679929</v>
      </c>
      <c r="AF25" s="337">
        <f t="shared" si="11"/>
        <v>2.7393835807700179E-11</v>
      </c>
      <c r="AG25" s="338">
        <f t="shared" si="23"/>
        <v>-21.932892502870825</v>
      </c>
      <c r="AH25" s="339">
        <f t="shared" si="24"/>
        <v>4.5915259046799294E-2</v>
      </c>
      <c r="AI25" s="340">
        <f t="shared" si="25"/>
        <v>0.20934429437790472</v>
      </c>
      <c r="AJ25" s="341">
        <f t="shared" si="12"/>
        <v>9.1830518093598587E-2</v>
      </c>
    </row>
    <row r="26" spans="1:39" x14ac:dyDescent="0.2">
      <c r="A26" s="309">
        <v>19</v>
      </c>
      <c r="B26" s="309">
        <f t="shared" si="13"/>
        <v>12.26825</v>
      </c>
      <c r="C26" s="1">
        <v>390.01</v>
      </c>
      <c r="D26" s="347">
        <v>2</v>
      </c>
      <c r="E26" s="326">
        <f t="shared" si="4"/>
        <v>15.0793172085168</v>
      </c>
      <c r="F26" s="327">
        <f t="shared" si="0"/>
        <v>4.4136042805690674E-2</v>
      </c>
      <c r="G26" s="309">
        <f t="shared" si="5"/>
        <v>0.64425833333333327</v>
      </c>
      <c r="H26" s="1">
        <v>2319.33</v>
      </c>
      <c r="I26" s="324">
        <v>30</v>
      </c>
      <c r="J26" s="1">
        <v>1.4959999999999999E-2</v>
      </c>
      <c r="K26" s="1">
        <v>1.3999999999999999E-4</v>
      </c>
      <c r="L26" s="328">
        <f t="shared" si="6"/>
        <v>0.93582887700534756</v>
      </c>
      <c r="M26" s="329">
        <f t="shared" si="1"/>
        <v>2.0162540264431178E-2</v>
      </c>
      <c r="N26" s="342">
        <f>(1/$J$77)*SQRT(((1-J27/$J$77)*K26)^2+(J27/$J$77)^2*(SUMSQ(K$8:K25)+SUMSQ(K27:K$76)))</f>
        <v>2.3510089452100354E-4</v>
      </c>
      <c r="O26" s="340">
        <f t="shared" si="14"/>
        <v>1.1660281464421722</v>
      </c>
      <c r="P26" s="332">
        <f t="shared" si="7"/>
        <v>0.67890885076216045</v>
      </c>
      <c r="Q26" s="342">
        <f>SQRT(((1-P26)/$J$77)^2*SUMSQ(K$8:K26)+(P26/$J$77)^2*SUMSQ(K27:K$76))</f>
        <v>4.8644788701821722E-3</v>
      </c>
      <c r="R26" s="340">
        <f t="shared" si="15"/>
        <v>0.71651428092610425</v>
      </c>
      <c r="S26" s="343">
        <f t="shared" si="16"/>
        <v>2.397101394950687E-6</v>
      </c>
      <c r="T26" s="344">
        <f t="shared" si="17"/>
        <v>3.1005955102775645E-8</v>
      </c>
      <c r="U26" s="344">
        <f>IF(P26&lt;=0.85, (1/(3*H26*$J$77))*SQRT( ((1-P26)*(1/SQRT(1-PI()*P26/3)-1) + (1-P25)*(1-1/SQRT(1-PI()*P25/3)))^2*SUMSQ(K$8:K25) + ( (1-P26)*(1/SQRT(1-PI()*P26/3)-1) -P25*(1-1/SQRT(1-PI()*P25/3)) )^2*K26^2 + ( P26*(1-1/SQRT(1-PI()*P26/3)) - P25*(1-1/SQRT(1-PI()*P25/3)) )^2*SUMSQ(K27:K$76) ), (1/(PI()^2*H26*$J$77))*SQRT((1+P25/(1-P25))^2*K26^2+(P25/(1-P25)-P26/(1-P26))^2*SUMSQ(K27:K$76)) )</f>
        <v>6.5095037756539431E-8</v>
      </c>
      <c r="V26" s="345">
        <f t="shared" si="18"/>
        <v>7.2102241243671705E-8</v>
      </c>
      <c r="W26" s="340">
        <f t="shared" si="19"/>
        <v>3.0078928407262886</v>
      </c>
      <c r="X26" s="345">
        <f t="shared" si="20"/>
        <v>1.4420448248734341E-7</v>
      </c>
      <c r="Y26" s="338">
        <f t="shared" si="8"/>
        <v>-12.941250302634595</v>
      </c>
      <c r="Z26" s="346">
        <f t="shared" si="21"/>
        <v>3.0078928407262884E-2</v>
      </c>
      <c r="AA26" s="346">
        <f t="shared" si="22"/>
        <v>0.23242675710506414</v>
      </c>
      <c r="AB26" s="346">
        <f t="shared" si="9"/>
        <v>6.0157856814525769E-2</v>
      </c>
      <c r="AC26" s="336">
        <f t="shared" si="2"/>
        <v>3.0934497617782818E-10</v>
      </c>
      <c r="AD26" s="337">
        <f t="shared" si="3"/>
        <v>1.432562957846538E-11</v>
      </c>
      <c r="AE26" s="308">
        <f t="shared" si="10"/>
        <v>4.6309559493961965</v>
      </c>
      <c r="AF26" s="337">
        <f t="shared" si="11"/>
        <v>2.865125915693076E-11</v>
      </c>
      <c r="AG26" s="338">
        <f t="shared" si="23"/>
        <v>-21.896564034012858</v>
      </c>
      <c r="AH26" s="339">
        <f t="shared" si="24"/>
        <v>4.6309559493961962E-2</v>
      </c>
      <c r="AI26" s="340">
        <f t="shared" si="25"/>
        <v>0.21149235753165369</v>
      </c>
      <c r="AJ26" s="341">
        <f t="shared" si="12"/>
        <v>9.2619118987923924E-2</v>
      </c>
    </row>
    <row r="27" spans="1:39" x14ac:dyDescent="0.2">
      <c r="A27" s="309">
        <v>20</v>
      </c>
      <c r="B27" s="309">
        <f t="shared" si="13"/>
        <v>12.913625</v>
      </c>
      <c r="C27" s="1">
        <v>400.01</v>
      </c>
      <c r="D27" s="347">
        <v>2</v>
      </c>
      <c r="E27" s="326">
        <f t="shared" si="4"/>
        <v>14.855309287539367</v>
      </c>
      <c r="F27" s="327">
        <f t="shared" si="0"/>
        <v>4.2853385325391638E-2</v>
      </c>
      <c r="G27" s="309">
        <f t="shared" si="5"/>
        <v>0.64537499999999992</v>
      </c>
      <c r="H27" s="1">
        <v>2323.35</v>
      </c>
      <c r="I27" s="324">
        <v>30</v>
      </c>
      <c r="J27" s="1">
        <v>1.4880000000000001E-2</v>
      </c>
      <c r="K27" s="1">
        <v>1.3999999999999999E-4</v>
      </c>
      <c r="L27" s="328">
        <f t="shared" si="6"/>
        <v>0.94086021505376327</v>
      </c>
      <c r="M27" s="329">
        <f t="shared" si="1"/>
        <v>2.0054719193498393E-2</v>
      </c>
      <c r="N27" s="342">
        <f>(1/$J$77)*SQRT(((1-J28/$J$77)*K27)^2+(J28/$J$77)^2*(SUMSQ(K$8:K26)+SUMSQ(K28:K$76)))</f>
        <v>2.326197733993474E-4</v>
      </c>
      <c r="O27" s="340">
        <f t="shared" si="14"/>
        <v>1.1599253579913558</v>
      </c>
      <c r="P27" s="332">
        <f t="shared" si="7"/>
        <v>0.69896356995565889</v>
      </c>
      <c r="Q27" s="342">
        <f>SQRT(((1-P27)/$J$77)^2*SUMSQ(K$8:K27)+(P27/$J$77)^2*SUMSQ(K28:K$76))</f>
        <v>5.0040762331886712E-3</v>
      </c>
      <c r="R27" s="340">
        <f t="shared" si="15"/>
        <v>0.71592804665143306</v>
      </c>
      <c r="S27" s="343">
        <f t="shared" si="16"/>
        <v>2.5753855438775551E-6</v>
      </c>
      <c r="T27" s="344">
        <f t="shared" si="17"/>
        <v>3.3254381094680814E-8</v>
      </c>
      <c r="U27" s="344">
        <f>IF(P27&lt;=0.85, (1/(3*H27*$J$77))*SQRT( ((1-P27)*(1/SQRT(1-PI()*P27/3)-1) + (1-P26)*(1-1/SQRT(1-PI()*P26/3)))^2*SUMSQ(K$8:K26) + ( (1-P27)*(1/SQRT(1-PI()*P27/3)-1) -P26*(1-1/SQRT(1-PI()*P26/3)) )^2*K27^2 + ( P27*(1-1/SQRT(1-PI()*P27/3)) - P26*(1-1/SQRT(1-PI()*P26/3)) )^2*SUMSQ(K28:K$76) ), (1/(PI()^2*H27*$J$77))*SQRT((1+P26/(1-P26))^2*K27^2+(P26/(1-P26)-P27/(1-P27))^2*SUMSQ(K28:K$76)) )</f>
        <v>7.2727435526123719E-8</v>
      </c>
      <c r="V27" s="345">
        <f t="shared" si="18"/>
        <v>7.9969580092662406E-8</v>
      </c>
      <c r="W27" s="340">
        <f t="shared" si="19"/>
        <v>3.1051498399054656</v>
      </c>
      <c r="X27" s="345">
        <f t="shared" si="20"/>
        <v>1.5993916018532481E-7</v>
      </c>
      <c r="Y27" s="338">
        <f t="shared" si="8"/>
        <v>-12.869511309278669</v>
      </c>
      <c r="Z27" s="346">
        <f t="shared" si="21"/>
        <v>3.1051498399054658E-2</v>
      </c>
      <c r="AA27" s="346">
        <f t="shared" si="22"/>
        <v>0.24127954553073921</v>
      </c>
      <c r="AB27" s="346">
        <f t="shared" si="9"/>
        <v>6.2102996798109315E-2</v>
      </c>
      <c r="AC27" s="336">
        <f t="shared" si="2"/>
        <v>3.323524742831809E-10</v>
      </c>
      <c r="AD27" s="337">
        <f t="shared" si="3"/>
        <v>1.560298031754342E-11</v>
      </c>
      <c r="AE27" s="308">
        <f t="shared" si="10"/>
        <v>4.6947086376281648</v>
      </c>
      <c r="AF27" s="337">
        <f t="shared" si="11"/>
        <v>3.1205960635086839E-11</v>
      </c>
      <c r="AG27" s="338">
        <f t="shared" si="23"/>
        <v>-21.824825040656933</v>
      </c>
      <c r="AH27" s="339">
        <f t="shared" si="24"/>
        <v>4.6947086376281651E-2</v>
      </c>
      <c r="AI27" s="340">
        <f t="shared" si="25"/>
        <v>0.21510864938813976</v>
      </c>
      <c r="AJ27" s="341">
        <f t="shared" si="12"/>
        <v>9.3894172752563301E-2</v>
      </c>
    </row>
    <row r="28" spans="1:39" x14ac:dyDescent="0.2">
      <c r="A28" s="309">
        <v>21</v>
      </c>
      <c r="B28" s="309">
        <f t="shared" si="13"/>
        <v>13.560105555555555</v>
      </c>
      <c r="C28" s="1">
        <v>410.01</v>
      </c>
      <c r="D28" s="347">
        <v>10</v>
      </c>
      <c r="E28" s="326">
        <f t="shared" si="4"/>
        <v>14.637859359447274</v>
      </c>
      <c r="F28" s="327">
        <f t="shared" si="0"/>
        <v>0.20812919952067949</v>
      </c>
      <c r="G28" s="309">
        <f t="shared" si="5"/>
        <v>0.6464805555555555</v>
      </c>
      <c r="H28" s="1">
        <v>2327.33</v>
      </c>
      <c r="I28" s="324">
        <v>30</v>
      </c>
      <c r="J28" s="1">
        <v>1.4449999999999999E-2</v>
      </c>
      <c r="K28" s="1">
        <v>9.0000000000000006E-5</v>
      </c>
      <c r="L28" s="328">
        <f t="shared" si="6"/>
        <v>0.62283737024221464</v>
      </c>
      <c r="M28" s="329">
        <f t="shared" si="1"/>
        <v>1.947518093723466E-2</v>
      </c>
      <c r="N28" s="342">
        <f>(1/$J$77)*SQRT(((1-J29/$J$77)*K28)^2+(J29/$J$77)^2*(SUMSQ(K$8:K27)+SUMSQ(K29:K$76)))</f>
        <v>1.7632633760425074E-4</v>
      </c>
      <c r="O28" s="340">
        <f t="shared" si="14"/>
        <v>0.90538998416765348</v>
      </c>
      <c r="P28" s="332">
        <f t="shared" si="7"/>
        <v>0.71843875089289355</v>
      </c>
      <c r="Q28" s="342">
        <f>SQRT(((1-P28)/$J$77)^2*SUMSQ(K$8:K28)+(P28/$J$77)^2*SUMSQ(K29:K$76))</f>
        <v>5.1405174866022661E-3</v>
      </c>
      <c r="R28" s="340">
        <f t="shared" si="15"/>
        <v>0.71551227995615541</v>
      </c>
      <c r="S28" s="343">
        <f t="shared" si="16"/>
        <v>2.7048458464801931E-6</v>
      </c>
      <c r="T28" s="344">
        <f t="shared" si="17"/>
        <v>3.4866295452044101E-8</v>
      </c>
      <c r="U28" s="344">
        <f>IF(P28&lt;=0.85, (1/(3*H28*$J$77))*SQRT( ((1-P28)*(1/SQRT(1-PI()*P28/3)-1) + (1-P27)*(1-1/SQRT(1-PI()*P27/3)))^2*SUMSQ(K$8:K27) + ( (1-P28)*(1/SQRT(1-PI()*P28/3)-1) -P27*(1-1/SQRT(1-PI()*P27/3)) )^2*K28^2 + ( P28*(1-1/SQRT(1-PI()*P28/3)) - P27*(1-1/SQRT(1-PI()*P27/3)) )^2*SUMSQ(K29:K$76) ), (1/(PI()^2*H28*$J$77))*SQRT((1+P27/(1-P27))^2*K28^2+(P27/(1-P27)-P28/(1-P28))^2*SUMSQ(K29:K$76)) )</f>
        <v>7.7541568840897082E-8</v>
      </c>
      <c r="V28" s="345">
        <f t="shared" si="18"/>
        <v>8.5019723928373313E-8</v>
      </c>
      <c r="W28" s="340">
        <f t="shared" si="19"/>
        <v>3.1432373138383909</v>
      </c>
      <c r="X28" s="345">
        <f t="shared" si="20"/>
        <v>1.7003944785674663E-7</v>
      </c>
      <c r="Y28" s="338">
        <f t="shared" si="8"/>
        <v>-12.820465635651948</v>
      </c>
      <c r="Z28" s="346">
        <f t="shared" si="21"/>
        <v>3.1432373138383908E-2</v>
      </c>
      <c r="AA28" s="346">
        <f t="shared" si="22"/>
        <v>0.24517341282031765</v>
      </c>
      <c r="AB28" s="346">
        <f t="shared" si="9"/>
        <v>6.2864746276767816E-2</v>
      </c>
      <c r="AC28" s="336">
        <f t="shared" si="2"/>
        <v>3.4905927454993031E-10</v>
      </c>
      <c r="AD28" s="337">
        <f t="shared" si="3"/>
        <v>1.6475551343814263E-11</v>
      </c>
      <c r="AE28" s="308">
        <f t="shared" si="10"/>
        <v>4.7199867028479598</v>
      </c>
      <c r="AF28" s="337">
        <f t="shared" si="11"/>
        <v>3.2951102687628525E-11</v>
      </c>
      <c r="AG28" s="338">
        <f t="shared" si="23"/>
        <v>-21.775779367030211</v>
      </c>
      <c r="AH28" s="339">
        <f t="shared" si="24"/>
        <v>4.7199867028479593E-2</v>
      </c>
      <c r="AI28" s="340">
        <f t="shared" si="25"/>
        <v>0.21675397345338154</v>
      </c>
      <c r="AJ28" s="341">
        <f t="shared" si="12"/>
        <v>9.4399734056959186E-2</v>
      </c>
    </row>
    <row r="29" spans="1:39" x14ac:dyDescent="0.2">
      <c r="A29" s="309">
        <v>22</v>
      </c>
      <c r="B29" s="309">
        <f t="shared" si="13"/>
        <v>14.204363888888889</v>
      </c>
      <c r="C29" s="1">
        <v>420.01</v>
      </c>
      <c r="D29" s="347">
        <v>10</v>
      </c>
      <c r="E29" s="326">
        <f t="shared" si="4"/>
        <v>14.426683593975417</v>
      </c>
      <c r="F29" s="327">
        <f t="shared" si="0"/>
        <v>0.20225146917975134</v>
      </c>
      <c r="G29" s="309">
        <f t="shared" si="5"/>
        <v>0.64425833333333327</v>
      </c>
      <c r="H29" s="1">
        <v>2319.33</v>
      </c>
      <c r="I29" s="324">
        <v>30</v>
      </c>
      <c r="J29" s="1">
        <v>1.332E-2</v>
      </c>
      <c r="K29" s="1">
        <v>1.2999999999999999E-4</v>
      </c>
      <c r="L29" s="328">
        <f t="shared" si="6"/>
        <v>0.97597597597597585</v>
      </c>
      <c r="M29" s="329">
        <f t="shared" si="1"/>
        <v>1.7952208310309043E-2</v>
      </c>
      <c r="N29" s="342">
        <f>(1/$J$77)*SQRT(((1-J30/$J$77)*K29)^2+(J30/$J$77)^2*(SUMSQ(K$8:K28)+SUMSQ(K30:K$76)))</f>
        <v>2.1194979117831119E-4</v>
      </c>
      <c r="O29" s="340">
        <f t="shared" si="14"/>
        <v>1.1806335327370236</v>
      </c>
      <c r="P29" s="332">
        <f t="shared" si="7"/>
        <v>0.73639095920320263</v>
      </c>
      <c r="Q29" s="342">
        <f>SQRT(((1-P29)/$J$77)^2*SUMSQ(K$8:K29)+(P29/$J$77)^2*SUMSQ(K30:K$76))</f>
        <v>5.2656385833180332E-3</v>
      </c>
      <c r="R29" s="340">
        <f t="shared" si="15"/>
        <v>0.71506018881812639</v>
      </c>
      <c r="S29" s="343">
        <f t="shared" si="16"/>
        <v>2.7067950413188056E-6</v>
      </c>
      <c r="T29" s="344">
        <f t="shared" si="17"/>
        <v>3.5011771175108411E-8</v>
      </c>
      <c r="U29" s="344">
        <f>IF(P29&lt;=0.85, (1/(3*H29*$J$77))*SQRT( ((1-P29)*(1/SQRT(1-PI()*P29/3)-1) + (1-P28)*(1-1/SQRT(1-PI()*P28/3)))^2*SUMSQ(K$8:K28) + ( (1-P29)*(1/SQRT(1-PI()*P29/3)-1) -P28*(1-1/SQRT(1-PI()*P28/3)) )^2*K29^2 + ( P29*(1-1/SQRT(1-PI()*P29/3)) - P28*(1-1/SQRT(1-PI()*P28/3)) )^2*SUMSQ(K30:K$76) ), (1/(PI()^2*H29*$J$77))*SQRT((1+P28/(1-P28))^2*K29^2+(P28/(1-P28)-P29/(1-P29))^2*SUMSQ(K30:K$76)) )</f>
        <v>8.3681053209709767E-8</v>
      </c>
      <c r="V29" s="345">
        <f t="shared" si="18"/>
        <v>9.0710213245832627E-8</v>
      </c>
      <c r="W29" s="340">
        <f t="shared" si="19"/>
        <v>3.3512036139107435</v>
      </c>
      <c r="X29" s="345">
        <f t="shared" si="20"/>
        <v>1.8142042649166525E-7</v>
      </c>
      <c r="Y29" s="338">
        <f t="shared" si="8"/>
        <v>-12.819745264524848</v>
      </c>
      <c r="Z29" s="346">
        <f t="shared" si="21"/>
        <v>3.3512036139107436E-2</v>
      </c>
      <c r="AA29" s="346">
        <f t="shared" si="22"/>
        <v>0.26140953230828123</v>
      </c>
      <c r="AB29" s="346">
        <f t="shared" si="9"/>
        <v>6.7024072278214872E-2</v>
      </c>
      <c r="AC29" s="336">
        <f t="shared" si="2"/>
        <v>3.4931081736417537E-10</v>
      </c>
      <c r="AD29" s="337">
        <f t="shared" si="3"/>
        <v>1.6979847324151113E-11</v>
      </c>
      <c r="AE29" s="308">
        <f t="shared" si="10"/>
        <v>4.860956626616205</v>
      </c>
      <c r="AF29" s="337">
        <f t="shared" si="11"/>
        <v>3.3959694648302226E-11</v>
      </c>
      <c r="AG29" s="338">
        <f t="shared" si="23"/>
        <v>-21.775058995903112</v>
      </c>
      <c r="AH29" s="339">
        <f t="shared" si="24"/>
        <v>4.8609566266162051E-2</v>
      </c>
      <c r="AI29" s="340">
        <f t="shared" si="25"/>
        <v>0.22323506115555294</v>
      </c>
      <c r="AJ29" s="341">
        <f t="shared" si="12"/>
        <v>9.7219132532324101E-2</v>
      </c>
    </row>
    <row r="30" spans="1:39" x14ac:dyDescent="0.2">
      <c r="A30" s="309">
        <v>23</v>
      </c>
      <c r="B30" s="309">
        <f t="shared" si="13"/>
        <v>14.849741666666667</v>
      </c>
      <c r="C30" s="1">
        <v>430.01</v>
      </c>
      <c r="D30" s="347">
        <v>10</v>
      </c>
      <c r="E30" s="326">
        <f t="shared" si="4"/>
        <v>14.221514306843392</v>
      </c>
      <c r="F30" s="327">
        <f t="shared" si="0"/>
        <v>0.19662476968050377</v>
      </c>
      <c r="G30" s="309">
        <f t="shared" si="5"/>
        <v>0.64537777777777783</v>
      </c>
      <c r="H30" s="1">
        <v>2323.36</v>
      </c>
      <c r="I30" s="324">
        <v>30</v>
      </c>
      <c r="J30" s="1">
        <v>1.2659999999999999E-2</v>
      </c>
      <c r="K30" s="1">
        <v>1.1E-4</v>
      </c>
      <c r="L30" s="328">
        <f t="shared" si="6"/>
        <v>0.86887835703001581</v>
      </c>
      <c r="M30" s="329">
        <f t="shared" si="1"/>
        <v>1.7062684475113551E-2</v>
      </c>
      <c r="N30" s="342">
        <f>(1/$J$77)*SQRT(((1-J31/$J$77)*K30)^2+(J31/$J$77)^2*(SUMSQ(K$8:K29)+SUMSQ(K31:K$76)))</f>
        <v>1.8657942517510159E-4</v>
      </c>
      <c r="O30" s="340">
        <f t="shared" si="14"/>
        <v>1.0934939660124021</v>
      </c>
      <c r="P30" s="332">
        <f t="shared" si="7"/>
        <v>0.75345364367831613</v>
      </c>
      <c r="Q30" s="342">
        <f>SQRT(((1-P30)/$J$77)^2*SUMSQ(K$8:K30)+(P30/$J$77)^2*SUMSQ(K31:K$76))</f>
        <v>5.384924327508641E-3</v>
      </c>
      <c r="R30" s="340">
        <f t="shared" si="15"/>
        <v>0.71469882356925885</v>
      </c>
      <c r="S30" s="343">
        <f t="shared" si="16"/>
        <v>2.7731783746419206E-6</v>
      </c>
      <c r="T30" s="344">
        <f t="shared" si="17"/>
        <v>3.5808205030325746E-8</v>
      </c>
      <c r="U30" s="344">
        <f>IF(P30&lt;=0.85, (1/(3*H30*$J$77))*SQRT( ((1-P30)*(1/SQRT(1-PI()*P30/3)-1) + (1-P29)*(1-1/SQRT(1-PI()*P29/3)))^2*SUMSQ(K$8:K29) + ( (1-P30)*(1/SQRT(1-PI()*P30/3)-1) -P29*(1-1/SQRT(1-PI()*P29/3)) )^2*K30^2 + ( P30*(1-1/SQRT(1-PI()*P30/3)) - P29*(1-1/SQRT(1-PI()*P29/3)) )^2*SUMSQ(K31:K$76) ), (1/(PI()^2*H30*$J$77))*SQRT((1+P29/(1-P29))^2*K30^2+(P29/(1-P29)-P30/(1-P30))^2*SUMSQ(K31:K$76)) )</f>
        <v>8.9023661210968767E-8</v>
      </c>
      <c r="V30" s="345">
        <f t="shared" si="18"/>
        <v>9.595540528234557E-8</v>
      </c>
      <c r="W30" s="340">
        <f t="shared" si="19"/>
        <v>3.4601238117160622</v>
      </c>
      <c r="X30" s="345">
        <f t="shared" si="20"/>
        <v>1.9191081056469114E-7</v>
      </c>
      <c r="Y30" s="338">
        <f t="shared" si="8"/>
        <v>-12.79551646788846</v>
      </c>
      <c r="Z30" s="346">
        <f t="shared" si="21"/>
        <v>3.4601238117160621E-2</v>
      </c>
      <c r="AA30" s="346">
        <f t="shared" si="22"/>
        <v>0.2704168933234985</v>
      </c>
      <c r="AB30" s="346">
        <f t="shared" si="9"/>
        <v>6.9202476234321242E-2</v>
      </c>
      <c r="AC30" s="336">
        <f t="shared" si="2"/>
        <v>3.5787755997619002E-10</v>
      </c>
      <c r="AD30" s="337">
        <f t="shared" si="3"/>
        <v>1.7667263053251463E-11</v>
      </c>
      <c r="AE30" s="308">
        <f t="shared" si="10"/>
        <v>4.9366780790689653</v>
      </c>
      <c r="AF30" s="337">
        <f t="shared" si="11"/>
        <v>3.5334526106502927E-11</v>
      </c>
      <c r="AG30" s="338">
        <f t="shared" si="23"/>
        <v>-21.750830199266723</v>
      </c>
      <c r="AH30" s="339">
        <f t="shared" si="24"/>
        <v>4.9366780790689659E-2</v>
      </c>
      <c r="AI30" s="340">
        <f t="shared" si="25"/>
        <v>0.22696504151070951</v>
      </c>
      <c r="AJ30" s="341">
        <f t="shared" si="12"/>
        <v>9.8733561581379317E-2</v>
      </c>
    </row>
    <row r="31" spans="1:39" x14ac:dyDescent="0.2">
      <c r="A31" s="309">
        <v>24</v>
      </c>
      <c r="B31" s="309">
        <f t="shared" si="13"/>
        <v>15.496777777777778</v>
      </c>
      <c r="C31" s="1">
        <v>440</v>
      </c>
      <c r="D31" s="347">
        <v>10</v>
      </c>
      <c r="E31" s="326">
        <f t="shared" si="4"/>
        <v>14.022295449765126</v>
      </c>
      <c r="F31" s="327">
        <f t="shared" si="0"/>
        <v>0.19122436125314662</v>
      </c>
      <c r="G31" s="309">
        <f t="shared" si="5"/>
        <v>0.64703611111111115</v>
      </c>
      <c r="H31" s="1">
        <v>2329.33</v>
      </c>
      <c r="I31" s="324">
        <v>30</v>
      </c>
      <c r="J31" s="1">
        <v>1.192E-2</v>
      </c>
      <c r="K31" s="1">
        <v>1.3999999999999999E-4</v>
      </c>
      <c r="L31" s="328">
        <f t="shared" si="6"/>
        <v>1.174496644295302</v>
      </c>
      <c r="M31" s="329">
        <f t="shared" si="1"/>
        <v>1.606533956898527E-2</v>
      </c>
      <c r="N31" s="342">
        <f>(1/$J$77)*SQRT(((1-J32/$J$77)*K31)^2+(J32/$J$77)^2*(SUMSQ(K$8:K30)+SUMSQ(K32:K$76)))</f>
        <v>2.1668976682789209E-4</v>
      </c>
      <c r="O31" s="340">
        <f t="shared" si="14"/>
        <v>1.3488029051450594</v>
      </c>
      <c r="P31" s="332">
        <f t="shared" si="7"/>
        <v>0.76951898324730139</v>
      </c>
      <c r="Q31" s="342">
        <f>SQRT(((1-P31)/$J$77)^2*SUMSQ(K$8:K31)+(P31/$J$77)^2*SUMSQ(K32:K$76))</f>
        <v>5.4965553381285427E-3</v>
      </c>
      <c r="R31" s="340">
        <f t="shared" si="15"/>
        <v>0.71428456708547594</v>
      </c>
      <c r="S31" s="343">
        <f t="shared" si="16"/>
        <v>2.8100564072368888E-6</v>
      </c>
      <c r="T31" s="344">
        <f t="shared" si="17"/>
        <v>3.6191390750604971E-8</v>
      </c>
      <c r="U31" s="344">
        <f>IF(P31&lt;=0.85, (1/(3*H31*$J$77))*SQRT( ((1-P31)*(1/SQRT(1-PI()*P31/3)-1) + (1-P30)*(1-1/SQRT(1-PI()*P30/3)))^2*SUMSQ(K$8:K30) + ( (1-P31)*(1/SQRT(1-PI()*P31/3)-1) -P30*(1-1/SQRT(1-PI()*P30/3)) )^2*K31^2 + ( P31*(1-1/SQRT(1-PI()*P31/3)) - P30*(1-1/SQRT(1-PI()*P30/3)) )^2*SUMSQ(K32:K$76) ), (1/(PI()^2*H31*$J$77))*SQRT((1+P30/(1-P30))^2*K31^2+(P30/(1-P30)-P31/(1-P31))^2*SUMSQ(K32:K$76)) )</f>
        <v>9.7214673248361977E-8</v>
      </c>
      <c r="V31" s="345">
        <f t="shared" si="18"/>
        <v>1.0373287549879624E-7</v>
      </c>
      <c r="W31" s="340">
        <f t="shared" si="19"/>
        <v>3.6914873036586524</v>
      </c>
      <c r="X31" s="345">
        <f t="shared" si="20"/>
        <v>2.0746575099759248E-7</v>
      </c>
      <c r="Y31" s="338">
        <f t="shared" si="8"/>
        <v>-12.782306001070312</v>
      </c>
      <c r="Z31" s="346">
        <f t="shared" si="21"/>
        <v>3.6914873036586526E-2</v>
      </c>
      <c r="AA31" s="346">
        <f t="shared" si="22"/>
        <v>0.28879666183469166</v>
      </c>
      <c r="AB31" s="346">
        <f t="shared" si="9"/>
        <v>7.3829746073173053E-2</v>
      </c>
      <c r="AC31" s="336">
        <f t="shared" si="2"/>
        <v>3.6263665533135758E-10</v>
      </c>
      <c r="AD31" s="337">
        <f t="shared" si="3"/>
        <v>1.8499948042127998E-11</v>
      </c>
      <c r="AE31" s="308">
        <f t="shared" si="10"/>
        <v>5.1015107739794692</v>
      </c>
      <c r="AF31" s="337">
        <f t="shared" si="11"/>
        <v>3.6999896084255996E-11</v>
      </c>
      <c r="AG31" s="338">
        <f t="shared" si="23"/>
        <v>-21.737619732448575</v>
      </c>
      <c r="AH31" s="339">
        <f t="shared" si="24"/>
        <v>5.1015107739794688E-2</v>
      </c>
      <c r="AI31" s="340">
        <f t="shared" si="25"/>
        <v>0.23468580446111351</v>
      </c>
      <c r="AJ31" s="341">
        <f t="shared" si="12"/>
        <v>0.10203021547958938</v>
      </c>
    </row>
    <row r="32" spans="1:39" x14ac:dyDescent="0.2">
      <c r="A32" s="309">
        <v>25</v>
      </c>
      <c r="B32" s="309">
        <f t="shared" si="13"/>
        <v>16.142152777777778</v>
      </c>
      <c r="C32" s="1">
        <v>450</v>
      </c>
      <c r="D32" s="347">
        <v>10</v>
      </c>
      <c r="E32" s="326">
        <f t="shared" si="4"/>
        <v>13.828389684021296</v>
      </c>
      <c r="F32" s="327">
        <f t="shared" si="0"/>
        <v>0.1860434233070801</v>
      </c>
      <c r="G32" s="309">
        <f t="shared" si="5"/>
        <v>0.64537499999999992</v>
      </c>
      <c r="H32" s="1">
        <v>2323.35</v>
      </c>
      <c r="I32" s="324">
        <v>30</v>
      </c>
      <c r="J32" s="1">
        <v>1.1429999999999999E-2</v>
      </c>
      <c r="K32" s="1">
        <v>1.1E-4</v>
      </c>
      <c r="L32" s="328">
        <f t="shared" si="6"/>
        <v>0.96237970253718297</v>
      </c>
      <c r="M32" s="329">
        <f t="shared" si="1"/>
        <v>1.5404935509521949E-2</v>
      </c>
      <c r="N32" s="342">
        <f>(1/$J$77)*SQRT(((1-J33/$J$77)*K32)^2+(J33/$J$77)^2*(SUMSQ(K$8:K31)+SUMSQ(K33:K$76)))</f>
        <v>1.8149044825413894E-4</v>
      </c>
      <c r="O32" s="340">
        <f t="shared" si="14"/>
        <v>1.1781318275688841</v>
      </c>
      <c r="P32" s="332">
        <f t="shared" si="7"/>
        <v>0.78492391875682332</v>
      </c>
      <c r="Q32" s="342">
        <f>SQRT(((1-P32)/$J$77)^2*SUMSQ(K$8:K32)+(P32/$J$77)^2*SUMSQ(K33:K$76))</f>
        <v>5.6042045920350024E-3</v>
      </c>
      <c r="R32" s="340">
        <f t="shared" si="15"/>
        <v>0.71398061112866107</v>
      </c>
      <c r="S32" s="343">
        <f t="shared" si="16"/>
        <v>2.9144152792303748E-6</v>
      </c>
      <c r="T32" s="344">
        <f t="shared" si="17"/>
        <v>3.7632065068505067E-8</v>
      </c>
      <c r="U32" s="344">
        <f>IF(P32&lt;=0.85, (1/(3*H32*$J$77))*SQRT( ((1-P32)*(1/SQRT(1-PI()*P32/3)-1) + (1-P31)*(1-1/SQRT(1-PI()*P31/3)))^2*SUMSQ(K$8:K31) + ( (1-P32)*(1/SQRT(1-PI()*P32/3)-1) -P31*(1-1/SQRT(1-PI()*P31/3)) )^2*K32^2 + ( P32*(1-1/SQRT(1-PI()*P32/3)) - P31*(1-1/SQRT(1-PI()*P31/3)) )^2*SUMSQ(K33:K$76) ), (1/(PI()^2*H32*$J$77))*SQRT((1+P31/(1-P31))^2*K32^2+(P31/(1-P31)-P32/(1-P32))^2*SUMSQ(K33:K$76)) )</f>
        <v>1.0435930783616001E-7</v>
      </c>
      <c r="V32" s="345">
        <f t="shared" si="18"/>
        <v>1.109370878172066E-7</v>
      </c>
      <c r="W32" s="340">
        <f t="shared" si="19"/>
        <v>3.8064955467328714</v>
      </c>
      <c r="X32" s="345">
        <f t="shared" si="20"/>
        <v>2.2187417563441319E-7</v>
      </c>
      <c r="Y32" s="338">
        <f t="shared" si="8"/>
        <v>-12.745841348598226</v>
      </c>
      <c r="Z32" s="346">
        <f t="shared" si="21"/>
        <v>3.8064955467328715E-2</v>
      </c>
      <c r="AA32" s="346">
        <f t="shared" si="22"/>
        <v>0.29864607934661808</v>
      </c>
      <c r="AB32" s="346">
        <f t="shared" si="9"/>
        <v>7.612991093465743E-2</v>
      </c>
      <c r="AC32" s="336">
        <f t="shared" si="2"/>
        <v>3.7610412601856818E-10</v>
      </c>
      <c r="AD32" s="337">
        <f t="shared" si="3"/>
        <v>1.950227445883141E-11</v>
      </c>
      <c r="AE32" s="308">
        <f t="shared" si="10"/>
        <v>5.1853391413920802</v>
      </c>
      <c r="AF32" s="337">
        <f t="shared" si="11"/>
        <v>3.900454891766282E-11</v>
      </c>
      <c r="AG32" s="338">
        <f t="shared" si="23"/>
        <v>-21.701155079976491</v>
      </c>
      <c r="AH32" s="339">
        <f t="shared" si="24"/>
        <v>5.1853391413920799E-2</v>
      </c>
      <c r="AI32" s="340">
        <f t="shared" si="25"/>
        <v>0.23894300198686463</v>
      </c>
      <c r="AJ32" s="341">
        <f t="shared" si="12"/>
        <v>0.1037067828278416</v>
      </c>
    </row>
    <row r="33" spans="1:36" x14ac:dyDescent="0.2">
      <c r="A33" s="309">
        <v>26</v>
      </c>
      <c r="B33" s="309">
        <f t="shared" si="13"/>
        <v>16.788080555555556</v>
      </c>
      <c r="C33" s="1">
        <v>460</v>
      </c>
      <c r="D33" s="347">
        <v>10</v>
      </c>
      <c r="E33" s="326">
        <f t="shared" si="4"/>
        <v>13.639773579758577</v>
      </c>
      <c r="F33" s="327">
        <f t="shared" si="0"/>
        <v>0.18107022270356321</v>
      </c>
      <c r="G33" s="309">
        <f t="shared" si="5"/>
        <v>0.64592777777777788</v>
      </c>
      <c r="H33" s="1">
        <v>2325.34</v>
      </c>
      <c r="I33" s="324">
        <v>30</v>
      </c>
      <c r="J33" s="1">
        <v>1.1039999999999999E-2</v>
      </c>
      <c r="K33" s="1">
        <v>1.4999999999999999E-4</v>
      </c>
      <c r="L33" s="328">
        <f t="shared" si="6"/>
        <v>1.3586956521739131</v>
      </c>
      <c r="M33" s="329">
        <f t="shared" si="1"/>
        <v>1.4879307788724613E-2</v>
      </c>
      <c r="N33" s="342">
        <f>(1/$J$77)*SQRT(((1-J34/$J$77)*K33)^2+(J34/$J$77)^2*(SUMSQ(K$8:K32)+SUMSQ(K34:K$76)))</f>
        <v>2.2380152574317014E-4</v>
      </c>
      <c r="O33" s="340">
        <f t="shared" si="14"/>
        <v>1.5041124823882239</v>
      </c>
      <c r="P33" s="332">
        <f t="shared" si="7"/>
        <v>0.79980322654554792</v>
      </c>
      <c r="Q33" s="342">
        <f>SQRT(((1-P33)/$J$77)^2*SUMSQ(K$8:K33)+(P33/$J$77)^2*SUMSQ(K34:K$76))</f>
        <v>5.7071795508036758E-3</v>
      </c>
      <c r="R33" s="340">
        <f t="shared" si="15"/>
        <v>0.71357295912067165</v>
      </c>
      <c r="S33" s="343">
        <f t="shared" si="16"/>
        <v>3.0378989022204477E-6</v>
      </c>
      <c r="T33" s="344">
        <f t="shared" si="17"/>
        <v>3.9192964068314075E-8</v>
      </c>
      <c r="U33" s="344">
        <f>IF(P33&lt;=0.85, (1/(3*H33*$J$77))*SQRT( ((1-P33)*(1/SQRT(1-PI()*P33/3)-1) + (1-P32)*(1-1/SQRT(1-PI()*P32/3)))^2*SUMSQ(K$8:K32) + ( (1-P33)*(1/SQRT(1-PI()*P33/3)-1) -P32*(1-1/SQRT(1-PI()*P32/3)) )^2*K33^2 + ( P33*(1-1/SQRT(1-PI()*P33/3)) - P32*(1-1/SQRT(1-PI()*P32/3)) )^2*SUMSQ(K34:K$76) ), (1/(PI()^2*H33*$J$77))*SQRT((1+P32/(1-P32))^2*K33^2+(P32/(1-P32)-P33/(1-P33))^2*SUMSQ(K34:K$76)) )</f>
        <v>1.1847035365731833E-7</v>
      </c>
      <c r="V33" s="345">
        <f t="shared" si="18"/>
        <v>1.2478506772907661E-7</v>
      </c>
      <c r="W33" s="340">
        <f t="shared" si="19"/>
        <v>4.1076109424796616</v>
      </c>
      <c r="X33" s="345">
        <f t="shared" si="20"/>
        <v>2.4957013545815323E-7</v>
      </c>
      <c r="Y33" s="338">
        <f t="shared" si="8"/>
        <v>-12.704344432086197</v>
      </c>
      <c r="Z33" s="346">
        <f t="shared" si="21"/>
        <v>4.1076109424796614E-2</v>
      </c>
      <c r="AA33" s="346">
        <f t="shared" si="22"/>
        <v>0.3233233296245846</v>
      </c>
      <c r="AB33" s="346">
        <f t="shared" si="9"/>
        <v>8.2152218849593228E-2</v>
      </c>
      <c r="AC33" s="336">
        <f t="shared" si="2"/>
        <v>3.9203963817198789E-10</v>
      </c>
      <c r="AD33" s="337">
        <f t="shared" si="3"/>
        <v>2.1210323167788876E-11</v>
      </c>
      <c r="AE33" s="308">
        <f t="shared" si="10"/>
        <v>5.4102496540117464</v>
      </c>
      <c r="AF33" s="337">
        <f t="shared" si="11"/>
        <v>4.2420646335577751E-11</v>
      </c>
      <c r="AG33" s="338">
        <f t="shared" si="23"/>
        <v>-21.65965816346446</v>
      </c>
      <c r="AH33" s="339">
        <f t="shared" si="24"/>
        <v>5.4102496540117458E-2</v>
      </c>
      <c r="AI33" s="340">
        <f t="shared" si="25"/>
        <v>0.24978462786350719</v>
      </c>
      <c r="AJ33" s="341">
        <f t="shared" si="12"/>
        <v>0.10820499308023492</v>
      </c>
    </row>
    <row r="34" spans="1:36" x14ac:dyDescent="0.2">
      <c r="A34" s="309">
        <v>27</v>
      </c>
      <c r="B34" s="309">
        <f t="shared" si="13"/>
        <v>17.434569444444445</v>
      </c>
      <c r="C34" s="1">
        <v>470</v>
      </c>
      <c r="D34" s="347">
        <v>10</v>
      </c>
      <c r="E34" s="326">
        <f t="shared" si="4"/>
        <v>13.456233600215301</v>
      </c>
      <c r="F34" s="327">
        <f t="shared" si="0"/>
        <v>0.1762938000348524</v>
      </c>
      <c r="G34" s="309">
        <f t="shared" si="5"/>
        <v>0.646488888888889</v>
      </c>
      <c r="H34" s="1">
        <v>2327.36</v>
      </c>
      <c r="I34" s="324">
        <v>30</v>
      </c>
      <c r="J34" s="1">
        <v>1.043E-2</v>
      </c>
      <c r="K34" s="1">
        <v>8.0000000000000007E-5</v>
      </c>
      <c r="L34" s="328">
        <f t="shared" si="6"/>
        <v>0.76701821668264625</v>
      </c>
      <c r="M34" s="329">
        <f t="shared" si="1"/>
        <v>1.4057172122862113E-2</v>
      </c>
      <c r="N34" s="342">
        <f>(1/$J$77)*SQRT(((1-J35/$J$77)*K34)^2+(J35/$J$77)^2*(SUMSQ(K$8:K33)+SUMSQ(K35:K$76)))</f>
        <v>1.434575727446405E-4</v>
      </c>
      <c r="O34" s="340">
        <f t="shared" si="14"/>
        <v>1.0205293887760392</v>
      </c>
      <c r="P34" s="332">
        <f t="shared" si="7"/>
        <v>0.81386039866840998</v>
      </c>
      <c r="Q34" s="342">
        <f>SQRT(((1-P34)/$J$77)^2*SUMSQ(K$8:K34)+(P34/$J$77)^2*SUMSQ(K35:K$76))</f>
        <v>5.8058911565989236E-3</v>
      </c>
      <c r="R34" s="340">
        <f t="shared" si="15"/>
        <v>0.71337678625206213</v>
      </c>
      <c r="S34" s="343">
        <f t="shared" si="16"/>
        <v>3.1005149563260512E-6</v>
      </c>
      <c r="T34" s="344">
        <f t="shared" si="17"/>
        <v>3.9966076881007452E-8</v>
      </c>
      <c r="U34" s="344">
        <f>IF(P34&lt;=0.85, (1/(3*H34*$J$77))*SQRT( ((1-P34)*(1/SQRT(1-PI()*P34/3)-1) + (1-P33)*(1-1/SQRT(1-PI()*P33/3)))^2*SUMSQ(K$8:K33) + ( (1-P34)*(1/SQRT(1-PI()*P34/3)-1) -P33*(1-1/SQRT(1-PI()*P33/3)) )^2*K34^2 + ( P34*(1-1/SQRT(1-PI()*P34/3)) - P33*(1-1/SQRT(1-PI()*P33/3)) )^2*SUMSQ(K35:K$76) ), (1/(PI()^2*H34*$J$77))*SQRT((1+P33/(1-P33))^2*K34^2+(P33/(1-P33)-P34/(1-P34))^2*SUMSQ(K35:K$76)) )</f>
        <v>1.2365979262294755E-7</v>
      </c>
      <c r="V34" s="345">
        <f t="shared" si="18"/>
        <v>1.2995780704832238E-7</v>
      </c>
      <c r="W34" s="340">
        <f t="shared" si="19"/>
        <v>4.1914910548380524</v>
      </c>
      <c r="X34" s="345">
        <f t="shared" si="20"/>
        <v>2.5991561409664475E-7</v>
      </c>
      <c r="Y34" s="338">
        <f t="shared" si="8"/>
        <v>-12.683942345324846</v>
      </c>
      <c r="Z34" s="346">
        <f t="shared" si="21"/>
        <v>4.1914910548380521E-2</v>
      </c>
      <c r="AA34" s="346">
        <f t="shared" si="22"/>
        <v>0.33045648905704672</v>
      </c>
      <c r="AB34" s="346">
        <f t="shared" si="9"/>
        <v>8.3829821096761042E-2</v>
      </c>
      <c r="AC34" s="336">
        <f t="shared" si="2"/>
        <v>4.001202149078943E-10</v>
      </c>
      <c r="AD34" s="337">
        <f t="shared" si="3"/>
        <v>2.1903404664167354E-11</v>
      </c>
      <c r="AE34" s="308">
        <f t="shared" si="10"/>
        <v>5.4742059631277087</v>
      </c>
      <c r="AF34" s="337">
        <f t="shared" si="11"/>
        <v>4.3806809328334708E-11</v>
      </c>
      <c r="AG34" s="338">
        <f t="shared" si="23"/>
        <v>-21.639256076703109</v>
      </c>
      <c r="AH34" s="339">
        <f t="shared" si="24"/>
        <v>5.4742059631277089E-2</v>
      </c>
      <c r="AI34" s="340">
        <f t="shared" si="25"/>
        <v>0.25297570044569395</v>
      </c>
      <c r="AJ34" s="341">
        <f t="shared" si="12"/>
        <v>0.10948411926255418</v>
      </c>
    </row>
    <row r="35" spans="1:36" x14ac:dyDescent="0.2">
      <c r="A35" s="309">
        <v>28</v>
      </c>
      <c r="B35" s="309">
        <f t="shared" si="13"/>
        <v>18.08217777777778</v>
      </c>
      <c r="C35" s="1">
        <v>480</v>
      </c>
      <c r="D35" s="347">
        <v>10</v>
      </c>
      <c r="E35" s="326">
        <f t="shared" si="4"/>
        <v>13.277567549624909</v>
      </c>
      <c r="F35" s="327">
        <f t="shared" si="0"/>
        <v>0.1717084091560751</v>
      </c>
      <c r="G35" s="309">
        <f t="shared" si="5"/>
        <v>0.64760833333333323</v>
      </c>
      <c r="H35" s="1">
        <v>2331.39</v>
      </c>
      <c r="I35" s="324">
        <v>30</v>
      </c>
      <c r="J35" s="1">
        <v>9.859999999999999E-3</v>
      </c>
      <c r="K35" s="1">
        <v>1.4999999999999999E-4</v>
      </c>
      <c r="L35" s="328">
        <f t="shared" si="6"/>
        <v>1.5212981744421907</v>
      </c>
      <c r="M35" s="329">
        <f t="shared" si="1"/>
        <v>1.3288946992466003E-2</v>
      </c>
      <c r="N35" s="342">
        <f>(1/$J$77)*SQRT(((1-J36/$J$77)*K35)^2+(J36/$J$77)^2*(SUMSQ(K$8:K34)+SUMSQ(K36:K$76)))</f>
        <v>2.1902359649366668E-4</v>
      </c>
      <c r="O35" s="340">
        <f t="shared" si="14"/>
        <v>1.6481636702880922</v>
      </c>
      <c r="P35" s="332">
        <f t="shared" si="7"/>
        <v>0.82714934566087595</v>
      </c>
      <c r="Q35" s="342">
        <f>SQRT(((1-P35)/$J$77)^2*SUMSQ(K$8:K35)+(P35/$J$77)^2*SUMSQ(K36:K$76))</f>
        <v>5.8975968449278887E-3</v>
      </c>
      <c r="R35" s="340">
        <f t="shared" si="15"/>
        <v>0.71300266099054044</v>
      </c>
      <c r="S35" s="343">
        <f t="shared" si="16"/>
        <v>3.1656229493734259E-6</v>
      </c>
      <c r="T35" s="344">
        <f t="shared" si="17"/>
        <v>4.0734792755052899E-8</v>
      </c>
      <c r="U35" s="344">
        <f>IF(P35&lt;=0.85, (1/(3*H35*$J$77))*SQRT( ((1-P35)*(1/SQRT(1-PI()*P35/3)-1) + (1-P34)*(1-1/SQRT(1-PI()*P34/3)))^2*SUMSQ(K$8:K34) + ( (1-P35)*(1/SQRT(1-PI()*P35/3)-1) -P34*(1-1/SQRT(1-PI()*P34/3)) )^2*K35^2 + ( P35*(1-1/SQRT(1-PI()*P35/3)) - P34*(1-1/SQRT(1-PI()*P34/3)) )^2*SUMSQ(K36:K$76) ), (1/(PI()^2*H35*$J$77))*SQRT((1+P34/(1-P34))^2*K35^2+(P34/(1-P34)-P35/(1-P35))^2*SUMSQ(K36:K$76)) )</f>
        <v>1.4071101882653968E-7</v>
      </c>
      <c r="V35" s="345">
        <f t="shared" si="18"/>
        <v>1.464886144381191E-7</v>
      </c>
      <c r="W35" s="340">
        <f t="shared" si="19"/>
        <v>4.6274814398573181</v>
      </c>
      <c r="X35" s="345">
        <f t="shared" si="20"/>
        <v>2.9297722887623819E-7</v>
      </c>
      <c r="Y35" s="338">
        <f t="shared" si="8"/>
        <v>-12.663160697288944</v>
      </c>
      <c r="Z35" s="346">
        <f t="shared" si="21"/>
        <v>4.6274814398573179E-2</v>
      </c>
      <c r="AA35" s="346">
        <f t="shared" si="22"/>
        <v>0.36542862800817294</v>
      </c>
      <c r="AB35" s="346">
        <f t="shared" si="9"/>
        <v>9.2549628797146358E-2</v>
      </c>
      <c r="AC35" s="336">
        <f t="shared" si="2"/>
        <v>4.0852237536746086E-10</v>
      </c>
      <c r="AD35" s="337">
        <f t="shared" si="3"/>
        <v>2.3754765792340876E-11</v>
      </c>
      <c r="AE35" s="308">
        <f t="shared" si="10"/>
        <v>5.8148016423760769</v>
      </c>
      <c r="AF35" s="337">
        <f t="shared" si="11"/>
        <v>4.7509531584681753E-11</v>
      </c>
      <c r="AG35" s="338">
        <f t="shared" si="23"/>
        <v>-21.618474428667209</v>
      </c>
      <c r="AH35" s="339">
        <f t="shared" si="24"/>
        <v>5.8148016423760773E-2</v>
      </c>
      <c r="AI35" s="340">
        <f t="shared" si="25"/>
        <v>0.26897372715002277</v>
      </c>
      <c r="AJ35" s="341">
        <f t="shared" si="12"/>
        <v>0.11629603284752155</v>
      </c>
    </row>
    <row r="36" spans="1:36" x14ac:dyDescent="0.2">
      <c r="A36" s="309">
        <v>29</v>
      </c>
      <c r="B36" s="309">
        <f t="shared" si="13"/>
        <v>18.728113888888892</v>
      </c>
      <c r="C36" s="1">
        <v>489.99</v>
      </c>
      <c r="D36" s="347">
        <v>2</v>
      </c>
      <c r="E36" s="326">
        <f t="shared" si="4"/>
        <v>13.103755536336715</v>
      </c>
      <c r="F36" s="327">
        <f t="shared" si="0"/>
        <v>3.3459057996665716E-2</v>
      </c>
      <c r="G36" s="309">
        <f t="shared" si="5"/>
        <v>0.64593611111111104</v>
      </c>
      <c r="H36" s="1">
        <v>2325.37</v>
      </c>
      <c r="I36" s="324">
        <v>30</v>
      </c>
      <c r="J36" s="1">
        <v>9.2300000000000004E-3</v>
      </c>
      <c r="K36" s="1">
        <v>1.3999999999999999E-4</v>
      </c>
      <c r="L36" s="328">
        <f t="shared" si="6"/>
        <v>1.5167930660888407</v>
      </c>
      <c r="M36" s="329">
        <f t="shared" si="1"/>
        <v>1.2439856058870307E-2</v>
      </c>
      <c r="N36" s="342">
        <f>(1/$J$77)*SQRT(((1-J37/$J$77)*K36)^2+(J37/$J$77)^2*(SUMSQ(K$8:K35)+SUMSQ(K37:K$76)))</f>
        <v>2.0080626794699647E-4</v>
      </c>
      <c r="O36" s="340">
        <f t="shared" si="14"/>
        <v>1.6142169732246259</v>
      </c>
      <c r="P36" s="332">
        <f t="shared" si="7"/>
        <v>0.83958920171974627</v>
      </c>
      <c r="Q36" s="342">
        <f>SQRT(((1-P36)/$J$77)^2*SUMSQ(K$8:K36)+(P36/$J$77)^2*SUMSQ(K37:K$76))</f>
        <v>5.9835585870053349E-3</v>
      </c>
      <c r="R36" s="340">
        <f t="shared" si="15"/>
        <v>0.71267693471391724</v>
      </c>
      <c r="S36" s="343">
        <f t="shared" si="16"/>
        <v>3.216376926282581E-6</v>
      </c>
      <c r="T36" s="344">
        <f t="shared" si="17"/>
        <v>4.1495034247658411E-8</v>
      </c>
      <c r="U36" s="344">
        <f>IF(P36&lt;=0.85, (1/(3*H36*$J$77))*SQRT( ((1-P36)*(1/SQRT(1-PI()*P36/3)-1) + (1-P35)*(1-1/SQRT(1-PI()*P35/3)))^2*SUMSQ(K$8:K35) + ( (1-P36)*(1/SQRT(1-PI()*P36/3)-1) -P35*(1-1/SQRT(1-PI()*P35/3)) )^2*K36^2 + ( P36*(1-1/SQRT(1-PI()*P36/3)) - P35*(1-1/SQRT(1-PI()*P35/3)) )^2*SUMSQ(K37:K$76) ), (1/(PI()^2*H36*$J$77))*SQRT((1+P35/(1-P35))^2*K36^2+(P35/(1-P35)-P36/(1-P36))^2*SUMSQ(K37:K$76)) )</f>
        <v>1.52550437523531E-7</v>
      </c>
      <c r="V36" s="345">
        <f t="shared" si="18"/>
        <v>1.5809324418151169E-7</v>
      </c>
      <c r="W36" s="340">
        <f t="shared" si="19"/>
        <v>4.9152586218877161</v>
      </c>
      <c r="X36" s="345">
        <f t="shared" si="20"/>
        <v>3.1618648836302339E-7</v>
      </c>
      <c r="Y36" s="338">
        <f t="shared" si="8"/>
        <v>-12.647255010069266</v>
      </c>
      <c r="Z36" s="346">
        <f t="shared" si="21"/>
        <v>4.9152586218877165E-2</v>
      </c>
      <c r="AA36" s="346">
        <f t="shared" si="22"/>
        <v>0.3886423273646632</v>
      </c>
      <c r="AB36" s="346">
        <f t="shared" si="9"/>
        <v>9.8305172437754329E-2</v>
      </c>
      <c r="AC36" s="336">
        <f t="shared" si="2"/>
        <v>4.1507215578599656E-10</v>
      </c>
      <c r="AD36" s="337">
        <f t="shared" si="3"/>
        <v>2.5096630394280549E-11</v>
      </c>
      <c r="AE36" s="308">
        <f t="shared" si="10"/>
        <v>6.0463295464270796</v>
      </c>
      <c r="AF36" s="337">
        <f t="shared" si="11"/>
        <v>5.0193260788561099E-11</v>
      </c>
      <c r="AG36" s="338">
        <f t="shared" si="23"/>
        <v>-21.602568741447527</v>
      </c>
      <c r="AH36" s="339">
        <f t="shared" si="24"/>
        <v>6.0463295464270803E-2</v>
      </c>
      <c r="AI36" s="340">
        <f t="shared" si="25"/>
        <v>0.27988937884161696</v>
      </c>
      <c r="AJ36" s="341">
        <f t="shared" si="12"/>
        <v>0.12092659092854161</v>
      </c>
    </row>
    <row r="37" spans="1:36" x14ac:dyDescent="0.2">
      <c r="A37" s="309">
        <v>30</v>
      </c>
      <c r="B37" s="309">
        <f t="shared" si="13"/>
        <v>19.375158333333335</v>
      </c>
      <c r="C37" s="1">
        <v>499.99</v>
      </c>
      <c r="D37" s="347">
        <v>2</v>
      </c>
      <c r="E37" s="326">
        <f t="shared" si="4"/>
        <v>12.934268049771063</v>
      </c>
      <c r="F37" s="327">
        <f t="shared" si="0"/>
        <v>3.3895178541772562E-2</v>
      </c>
      <c r="G37" s="309">
        <f t="shared" si="5"/>
        <v>0.64704444444444453</v>
      </c>
      <c r="H37" s="1">
        <v>2329.36</v>
      </c>
      <c r="I37" s="324">
        <v>30</v>
      </c>
      <c r="J37" s="1">
        <v>7.559999999999999E-3</v>
      </c>
      <c r="K37" s="1">
        <v>1E-4</v>
      </c>
      <c r="L37" s="328">
        <f t="shared" si="6"/>
        <v>1.322751322751323</v>
      </c>
      <c r="M37" s="329">
        <f t="shared" si="1"/>
        <v>1.0189091203148376E-2</v>
      </c>
      <c r="N37" s="342">
        <f>(1/$J$77)*SQRT(((1-J38/$J$77)*K37)^2+(J38/$J$77)^2*(SUMSQ(K$8:K36)+SUMSQ(K38:K$76)))</f>
        <v>1.5048757700783218E-4</v>
      </c>
      <c r="O37" s="340">
        <f t="shared" si="14"/>
        <v>1.4769479829695931</v>
      </c>
      <c r="P37" s="332">
        <f t="shared" si="7"/>
        <v>0.84977829292289464</v>
      </c>
      <c r="Q37" s="342">
        <f>SQRT(((1-P37)/$J$77)^2*SUMSQ(K$8:K37)+(P37/$J$77)^2*SUMSQ(K38:K$76))</f>
        <v>6.0545830433706305E-3</v>
      </c>
      <c r="R37" s="340">
        <f t="shared" si="15"/>
        <v>0.71248972747295136</v>
      </c>
      <c r="S37" s="343">
        <f t="shared" si="16"/>
        <v>2.8343115047903579E-6</v>
      </c>
      <c r="T37" s="344">
        <f t="shared" si="17"/>
        <v>3.65033078372217E-8</v>
      </c>
      <c r="U37" s="344">
        <f>IF(P37&lt;=0.85, (1/(3*H37*$J$77))*SQRT( ((1-P37)*(1/SQRT(1-PI()*P37/3)-1) + (1-P36)*(1-1/SQRT(1-PI()*P36/3)))^2*SUMSQ(K$8:K36) + ( (1-P37)*(1/SQRT(1-PI()*P37/3)-1) -P36*(1-1/SQRT(1-PI()*P36/3)) )^2*K37^2 + ( P37*(1-1/SQRT(1-PI()*P37/3)) - P36*(1-1/SQRT(1-PI()*P36/3)) )^2*SUMSQ(K38:K$76) ), (1/(PI()^2*H37*$J$77))*SQRT((1+P36/(1-P36))^2*K37^2+(P36/(1-P36)-P37/(1-P37))^2*SUMSQ(K38:K$76)) )</f>
        <v>1.421183550899505E-7</v>
      </c>
      <c r="V37" s="345">
        <f t="shared" si="18"/>
        <v>1.4673144971863472E-7</v>
      </c>
      <c r="W37" s="340">
        <f t="shared" si="19"/>
        <v>5.1769697674599051</v>
      </c>
      <c r="X37" s="345">
        <f t="shared" si="20"/>
        <v>2.9346289943726945E-7</v>
      </c>
      <c r="Y37" s="338">
        <f t="shared" si="8"/>
        <v>-12.773711505731857</v>
      </c>
      <c r="Z37" s="346">
        <f t="shared" si="21"/>
        <v>5.1769697674599047E-2</v>
      </c>
      <c r="AA37" s="346">
        <f t="shared" si="22"/>
        <v>0.40528312895879004</v>
      </c>
      <c r="AB37" s="346">
        <f t="shared" si="9"/>
        <v>0.10353939534919809</v>
      </c>
      <c r="AC37" s="336">
        <f t="shared" si="2"/>
        <v>3.6576676596859379E-10</v>
      </c>
      <c r="AD37" s="337">
        <f t="shared" si="3"/>
        <v>2.290043190162267E-11</v>
      </c>
      <c r="AE37" s="308">
        <f t="shared" si="10"/>
        <v>6.2609383990859895</v>
      </c>
      <c r="AF37" s="337">
        <f t="shared" si="11"/>
        <v>4.580086380324534E-11</v>
      </c>
      <c r="AG37" s="338">
        <f t="shared" si="23"/>
        <v>-21.729025237110118</v>
      </c>
      <c r="AH37" s="339">
        <f t="shared" si="24"/>
        <v>6.2609383990859885E-2</v>
      </c>
      <c r="AI37" s="340">
        <f t="shared" si="25"/>
        <v>0.28813710374790247</v>
      </c>
      <c r="AJ37" s="341">
        <f t="shared" si="12"/>
        <v>0.12521876798171977</v>
      </c>
    </row>
    <row r="38" spans="1:36" x14ac:dyDescent="0.2">
      <c r="A38" s="309">
        <v>31</v>
      </c>
      <c r="B38" s="309">
        <f t="shared" si="13"/>
        <v>20.020527777777779</v>
      </c>
      <c r="C38" s="1">
        <v>495</v>
      </c>
      <c r="D38" s="347">
        <v>2</v>
      </c>
      <c r="E38" s="326">
        <f t="shared" si="4"/>
        <v>13.018290698431297</v>
      </c>
      <c r="F38" s="327">
        <f t="shared" si="0"/>
        <v>3.4794312558411998E-2</v>
      </c>
      <c r="G38" s="309">
        <f t="shared" si="5"/>
        <v>0.64536944444444444</v>
      </c>
      <c r="H38" s="1">
        <v>2323.33</v>
      </c>
      <c r="I38" s="324">
        <v>30</v>
      </c>
      <c r="J38" s="1">
        <v>7.1199999999999996E-3</v>
      </c>
      <c r="K38" s="1">
        <v>6.9999999999999994E-5</v>
      </c>
      <c r="L38" s="328">
        <f t="shared" si="6"/>
        <v>0.9831460674157303</v>
      </c>
      <c r="M38" s="329">
        <f t="shared" si="1"/>
        <v>9.596075313018048E-3</v>
      </c>
      <c r="N38" s="342">
        <f>(1/$J$77)*SQRT(((1-J39/$J$77)*K38)^2+(J39/$J$77)^2*(SUMSQ(K$8:K37)+SUMSQ(K39:K$76)))</f>
        <v>1.3410268430920567E-4</v>
      </c>
      <c r="O38" s="340">
        <f t="shared" si="14"/>
        <v>1.3974742791699624</v>
      </c>
      <c r="P38" s="332">
        <f t="shared" si="7"/>
        <v>0.85937436823591273</v>
      </c>
      <c r="Q38" s="342">
        <f>SQRT(((1-P38)/$J$77)^2*SUMSQ(K$8:K38)+(P38/$J$77)^2*SUMSQ(K39:K$76))</f>
        <v>6.1219602543339672E-3</v>
      </c>
      <c r="R38" s="340">
        <f t="shared" si="15"/>
        <v>0.71237408056524509</v>
      </c>
      <c r="S38" s="343">
        <f t="shared" si="16"/>
        <v>2.8787606959462079E-6</v>
      </c>
      <c r="T38" s="344">
        <f t="shared" si="17"/>
        <v>3.7171999190122037E-8</v>
      </c>
      <c r="U38" s="344">
        <f>IF(P38&lt;=0.85, (1/(3*H38*$J$77))*SQRT( ((1-P38)*(1/SQRT(1-PI()*P38/3)-1) + (1-P37)*(1-1/SQRT(1-PI()*P37/3)))^2*SUMSQ(K$8:K37) + ( (1-P38)*(1/SQRT(1-PI()*P38/3)-1) -P37*(1-1/SQRT(1-PI()*P37/3)) )^2*K38^2 + ( P38*(1-1/SQRT(1-PI()*P38/3)) - P37*(1-1/SQRT(1-PI()*P37/3)) )^2*SUMSQ(K39:K$76) ), (1/(PI()^2*H38*$J$77))*SQRT((1+P37/(1-P37))^2*K38^2+(P37/(1-P37)-P38/(1-P38))^2*SUMSQ(K39:K$76)) )</f>
        <v>1.4369071748393752E-7</v>
      </c>
      <c r="V38" s="345">
        <f t="shared" si="18"/>
        <v>1.4842095477000268E-7</v>
      </c>
      <c r="W38" s="340">
        <f t="shared" si="19"/>
        <v>5.1557239536792689</v>
      </c>
      <c r="X38" s="345">
        <f t="shared" si="20"/>
        <v>2.9684190954000536E-7</v>
      </c>
      <c r="Y38" s="338">
        <f t="shared" si="8"/>
        <v>-12.758150670335585</v>
      </c>
      <c r="Z38" s="346">
        <f t="shared" si="21"/>
        <v>5.1557239536792691E-2</v>
      </c>
      <c r="AA38" s="346">
        <f t="shared" si="22"/>
        <v>0.40411217008645461</v>
      </c>
      <c r="AB38" s="346">
        <f t="shared" si="9"/>
        <v>0.10311447907358538</v>
      </c>
      <c r="AC38" s="336">
        <f t="shared" si="2"/>
        <v>3.7150291630757978E-10</v>
      </c>
      <c r="AD38" s="337">
        <f t="shared" si="3"/>
        <v>2.3194347501188754E-11</v>
      </c>
      <c r="AE38" s="308">
        <f t="shared" si="10"/>
        <v>6.2433823485749897</v>
      </c>
      <c r="AF38" s="337">
        <f t="shared" si="11"/>
        <v>4.6388695002377508E-11</v>
      </c>
      <c r="AG38" s="338">
        <f t="shared" si="23"/>
        <v>-21.71346440171385</v>
      </c>
      <c r="AH38" s="339">
        <f t="shared" si="24"/>
        <v>6.2433823485749898E-2</v>
      </c>
      <c r="AI38" s="340">
        <f t="shared" si="25"/>
        <v>0.2875350627181445</v>
      </c>
      <c r="AJ38" s="341">
        <f t="shared" si="12"/>
        <v>0.1248676469714998</v>
      </c>
    </row>
    <row r="39" spans="1:36" x14ac:dyDescent="0.2">
      <c r="A39" s="309">
        <v>32</v>
      </c>
      <c r="B39" s="309">
        <f t="shared" si="13"/>
        <v>21.667561111111112</v>
      </c>
      <c r="C39" s="1">
        <v>485.01</v>
      </c>
      <c r="D39" s="347">
        <v>2</v>
      </c>
      <c r="E39" s="326">
        <f t="shared" si="4"/>
        <v>13.18982800464282</v>
      </c>
      <c r="F39" s="327">
        <f t="shared" si="0"/>
        <v>3.5730658931434463E-2</v>
      </c>
      <c r="G39" s="309">
        <f t="shared" si="5"/>
        <v>1.6470333333333331</v>
      </c>
      <c r="H39" s="1">
        <v>5929.32</v>
      </c>
      <c r="I39" s="324">
        <v>30</v>
      </c>
      <c r="J39" s="1">
        <v>9.8900000000000012E-3</v>
      </c>
      <c r="K39" s="1">
        <v>1.1E-4</v>
      </c>
      <c r="L39" s="328">
        <f t="shared" si="6"/>
        <v>1.1122345803842264</v>
      </c>
      <c r="M39" s="329">
        <f t="shared" si="1"/>
        <v>1.3329379894065801E-2</v>
      </c>
      <c r="N39" s="342">
        <f>(1/$J$77)*SQRT(((1-J40/$J$77)*K39)^2+(J40/$J$77)^2*(SUMSQ(K$8:K38)+SUMSQ(K40:K$76)))</f>
        <v>1.5420974952290743E-4</v>
      </c>
      <c r="O39" s="340">
        <f t="shared" si="14"/>
        <v>1.156916156253909</v>
      </c>
      <c r="P39" s="332">
        <f t="shared" si="7"/>
        <v>0.87270374812997853</v>
      </c>
      <c r="Q39" s="342">
        <f>SQRT(((1-P39)/$J$77)^2*SUMSQ(K$8:K39)+(P39/$J$77)^2*SUMSQ(K40:K$76))</f>
        <v>6.2150056344328153E-3</v>
      </c>
      <c r="R39" s="340">
        <f t="shared" si="15"/>
        <v>0.71215525861442341</v>
      </c>
      <c r="S39" s="343">
        <f t="shared" si="16"/>
        <v>1.7017110538082146E-6</v>
      </c>
      <c r="T39" s="344">
        <f t="shared" si="17"/>
        <v>8.6099808433760439E-9</v>
      </c>
      <c r="U39" s="344">
        <f>IF(P39&lt;=0.85, (1/(3*H39*$J$77))*SQRT( ((1-P39)*(1/SQRT(1-PI()*P39/3)-1) + (1-P38)*(1-1/SQRT(1-PI()*P38/3)))^2*SUMSQ(K$8:K38) + ( (1-P39)*(1/SQRT(1-PI()*P39/3)-1) -P38*(1-1/SQRT(1-PI()*P38/3)) )^2*K39^2 + ( P39*(1-1/SQRT(1-PI()*P39/3)) - P38*(1-1/SQRT(1-PI()*P38/3)) )^2*SUMSQ(K40:K$76) ), (1/(PI()^2*H39*$J$77))*SQRT((1+P38/(1-P38))^2*K39^2+(P38/(1-P38)-P39/(1-P39))^2*SUMSQ(K40:K$76)) )</f>
        <v>9.2355238847154574E-8</v>
      </c>
      <c r="V39" s="345">
        <f t="shared" si="18"/>
        <v>9.2755710943522342E-8</v>
      </c>
      <c r="W39" s="340">
        <f t="shared" si="19"/>
        <v>5.4507321167096352</v>
      </c>
      <c r="X39" s="345">
        <f t="shared" si="20"/>
        <v>1.8551142188704468E-7</v>
      </c>
      <c r="Y39" s="338">
        <f t="shared" si="8"/>
        <v>-13.283876310845736</v>
      </c>
      <c r="Z39" s="346">
        <f t="shared" si="21"/>
        <v>5.4507321167096355E-2</v>
      </c>
      <c r="AA39" s="346">
        <f t="shared" si="22"/>
        <v>0.41032692484943856</v>
      </c>
      <c r="AB39" s="346">
        <f t="shared" si="9"/>
        <v>0.10901464233419271</v>
      </c>
      <c r="AC39" s="336">
        <f t="shared" si="2"/>
        <v>2.1960513080952858E-10</v>
      </c>
      <c r="AD39" s="337">
        <f t="shared" si="3"/>
        <v>1.4250463459650825E-11</v>
      </c>
      <c r="AE39" s="308">
        <f t="shared" si="10"/>
        <v>6.4891304711868338</v>
      </c>
      <c r="AF39" s="337">
        <f t="shared" si="11"/>
        <v>2.8500926919301649E-11</v>
      </c>
      <c r="AG39" s="338">
        <f t="shared" si="23"/>
        <v>-22.239190042223999</v>
      </c>
      <c r="AH39" s="339">
        <f t="shared" si="24"/>
        <v>6.4891304711868339E-2</v>
      </c>
      <c r="AI39" s="340">
        <f t="shared" si="25"/>
        <v>0.29178807586366112</v>
      </c>
      <c r="AJ39" s="341">
        <f t="shared" si="12"/>
        <v>0.12978260942373668</v>
      </c>
    </row>
    <row r="40" spans="1:36" x14ac:dyDescent="0.2">
      <c r="A40" s="309">
        <v>33</v>
      </c>
      <c r="B40" s="309">
        <f t="shared" si="13"/>
        <v>23.313491666666668</v>
      </c>
      <c r="C40" s="1">
        <v>475.01</v>
      </c>
      <c r="D40" s="347">
        <v>2</v>
      </c>
      <c r="E40" s="326">
        <f t="shared" si="4"/>
        <v>13.366124893071001</v>
      </c>
      <c r="F40" s="327">
        <f t="shared" si="0"/>
        <v>3.6705317111094454E-2</v>
      </c>
      <c r="G40" s="309">
        <f t="shared" si="5"/>
        <v>1.6459305555555557</v>
      </c>
      <c r="H40" s="1">
        <v>5925.35</v>
      </c>
      <c r="I40" s="324">
        <v>30</v>
      </c>
      <c r="J40" s="1">
        <v>4.6700000000000014E-3</v>
      </c>
      <c r="K40" s="1">
        <v>9.0000000000000006E-5</v>
      </c>
      <c r="L40" s="328">
        <f t="shared" si="6"/>
        <v>1.9271948608137042</v>
      </c>
      <c r="M40" s="329">
        <f t="shared" si="1"/>
        <v>6.294055015701446E-3</v>
      </c>
      <c r="N40" s="342">
        <f>(1/$J$77)*SQRT(((1-J41/$J$77)*K40)^2+(J41/$J$77)^2*(SUMSQ(K$8:K39)+SUMSQ(K41:K$76)))</f>
        <v>1.2289281475561382E-4</v>
      </c>
      <c r="O40" s="340">
        <f t="shared" si="14"/>
        <v>1.9525220934523073</v>
      </c>
      <c r="P40" s="332">
        <f t="shared" si="7"/>
        <v>0.87899780314567999</v>
      </c>
      <c r="Q40" s="342">
        <f>SQRT(((1-P40)/$J$77)^2*SUMSQ(K$8:K40)+(P40/$J$77)^2*SUMSQ(K41:K$76))</f>
        <v>6.2586828820927745E-3</v>
      </c>
      <c r="R40" s="340">
        <f t="shared" si="15"/>
        <v>0.71202486055081715</v>
      </c>
      <c r="S40" s="343">
        <f t="shared" si="16"/>
        <v>8.6709327143873053E-7</v>
      </c>
      <c r="T40" s="344">
        <f t="shared" si="17"/>
        <v>4.3900863481755367E-9</v>
      </c>
      <c r="U40" s="344">
        <f>IF(P40&lt;=0.85, (1/(3*H40*$J$77))*SQRT( ((1-P40)*(1/SQRT(1-PI()*P40/3)-1) + (1-P39)*(1-1/SQRT(1-PI()*P39/3)))^2*SUMSQ(K$8:K39) + ( (1-P40)*(1/SQRT(1-PI()*P40/3)-1) -P39*(1-1/SQRT(1-PI()*P39/3)) )^2*K40^2 + ( P40*(1-1/SQRT(1-PI()*P40/3)) - P39*(1-1/SQRT(1-PI()*P39/3)) )^2*SUMSQ(K41:K$76) ), (1/(PI()^2*H40*$J$77))*SQRT((1+P39/(1-P39))^2*K40^2+(P39/(1-P39)-P40/(1-P40))^2*SUMSQ(K41:K$76)) )</f>
        <v>5.2335560315763922E-8</v>
      </c>
      <c r="V40" s="345">
        <f t="shared" si="18"/>
        <v>5.2519365301852237E-8</v>
      </c>
      <c r="W40" s="340">
        <f t="shared" si="19"/>
        <v>6.0569453173946464</v>
      </c>
      <c r="X40" s="345">
        <f t="shared" si="20"/>
        <v>1.0503873060370447E-7</v>
      </c>
      <c r="Y40" s="338">
        <f t="shared" si="8"/>
        <v>-13.958119286438023</v>
      </c>
      <c r="Z40" s="346">
        <f t="shared" si="21"/>
        <v>6.0569453173946464E-2</v>
      </c>
      <c r="AA40" s="346">
        <f t="shared" si="22"/>
        <v>0.4339370650944136</v>
      </c>
      <c r="AB40" s="346">
        <f t="shared" si="9"/>
        <v>0.12113890634789293</v>
      </c>
      <c r="AC40" s="336">
        <f t="shared" si="2"/>
        <v>1.118980398418596E-10</v>
      </c>
      <c r="AD40" s="337">
        <f t="shared" si="3"/>
        <v>7.8396472854269974E-12</v>
      </c>
      <c r="AE40" s="308">
        <f t="shared" si="10"/>
        <v>7.0060631057580753</v>
      </c>
      <c r="AF40" s="337">
        <f t="shared" si="11"/>
        <v>1.5679294570853995E-11</v>
      </c>
      <c r="AG40" s="338">
        <f t="shared" si="23"/>
        <v>-22.913433017816288</v>
      </c>
      <c r="AH40" s="339">
        <f t="shared" si="24"/>
        <v>7.0060631057580758E-2</v>
      </c>
      <c r="AI40" s="340">
        <f t="shared" si="25"/>
        <v>0.30576226182739735</v>
      </c>
      <c r="AJ40" s="341">
        <f t="shared" si="12"/>
        <v>0.14012126211516152</v>
      </c>
    </row>
    <row r="41" spans="1:36" x14ac:dyDescent="0.2">
      <c r="A41" s="309">
        <v>34</v>
      </c>
      <c r="B41" s="309">
        <f t="shared" si="13"/>
        <v>24.958325000000002</v>
      </c>
      <c r="C41" s="1">
        <v>465.01</v>
      </c>
      <c r="D41" s="347">
        <v>2</v>
      </c>
      <c r="E41" s="326">
        <f t="shared" si="4"/>
        <v>13.54719843936274</v>
      </c>
      <c r="F41" s="327">
        <f t="shared" si="0"/>
        <v>3.7720406066146218E-2</v>
      </c>
      <c r="G41" s="309">
        <f t="shared" si="5"/>
        <v>1.6448333333333334</v>
      </c>
      <c r="H41" s="1">
        <v>5921.4</v>
      </c>
      <c r="I41" s="324">
        <v>30</v>
      </c>
      <c r="J41" s="1">
        <v>2.2399999999999998E-3</v>
      </c>
      <c r="K41" s="1">
        <v>4.0000000000000003E-5</v>
      </c>
      <c r="L41" s="328">
        <f t="shared" si="6"/>
        <v>1.785714285714286</v>
      </c>
      <c r="M41" s="329">
        <f t="shared" si="1"/>
        <v>3.0189899861180372E-3</v>
      </c>
      <c r="N41" s="342">
        <f>(1/$J$77)*SQRT(((1-J42/$J$77)*K41)^2+(J42/$J$77)^2*(SUMSQ(K$8:K40)+SUMSQ(K42:K$76)))</f>
        <v>5.7006720053878897E-5</v>
      </c>
      <c r="O41" s="340">
        <f t="shared" si="14"/>
        <v>1.8882712534989521</v>
      </c>
      <c r="P41" s="332">
        <f t="shared" si="7"/>
        <v>0.88201679313179804</v>
      </c>
      <c r="Q41" s="342">
        <f>SQRT(((1-P41)/$J$77)^2*SUMSQ(K$8:K41)+(P41/$J$77)^2*SUMSQ(K42:K$76))</f>
        <v>6.2798846784304719E-3</v>
      </c>
      <c r="R41" s="340">
        <f t="shared" si="15"/>
        <v>0.71199150938298306</v>
      </c>
      <c r="S41" s="343">
        <f t="shared" si="16"/>
        <v>4.3233385949040881E-7</v>
      </c>
      <c r="T41" s="344">
        <f t="shared" si="17"/>
        <v>2.1903630534522689E-9</v>
      </c>
      <c r="U41" s="344">
        <f>IF(P41&lt;=0.85, (1/(3*H41*$J$77))*SQRT( ((1-P41)*(1/SQRT(1-PI()*P41/3)-1) + (1-P40)*(1-1/SQRT(1-PI()*P40/3)))^2*SUMSQ(K$8:K40) + ( (1-P41)*(1/SQRT(1-PI()*P41/3)-1) -P40*(1-1/SQRT(1-PI()*P40/3)) )^2*K41^2 + ( P41*(1-1/SQRT(1-PI()*P41/3)) - P40*(1-1/SQRT(1-PI()*P40/3)) )^2*SUMSQ(K42:K$76) ), (1/(PI()^2*H41*$J$77))*SQRT((1+P40/(1-P40))^2*K41^2+(P40/(1-P40)-P41/(1-P41))^2*SUMSQ(K42:K$76)) )</f>
        <v>2.6859583295092203E-8</v>
      </c>
      <c r="V41" s="345">
        <f t="shared" si="18"/>
        <v>2.6948745890893048E-8</v>
      </c>
      <c r="W41" s="340">
        <f t="shared" si="19"/>
        <v>6.2333183717457361</v>
      </c>
      <c r="X41" s="345">
        <f t="shared" si="20"/>
        <v>5.3897491781786096E-8</v>
      </c>
      <c r="Y41" s="338">
        <f t="shared" si="8"/>
        <v>-14.654067724281681</v>
      </c>
      <c r="Z41" s="346">
        <f t="shared" si="21"/>
        <v>6.2333183717457358E-2</v>
      </c>
      <c r="AA41" s="346">
        <f t="shared" si="22"/>
        <v>0.4253643758870565</v>
      </c>
      <c r="AB41" s="346">
        <f t="shared" si="9"/>
        <v>0.12466636743491472</v>
      </c>
      <c r="AC41" s="336">
        <f t="shared" si="2"/>
        <v>5.5792511633693455E-11</v>
      </c>
      <c r="AD41" s="337">
        <f t="shared" si="3"/>
        <v>3.9942369767908836E-12</v>
      </c>
      <c r="AE41" s="308">
        <f t="shared" si="10"/>
        <v>7.1590915336723047</v>
      </c>
      <c r="AF41" s="337">
        <f t="shared" si="11"/>
        <v>7.9884739535817672E-12</v>
      </c>
      <c r="AG41" s="338">
        <f t="shared" si="23"/>
        <v>-23.609381455659943</v>
      </c>
      <c r="AH41" s="339">
        <f t="shared" si="24"/>
        <v>7.1590915336723043E-2</v>
      </c>
      <c r="AI41" s="340">
        <f t="shared" si="25"/>
        <v>0.30323079607644848</v>
      </c>
      <c r="AJ41" s="341">
        <f t="shared" si="12"/>
        <v>0.14318183067344609</v>
      </c>
    </row>
    <row r="42" spans="1:36" x14ac:dyDescent="0.2">
      <c r="A42" s="309">
        <v>35</v>
      </c>
      <c r="B42" s="309">
        <f t="shared" si="13"/>
        <v>26.605363888888892</v>
      </c>
      <c r="C42" s="1">
        <v>455.01</v>
      </c>
      <c r="D42" s="347">
        <v>2</v>
      </c>
      <c r="E42" s="326">
        <f t="shared" si="4"/>
        <v>13.733245440562515</v>
      </c>
      <c r="F42" s="327">
        <f t="shared" si="0"/>
        <v>3.8777113403871154E-2</v>
      </c>
      <c r="G42" s="309">
        <f t="shared" si="5"/>
        <v>1.6470388888888889</v>
      </c>
      <c r="H42" s="1">
        <v>5929.34</v>
      </c>
      <c r="I42" s="324">
        <v>30</v>
      </c>
      <c r="J42" s="1">
        <v>1.9400000000000001E-3</v>
      </c>
      <c r="K42" s="1">
        <v>3.0000000000000001E-5</v>
      </c>
      <c r="L42" s="328">
        <f t="shared" si="6"/>
        <v>1.5463917525773194</v>
      </c>
      <c r="M42" s="329">
        <f t="shared" si="1"/>
        <v>2.6146609701200862E-3</v>
      </c>
      <c r="N42" s="342">
        <f>(1/$J$77)*SQRT(((1-J43/$J$77)*K42)^2+(J43/$J$77)^2*(SUMSQ(K$8:K41)+SUMSQ(K43:K$76)))</f>
        <v>4.254645705480774E-5</v>
      </c>
      <c r="O42" s="340">
        <f t="shared" si="14"/>
        <v>1.6272265330389533</v>
      </c>
      <c r="P42" s="332">
        <f t="shared" si="7"/>
        <v>0.88463145410191812</v>
      </c>
      <c r="Q42" s="342">
        <f>SQRT(((1-P42)/$J$77)^2*SUMSQ(K$8:K42)+(P42/$J$77)^2*SUMSQ(K43:K$76))</f>
        <v>6.2983022457193784E-3</v>
      </c>
      <c r="R42" s="340">
        <f t="shared" si="15"/>
        <v>0.71196905971577096</v>
      </c>
      <c r="S42" s="343">
        <f t="shared" si="16"/>
        <v>3.8295380459736163E-7</v>
      </c>
      <c r="T42" s="344">
        <f t="shared" si="17"/>
        <v>1.9375873432660038E-9</v>
      </c>
      <c r="U42" s="344">
        <f>IF(P42&lt;=0.85, (1/(3*H42*$J$77))*SQRT( ((1-P42)*(1/SQRT(1-PI()*P42/3)-1) + (1-P41)*(1-1/SQRT(1-PI()*P41/3)))^2*SUMSQ(K$8:K41) + ( (1-P42)*(1/SQRT(1-PI()*P42/3)-1) -P41*(1-1/SQRT(1-PI()*P41/3)) )^2*K42^2 + ( P42*(1-1/SQRT(1-PI()*P42/3)) - P41*(1-1/SQRT(1-PI()*P41/3)) )^2*SUMSQ(K43:K$76) ), (1/(PI()^2*H42*$J$77))*SQRT((1+P41/(1-P41))^2*K42^2+(P41/(1-P41)-P42/(1-P42))^2*SUMSQ(K43:K$76)) )</f>
        <v>2.4085923347485827E-8</v>
      </c>
      <c r="V42" s="345">
        <f t="shared" si="18"/>
        <v>2.4163732083718928E-8</v>
      </c>
      <c r="W42" s="340">
        <f t="shared" si="19"/>
        <v>6.3098294869076241</v>
      </c>
      <c r="X42" s="345">
        <f t="shared" si="20"/>
        <v>4.8327464167437855E-8</v>
      </c>
      <c r="Y42" s="338">
        <f t="shared" si="8"/>
        <v>-14.775351469668593</v>
      </c>
      <c r="Z42" s="346">
        <f t="shared" si="21"/>
        <v>6.3098294869076241E-2</v>
      </c>
      <c r="AA42" s="346">
        <f t="shared" si="22"/>
        <v>0.42705105864051252</v>
      </c>
      <c r="AB42" s="346">
        <f t="shared" si="9"/>
        <v>0.12619658973815248</v>
      </c>
      <c r="AC42" s="336">
        <f t="shared" si="2"/>
        <v>4.9420035301767679E-11</v>
      </c>
      <c r="AD42" s="337">
        <f t="shared" si="3"/>
        <v>3.5709961998192585E-12</v>
      </c>
      <c r="AE42" s="308">
        <f t="shared" si="10"/>
        <v>7.2258066551634563</v>
      </c>
      <c r="AF42" s="337">
        <f t="shared" si="11"/>
        <v>7.1419923996385169E-12</v>
      </c>
      <c r="AG42" s="338">
        <f t="shared" si="23"/>
        <v>-23.730665201046858</v>
      </c>
      <c r="AH42" s="339">
        <f t="shared" si="24"/>
        <v>7.2258066551634567E-2</v>
      </c>
      <c r="AI42" s="340">
        <f t="shared" si="25"/>
        <v>0.30449237701287429</v>
      </c>
      <c r="AJ42" s="341">
        <f t="shared" si="12"/>
        <v>0.14451613310326913</v>
      </c>
    </row>
    <row r="43" spans="1:36" x14ac:dyDescent="0.2">
      <c r="A43" s="309">
        <v>36</v>
      </c>
      <c r="B43" s="309">
        <f t="shared" si="13"/>
        <v>28.251300000000004</v>
      </c>
      <c r="C43" s="1">
        <v>445.02</v>
      </c>
      <c r="D43" s="347">
        <v>2</v>
      </c>
      <c r="E43" s="326">
        <f t="shared" si="4"/>
        <v>13.924279766629072</v>
      </c>
      <c r="F43" s="327">
        <f t="shared" si="0"/>
        <v>3.8778193313177695E-2</v>
      </c>
      <c r="G43" s="309">
        <f t="shared" si="5"/>
        <v>1.645936111111111</v>
      </c>
      <c r="H43" s="1">
        <v>5925.37</v>
      </c>
      <c r="I43" s="324">
        <v>30</v>
      </c>
      <c r="J43" s="1">
        <v>1.3799999999999999E-3</v>
      </c>
      <c r="K43" s="1">
        <v>3.0000000000000001E-5</v>
      </c>
      <c r="L43" s="328">
        <f t="shared" si="6"/>
        <v>2.1739130434782612</v>
      </c>
      <c r="M43" s="329">
        <f t="shared" si="1"/>
        <v>1.8599134735905766E-3</v>
      </c>
      <c r="N43" s="342">
        <f>(1/$J$77)*SQRT(((1-J44/$J$77)*K43)^2+(J44/$J$77)^2*(SUMSQ(K$8:K42)+SUMSQ(K44:K$76)))</f>
        <v>4.2006072308699824E-5</v>
      </c>
      <c r="O43" s="340">
        <f t="shared" si="14"/>
        <v>2.2584960486149277</v>
      </c>
      <c r="P43" s="332">
        <f t="shared" si="7"/>
        <v>0.88649136757550873</v>
      </c>
      <c r="Q43" s="342">
        <f>SQRT(((1-P43)/$J$77)^2*SUMSQ(K$8:K43)+(P43/$J$77)^2*SUMSQ(K44:K$76))</f>
        <v>6.3113755512284632E-3</v>
      </c>
      <c r="R43" s="340">
        <f t="shared" si="15"/>
        <v>0.71195002930368401</v>
      </c>
      <c r="S43" s="343">
        <f t="shared" si="16"/>
        <v>2.7791666253948011E-7</v>
      </c>
      <c r="T43" s="344">
        <f t="shared" si="17"/>
        <v>1.4070851062776505E-9</v>
      </c>
      <c r="U43" s="344">
        <f>IF(P43&lt;=0.85, (1/(3*H43*$J$77))*SQRT( ((1-P43)*(1/SQRT(1-PI()*P43/3)-1) + (1-P42)*(1-1/SQRT(1-PI()*P42/3)))^2*SUMSQ(K$8:K42) + ( (1-P43)*(1/SQRT(1-PI()*P43/3)-1) -P42*(1-1/SQRT(1-PI()*P42/3)) )^2*K43^2 + ( P43*(1-1/SQRT(1-PI()*P43/3)) - P42*(1-1/SQRT(1-PI()*P42/3)) )^2*SUMSQ(K44:K$76) ), (1/(PI()^2*H43*$J$77))*SQRT((1+P42/(1-P42))^2*K43^2+(P42/(1-P42)-P43/(1-P43))^2*SUMSQ(K44:K$76)) )</f>
        <v>1.8294967910722803E-8</v>
      </c>
      <c r="V43" s="345">
        <f t="shared" si="18"/>
        <v>1.8348998320090542E-8</v>
      </c>
      <c r="W43" s="340">
        <f t="shared" si="19"/>
        <v>6.6023383241672065</v>
      </c>
      <c r="X43" s="345">
        <f t="shared" si="20"/>
        <v>3.6697996640181083E-8</v>
      </c>
      <c r="Y43" s="338">
        <f t="shared" si="8"/>
        <v>-15.095944543235134</v>
      </c>
      <c r="Z43" s="346">
        <f t="shared" si="21"/>
        <v>6.6023383241672062E-2</v>
      </c>
      <c r="AA43" s="346">
        <f t="shared" si="22"/>
        <v>0.43735841141029341</v>
      </c>
      <c r="AB43" s="346">
        <f t="shared" si="9"/>
        <v>0.13204676648334412</v>
      </c>
      <c r="AC43" s="336">
        <f t="shared" si="2"/>
        <v>3.5865034134054891E-11</v>
      </c>
      <c r="AD43" s="337">
        <f t="shared" si="3"/>
        <v>2.6836347014914376E-12</v>
      </c>
      <c r="AE43" s="308">
        <f t="shared" si="10"/>
        <v>7.4825934682249429</v>
      </c>
      <c r="AF43" s="337">
        <f t="shared" si="11"/>
        <v>5.3672694029828752E-12</v>
      </c>
      <c r="AG43" s="338">
        <f t="shared" si="23"/>
        <v>-24.051258274613396</v>
      </c>
      <c r="AH43" s="339">
        <f t="shared" si="24"/>
        <v>7.4825934682249434E-2</v>
      </c>
      <c r="AI43" s="340">
        <f t="shared" si="25"/>
        <v>0.31111027052264362</v>
      </c>
      <c r="AJ43" s="341">
        <f t="shared" si="12"/>
        <v>0.14965186936449887</v>
      </c>
    </row>
    <row r="44" spans="1:36" x14ac:dyDescent="0.2">
      <c r="A44" s="309">
        <v>37</v>
      </c>
      <c r="B44" s="309">
        <f t="shared" si="13"/>
        <v>29.895575000000004</v>
      </c>
      <c r="C44" s="1">
        <v>445.01</v>
      </c>
      <c r="D44" s="347">
        <v>2</v>
      </c>
      <c r="E44" s="326">
        <f t="shared" si="4"/>
        <v>13.924473654895845</v>
      </c>
      <c r="F44" s="327">
        <f t="shared" si="0"/>
        <v>3.9881107590626727E-2</v>
      </c>
      <c r="G44" s="309">
        <f t="shared" si="5"/>
        <v>1.6442750000000002</v>
      </c>
      <c r="H44" s="1">
        <v>5919.39</v>
      </c>
      <c r="I44" s="324">
        <v>30</v>
      </c>
      <c r="J44" s="1">
        <v>1.1900000000000001E-3</v>
      </c>
      <c r="K44" s="1">
        <v>1.0000000000000001E-5</v>
      </c>
      <c r="L44" s="328">
        <f t="shared" si="6"/>
        <v>0.84033613445378152</v>
      </c>
      <c r="M44" s="329">
        <f t="shared" si="1"/>
        <v>1.6038384301252076E-3</v>
      </c>
      <c r="N44" s="342">
        <f>(1/$J$77)*SQRT(((1-J45/$J$77)*K44)^2+(J45/$J$77)^2*(SUMSQ(K$8:K43)+SUMSQ(K45:K$76)))</f>
        <v>1.5188494274888106E-5</v>
      </c>
      <c r="O44" s="340">
        <f t="shared" si="14"/>
        <v>0.94700899975955677</v>
      </c>
      <c r="P44" s="332">
        <f t="shared" si="7"/>
        <v>0.88809520600563396</v>
      </c>
      <c r="Q44" s="342">
        <f>SQRT(((1-P44)/$J$77)^2*SUMSQ(K$8:K44)+(P44/$J$77)^2*SUMSQ(K45:K$76))</f>
        <v>6.3227248583641784E-3</v>
      </c>
      <c r="R44" s="340">
        <f t="shared" si="15"/>
        <v>0.7119422349774589</v>
      </c>
      <c r="S44" s="343">
        <f t="shared" si="16"/>
        <v>2.4357990658091213E-7</v>
      </c>
      <c r="T44" s="344">
        <f t="shared" si="17"/>
        <v>1.2344848366854291E-9</v>
      </c>
      <c r="U44" s="344">
        <f>IF(P44&lt;=0.85, (1/(3*H44*$J$77))*SQRT( ((1-P44)*(1/SQRT(1-PI()*P44/3)-1) + (1-P43)*(1-1/SQRT(1-PI()*P43/3)))^2*SUMSQ(K$8:K43) + ( (1-P44)*(1/SQRT(1-PI()*P44/3)-1) -P43*(1-1/SQRT(1-PI()*P43/3)) )^2*K44^2 + ( P44*(1-1/SQRT(1-PI()*P44/3)) - P43*(1-1/SQRT(1-PI()*P43/3)) )^2*SUMSQ(K45:K$76) ), (1/(PI()^2*H44*$J$77))*SQRT((1+P43/(1-P43))^2*K44^2+(P43/(1-P43)-P44/(1-P44))^2*SUMSQ(K45:K$76)) )</f>
        <v>1.5516244359491423E-8</v>
      </c>
      <c r="V44" s="345">
        <f t="shared" si="18"/>
        <v>1.5565275193052506E-8</v>
      </c>
      <c r="W44" s="340">
        <f t="shared" si="19"/>
        <v>6.3902131384889289</v>
      </c>
      <c r="X44" s="345">
        <f t="shared" si="20"/>
        <v>3.1130550386105012E-8</v>
      </c>
      <c r="Y44" s="338">
        <f t="shared" si="8"/>
        <v>-15.227820789812801</v>
      </c>
      <c r="Z44" s="346">
        <f t="shared" si="21"/>
        <v>6.3902131384889288E-2</v>
      </c>
      <c r="AA44" s="346">
        <f t="shared" si="22"/>
        <v>0.41964068442175861</v>
      </c>
      <c r="AB44" s="346">
        <f t="shared" si="9"/>
        <v>0.12780426276977858</v>
      </c>
      <c r="AC44" s="336">
        <f t="shared" si="2"/>
        <v>3.1433889512304074E-11</v>
      </c>
      <c r="AD44" s="337">
        <f t="shared" si="3"/>
        <v>2.293449787931619E-12</v>
      </c>
      <c r="AE44" s="308">
        <f t="shared" si="10"/>
        <v>7.2961056474856569</v>
      </c>
      <c r="AF44" s="337">
        <f t="shared" si="11"/>
        <v>4.586899575863238E-12</v>
      </c>
      <c r="AG44" s="338">
        <f t="shared" si="23"/>
        <v>-24.183134521191064</v>
      </c>
      <c r="AH44" s="339">
        <f t="shared" si="24"/>
        <v>7.2961056474856567E-2</v>
      </c>
      <c r="AI44" s="340">
        <f t="shared" si="25"/>
        <v>0.30170223140810243</v>
      </c>
      <c r="AJ44" s="341">
        <f t="shared" si="12"/>
        <v>0.14592211294971313</v>
      </c>
    </row>
    <row r="45" spans="1:36" x14ac:dyDescent="0.2">
      <c r="A45" s="309">
        <v>38</v>
      </c>
      <c r="B45" s="309">
        <f t="shared" si="13"/>
        <v>31.541500000000003</v>
      </c>
      <c r="C45" s="1">
        <v>435.01</v>
      </c>
      <c r="D45" s="347">
        <v>2</v>
      </c>
      <c r="E45" s="326">
        <f t="shared" si="4"/>
        <v>14.121102575689111</v>
      </c>
      <c r="F45" s="327">
        <f t="shared" si="0"/>
        <v>4.1031752812536272E-2</v>
      </c>
      <c r="G45" s="309">
        <f t="shared" si="5"/>
        <v>1.6459249999999999</v>
      </c>
      <c r="H45" s="1">
        <v>5925.33</v>
      </c>
      <c r="I45" s="324">
        <v>30</v>
      </c>
      <c r="J45" s="1">
        <v>7.2000000000000005E-4</v>
      </c>
      <c r="K45" s="1">
        <v>2.0000000000000002E-5</v>
      </c>
      <c r="L45" s="328">
        <f t="shared" si="6"/>
        <v>2.7777777777777781</v>
      </c>
      <c r="M45" s="329">
        <f t="shared" si="1"/>
        <v>9.7038963839508354E-4</v>
      </c>
      <c r="N45" s="342">
        <f>(1/$J$77)*SQRT(((1-J46/$J$77)*K45)^2+(J46/$J$77)^2*(SUMSQ(K$8:K44)+SUMSQ(K46:K$76)))</f>
        <v>2.7048195616491141E-5</v>
      </c>
      <c r="O45" s="340">
        <f t="shared" si="14"/>
        <v>2.7873541252177678</v>
      </c>
      <c r="P45" s="332">
        <f t="shared" si="7"/>
        <v>0.88906559564402909</v>
      </c>
      <c r="Q45" s="342">
        <f>SQRT(((1-P45)/$J$77)^2*SUMSQ(K$8:K45)+(P45/$J$77)^2*SUMSQ(K46:K$76))</f>
        <v>6.3295541852341998E-3</v>
      </c>
      <c r="R45" s="340">
        <f t="shared" si="15"/>
        <v>0.71193331698423701</v>
      </c>
      <c r="S45" s="343">
        <f t="shared" si="16"/>
        <v>1.4892754007508915E-7</v>
      </c>
      <c r="T45" s="344">
        <f t="shared" si="17"/>
        <v>7.5402149791702316E-10</v>
      </c>
      <c r="U45" s="344">
        <f>IF(P45&lt;=0.85, (1/(3*H45*$J$77))*SQRT( ((1-P45)*(1/SQRT(1-PI()*P45/3)-1) + (1-P44)*(1-1/SQRT(1-PI()*P44/3)))^2*SUMSQ(K$8:K44) + ( (1-P45)*(1/SQRT(1-PI()*P45/3)-1) -P44*(1-1/SQRT(1-PI()*P44/3)) )^2*K45^2 + ( P45*(1-1/SQRT(1-PI()*P45/3)) - P44*(1-1/SQRT(1-PI()*P44/3)) )^2*SUMSQ(K46:K$76) ), (1/(PI()^2*H45*$J$77))*SQRT((1+P44/(1-P44))^2*K45^2+(P44/(1-P44)-P45/(1-P45))^2*SUMSQ(K46:K$76)) )</f>
        <v>1.0366832713989964E-8</v>
      </c>
      <c r="V45" s="345">
        <f t="shared" si="18"/>
        <v>1.0394218053282004E-8</v>
      </c>
      <c r="W45" s="340">
        <f t="shared" si="19"/>
        <v>6.9793794002380265</v>
      </c>
      <c r="X45" s="345">
        <f t="shared" si="20"/>
        <v>2.0788436106564008E-8</v>
      </c>
      <c r="Y45" s="338">
        <f t="shared" si="8"/>
        <v>-15.719805957508024</v>
      </c>
      <c r="Z45" s="346">
        <f t="shared" si="21"/>
        <v>6.9793794002380269E-2</v>
      </c>
      <c r="AA45" s="346">
        <f t="shared" si="22"/>
        <v>0.44398635829881644</v>
      </c>
      <c r="AB45" s="346">
        <f t="shared" si="9"/>
        <v>0.13958758800476054</v>
      </c>
      <c r="AC45" s="336">
        <f t="shared" si="2"/>
        <v>1.9219039475674225E-11</v>
      </c>
      <c r="AD45" s="337">
        <f t="shared" si="3"/>
        <v>1.5024086353259477E-12</v>
      </c>
      <c r="AE45" s="308">
        <f t="shared" si="10"/>
        <v>7.8172930402040377</v>
      </c>
      <c r="AF45" s="337">
        <f t="shared" si="11"/>
        <v>3.0048172706518954E-12</v>
      </c>
      <c r="AG45" s="338">
        <f t="shared" si="23"/>
        <v>-24.675119688886287</v>
      </c>
      <c r="AH45" s="339">
        <f t="shared" si="24"/>
        <v>7.8172930402040375E-2</v>
      </c>
      <c r="AI45" s="340">
        <f t="shared" si="25"/>
        <v>0.31680871820552747</v>
      </c>
      <c r="AJ45" s="341">
        <f t="shared" si="12"/>
        <v>0.15634586080408075</v>
      </c>
    </row>
    <row r="46" spans="1:36" x14ac:dyDescent="0.2">
      <c r="A46" s="309">
        <v>39</v>
      </c>
      <c r="B46" s="309">
        <f t="shared" si="13"/>
        <v>33.186322222222223</v>
      </c>
      <c r="C46" s="1">
        <v>425.01</v>
      </c>
      <c r="D46" s="347">
        <v>2</v>
      </c>
      <c r="E46" s="326">
        <f t="shared" si="4"/>
        <v>14.323364271800161</v>
      </c>
      <c r="F46" s="327">
        <f t="shared" si="0"/>
        <v>4.3487621523375146E-2</v>
      </c>
      <c r="G46" s="309">
        <f t="shared" si="5"/>
        <v>1.644822222222222</v>
      </c>
      <c r="H46" s="1">
        <v>5921.36</v>
      </c>
      <c r="I46" s="324">
        <v>30</v>
      </c>
      <c r="J46" s="1">
        <v>2.4000000000000001E-4</v>
      </c>
      <c r="K46" s="1">
        <v>1.0000000000000001E-5</v>
      </c>
      <c r="L46" s="328">
        <f t="shared" si="6"/>
        <v>4.166666666666667</v>
      </c>
      <c r="M46" s="329">
        <f t="shared" si="1"/>
        <v>3.2346321279836114E-4</v>
      </c>
      <c r="N46" s="342">
        <f>(1/$J$77)*SQRT(((1-J47/$J$77)*K46)^2+(J47/$J$77)^2*(SUMSQ(K$8:K45)+SUMSQ(K47:K$76)))</f>
        <v>1.5279493376597034E-5</v>
      </c>
      <c r="O46" s="340">
        <f t="shared" si="14"/>
        <v>4.7237190419307087</v>
      </c>
      <c r="P46" s="332">
        <f t="shared" si="7"/>
        <v>0.88938905885682751</v>
      </c>
      <c r="Q46" s="342">
        <f>SQRT(((1-P46)/$J$77)^2*SUMSQ(K$8:K46)+(P46/$J$77)^2*SUMSQ(K47:K$76))</f>
        <v>6.3318343983559183E-3</v>
      </c>
      <c r="R46" s="340">
        <f t="shared" si="15"/>
        <v>0.711930772624358</v>
      </c>
      <c r="S46" s="343">
        <f t="shared" si="16"/>
        <v>4.9965628987076682E-8</v>
      </c>
      <c r="T46" s="344">
        <f t="shared" si="17"/>
        <v>2.5314604577534561E-10</v>
      </c>
      <c r="U46" s="344">
        <f>IF(P46&lt;=0.85, (1/(3*H46*$J$77))*SQRT( ((1-P46)*(1/SQRT(1-PI()*P46/3)-1) + (1-P45)*(1-1/SQRT(1-PI()*P45/3)))^2*SUMSQ(K$8:K45) + ( (1-P46)*(1/SQRT(1-PI()*P46/3)-1) -P45*(1-1/SQRT(1-PI()*P45/3)) )^2*K46^2 + ( P46*(1-1/SQRT(1-PI()*P46/3)) - P45*(1-1/SQRT(1-PI()*P45/3)) )^2*SUMSQ(K47:K$76) ), (1/(PI()^2*H46*$J$77))*SQRT((1+P45/(1-P45))^2*K46^2+(P45/(1-P45)-P46/(1-P46))^2*SUMSQ(K47:K$76)) )</f>
        <v>3.8246936254033199E-9</v>
      </c>
      <c r="V46" s="345">
        <f t="shared" si="18"/>
        <v>3.8330619938493664E-9</v>
      </c>
      <c r="W46" s="340">
        <f t="shared" si="19"/>
        <v>7.6713974617246699</v>
      </c>
      <c r="X46" s="345">
        <f t="shared" si="20"/>
        <v>7.6661239876987329E-9</v>
      </c>
      <c r="Y46" s="338">
        <f t="shared" si="8"/>
        <v>-16.811930488158371</v>
      </c>
      <c r="Z46" s="346">
        <f t="shared" si="21"/>
        <v>7.6713974617246702E-2</v>
      </c>
      <c r="AA46" s="346">
        <f t="shared" si="22"/>
        <v>0.45630675591527609</v>
      </c>
      <c r="AB46" s="346">
        <f t="shared" si="9"/>
        <v>0.1534279492344934</v>
      </c>
      <c r="AC46" s="336">
        <f t="shared" si="2"/>
        <v>6.4480444345306512E-12</v>
      </c>
      <c r="AD46" s="337">
        <f t="shared" si="3"/>
        <v>5.4427252383355438E-13</v>
      </c>
      <c r="AE46" s="308">
        <f t="shared" si="10"/>
        <v>8.4408928840325466</v>
      </c>
      <c r="AF46" s="337">
        <f t="shared" si="11"/>
        <v>1.0885450476671088E-12</v>
      </c>
      <c r="AG46" s="338">
        <f t="shared" si="23"/>
        <v>-25.767244219536636</v>
      </c>
      <c r="AH46" s="339">
        <f t="shared" si="24"/>
        <v>8.4408928840325456E-2</v>
      </c>
      <c r="AI46" s="340">
        <f t="shared" si="25"/>
        <v>0.32758229060570976</v>
      </c>
      <c r="AJ46" s="341">
        <f t="shared" si="12"/>
        <v>0.16881785768065091</v>
      </c>
    </row>
    <row r="47" spans="1:36" x14ac:dyDescent="0.2">
      <c r="A47" s="309">
        <v>40</v>
      </c>
      <c r="B47" s="309">
        <f t="shared" si="13"/>
        <v>34.832805555555559</v>
      </c>
      <c r="C47" s="1">
        <v>405.01</v>
      </c>
      <c r="D47" s="347">
        <v>2</v>
      </c>
      <c r="E47" s="326">
        <f t="shared" si="4"/>
        <v>14.745782706146043</v>
      </c>
      <c r="F47" s="327">
        <f t="shared" si="0"/>
        <v>4.3232248174852078E-2</v>
      </c>
      <c r="G47" s="309">
        <f t="shared" si="5"/>
        <v>1.6464833333333333</v>
      </c>
      <c r="H47" s="1">
        <v>5927.34</v>
      </c>
      <c r="I47" s="324">
        <v>30</v>
      </c>
      <c r="J47" s="1">
        <v>7.3999999999999999E-4</v>
      </c>
      <c r="K47" s="1">
        <v>2.0000000000000002E-5</v>
      </c>
      <c r="L47" s="328">
        <f t="shared" si="6"/>
        <v>2.7027027027027026</v>
      </c>
      <c r="M47" s="329">
        <f t="shared" si="1"/>
        <v>9.9734490612828032E-4</v>
      </c>
      <c r="N47" s="342">
        <f>(1/$J$77)*SQRT(((1-J48/$J$77)*K47)^2+(J48/$J$77)^2*(SUMSQ(K$8:K46)+SUMSQ(K48:K$76)))</f>
        <v>2.7222211713989599E-5</v>
      </c>
      <c r="O47" s="340">
        <f t="shared" si="14"/>
        <v>2.7294681655984943</v>
      </c>
      <c r="P47" s="332">
        <f t="shared" si="7"/>
        <v>0.89038640376295575</v>
      </c>
      <c r="Q47" s="342">
        <f>SQRT(((1-P47)/$J$77)^2*SUMSQ(K$8:K47)+(P47/$J$77)^2*SUMSQ(K48:K$76))</f>
        <v>6.3388549712056156E-3</v>
      </c>
      <c r="R47" s="340">
        <f t="shared" si="15"/>
        <v>0.71192180657929116</v>
      </c>
      <c r="S47" s="343">
        <f t="shared" si="16"/>
        <v>1.5482926326666814E-7</v>
      </c>
      <c r="T47" s="344">
        <f t="shared" si="17"/>
        <v>7.8363615011118704E-10</v>
      </c>
      <c r="U47" s="344">
        <f>IF(P47&lt;=0.85, (1/(3*H47*$J$77))*SQRT( ((1-P47)*(1/SQRT(1-PI()*P47/3)-1) + (1-P46)*(1-1/SQRT(1-PI()*P46/3)))^2*SUMSQ(K$8:K46) + ( (1-P47)*(1/SQRT(1-PI()*P47/3)-1) -P46*(1-1/SQRT(1-PI()*P46/3)) )^2*K47^2 + ( P47*(1-1/SQRT(1-PI()*P47/3)) - P46*(1-1/SQRT(1-PI()*P46/3)) )^2*SUMSQ(K48:K$76) ), (1/(PI()^2*H47*$J$77))*SQRT((1+P46/(1-P46))^2*K47^2+(P46/(1-P46)-P47/(1-P47))^2*SUMSQ(K48:K$76)) )</f>
        <v>1.0840154568538433E-8</v>
      </c>
      <c r="V47" s="345">
        <f t="shared" si="18"/>
        <v>1.0868442238221896E-8</v>
      </c>
      <c r="W47" s="340">
        <f t="shared" si="19"/>
        <v>7.0196305329586028</v>
      </c>
      <c r="X47" s="345">
        <f t="shared" si="20"/>
        <v>2.1736884476443791E-8</v>
      </c>
      <c r="Y47" s="338">
        <f t="shared" si="8"/>
        <v>-15.680942854466078</v>
      </c>
      <c r="Z47" s="346">
        <f t="shared" si="21"/>
        <v>7.0196305329586026E-2</v>
      </c>
      <c r="AA47" s="346">
        <f t="shared" si="22"/>
        <v>0.44765360081389155</v>
      </c>
      <c r="AB47" s="346">
        <f t="shared" si="9"/>
        <v>0.14039261065917205</v>
      </c>
      <c r="AC47" s="336">
        <f t="shared" si="2"/>
        <v>1.9980654492858215E-11</v>
      </c>
      <c r="AD47" s="337">
        <f t="shared" si="3"/>
        <v>1.5691308878855004E-12</v>
      </c>
      <c r="AE47" s="308">
        <f t="shared" si="10"/>
        <v>7.853250695298108</v>
      </c>
      <c r="AF47" s="337">
        <f t="shared" si="11"/>
        <v>3.1382617757710008E-12</v>
      </c>
      <c r="AG47" s="338">
        <f t="shared" si="23"/>
        <v>-24.636256585844343</v>
      </c>
      <c r="AH47" s="339">
        <f t="shared" si="24"/>
        <v>7.8532506952981085E-2</v>
      </c>
      <c r="AI47" s="340">
        <f t="shared" si="25"/>
        <v>0.3187680185069382</v>
      </c>
      <c r="AJ47" s="341">
        <f t="shared" si="12"/>
        <v>0.15706501390596217</v>
      </c>
    </row>
    <row r="48" spans="1:36" x14ac:dyDescent="0.2">
      <c r="A48" s="309">
        <v>41</v>
      </c>
      <c r="B48" s="309">
        <f t="shared" si="13"/>
        <v>36.478183333333334</v>
      </c>
      <c r="C48" s="1">
        <v>407.01</v>
      </c>
      <c r="D48" s="347">
        <v>2</v>
      </c>
      <c r="E48" s="326">
        <f t="shared" si="4"/>
        <v>14.702422959303695</v>
      </c>
      <c r="F48" s="327">
        <f t="shared" si="0"/>
        <v>4.1988506328285977E-2</v>
      </c>
      <c r="G48" s="309">
        <f t="shared" si="5"/>
        <v>1.6453777777777776</v>
      </c>
      <c r="H48" s="1">
        <v>5923.36</v>
      </c>
      <c r="I48" s="324">
        <v>30</v>
      </c>
      <c r="J48" s="1">
        <v>4.0000000000000002E-4</v>
      </c>
      <c r="K48" s="1">
        <v>1.0000000000000001E-5</v>
      </c>
      <c r="L48" s="328">
        <f t="shared" si="6"/>
        <v>2.5</v>
      </c>
      <c r="M48" s="329">
        <f t="shared" si="1"/>
        <v>5.3910535466393527E-4</v>
      </c>
      <c r="N48" s="342">
        <f>(1/$J$77)*SQRT(((1-J49/$J$77)*K48)^2+(J49/$J$77)^2*(SUMSQ(K$8:K47)+SUMSQ(K49:K$76)))</f>
        <v>1.5968883540885278E-5</v>
      </c>
      <c r="O48" s="340">
        <f t="shared" si="14"/>
        <v>2.9621081302076622</v>
      </c>
      <c r="P48" s="332">
        <f t="shared" si="7"/>
        <v>0.8909255091176197</v>
      </c>
      <c r="Q48" s="342">
        <f>SQRT(((1-P48)/$J$77)^2*SUMSQ(K$8:K48)+(P48/$J$77)^2*SUMSQ(K49:K$76))</f>
        <v>6.3426629812199029E-3</v>
      </c>
      <c r="R48" s="340">
        <f t="shared" si="15"/>
        <v>0.71191843945536259</v>
      </c>
      <c r="S48" s="343">
        <f t="shared" si="16"/>
        <v>8.4335713099703692E-8</v>
      </c>
      <c r="T48" s="344">
        <f t="shared" si="17"/>
        <v>4.2713449680436616E-10</v>
      </c>
      <c r="U48" s="344">
        <f>IF(P48&lt;=0.85, (1/(3*H48*$J$77))*SQRT( ((1-P48)*(1/SQRT(1-PI()*P48/3)-1) + (1-P47)*(1-1/SQRT(1-PI()*P47/3)))^2*SUMSQ(K$8:K47) + ( (1-P48)*(1/SQRT(1-PI()*P48/3)-1) -P47*(1-1/SQRT(1-PI()*P47/3)) )^2*K48^2 + ( P48*(1-1/SQRT(1-PI()*P48/3)) - P47*(1-1/SQRT(1-PI()*P47/3)) )^2*SUMSQ(K49:K$76) ), (1/(PI()^2*H48*$J$77))*SQRT((1+P47/(1-P47))^2*K48^2+(P47/(1-P47)-P48/(1-P48))^2*SUMSQ(K49:K$76)) )</f>
        <v>5.8786107585922824E-9</v>
      </c>
      <c r="V48" s="345">
        <f t="shared" si="18"/>
        <v>5.894107933300615E-9</v>
      </c>
      <c r="W48" s="340">
        <f t="shared" si="19"/>
        <v>6.9888635747141423</v>
      </c>
      <c r="X48" s="345">
        <f t="shared" si="20"/>
        <v>1.178821586660123E-8</v>
      </c>
      <c r="Y48" s="338">
        <f t="shared" si="8"/>
        <v>-16.288460418711576</v>
      </c>
      <c r="Z48" s="346">
        <f t="shared" si="21"/>
        <v>6.9888635747141423E-2</v>
      </c>
      <c r="AA48" s="346">
        <f t="shared" si="22"/>
        <v>0.42906839535832347</v>
      </c>
      <c r="AB48" s="346">
        <f t="shared" si="9"/>
        <v>0.13977727149428285</v>
      </c>
      <c r="AC48" s="336">
        <f t="shared" si="2"/>
        <v>1.0883490041231521E-11</v>
      </c>
      <c r="AD48" s="337">
        <f t="shared" si="3"/>
        <v>8.5171600601152464E-13</v>
      </c>
      <c r="AE48" s="308">
        <f t="shared" si="10"/>
        <v>7.8257617986954928</v>
      </c>
      <c r="AF48" s="337">
        <f t="shared" si="11"/>
        <v>1.7034320120230493E-12</v>
      </c>
      <c r="AG48" s="338">
        <f t="shared" si="23"/>
        <v>-25.243774150089838</v>
      </c>
      <c r="AH48" s="339">
        <f t="shared" si="24"/>
        <v>7.8257617986954922E-2</v>
      </c>
      <c r="AI48" s="340">
        <f t="shared" si="25"/>
        <v>0.31000759839501424</v>
      </c>
      <c r="AJ48" s="341">
        <f t="shared" si="12"/>
        <v>0.15651523597390984</v>
      </c>
    </row>
    <row r="49" spans="1:36" x14ac:dyDescent="0.2">
      <c r="A49" s="309">
        <v>42</v>
      </c>
      <c r="B49" s="309">
        <f t="shared" si="13"/>
        <v>38.122441666666667</v>
      </c>
      <c r="C49" s="1">
        <v>417.01</v>
      </c>
      <c r="D49" s="347">
        <v>2</v>
      </c>
      <c r="E49" s="326">
        <f t="shared" si="4"/>
        <v>14.489393763764925</v>
      </c>
      <c r="F49" s="327">
        <f t="shared" si="0"/>
        <v>4.0797674033869309E-2</v>
      </c>
      <c r="G49" s="309">
        <f t="shared" si="5"/>
        <v>1.6442583333333334</v>
      </c>
      <c r="H49" s="1">
        <v>5919.33</v>
      </c>
      <c r="I49" s="324">
        <v>30</v>
      </c>
      <c r="J49" s="1">
        <v>8.8000000000000003E-4</v>
      </c>
      <c r="K49" s="1">
        <v>2.0000000000000002E-5</v>
      </c>
      <c r="L49" s="328">
        <f t="shared" si="6"/>
        <v>2.2727272727272729</v>
      </c>
      <c r="M49" s="329">
        <f t="shared" si="1"/>
        <v>1.1860317802606577E-3</v>
      </c>
      <c r="N49" s="342">
        <f>(1/$J$77)*SQRT(((1-J50/$J$77)*K49)^2+(J50/$J$77)^2*(SUMSQ(K$8:K48)+SUMSQ(K50:K$76)))</f>
        <v>2.7250180382576313E-5</v>
      </c>
      <c r="O49" s="340">
        <f t="shared" si="14"/>
        <v>2.2975927657341071</v>
      </c>
      <c r="P49" s="332">
        <f t="shared" si="7"/>
        <v>0.89211154089788036</v>
      </c>
      <c r="Q49" s="342">
        <f>SQRT(((1-P49)/$J$77)^2*SUMSQ(K$8:K49)+(P49/$J$77)^2*SUMSQ(K50:K$76))</f>
        <v>6.3510207208184941E-3</v>
      </c>
      <c r="R49" s="340">
        <f t="shared" si="15"/>
        <v>0.71190881741384093</v>
      </c>
      <c r="S49" s="343">
        <f t="shared" si="16"/>
        <v>1.8714264918268475E-7</v>
      </c>
      <c r="T49" s="344">
        <f t="shared" si="17"/>
        <v>9.4846536271512848E-10</v>
      </c>
      <c r="U49" s="344">
        <f>IF(P49&lt;=0.85, (1/(3*H49*$J$77))*SQRT( ((1-P49)*(1/SQRT(1-PI()*P49/3)-1) + (1-P48)*(1-1/SQRT(1-PI()*P48/3)))^2*SUMSQ(K$8:K48) + ( (1-P49)*(1/SQRT(1-PI()*P49/3)-1) -P48*(1-1/SQRT(1-PI()*P48/3)) )^2*K49^2 + ( P49*(1-1/SQRT(1-PI()*P49/3)) - P48*(1-1/SQRT(1-PI()*P48/3)) )^2*SUMSQ(K50:K$76) ), (1/(PI()^2*H49*$J$77))*SQRT((1+P48/(1-P48))^2*K49^2+(P48/(1-P48)-P49/(1-P49))^2*SUMSQ(K50:K$76)) )</f>
        <v>1.2986513272444471E-8</v>
      </c>
      <c r="V49" s="345">
        <f t="shared" si="18"/>
        <v>1.302110262303645E-8</v>
      </c>
      <c r="W49" s="340">
        <f t="shared" si="19"/>
        <v>6.9578488281019908</v>
      </c>
      <c r="X49" s="345">
        <f t="shared" si="20"/>
        <v>2.60422052460729E-8</v>
      </c>
      <c r="Y49" s="338">
        <f t="shared" si="8"/>
        <v>-15.491394681044707</v>
      </c>
      <c r="Z49" s="346">
        <f t="shared" si="21"/>
        <v>6.957848828101991E-2</v>
      </c>
      <c r="AA49" s="346">
        <f t="shared" si="22"/>
        <v>0.44914282873546724</v>
      </c>
      <c r="AB49" s="346">
        <f t="shared" si="9"/>
        <v>0.13915697656203982</v>
      </c>
      <c r="AC49" s="336">
        <f t="shared" si="2"/>
        <v>2.415068401996579E-11</v>
      </c>
      <c r="AD49" s="337">
        <f t="shared" si="3"/>
        <v>1.8832887668187078E-12</v>
      </c>
      <c r="AE49" s="308">
        <f t="shared" si="10"/>
        <v>7.7980762998752349</v>
      </c>
      <c r="AF49" s="337">
        <f t="shared" si="11"/>
        <v>3.7665775336374156E-12</v>
      </c>
      <c r="AG49" s="338">
        <f t="shared" si="23"/>
        <v>-24.446708412422971</v>
      </c>
      <c r="AH49" s="339">
        <f t="shared" si="24"/>
        <v>7.798076299875234E-2</v>
      </c>
      <c r="AI49" s="340">
        <f t="shared" si="25"/>
        <v>0.31898266909063805</v>
      </c>
      <c r="AJ49" s="341">
        <f t="shared" si="12"/>
        <v>0.15596152599750468</v>
      </c>
    </row>
    <row r="50" spans="1:36" x14ac:dyDescent="0.2">
      <c r="A50" s="309">
        <v>43</v>
      </c>
      <c r="B50" s="309">
        <f t="shared" si="13"/>
        <v>39.768369444444446</v>
      </c>
      <c r="C50" s="1">
        <v>427.01</v>
      </c>
      <c r="D50" s="347">
        <v>2</v>
      </c>
      <c r="E50" s="326">
        <f t="shared" si="4"/>
        <v>14.282449725776965</v>
      </c>
      <c r="F50" s="327">
        <f t="shared" si="0"/>
        <v>3.9656792226923553E-2</v>
      </c>
      <c r="G50" s="309">
        <f t="shared" si="5"/>
        <v>1.6459277777777779</v>
      </c>
      <c r="H50" s="1">
        <v>5925.34</v>
      </c>
      <c r="I50" s="324">
        <v>30</v>
      </c>
      <c r="J50" s="1">
        <v>4.2000000000000002E-4</v>
      </c>
      <c r="K50" s="1">
        <v>1.0000000000000001E-5</v>
      </c>
      <c r="L50" s="328">
        <f t="shared" si="6"/>
        <v>2.3809523809523814</v>
      </c>
      <c r="M50" s="329">
        <f t="shared" si="1"/>
        <v>5.6606062239713205E-4</v>
      </c>
      <c r="N50" s="342">
        <f>(1/$J$77)*SQRT(((1-J51/$J$77)*K50)^2+(J51/$J$77)^2*(SUMSQ(K$8:K49)+SUMSQ(K51:K$76)))</f>
        <v>1.3485560724707309E-5</v>
      </c>
      <c r="O50" s="340">
        <f t="shared" si="14"/>
        <v>2.3823527359312098</v>
      </c>
      <c r="P50" s="332">
        <f t="shared" si="7"/>
        <v>0.89267760152027753</v>
      </c>
      <c r="Q50" s="342">
        <f>SQRT(((1-P50)/$J$77)^2*SUMSQ(K$8:K50)+(P50/$J$77)^2*SUMSQ(K51:K$76))</f>
        <v>6.3550199684355851E-3</v>
      </c>
      <c r="R50" s="340">
        <f t="shared" si="15"/>
        <v>0.71190539088385851</v>
      </c>
      <c r="S50" s="343">
        <f t="shared" si="16"/>
        <v>8.9953225927237128E-8</v>
      </c>
      <c r="T50" s="344">
        <f t="shared" si="17"/>
        <v>4.5543323721796785E-10</v>
      </c>
      <c r="U50" s="344">
        <f>IF(P50&lt;=0.85, (1/(3*H50*$J$77))*SQRT( ((1-P50)*(1/SQRT(1-PI()*P50/3)-1) + (1-P49)*(1-1/SQRT(1-PI()*P49/3)))^2*SUMSQ(K$8:K49) + ( (1-P50)*(1/SQRT(1-PI()*P50/3)-1) -P49*(1-1/SQRT(1-PI()*P49/3)) )^2*K50^2 + ( P50*(1-1/SQRT(1-PI()*P50/3)) - P49*(1-1/SQRT(1-PI()*P49/3)) )^2*SUMSQ(K51:K$76) ), (1/(PI()^2*H50*$J$77))*SQRT((1+P49/(1-P49))^2*K50^2+(P49/(1-P49)-P50/(1-P50))^2*SUMSQ(K51:K$76)) )</f>
        <v>6.3215475843173661E-9</v>
      </c>
      <c r="V50" s="345">
        <f t="shared" si="18"/>
        <v>6.3379320992222344E-9</v>
      </c>
      <c r="W50" s="340">
        <f t="shared" si="19"/>
        <v>7.0458085676093116</v>
      </c>
      <c r="X50" s="345">
        <f t="shared" si="20"/>
        <v>1.2675864198444469E-8</v>
      </c>
      <c r="Y50" s="338">
        <f t="shared" si="8"/>
        <v>-16.223976013632782</v>
      </c>
      <c r="Z50" s="346">
        <f t="shared" si="21"/>
        <v>7.0458085676093116E-2</v>
      </c>
      <c r="AA50" s="346">
        <f t="shared" si="22"/>
        <v>0.43428371452773451</v>
      </c>
      <c r="AB50" s="346">
        <f t="shared" si="9"/>
        <v>0.14091617135218623</v>
      </c>
      <c r="AC50" s="336">
        <f t="shared" si="2"/>
        <v>1.160842782461958E-11</v>
      </c>
      <c r="AD50" s="337">
        <f t="shared" si="3"/>
        <v>9.1435623840571027E-13</v>
      </c>
      <c r="AE50" s="308">
        <f t="shared" si="10"/>
        <v>7.8766586847058644</v>
      </c>
      <c r="AF50" s="337">
        <f t="shared" si="11"/>
        <v>1.8287124768114205E-12</v>
      </c>
      <c r="AG50" s="338">
        <f t="shared" si="23"/>
        <v>-25.179289745011047</v>
      </c>
      <c r="AH50" s="339">
        <f t="shared" si="24"/>
        <v>7.8766586847058645E-2</v>
      </c>
      <c r="AI50" s="340">
        <f t="shared" si="25"/>
        <v>0.3128229097989757</v>
      </c>
      <c r="AJ50" s="341">
        <f t="shared" si="12"/>
        <v>0.15753317369411729</v>
      </c>
    </row>
    <row r="51" spans="1:36" x14ac:dyDescent="0.2">
      <c r="A51" s="309">
        <v>44</v>
      </c>
      <c r="B51" s="309">
        <f t="shared" si="13"/>
        <v>42.415408333333332</v>
      </c>
      <c r="C51" s="1">
        <v>437.01</v>
      </c>
      <c r="D51" s="347">
        <v>2</v>
      </c>
      <c r="E51" s="326">
        <f t="shared" si="4"/>
        <v>14.081333783936016</v>
      </c>
      <c r="F51" s="327">
        <f t="shared" si="0"/>
        <v>3.8563105851073309E-2</v>
      </c>
      <c r="G51" s="309">
        <f t="shared" si="5"/>
        <v>2.6470388888888889</v>
      </c>
      <c r="H51" s="1">
        <v>9529.34</v>
      </c>
      <c r="I51" s="324">
        <v>30</v>
      </c>
      <c r="J51" s="1">
        <v>5.0000000000000002E-5</v>
      </c>
      <c r="K51" s="1">
        <v>1.0000000000000001E-5</v>
      </c>
      <c r="L51" s="328">
        <f t="shared" si="6"/>
        <v>20</v>
      </c>
      <c r="M51" s="329">
        <f t="shared" si="1"/>
        <v>6.7388169332991909E-5</v>
      </c>
      <c r="N51" s="342">
        <f>(1/$J$77)*SQRT(((1-J52/$J$77)*K51)^2+(J52/$J$77)^2*(SUMSQ(K$8:K50)+SUMSQ(K52:K$76)))</f>
        <v>1.3478684519980177E-5</v>
      </c>
      <c r="O51" s="340">
        <f t="shared" si="14"/>
        <v>20.001559106579382</v>
      </c>
      <c r="P51" s="332">
        <f t="shared" si="7"/>
        <v>0.89274498968961047</v>
      </c>
      <c r="Q51" s="342">
        <f>SQRT(((1-P51)/$J$77)^2*SUMSQ(K$8:K51)+(P51/$J$77)^2*SUMSQ(K52:K$76))</f>
        <v>6.3554861869760393E-3</v>
      </c>
      <c r="R51" s="340">
        <f t="shared" si="15"/>
        <v>0.71190387628898533</v>
      </c>
      <c r="S51" s="343">
        <f t="shared" si="16"/>
        <v>6.6783181397081659E-9</v>
      </c>
      <c r="T51" s="344">
        <f t="shared" si="17"/>
        <v>2.1024493216869687E-11</v>
      </c>
      <c r="U51" s="344">
        <f>IF(P51&lt;=0.85, (1/(3*H51*$J$77))*SQRT( ((1-P51)*(1/SQRT(1-PI()*P51/3)-1) + (1-P50)*(1-1/SQRT(1-PI()*P50/3)))^2*SUMSQ(K$8:K50) + ( (1-P51)*(1/SQRT(1-PI()*P51/3)-1) -P50*(1-1/SQRT(1-PI()*P50/3)) )^2*K51^2 + ( P51*(1-1/SQRT(1-PI()*P51/3)) - P50*(1-1/SQRT(1-PI()*P50/3)) )^2*SUMSQ(K52:K$76) ), (1/(PI()^2*H51*$J$77))*SQRT((1+P50/(1-P50))^2*K51^2+(P50/(1-P50)-P51/(1-P51))^2*SUMSQ(K52:K$76)) )</f>
        <v>1.4068203997274823E-9</v>
      </c>
      <c r="V51" s="345">
        <f t="shared" si="18"/>
        <v>1.4069774932117496E-9</v>
      </c>
      <c r="W51" s="340">
        <f t="shared" si="19"/>
        <v>21.067841689752637</v>
      </c>
      <c r="X51" s="345">
        <f t="shared" si="20"/>
        <v>2.8139549864234992E-9</v>
      </c>
      <c r="Y51" s="338">
        <f t="shared" si="8"/>
        <v>-18.824399656591417</v>
      </c>
      <c r="Z51" s="346">
        <f t="shared" si="21"/>
        <v>0.21067841689752637</v>
      </c>
      <c r="AA51" s="346">
        <f t="shared" si="22"/>
        <v>1.1191773482335556</v>
      </c>
      <c r="AB51" s="346">
        <f t="shared" si="9"/>
        <v>0.42135683379505273</v>
      </c>
      <c r="AC51" s="336">
        <f t="shared" si="2"/>
        <v>8.6183428460208281E-13</v>
      </c>
      <c r="AD51" s="337">
        <f t="shared" si="3"/>
        <v>1.8408834529212902E-13</v>
      </c>
      <c r="AE51" s="308">
        <f t="shared" si="10"/>
        <v>21.36006290085389</v>
      </c>
      <c r="AF51" s="337">
        <f t="shared" si="11"/>
        <v>3.6817669058425803E-13</v>
      </c>
      <c r="AG51" s="338">
        <f t="shared" si="23"/>
        <v>-27.779713387969679</v>
      </c>
      <c r="AH51" s="339">
        <f t="shared" si="24"/>
        <v>0.21360062900853891</v>
      </c>
      <c r="AI51" s="340">
        <f t="shared" si="25"/>
        <v>0.76890868536117107</v>
      </c>
      <c r="AJ51" s="341">
        <f t="shared" si="12"/>
        <v>0.42720125801707781</v>
      </c>
    </row>
    <row r="52" spans="1:36" x14ac:dyDescent="0.2">
      <c r="A52" s="309">
        <v>45</v>
      </c>
      <c r="B52" s="309">
        <f t="shared" si="13"/>
        <v>45.061894444444441</v>
      </c>
      <c r="C52" s="1">
        <v>447.01</v>
      </c>
      <c r="D52" s="347">
        <v>2</v>
      </c>
      <c r="E52" s="326">
        <f t="shared" si="4"/>
        <v>13.885803154854477</v>
      </c>
      <c r="F52" s="327">
        <f t="shared" si="0"/>
        <v>3.751507478801322E-2</v>
      </c>
      <c r="G52" s="309">
        <f t="shared" si="5"/>
        <v>2.6464861111111109</v>
      </c>
      <c r="H52" s="1">
        <v>9527.35</v>
      </c>
      <c r="I52" s="324">
        <v>30</v>
      </c>
      <c r="J52" s="1">
        <v>2.0000000000000002E-5</v>
      </c>
      <c r="K52" s="1">
        <v>1.0000000000000001E-5</v>
      </c>
      <c r="L52" s="328">
        <f t="shared" si="6"/>
        <v>50</v>
      </c>
      <c r="M52" s="329">
        <f t="shared" si="1"/>
        <v>2.6955267733196766E-5</v>
      </c>
      <c r="N52" s="342">
        <f>(1/$J$77)*SQRT(((1-J53/$J$77)*K52)^2+(J53/$J$77)^2*(SUMSQ(K$8:K51)+SUMSQ(K53:K$76)))</f>
        <v>1.3576344992017737E-5</v>
      </c>
      <c r="O52" s="340">
        <f t="shared" si="14"/>
        <v>50.366203468636982</v>
      </c>
      <c r="P52" s="332">
        <f t="shared" si="7"/>
        <v>0.89277194495734369</v>
      </c>
      <c r="Q52" s="342">
        <f>SQRT(((1-P52)/$J$77)^2*SUMSQ(K$8:K52)+(P52/$J$77)^2*SUMSQ(K53:K$76))</f>
        <v>6.3556659389203511E-3</v>
      </c>
      <c r="R52" s="340">
        <f t="shared" si="15"/>
        <v>0.71190251607021804</v>
      </c>
      <c r="S52" s="343">
        <f t="shared" si="16"/>
        <v>2.6730604153321653E-9</v>
      </c>
      <c r="T52" s="344">
        <f t="shared" si="17"/>
        <v>8.4170112843513619E-12</v>
      </c>
      <c r="U52" s="344">
        <f>IF(P52&lt;=0.85, (1/(3*H52*$J$77))*SQRT( ((1-P52)*(1/SQRT(1-PI()*P52/3)-1) + (1-P51)*(1-1/SQRT(1-PI()*P51/3)))^2*SUMSQ(K$8:K51) + ( (1-P52)*(1/SQRT(1-PI()*P52/3)-1) -P51*(1-1/SQRT(1-PI()*P51/3)) )^2*K52^2 + ( P52*(1-1/SQRT(1-PI()*P52/3)) - P51*(1-1/SQRT(1-PI()*P51/3)) )^2*SUMSQ(K53:K$76) ), (1/(PI()^2*H52*$J$77))*SQRT((1+P51/(1-P51))^2*K52^2+(P51/(1-P51)-P52/(1-P52))^2*SUMSQ(K53:K$76)) )</f>
        <v>1.3480856841720292E-9</v>
      </c>
      <c r="V52" s="345">
        <f t="shared" si="18"/>
        <v>1.3481119604649047E-9</v>
      </c>
      <c r="W52" s="340">
        <f t="shared" si="19"/>
        <v>50.433276881150576</v>
      </c>
      <c r="X52" s="345">
        <f t="shared" si="20"/>
        <v>2.6962239209298094E-9</v>
      </c>
      <c r="Y52" s="338">
        <f t="shared" si="8"/>
        <v>-19.740041797975405</v>
      </c>
      <c r="Z52" s="346">
        <f t="shared" si="21"/>
        <v>0.50433276881150579</v>
      </c>
      <c r="AA52" s="346">
        <f t="shared" si="22"/>
        <v>2.5548718385349702</v>
      </c>
      <c r="AB52" s="346">
        <f t="shared" si="9"/>
        <v>1.0086655376230116</v>
      </c>
      <c r="AC52" s="336">
        <f t="shared" si="2"/>
        <v>3.4495737737444979E-13</v>
      </c>
      <c r="AD52" s="337">
        <f t="shared" si="3"/>
        <v>1.7439680913991369E-13</v>
      </c>
      <c r="AE52" s="308">
        <f t="shared" si="10"/>
        <v>50.556045638822994</v>
      </c>
      <c r="AF52" s="337">
        <f t="shared" si="11"/>
        <v>3.4879361827982738E-13</v>
      </c>
      <c r="AG52" s="338">
        <f t="shared" si="23"/>
        <v>-28.69535552935367</v>
      </c>
      <c r="AH52" s="339">
        <f t="shared" si="24"/>
        <v>0.50556045638822988</v>
      </c>
      <c r="AI52" s="340">
        <f t="shared" si="25"/>
        <v>1.7618198034558976</v>
      </c>
      <c r="AJ52" s="341">
        <f t="shared" si="12"/>
        <v>1.0111209127764598</v>
      </c>
    </row>
    <row r="53" spans="1:36" x14ac:dyDescent="0.2">
      <c r="A53" s="309">
        <v>46</v>
      </c>
      <c r="B53" s="309">
        <f t="shared" si="13"/>
        <v>47.707833333333326</v>
      </c>
      <c r="C53" s="1">
        <v>457</v>
      </c>
      <c r="D53" s="347">
        <v>2</v>
      </c>
      <c r="E53" s="326">
        <f t="shared" si="4"/>
        <v>13.695815928233925</v>
      </c>
      <c r="F53" s="327">
        <f t="shared" si="0"/>
        <v>3.6508207371309179E-2</v>
      </c>
      <c r="G53" s="309">
        <f t="shared" si="5"/>
        <v>2.6459388888888884</v>
      </c>
      <c r="H53" s="1">
        <v>9525.3799999999992</v>
      </c>
      <c r="I53" s="324">
        <v>30</v>
      </c>
      <c r="J53" s="1">
        <v>1.7000000000000001E-4</v>
      </c>
      <c r="K53" s="1">
        <v>1.0000000000000001E-5</v>
      </c>
      <c r="L53" s="328">
        <f t="shared" si="6"/>
        <v>5.8823529411764701</v>
      </c>
      <c r="M53" s="329">
        <f t="shared" si="1"/>
        <v>2.2911977573217249E-4</v>
      </c>
      <c r="N53" s="342">
        <f>(1/$J$77)*SQRT(((1-J54/$J$77)*K53)^2+(J54/$J$77)^2*(SUMSQ(K$8:K52)+SUMSQ(K54:K$76)))</f>
        <v>1.3643706949604774E-5</v>
      </c>
      <c r="O53" s="340">
        <f t="shared" si="14"/>
        <v>5.9548360267048546</v>
      </c>
      <c r="P53" s="332">
        <f t="shared" si="7"/>
        <v>0.89300106473307583</v>
      </c>
      <c r="Q53" s="342">
        <f>SQRT(((1-P53)/$J$77)^2*SUMSQ(K$8:K53)+(P53/$J$77)^2*SUMSQ(K54:K$76))</f>
        <v>6.35727802486683E-3</v>
      </c>
      <c r="R53" s="340">
        <f t="shared" si="15"/>
        <v>0.71190038578140602</v>
      </c>
      <c r="S53" s="343">
        <f t="shared" si="16"/>
        <v>2.2752886207112147E-8</v>
      </c>
      <c r="T53" s="344">
        <f t="shared" si="17"/>
        <v>7.1659774855529578E-11</v>
      </c>
      <c r="U53" s="344">
        <f>IF(P53&lt;=0.85, (1/(3*H53*$J$77))*SQRT( ((1-P53)*(1/SQRT(1-PI()*P53/3)-1) + (1-P52)*(1-1/SQRT(1-PI()*P52/3)))^2*SUMSQ(K$8:K52) + ( (1-P53)*(1/SQRT(1-PI()*P53/3)-1) -P52*(1-1/SQRT(1-PI()*P52/3)) )^2*K53^2 + ( P53*(1-1/SQRT(1-PI()*P53/3)) - P52*(1-1/SQRT(1-PI()*P52/3)) )^2*SUMSQ(K54:K$76) ), (1/(PI()^2*H53*$J$77))*SQRT((1+P52/(1-P52))^2*K53^2+(P52/(1-P52)-P53/(1-P53))^2*SUMSQ(K54:K$76)) )</f>
        <v>2.0181947580930304E-9</v>
      </c>
      <c r="V53" s="345">
        <f t="shared" si="18"/>
        <v>2.0194665644487732E-9</v>
      </c>
      <c r="W53" s="340">
        <f t="shared" si="19"/>
        <v>8.8756500870536748</v>
      </c>
      <c r="X53" s="345">
        <f t="shared" si="20"/>
        <v>4.0389331288975464E-9</v>
      </c>
      <c r="Y53" s="338">
        <f t="shared" si="8"/>
        <v>-17.598573833349604</v>
      </c>
      <c r="Z53" s="346">
        <f t="shared" si="21"/>
        <v>8.8756500870536756E-2</v>
      </c>
      <c r="AA53" s="346">
        <f t="shared" si="22"/>
        <v>0.50433916811112067</v>
      </c>
      <c r="AB53" s="346">
        <f t="shared" si="9"/>
        <v>0.17751300174107351</v>
      </c>
      <c r="AC53" s="336">
        <f t="shared" si="2"/>
        <v>2.9362508638733398E-12</v>
      </c>
      <c r="AD53" s="337">
        <f t="shared" si="3"/>
        <v>2.8037044434382829E-13</v>
      </c>
      <c r="AE53" s="308">
        <f t="shared" si="10"/>
        <v>9.5485861849685119</v>
      </c>
      <c r="AF53" s="337">
        <f t="shared" si="11"/>
        <v>5.6074088868765657E-13</v>
      </c>
      <c r="AG53" s="338">
        <f t="shared" si="23"/>
        <v>-26.553887564727869</v>
      </c>
      <c r="AH53" s="339">
        <f t="shared" si="24"/>
        <v>9.5485861849685105E-2</v>
      </c>
      <c r="AI53" s="340">
        <f t="shared" si="25"/>
        <v>0.35959277758079061</v>
      </c>
      <c r="AJ53" s="341">
        <f t="shared" si="12"/>
        <v>0.19097172369937021</v>
      </c>
    </row>
    <row r="54" spans="1:36" x14ac:dyDescent="0.2">
      <c r="A54" s="309">
        <v>47</v>
      </c>
      <c r="B54" s="309">
        <f t="shared" si="13"/>
        <v>50.353769444444438</v>
      </c>
      <c r="C54" s="1">
        <v>467</v>
      </c>
      <c r="D54" s="347">
        <v>2</v>
      </c>
      <c r="E54" s="326">
        <f t="shared" si="4"/>
        <v>13.510774842937243</v>
      </c>
      <c r="F54" s="327">
        <f t="shared" si="0"/>
        <v>3.5541337598862507E-2</v>
      </c>
      <c r="G54" s="309">
        <f t="shared" si="5"/>
        <v>2.6459361111111113</v>
      </c>
      <c r="H54" s="1">
        <v>9525.3700000000008</v>
      </c>
      <c r="I54" s="324">
        <v>30</v>
      </c>
      <c r="J54" s="1">
        <v>2.2000000000000001E-4</v>
      </c>
      <c r="K54" s="1">
        <v>1.0000000000000001E-5</v>
      </c>
      <c r="L54" s="328">
        <f t="shared" si="6"/>
        <v>4.5454545454545459</v>
      </c>
      <c r="M54" s="329">
        <f t="shared" si="1"/>
        <v>2.9650794506516442E-4</v>
      </c>
      <c r="N54" s="342">
        <f>(1/$J$77)*SQRT(((1-J55/$J$77)*K54)^2+(J55/$J$77)^2*(SUMSQ(K$8:K53)+SUMSQ(K55:K$76)))</f>
        <v>1.3504605307595278E-5</v>
      </c>
      <c r="O54" s="340">
        <f t="shared" si="14"/>
        <v>4.5545509091256671</v>
      </c>
      <c r="P54" s="332">
        <f t="shared" si="7"/>
        <v>0.89329757267814103</v>
      </c>
      <c r="Q54" s="342">
        <f>SQRT(((1-P54)/$J$77)^2*SUMSQ(K$8:K54)+(P54/$J$77)^2*SUMSQ(K55:K$76))</f>
        <v>6.3593675745972607E-3</v>
      </c>
      <c r="R54" s="340">
        <f t="shared" si="15"/>
        <v>0.71189800231199873</v>
      </c>
      <c r="S54" s="343">
        <f t="shared" si="16"/>
        <v>2.9517374023118215E-8</v>
      </c>
      <c r="T54" s="344">
        <f t="shared" si="17"/>
        <v>9.2964495940162561E-11</v>
      </c>
      <c r="U54" s="344">
        <f>IF(P54&lt;=0.85, (1/(3*H54*$J$77))*SQRT( ((1-P54)*(1/SQRT(1-PI()*P54/3)-1) + (1-P53)*(1-1/SQRT(1-PI()*P53/3)))^2*SUMSQ(K$8:K53) + ( (1-P54)*(1/SQRT(1-PI()*P54/3)-1) -P53*(1-1/SQRT(1-PI()*P53/3)) )^2*K54^2 + ( P54*(1-1/SQRT(1-PI()*P54/3)) - P53*(1-1/SQRT(1-PI()*P53/3)) )^2*SUMSQ(K55:K$76) ), (1/(PI()^2*H54*$J$77))*SQRT((1+P53/(1-P53))^2*K54^2+(P53/(1-P53)-P54/(1-P54))^2*SUMSQ(K55:K$76)) )</f>
        <v>2.3792371933912493E-9</v>
      </c>
      <c r="V54" s="345">
        <f t="shared" si="18"/>
        <v>2.3810527125457927E-9</v>
      </c>
      <c r="W54" s="340">
        <f t="shared" si="19"/>
        <v>8.066614295299221</v>
      </c>
      <c r="X54" s="345">
        <f t="shared" si="20"/>
        <v>4.7621054250915854E-9</v>
      </c>
      <c r="Y54" s="338">
        <f t="shared" si="8"/>
        <v>-17.338286797027376</v>
      </c>
      <c r="Z54" s="346">
        <f t="shared" si="21"/>
        <v>8.0666142952992209E-2</v>
      </c>
      <c r="AA54" s="346">
        <f t="shared" si="22"/>
        <v>0.46524863671549316</v>
      </c>
      <c r="AB54" s="346">
        <f t="shared" si="9"/>
        <v>0.16133228590598442</v>
      </c>
      <c r="AC54" s="336">
        <f t="shared" si="2"/>
        <v>3.8092053107337963E-12</v>
      </c>
      <c r="AD54" s="337">
        <f t="shared" si="3"/>
        <v>3.352719608988474E-13</v>
      </c>
      <c r="AE54" s="308">
        <f t="shared" si="10"/>
        <v>8.8016248416460741</v>
      </c>
      <c r="AF54" s="337">
        <f t="shared" si="11"/>
        <v>6.7054392179769479E-13</v>
      </c>
      <c r="AG54" s="338">
        <f t="shared" si="23"/>
        <v>-26.293600528405637</v>
      </c>
      <c r="AH54" s="339">
        <f t="shared" si="24"/>
        <v>8.801624841646076E-2</v>
      </c>
      <c r="AI54" s="340">
        <f t="shared" si="25"/>
        <v>0.33474399339631933</v>
      </c>
      <c r="AJ54" s="341">
        <f t="shared" si="12"/>
        <v>0.17603249683292152</v>
      </c>
    </row>
    <row r="55" spans="1:36" x14ac:dyDescent="0.2">
      <c r="A55" s="309">
        <v>48</v>
      </c>
      <c r="B55" s="309">
        <f t="shared" si="13"/>
        <v>52.999152777777773</v>
      </c>
      <c r="C55" s="1">
        <v>477</v>
      </c>
      <c r="D55" s="347">
        <v>2</v>
      </c>
      <c r="E55" s="326">
        <f t="shared" si="4"/>
        <v>13.330667199893355</v>
      </c>
      <c r="F55" s="327">
        <f t="shared" si="0"/>
        <v>3.4612374653394389E-2</v>
      </c>
      <c r="G55" s="309">
        <f t="shared" si="5"/>
        <v>2.6453833333333332</v>
      </c>
      <c r="H55" s="1">
        <v>9523.3799999999992</v>
      </c>
      <c r="I55" s="324">
        <v>30</v>
      </c>
      <c r="J55" s="1">
        <v>9.0000000000000006E-5</v>
      </c>
      <c r="K55" s="1">
        <v>1.0000000000000001E-5</v>
      </c>
      <c r="L55" s="328">
        <f t="shared" si="6"/>
        <v>11.111111111111112</v>
      </c>
      <c r="M55" s="329">
        <f t="shared" si="1"/>
        <v>1.2129870479938544E-4</v>
      </c>
      <c r="N55" s="342">
        <f>(1/$J$77)*SQRT(((1-J56/$J$77)*K55)^2+(J56/$J$77)^2*(SUMSQ(K$8:K54)+SUMSQ(K56:K$76)))</f>
        <v>1.3498787893377279E-5</v>
      </c>
      <c r="O55" s="340">
        <f t="shared" si="14"/>
        <v>11.128550725832376</v>
      </c>
      <c r="P55" s="332">
        <f t="shared" si="7"/>
        <v>0.8934188713829404</v>
      </c>
      <c r="Q55" s="342">
        <f>SQRT(((1-P55)/$J$77)^2*SUMSQ(K$8:K55)+(P55/$J$77)^2*SUMSQ(K56:K$76))</f>
        <v>6.3602157572109881E-3</v>
      </c>
      <c r="R55" s="340">
        <f t="shared" si="15"/>
        <v>0.71189628526268833</v>
      </c>
      <c r="S55" s="343">
        <f t="shared" si="16"/>
        <v>1.2101465695858646E-8</v>
      </c>
      <c r="T55" s="344">
        <f t="shared" si="17"/>
        <v>3.8121336214217996E-11</v>
      </c>
      <c r="U55" s="344">
        <f>IF(P55&lt;=0.85, (1/(3*H55*$J$77))*SQRT( ((1-P55)*(1/SQRT(1-PI()*P55/3)-1) + (1-P54)*(1-1/SQRT(1-PI()*P54/3)))^2*SUMSQ(K$8:K54) + ( (1-P55)*(1/SQRT(1-PI()*P55/3)-1) -P54*(1-1/SQRT(1-PI()*P54/3)) )^2*K55^2 + ( P55*(1-1/SQRT(1-PI()*P55/3)) - P54*(1-1/SQRT(1-PI()*P54/3)) )^2*SUMSQ(K56:K$76) ), (1/(PI()^2*H55*$J$77))*SQRT((1+P54/(1-P54))^2*K55^2+(P54/(1-P54)-P55/(1-P55))^2*SUMSQ(K56:K$76)) )</f>
        <v>1.5678631868108101E-9</v>
      </c>
      <c r="V55" s="345">
        <f t="shared" si="18"/>
        <v>1.5683265631976353E-9</v>
      </c>
      <c r="W55" s="340">
        <f t="shared" si="19"/>
        <v>12.959806709482693</v>
      </c>
      <c r="X55" s="345">
        <f t="shared" si="20"/>
        <v>3.1366531263952706E-9</v>
      </c>
      <c r="Y55" s="338">
        <f t="shared" si="8"/>
        <v>-18.229939259790445</v>
      </c>
      <c r="Z55" s="346">
        <f t="shared" si="21"/>
        <v>0.12959806709482694</v>
      </c>
      <c r="AA55" s="346">
        <f t="shared" si="22"/>
        <v>0.71090783818835768</v>
      </c>
      <c r="AB55" s="346">
        <f t="shared" si="9"/>
        <v>0.25919613418965387</v>
      </c>
      <c r="AC55" s="336">
        <f t="shared" si="2"/>
        <v>1.5616893074642797E-12</v>
      </c>
      <c r="AD55" s="337">
        <f t="shared" si="3"/>
        <v>2.0972907345808685E-13</v>
      </c>
      <c r="AE55" s="308">
        <f t="shared" si="10"/>
        <v>13.429628573088245</v>
      </c>
      <c r="AF55" s="337">
        <f t="shared" si="11"/>
        <v>4.194581469161737E-13</v>
      </c>
      <c r="AG55" s="338">
        <f t="shared" si="23"/>
        <v>-27.18525299116871</v>
      </c>
      <c r="AH55" s="339">
        <f t="shared" si="24"/>
        <v>0.13429628573088245</v>
      </c>
      <c r="AI55" s="340">
        <f t="shared" si="25"/>
        <v>0.49400417856883433</v>
      </c>
      <c r="AJ55" s="341">
        <f t="shared" si="12"/>
        <v>0.26859257146176491</v>
      </c>
    </row>
    <row r="56" spans="1:36" x14ac:dyDescent="0.2">
      <c r="A56" s="309">
        <v>49</v>
      </c>
      <c r="B56" s="309">
        <f t="shared" si="13"/>
        <v>55.644530555555548</v>
      </c>
      <c r="C56" s="1">
        <v>487</v>
      </c>
      <c r="D56" s="347">
        <v>2</v>
      </c>
      <c r="E56" s="326">
        <f t="shared" si="4"/>
        <v>13.155298296388871</v>
      </c>
      <c r="F56" s="327">
        <f t="shared" si="0"/>
        <v>3.3719362571361711E-2</v>
      </c>
      <c r="G56" s="309">
        <f t="shared" si="5"/>
        <v>2.6453777777777776</v>
      </c>
      <c r="H56" s="1">
        <v>9523.36</v>
      </c>
      <c r="I56" s="324">
        <v>30</v>
      </c>
      <c r="J56" s="1">
        <v>8.0000000000000007E-5</v>
      </c>
      <c r="K56" s="1">
        <v>1.0000000000000001E-5</v>
      </c>
      <c r="L56" s="328">
        <f t="shared" si="6"/>
        <v>12.5</v>
      </c>
      <c r="M56" s="329">
        <f t="shared" si="1"/>
        <v>1.0782107093278707E-4</v>
      </c>
      <c r="N56" s="342">
        <f>(1/$J$77)*SQRT(((1-J57/$J$77)*K56)^2+(J57/$J$77)^2*(SUMSQ(K$8:K55)+SUMSQ(K57:K$76)))</f>
        <v>1.3675437037518331E-5</v>
      </c>
      <c r="O56" s="340">
        <f t="shared" si="14"/>
        <v>12.683455023409342</v>
      </c>
      <c r="P56" s="332">
        <f t="shared" si="7"/>
        <v>0.89352669245387317</v>
      </c>
      <c r="Q56" s="342">
        <f>SQRT(((1-P56)/$J$77)^2*SUMSQ(K$8:K56)+(P56/$J$77)^2*SUMSQ(K57:K$76))</f>
        <v>6.3609684497766706E-3</v>
      </c>
      <c r="R56" s="340">
        <f t="shared" si="15"/>
        <v>0.7118946197687368</v>
      </c>
      <c r="S56" s="343">
        <f t="shared" si="16"/>
        <v>1.0768448747168576E-8</v>
      </c>
      <c r="T56" s="344">
        <f t="shared" si="17"/>
        <v>3.3922214682114009E-11</v>
      </c>
      <c r="U56" s="344">
        <f>IF(P56&lt;=0.85, (1/(3*H56*$J$77))*SQRT( ((1-P56)*(1/SQRT(1-PI()*P56/3)-1) + (1-P55)*(1-1/SQRT(1-PI()*P55/3)))^2*SUMSQ(K$8:K55) + ( (1-P56)*(1/SQRT(1-PI()*P56/3)-1) -P55*(1-1/SQRT(1-PI()*P55/3)) )^2*K56^2 + ( P56*(1-1/SQRT(1-PI()*P56/3)) - P55*(1-1/SQRT(1-PI()*P55/3)) )^2*SUMSQ(K57:K$76) ), (1/(PI()^2*H56*$J$77))*SQRT((1+P55/(1-P55))^2*K56^2+(P55/(1-P55)-P56/(1-P56))^2*SUMSQ(K57:K$76)) )</f>
        <v>1.5256597784167967E-9</v>
      </c>
      <c r="V56" s="345">
        <f t="shared" si="18"/>
        <v>1.5260368528078634E-9</v>
      </c>
      <c r="W56" s="340">
        <f t="shared" si="19"/>
        <v>14.171371277679293</v>
      </c>
      <c r="X56" s="345">
        <f t="shared" si="20"/>
        <v>3.0520737056157268E-9</v>
      </c>
      <c r="Y56" s="338">
        <f t="shared" si="8"/>
        <v>-18.346645390769684</v>
      </c>
      <c r="Z56" s="346">
        <f t="shared" si="21"/>
        <v>0.14171371277679293</v>
      </c>
      <c r="AA56" s="346">
        <f t="shared" si="22"/>
        <v>0.77242302207514191</v>
      </c>
      <c r="AB56" s="346">
        <f t="shared" si="9"/>
        <v>0.28342742555358585</v>
      </c>
      <c r="AC56" s="336">
        <f t="shared" si="2"/>
        <v>1.389664003442606E-12</v>
      </c>
      <c r="AD56" s="337">
        <f t="shared" si="3"/>
        <v>2.02922398705274E-13</v>
      </c>
      <c r="AE56" s="308">
        <f t="shared" si="10"/>
        <v>14.60226343940518</v>
      </c>
      <c r="AF56" s="337">
        <f t="shared" si="11"/>
        <v>4.0584479741054801E-13</v>
      </c>
      <c r="AG56" s="338">
        <f t="shared" si="23"/>
        <v>-27.301959122147949</v>
      </c>
      <c r="AH56" s="339">
        <f t="shared" si="24"/>
        <v>0.1460226343940518</v>
      </c>
      <c r="AI56" s="340">
        <f t="shared" si="25"/>
        <v>0.53484306287600814</v>
      </c>
      <c r="AJ56" s="341">
        <f t="shared" si="12"/>
        <v>0.29204526878810361</v>
      </c>
    </row>
    <row r="57" spans="1:36" x14ac:dyDescent="0.2">
      <c r="A57" s="309">
        <v>50</v>
      </c>
      <c r="B57" s="309">
        <f t="shared" si="13"/>
        <v>58.291377777777768</v>
      </c>
      <c r="C57" s="1">
        <v>497</v>
      </c>
      <c r="D57" s="347">
        <v>2</v>
      </c>
      <c r="E57" s="326">
        <f t="shared" si="4"/>
        <v>12.98448354216711</v>
      </c>
      <c r="F57" s="327">
        <f t="shared" si="0"/>
        <v>3.2860469938648558E-2</v>
      </c>
      <c r="G57" s="309">
        <f t="shared" si="5"/>
        <v>2.6468472222222221</v>
      </c>
      <c r="H57" s="1">
        <v>9528.65</v>
      </c>
      <c r="I57" s="324">
        <v>30</v>
      </c>
      <c r="J57" s="1">
        <v>2.4000000000000001E-4</v>
      </c>
      <c r="K57" s="1">
        <v>1.0000000000000001E-5</v>
      </c>
      <c r="L57" s="328">
        <f t="shared" si="6"/>
        <v>4.166666666666667</v>
      </c>
      <c r="M57" s="329">
        <f t="shared" si="1"/>
        <v>3.2346321279836114E-4</v>
      </c>
      <c r="N57" s="342">
        <f>(1/$J$77)*SQRT(((1-J58/$J$77)*K57)^2+(J58/$J$77)^2*(SUMSQ(K$8:K56)+SUMSQ(K58:K$76)))</f>
        <v>1.4571408850370631E-5</v>
      </c>
      <c r="O57" s="340">
        <f t="shared" si="14"/>
        <v>4.504811760295623</v>
      </c>
      <c r="P57" s="332">
        <f t="shared" si="7"/>
        <v>0.89385015566667159</v>
      </c>
      <c r="Q57" s="342">
        <f>SQRT(((1-P57)/$J$77)^2*SUMSQ(K$8:K57)+(P57/$J$77)^2*SUMSQ(K58:K$76))</f>
        <v>6.3632490172475008E-3</v>
      </c>
      <c r="R57" s="340">
        <f t="shared" si="15"/>
        <v>0.71189214175406368</v>
      </c>
      <c r="S57" s="343">
        <f t="shared" si="16"/>
        <v>3.2352925255645354E-8</v>
      </c>
      <c r="T57" s="344">
        <f t="shared" si="17"/>
        <v>1.0185994423862358E-10</v>
      </c>
      <c r="U57" s="344">
        <f>IF(P57&lt;=0.85, (1/(3*H57*$J$77))*SQRT( ((1-P57)*(1/SQRT(1-PI()*P57/3)-1) + (1-P56)*(1-1/SQRT(1-PI()*P56/3)))^2*SUMSQ(K$8:K56) + ( (1-P57)*(1/SQRT(1-PI()*P57/3)-1) -P56*(1-1/SQRT(1-PI()*P56/3)) )^2*K57^2 + ( P57*(1-1/SQRT(1-PI()*P57/3)) - P56*(1-1/SQRT(1-PI()*P56/3)) )^2*SUMSQ(K58:K$76) ), (1/(PI()^2*H57*$J$77))*SQRT((1+P56/(1-P56))^2*K57^2+(P56/(1-P56)-P57/(1-P57))^2*SUMSQ(K58:K$76)) )</f>
        <v>2.550063094103572E-9</v>
      </c>
      <c r="V57" s="345">
        <f t="shared" si="18"/>
        <v>2.552096634563311E-9</v>
      </c>
      <c r="W57" s="340">
        <f t="shared" si="19"/>
        <v>7.8883025704700014</v>
      </c>
      <c r="X57" s="345">
        <f t="shared" si="20"/>
        <v>5.104193269126622E-9</v>
      </c>
      <c r="Y57" s="338">
        <f t="shared" si="8"/>
        <v>-17.246561394874465</v>
      </c>
      <c r="Z57" s="346">
        <f t="shared" si="21"/>
        <v>7.8883025704700016E-2</v>
      </c>
      <c r="AA57" s="346">
        <f t="shared" si="22"/>
        <v>0.45738407731609265</v>
      </c>
      <c r="AB57" s="346">
        <f t="shared" si="9"/>
        <v>0.15776605140940003</v>
      </c>
      <c r="AC57" s="336">
        <f t="shared" si="2"/>
        <v>4.1751320630709309E-12</v>
      </c>
      <c r="AD57" s="337">
        <f t="shared" si="3"/>
        <v>3.6066870800927915E-13</v>
      </c>
      <c r="AE57" s="308">
        <f t="shared" si="10"/>
        <v>8.6384981974437682</v>
      </c>
      <c r="AF57" s="337">
        <f t="shared" si="11"/>
        <v>7.2133741601855829E-13</v>
      </c>
      <c r="AG57" s="338">
        <f t="shared" si="23"/>
        <v>-26.20187512625273</v>
      </c>
      <c r="AH57" s="339">
        <f t="shared" si="24"/>
        <v>8.6384981974437669E-2</v>
      </c>
      <c r="AI57" s="340">
        <f t="shared" si="25"/>
        <v>0.32969007583691989</v>
      </c>
      <c r="AJ57" s="341">
        <f t="shared" si="12"/>
        <v>0.17276996394887534</v>
      </c>
    </row>
    <row r="58" spans="1:36" x14ac:dyDescent="0.2">
      <c r="A58" s="309">
        <v>51</v>
      </c>
      <c r="B58" s="309">
        <f t="shared" si="13"/>
        <v>60.936194444444432</v>
      </c>
      <c r="C58" s="1">
        <v>507</v>
      </c>
      <c r="D58" s="347">
        <v>2</v>
      </c>
      <c r="E58" s="326">
        <f t="shared" si="4"/>
        <v>12.818047811318337</v>
      </c>
      <c r="F58" s="327">
        <f t="shared" si="0"/>
        <v>3.2034791341569196E-2</v>
      </c>
      <c r="G58" s="309">
        <f t="shared" si="5"/>
        <v>2.6448166666666664</v>
      </c>
      <c r="H58" s="1">
        <v>9521.34</v>
      </c>
      <c r="I58" s="324">
        <v>30</v>
      </c>
      <c r="J58" s="1">
        <v>5.6999999999999998E-4</v>
      </c>
      <c r="K58" s="1">
        <v>1.0000000000000001E-5</v>
      </c>
      <c r="L58" s="328">
        <f t="shared" si="6"/>
        <v>1.754385964912281</v>
      </c>
      <c r="M58" s="329">
        <f t="shared" si="1"/>
        <v>7.6822513039610774E-4</v>
      </c>
      <c r="N58" s="342">
        <f>(1/$J$77)*SQRT(((1-J59/$J$77)*K58)^2+(J59/$J$77)^2*(SUMSQ(K$8:K57)+SUMSQ(K59:K$76)))</f>
        <v>1.4325617135735256E-5</v>
      </c>
      <c r="O58" s="340">
        <f t="shared" si="14"/>
        <v>1.8647680958248223</v>
      </c>
      <c r="P58" s="332">
        <f t="shared" si="7"/>
        <v>0.89461838079706768</v>
      </c>
      <c r="Q58" s="342">
        <f>SQRT(((1-P58)/$J$77)^2*SUMSQ(K$8:K58)+(P58/$J$77)^2*SUMSQ(K59:K$76))</f>
        <v>6.3686809479434718E-3</v>
      </c>
      <c r="R58" s="340">
        <f t="shared" si="15"/>
        <v>0.71188800550568199</v>
      </c>
      <c r="S58" s="343">
        <f t="shared" si="16"/>
        <v>7.7294327246371972E-8</v>
      </c>
      <c r="T58" s="344">
        <f t="shared" si="17"/>
        <v>2.4354028082088853E-10</v>
      </c>
      <c r="U58" s="344">
        <f>IF(P58&lt;=0.85, (1/(3*H58*$J$77))*SQRT( ((1-P58)*(1/SQRT(1-PI()*P58/3)-1) + (1-P57)*(1-1/SQRT(1-PI()*P57/3)))^2*SUMSQ(K$8:K57) + ( (1-P58)*(1/SQRT(1-PI()*P58/3)-1) -P57*(1-1/SQRT(1-PI()*P57/3)) )^2*K58^2 + ( P58*(1-1/SQRT(1-PI()*P58/3)) - P57*(1-1/SQRT(1-PI()*P57/3)) )^2*SUMSQ(K59:K$76) ), (1/(PI()^2*H58*$J$77))*SQRT((1+P57/(1-P57))^2*K58^2+(P57/(1-P57)-P58/(1-P58))^2*SUMSQ(K59:K$76)) )</f>
        <v>5.3739131239030111E-9</v>
      </c>
      <c r="V58" s="345">
        <f t="shared" si="18"/>
        <v>5.3794287923198066E-9</v>
      </c>
      <c r="W58" s="340">
        <f t="shared" si="19"/>
        <v>6.9596683016246903</v>
      </c>
      <c r="X58" s="345">
        <f t="shared" si="20"/>
        <v>1.0758857584639613E-8</v>
      </c>
      <c r="Y58" s="338">
        <f t="shared" si="8"/>
        <v>-16.375645270250697</v>
      </c>
      <c r="Z58" s="346">
        <f t="shared" si="21"/>
        <v>6.9596683016246899E-2</v>
      </c>
      <c r="AA58" s="346">
        <f t="shared" si="22"/>
        <v>0.42500116403157429</v>
      </c>
      <c r="AB58" s="346">
        <f t="shared" si="9"/>
        <v>0.1391933660324938</v>
      </c>
      <c r="AC58" s="336">
        <f t="shared" si="2"/>
        <v>9.9748020134134027E-12</v>
      </c>
      <c r="AD58" s="337">
        <f t="shared" si="3"/>
        <v>7.7800460989291336E-13</v>
      </c>
      <c r="AE58" s="308">
        <f t="shared" si="10"/>
        <v>7.7996997719524481</v>
      </c>
      <c r="AF58" s="337">
        <f t="shared" si="11"/>
        <v>1.5560092197858267E-12</v>
      </c>
      <c r="AG58" s="338">
        <f t="shared" si="23"/>
        <v>-25.330959001628958</v>
      </c>
      <c r="AH58" s="339">
        <f t="shared" si="24"/>
        <v>7.799699771952448E-2</v>
      </c>
      <c r="AI58" s="340">
        <f t="shared" si="25"/>
        <v>0.30791174433825708</v>
      </c>
      <c r="AJ58" s="341">
        <f t="shared" si="12"/>
        <v>0.15599399543904896</v>
      </c>
    </row>
    <row r="59" spans="1:36" x14ac:dyDescent="0.2">
      <c r="A59" s="309">
        <v>52</v>
      </c>
      <c r="B59" s="309">
        <f t="shared" si="13"/>
        <v>63.582686111111101</v>
      </c>
      <c r="C59" s="1">
        <v>516.99</v>
      </c>
      <c r="D59" s="347">
        <v>2</v>
      </c>
      <c r="E59" s="326">
        <f t="shared" si="4"/>
        <v>12.655985015313743</v>
      </c>
      <c r="F59" s="327">
        <f t="shared" si="0"/>
        <v>3.1239065370423976E-2</v>
      </c>
      <c r="G59" s="309">
        <f t="shared" si="5"/>
        <v>2.6464916666666669</v>
      </c>
      <c r="H59" s="1">
        <v>9527.3700000000008</v>
      </c>
      <c r="I59" s="324">
        <v>30</v>
      </c>
      <c r="J59" s="1">
        <v>5.0000000000000001E-4</v>
      </c>
      <c r="K59" s="1">
        <v>1.0000000000000001E-5</v>
      </c>
      <c r="L59" s="328">
        <f t="shared" si="6"/>
        <v>2</v>
      </c>
      <c r="M59" s="329">
        <f t="shared" si="1"/>
        <v>6.7388169332991907E-4</v>
      </c>
      <c r="N59" s="342">
        <f>(1/$J$77)*SQRT(((1-J60/$J$77)*K59)^2+(J60/$J$77)^2*(SUMSQ(K$8:K58)+SUMSQ(K60:K$76)))</f>
        <v>1.4080107419020338E-5</v>
      </c>
      <c r="O59" s="340">
        <f t="shared" si="14"/>
        <v>2.089403460338104</v>
      </c>
      <c r="P59" s="332">
        <f t="shared" si="7"/>
        <v>0.89529226249039762</v>
      </c>
      <c r="Q59" s="342">
        <f>SQRT(((1-P59)/$J$77)^2*SUMSQ(K$8:K59)+(P59/$J$77)^2*SUMSQ(K60:K$76))</f>
        <v>6.3734445674726026E-3</v>
      </c>
      <c r="R59" s="340">
        <f t="shared" si="15"/>
        <v>0.71188424545788587</v>
      </c>
      <c r="S59" s="343">
        <f t="shared" si="16"/>
        <v>6.8224178563136342E-8</v>
      </c>
      <c r="T59" s="344">
        <f t="shared" si="17"/>
        <v>2.1482584982992052E-10</v>
      </c>
      <c r="U59" s="344">
        <f>IF(P59&lt;=0.85, (1/(3*H59*$J$77))*SQRT( ((1-P59)*(1/SQRT(1-PI()*P59/3)-1) + (1-P58)*(1-1/SQRT(1-PI()*P58/3)))^2*SUMSQ(K$8:K58) + ( (1-P59)*(1/SQRT(1-PI()*P59/3)-1) -P58*(1-1/SQRT(1-PI()*P58/3)) )^2*K59^2 + ( P59*(1-1/SQRT(1-PI()*P59/3)) - P58*(1-1/SQRT(1-PI()*P58/3)) )^2*SUMSQ(K60:K$76) ), (1/(PI()^2*H59*$J$77))*SQRT((1+P58/(1-P58))^2*K59^2+(P58/(1-P58)-P59/(1-P59))^2*SUMSQ(K60:K$76)) )</f>
        <v>4.8183844714769851E-9</v>
      </c>
      <c r="V59" s="345">
        <f t="shared" si="18"/>
        <v>4.8231710586216716E-9</v>
      </c>
      <c r="W59" s="340">
        <f t="shared" si="19"/>
        <v>7.0695919836663039</v>
      </c>
      <c r="X59" s="345">
        <f t="shared" si="20"/>
        <v>9.6463421172433432E-9</v>
      </c>
      <c r="Y59" s="338">
        <f t="shared" si="8"/>
        <v>-16.500466810539752</v>
      </c>
      <c r="Z59" s="346">
        <f t="shared" si="21"/>
        <v>7.069591983666304E-2</v>
      </c>
      <c r="AA59" s="346">
        <f t="shared" si="22"/>
        <v>0.42844799876513606</v>
      </c>
      <c r="AB59" s="346">
        <f t="shared" si="9"/>
        <v>0.14139183967332608</v>
      </c>
      <c r="AC59" s="336">
        <f t="shared" si="2"/>
        <v>8.8043029539013186E-12</v>
      </c>
      <c r="AD59" s="337">
        <f t="shared" si="3"/>
        <v>6.9535861062244499E-13</v>
      </c>
      <c r="AE59" s="308">
        <f t="shared" si="10"/>
        <v>7.8979405213938163</v>
      </c>
      <c r="AF59" s="337">
        <f t="shared" si="11"/>
        <v>1.39071722124489E-12</v>
      </c>
      <c r="AG59" s="338">
        <f t="shared" si="23"/>
        <v>-25.455780541918017</v>
      </c>
      <c r="AH59" s="339">
        <f t="shared" si="24"/>
        <v>7.8979405213938161E-2</v>
      </c>
      <c r="AI59" s="340">
        <f t="shared" si="25"/>
        <v>0.31026118049644097</v>
      </c>
      <c r="AJ59" s="341">
        <f t="shared" si="12"/>
        <v>0.15795881042787632</v>
      </c>
    </row>
    <row r="60" spans="1:36" x14ac:dyDescent="0.2">
      <c r="A60" s="309">
        <v>53</v>
      </c>
      <c r="B60" s="309">
        <f t="shared" si="13"/>
        <v>66.228616666666653</v>
      </c>
      <c r="C60" s="1">
        <v>526.99</v>
      </c>
      <c r="D60" s="347">
        <v>2</v>
      </c>
      <c r="E60" s="326">
        <f t="shared" si="4"/>
        <v>12.497812882745519</v>
      </c>
      <c r="F60" s="327">
        <f t="shared" si="0"/>
        <v>3.0472623398490786E-2</v>
      </c>
      <c r="G60" s="309">
        <f t="shared" si="5"/>
        <v>2.6459305555555557</v>
      </c>
      <c r="H60" s="1">
        <v>9525.35</v>
      </c>
      <c r="I60" s="324">
        <v>30</v>
      </c>
      <c r="J60" s="1">
        <v>4.2000000000000002E-4</v>
      </c>
      <c r="K60" s="1">
        <v>1.0000000000000001E-5</v>
      </c>
      <c r="L60" s="328">
        <f t="shared" si="6"/>
        <v>2.3809523809523814</v>
      </c>
      <c r="M60" s="329">
        <f t="shared" si="1"/>
        <v>5.6606062239713205E-4</v>
      </c>
      <c r="N60" s="342">
        <f>(1/$J$77)*SQRT(((1-J61/$J$77)*K60)^2+(J61/$J$77)^2*(SUMSQ(K$8:K59)+SUMSQ(K61:K$76)))</f>
        <v>1.3972109976553524E-5</v>
      </c>
      <c r="O60" s="340">
        <f t="shared" si="14"/>
        <v>2.4683062950722419</v>
      </c>
      <c r="P60" s="332">
        <f t="shared" si="7"/>
        <v>0.89585832311279479</v>
      </c>
      <c r="Q60" s="342">
        <f>SQRT(((1-P60)/$J$77)^2*SUMSQ(K$8:K60)+(P60/$J$77)^2*SUMSQ(K61:K$76))</f>
        <v>6.3774443110569878E-3</v>
      </c>
      <c r="R60" s="340">
        <f t="shared" si="15"/>
        <v>0.71188090198208975</v>
      </c>
      <c r="S60" s="343">
        <f t="shared" si="16"/>
        <v>5.766071907019711E-8</v>
      </c>
      <c r="T60" s="344">
        <f t="shared" si="17"/>
        <v>1.8160189096525726E-10</v>
      </c>
      <c r="U60" s="344">
        <f>IF(P60&lt;=0.85, (1/(3*H60*$J$77))*SQRT( ((1-P60)*(1/SQRT(1-PI()*P60/3)-1) + (1-P59)*(1-1/SQRT(1-PI()*P59/3)))^2*SUMSQ(K$8:K59) + ( (1-P60)*(1/SQRT(1-PI()*P60/3)-1) -P59*(1-1/SQRT(1-PI()*P59/3)) )^2*K60^2 + ( P60*(1-1/SQRT(1-PI()*P60/3)) - P59*(1-1/SQRT(1-PI()*P59/3)) )^2*SUMSQ(K61:K$76) ), (1/(PI()^2*H60*$J$77))*SQRT((1+P59/(1-P59))^2*K60^2+(P59/(1-P59)-P60/(1-P60))^2*SUMSQ(K61:K$76)) )</f>
        <v>4.1615782410763804E-9</v>
      </c>
      <c r="V60" s="345">
        <f t="shared" si="18"/>
        <v>4.1655387050659528E-9</v>
      </c>
      <c r="W60" s="340">
        <f t="shared" si="19"/>
        <v>7.224222611575061</v>
      </c>
      <c r="X60" s="345">
        <f t="shared" si="20"/>
        <v>8.3310774101319055E-9</v>
      </c>
      <c r="Y60" s="338">
        <f t="shared" si="8"/>
        <v>-16.668689673946812</v>
      </c>
      <c r="Z60" s="346">
        <f t="shared" si="21"/>
        <v>7.224222611575061E-2</v>
      </c>
      <c r="AA60" s="346">
        <f t="shared" si="22"/>
        <v>0.43340075032211633</v>
      </c>
      <c r="AB60" s="346">
        <f t="shared" si="9"/>
        <v>0.14448445223150122</v>
      </c>
      <c r="AC60" s="336">
        <f t="shared" si="2"/>
        <v>7.4410927317213083E-12</v>
      </c>
      <c r="AD60" s="337">
        <f t="shared" si="3"/>
        <v>5.980144993184403E-13</v>
      </c>
      <c r="AE60" s="308">
        <f t="shared" si="10"/>
        <v>8.0366489288476419</v>
      </c>
      <c r="AF60" s="337">
        <f t="shared" si="11"/>
        <v>1.1960289986368806E-12</v>
      </c>
      <c r="AG60" s="338">
        <f t="shared" si="23"/>
        <v>-25.624003405325077</v>
      </c>
      <c r="AH60" s="339">
        <f t="shared" si="24"/>
        <v>8.0366489288476423E-2</v>
      </c>
      <c r="AI60" s="340">
        <f t="shared" si="25"/>
        <v>0.31363752188611943</v>
      </c>
      <c r="AJ60" s="341">
        <f t="shared" si="12"/>
        <v>0.16073297857695285</v>
      </c>
    </row>
    <row r="61" spans="1:36" x14ac:dyDescent="0.2">
      <c r="A61" s="309">
        <v>54</v>
      </c>
      <c r="B61" s="309">
        <f t="shared" si="13"/>
        <v>68.873991666666655</v>
      </c>
      <c r="C61" s="1">
        <v>536.99</v>
      </c>
      <c r="D61" s="347">
        <v>2</v>
      </c>
      <c r="E61" s="326">
        <f t="shared" si="4"/>
        <v>12.343545560026662</v>
      </c>
      <c r="F61" s="327">
        <f t="shared" si="0"/>
        <v>2.9734771035540737E-2</v>
      </c>
      <c r="G61" s="309">
        <f t="shared" si="5"/>
        <v>2.645375</v>
      </c>
      <c r="H61" s="1">
        <v>9523.35</v>
      </c>
      <c r="I61" s="324">
        <v>30</v>
      </c>
      <c r="J61" s="1">
        <v>3.8000000000000002E-4</v>
      </c>
      <c r="K61" s="1">
        <v>1.0000000000000001E-5</v>
      </c>
      <c r="L61" s="328">
        <f t="shared" si="6"/>
        <v>2.6315789473684212</v>
      </c>
      <c r="M61" s="329">
        <f t="shared" si="1"/>
        <v>5.1215008693073849E-4</v>
      </c>
      <c r="N61" s="342">
        <f>(1/$J$77)*SQRT(((1-J62/$J$77)*K61)^2+(J62/$J$77)^2*(SUMSQ(K$8:K60)+SUMSQ(K62:K$76)))</f>
        <v>1.5515405819058035E-5</v>
      </c>
      <c r="O61" s="340">
        <f t="shared" si="14"/>
        <v>3.0294646462017076</v>
      </c>
      <c r="P61" s="332">
        <f t="shared" si="7"/>
        <v>0.89637047319972551</v>
      </c>
      <c r="Q61" s="342">
        <f>SQRT(((1-P61)/$J$77)^2*SUMSQ(K$8:K61)+(P61/$J$77)^2*SUMSQ(K62:K$76))</f>
        <v>6.3810621337608312E-3</v>
      </c>
      <c r="R61" s="340">
        <f t="shared" si="15"/>
        <v>0.71187776980010242</v>
      </c>
      <c r="S61" s="343">
        <f t="shared" si="16"/>
        <v>5.2450940401342824E-8</v>
      </c>
      <c r="T61" s="344">
        <f t="shared" si="17"/>
        <v>1.6522843453619625E-10</v>
      </c>
      <c r="U61" s="344">
        <f>IF(P61&lt;=0.85, (1/(3*H61*$J$77))*SQRT( ((1-P61)*(1/SQRT(1-PI()*P61/3)-1) + (1-P60)*(1-1/SQRT(1-PI()*P60/3)))^2*SUMSQ(K$8:K60) + ( (1-P61)*(1/SQRT(1-PI()*P61/3)-1) -P60*(1-1/SQRT(1-PI()*P60/3)) )^2*K61^2 + ( P61*(1-1/SQRT(1-PI()*P61/3)) - P60*(1-1/SQRT(1-PI()*P60/3)) )^2*SUMSQ(K62:K$76) ), (1/(PI()^2*H61*$J$77))*SQRT((1+P60/(1-P60))^2*K61^2+(P60/(1-P60)-P61/(1-P61))^2*SUMSQ(K62:K$76)) )</f>
        <v>3.8481329524192478E-9</v>
      </c>
      <c r="V61" s="345">
        <f t="shared" si="18"/>
        <v>3.8516785503302531E-9</v>
      </c>
      <c r="W61" s="340">
        <f t="shared" si="19"/>
        <v>7.3433927415944762</v>
      </c>
      <c r="X61" s="345">
        <f t="shared" si="20"/>
        <v>7.7033571006605063E-9</v>
      </c>
      <c r="Y61" s="338">
        <f t="shared" si="8"/>
        <v>-16.763387572782609</v>
      </c>
      <c r="Z61" s="346">
        <f t="shared" si="21"/>
        <v>7.3433927415944761E-2</v>
      </c>
      <c r="AA61" s="346">
        <f t="shared" si="22"/>
        <v>0.43806138286257629</v>
      </c>
      <c r="AB61" s="346">
        <f t="shared" si="9"/>
        <v>0.14686785483188952</v>
      </c>
      <c r="AC61" s="336">
        <f t="shared" si="2"/>
        <v>6.7687728784171305E-12</v>
      </c>
      <c r="AD61" s="337">
        <f t="shared" si="3"/>
        <v>5.5124476828356789E-13</v>
      </c>
      <c r="AE61" s="308">
        <f t="shared" si="10"/>
        <v>8.1439395025539074</v>
      </c>
      <c r="AF61" s="337">
        <f t="shared" si="11"/>
        <v>1.1024895365671358E-12</v>
      </c>
      <c r="AG61" s="338">
        <f t="shared" si="23"/>
        <v>-25.718701304160874</v>
      </c>
      <c r="AH61" s="339">
        <f t="shared" si="24"/>
        <v>8.1439395025539082E-2</v>
      </c>
      <c r="AI61" s="340">
        <f t="shared" si="25"/>
        <v>0.31665438337029672</v>
      </c>
      <c r="AJ61" s="341">
        <f t="shared" si="12"/>
        <v>0.16287879005107816</v>
      </c>
    </row>
    <row r="62" spans="1:36" x14ac:dyDescent="0.2">
      <c r="A62" s="309">
        <v>55</v>
      </c>
      <c r="B62" s="309">
        <f t="shared" si="13"/>
        <v>71.52047499999999</v>
      </c>
      <c r="C62" s="1">
        <v>546.98</v>
      </c>
      <c r="D62" s="347">
        <v>2</v>
      </c>
      <c r="E62" s="326">
        <f t="shared" si="4"/>
        <v>12.193188884689013</v>
      </c>
      <c r="F62" s="327">
        <f t="shared" si="0"/>
        <v>2.8335899887454469E-2</v>
      </c>
      <c r="G62" s="309">
        <f t="shared" si="5"/>
        <v>2.6464833333333337</v>
      </c>
      <c r="H62" s="1">
        <v>9527.34</v>
      </c>
      <c r="I62" s="324">
        <v>30</v>
      </c>
      <c r="J62" s="1">
        <v>7.9000000000000001E-4</v>
      </c>
      <c r="K62" s="1">
        <v>2.0000000000000002E-5</v>
      </c>
      <c r="L62" s="328">
        <f t="shared" si="6"/>
        <v>2.5316455696202533</v>
      </c>
      <c r="M62" s="329">
        <f t="shared" si="1"/>
        <v>1.0647330754612722E-3</v>
      </c>
      <c r="N62" s="342">
        <f>(1/$J$77)*SQRT(((1-J63/$J$77)*K62)^2+(J63/$J$77)^2*(SUMSQ(K$8:K61)+SUMSQ(K63:K$76)))</f>
        <v>2.7446570968575359E-5</v>
      </c>
      <c r="O62" s="340">
        <f t="shared" si="14"/>
        <v>2.5777888938675764</v>
      </c>
      <c r="P62" s="332">
        <f t="shared" si="7"/>
        <v>0.8974352062751868</v>
      </c>
      <c r="Q62" s="342">
        <f>SQRT(((1-P62)/$J$77)^2*SUMSQ(K$8:K62)+(P62/$J$77)^2*SUMSQ(K63:K$76))</f>
        <v>6.38856193105864E-3</v>
      </c>
      <c r="R62" s="340">
        <f t="shared" si="15"/>
        <v>0.71186887770699636</v>
      </c>
      <c r="S62" s="343">
        <f t="shared" si="16"/>
        <v>1.0983139328501585E-7</v>
      </c>
      <c r="T62" s="344">
        <f t="shared" si="17"/>
        <v>3.4584068570560881E-10</v>
      </c>
      <c r="U62" s="344">
        <f>IF(P62&lt;=0.85, (1/(3*H62*$J$77))*SQRT( ((1-P62)*(1/SQRT(1-PI()*P62/3)-1) + (1-P61)*(1-1/SQRT(1-PI()*P61/3)))^2*SUMSQ(K$8:K61) + ( (1-P62)*(1/SQRT(1-PI()*P62/3)-1) -P61*(1-1/SQRT(1-PI()*P61/3)) )^2*K62^2 + ( P62*(1-1/SQRT(1-PI()*P62/3)) - P61*(1-1/SQRT(1-PI()*P61/3)) )^2*SUMSQ(K63:K$76) ), (1/(PI()^2*H62*$J$77))*SQRT((1+P61/(1-P61))^2*K62^2+(P61/(1-P61)-P62/(1-P62))^2*SUMSQ(K63:K$76)) )</f>
        <v>8.0709035986629707E-9</v>
      </c>
      <c r="V62" s="345">
        <f t="shared" si="18"/>
        <v>8.0783098899955689E-9</v>
      </c>
      <c r="W62" s="340">
        <f t="shared" si="19"/>
        <v>7.3551920342411616</v>
      </c>
      <c r="X62" s="345">
        <f t="shared" si="20"/>
        <v>1.6156619779991138E-8</v>
      </c>
      <c r="Y62" s="338">
        <f t="shared" si="8"/>
        <v>-16.024319435393828</v>
      </c>
      <c r="Z62" s="346">
        <f t="shared" si="21"/>
        <v>7.355192034241162E-2</v>
      </c>
      <c r="AA62" s="346">
        <f t="shared" si="22"/>
        <v>0.45900183554724516</v>
      </c>
      <c r="AB62" s="346">
        <f t="shared" si="9"/>
        <v>0.14710384068482324</v>
      </c>
      <c r="AC62" s="336">
        <f t="shared" si="2"/>
        <v>1.417369737087398E-11</v>
      </c>
      <c r="AD62" s="337">
        <f t="shared" si="3"/>
        <v>1.1558055653544145E-12</v>
      </c>
      <c r="AE62" s="308">
        <f t="shared" si="10"/>
        <v>8.1545805241299938</v>
      </c>
      <c r="AF62" s="337">
        <f t="shared" si="11"/>
        <v>2.3116111307088289E-12</v>
      </c>
      <c r="AG62" s="338">
        <f t="shared" si="23"/>
        <v>-24.979633166772089</v>
      </c>
      <c r="AH62" s="339">
        <f t="shared" si="24"/>
        <v>8.1545805241299937E-2</v>
      </c>
      <c r="AI62" s="340">
        <f t="shared" si="25"/>
        <v>0.32644917039763488</v>
      </c>
      <c r="AJ62" s="341">
        <f t="shared" si="12"/>
        <v>0.16309161048259987</v>
      </c>
    </row>
    <row r="63" spans="1:36" x14ac:dyDescent="0.2">
      <c r="A63" s="309">
        <v>56</v>
      </c>
      <c r="B63" s="309">
        <f t="shared" si="13"/>
        <v>74.165852777777772</v>
      </c>
      <c r="C63" s="1">
        <v>566.98</v>
      </c>
      <c r="D63" s="347">
        <v>2</v>
      </c>
      <c r="E63" s="326">
        <f t="shared" si="4"/>
        <v>11.90291978622356</v>
      </c>
      <c r="F63" s="327">
        <f t="shared" si="0"/>
        <v>2.7710994185571824E-2</v>
      </c>
      <c r="G63" s="309">
        <f t="shared" si="5"/>
        <v>2.6453777777777776</v>
      </c>
      <c r="H63" s="1">
        <v>9523.36</v>
      </c>
      <c r="I63" s="324">
        <v>30</v>
      </c>
      <c r="J63" s="1">
        <v>5.4000000000000001E-4</v>
      </c>
      <c r="K63" s="1">
        <v>1.0000000000000001E-5</v>
      </c>
      <c r="L63" s="328">
        <f t="shared" si="6"/>
        <v>1.8518518518518521</v>
      </c>
      <c r="M63" s="329">
        <f t="shared" si="1"/>
        <v>7.2779222879631263E-4</v>
      </c>
      <c r="N63" s="342">
        <f>(1/$J$77)*SQRT(((1-J64/$J$77)*K63)^2+(J64/$J$77)^2*(SUMSQ(K$8:K62)+SUMSQ(K64:K$76)))</f>
        <v>1.4392961777670174E-5</v>
      </c>
      <c r="O63" s="340">
        <f t="shared" si="14"/>
        <v>1.9776196018848033</v>
      </c>
      <c r="P63" s="332">
        <f t="shared" si="7"/>
        <v>0.89816299850398307</v>
      </c>
      <c r="Q63" s="342">
        <f>SQRT(((1-P63)/$J$77)^2*SUMSQ(K$8:K63)+(P63/$J$77)^2*SUMSQ(K64:K$76))</f>
        <v>6.3937081422751471E-3</v>
      </c>
      <c r="R63" s="340">
        <f t="shared" si="15"/>
        <v>0.71186501257842594</v>
      </c>
      <c r="S63" s="343">
        <f t="shared" si="16"/>
        <v>7.5764295979837484E-8</v>
      </c>
      <c r="T63" s="344">
        <f t="shared" si="17"/>
        <v>2.3866879750373021E-10</v>
      </c>
      <c r="U63" s="344">
        <f>IF(P63&lt;=0.85, (1/(3*H63*$J$77))*SQRT( ((1-P63)*(1/SQRT(1-PI()*P63/3)-1) + (1-P62)*(1-1/SQRT(1-PI()*P62/3)))^2*SUMSQ(K$8:K62) + ( (1-P63)*(1/SQRT(1-PI()*P63/3)-1) -P62*(1-1/SQRT(1-PI()*P62/3)) )^2*K63^2 + ( P63*(1-1/SQRT(1-PI()*P63/3)) - P62*(1-1/SQRT(1-PI()*P62/3)) )^2*SUMSQ(K64:K$76) ), (1/(PI()^2*H63*$J$77))*SQRT((1+P62/(1-P62))^2*K63^2+(P62/(1-P62)-P63/(1-P63))^2*SUMSQ(K64:K$76)) )</f>
        <v>5.4581715763920115E-9</v>
      </c>
      <c r="V63" s="345">
        <f t="shared" si="18"/>
        <v>5.4633872050437289E-9</v>
      </c>
      <c r="W63" s="340">
        <f t="shared" si="19"/>
        <v>7.2110314421685571</v>
      </c>
      <c r="X63" s="345">
        <f t="shared" si="20"/>
        <v>1.0926774410087458E-8</v>
      </c>
      <c r="Y63" s="338">
        <f t="shared" si="8"/>
        <v>-16.395638684556971</v>
      </c>
      <c r="Z63" s="346">
        <f t="shared" si="21"/>
        <v>7.211031442168557E-2</v>
      </c>
      <c r="AA63" s="346">
        <f t="shared" si="22"/>
        <v>0.43981400059520809</v>
      </c>
      <c r="AB63" s="346">
        <f t="shared" si="9"/>
        <v>0.14422062884337114</v>
      </c>
      <c r="AC63" s="336">
        <f t="shared" si="2"/>
        <v>9.7773520904796348E-12</v>
      </c>
      <c r="AD63" s="337">
        <f t="shared" si="3"/>
        <v>7.8461229922793145E-13</v>
      </c>
      <c r="AE63" s="308">
        <f t="shared" si="10"/>
        <v>8.0247933383919055</v>
      </c>
      <c r="AF63" s="337">
        <f t="shared" si="11"/>
        <v>1.5692245984558629E-12</v>
      </c>
      <c r="AG63" s="338">
        <f t="shared" si="23"/>
        <v>-25.350952415935236</v>
      </c>
      <c r="AH63" s="339">
        <f t="shared" si="24"/>
        <v>8.0247933383919057E-2</v>
      </c>
      <c r="AI63" s="340">
        <f t="shared" si="25"/>
        <v>0.31654800209193079</v>
      </c>
      <c r="AJ63" s="341">
        <f t="shared" si="12"/>
        <v>0.16049586676783811</v>
      </c>
    </row>
    <row r="64" spans="1:36" x14ac:dyDescent="0.2">
      <c r="A64" s="309">
        <v>57</v>
      </c>
      <c r="B64" s="309">
        <f t="shared" si="13"/>
        <v>76.811224999999993</v>
      </c>
      <c r="C64" s="1">
        <v>576.4</v>
      </c>
      <c r="D64" s="347">
        <v>2</v>
      </c>
      <c r="E64" s="326">
        <f t="shared" si="4"/>
        <v>11.770937555176271</v>
      </c>
      <c r="F64" s="327">
        <f t="shared" si="0"/>
        <v>2.717672747423747E-2</v>
      </c>
      <c r="G64" s="309">
        <f t="shared" si="5"/>
        <v>2.645372222222222</v>
      </c>
      <c r="H64" s="1">
        <v>9523.34</v>
      </c>
      <c r="I64" s="324">
        <v>30</v>
      </c>
      <c r="J64" s="1">
        <v>5.2000000000000006E-4</v>
      </c>
      <c r="K64" s="1">
        <v>1.0000000000000001E-5</v>
      </c>
      <c r="L64" s="328">
        <f t="shared" si="6"/>
        <v>1.9230769230769229</v>
      </c>
      <c r="M64" s="329">
        <f t="shared" si="1"/>
        <v>7.0083696106311595E-4</v>
      </c>
      <c r="N64" s="342">
        <f>(1/$J$77)*SQRT(((1-J65/$J$77)*K64)^2+(J65/$J$77)^2*(SUMSQ(K$8:K63)+SUMSQ(K65:K$76)))</f>
        <v>1.4803957993931972E-5</v>
      </c>
      <c r="O64" s="340">
        <f t="shared" si="14"/>
        <v>2.1123255216841734</v>
      </c>
      <c r="P64" s="332">
        <f t="shared" si="7"/>
        <v>0.89886383546504622</v>
      </c>
      <c r="Q64" s="342">
        <f>SQRT(((1-P64)/$J$77)^2*SUMSQ(K$8:K64)+(P64/$J$77)^2*SUMSQ(K65:K$76))</f>
        <v>6.3986634869534808E-3</v>
      </c>
      <c r="R64" s="340">
        <f t="shared" si="15"/>
        <v>0.71186126691180052</v>
      </c>
      <c r="S64" s="343">
        <f t="shared" si="16"/>
        <v>7.3471864023802732E-8</v>
      </c>
      <c r="T64" s="344">
        <f t="shared" si="17"/>
        <v>2.3144778205063368E-10</v>
      </c>
      <c r="U64" s="344">
        <f>IF(P64&lt;=0.85, (1/(3*H64*$J$77))*SQRT( ((1-P64)*(1/SQRT(1-PI()*P64/3)-1) + (1-P63)*(1-1/SQRT(1-PI()*P63/3)))^2*SUMSQ(K$8:K63) + ( (1-P64)*(1/SQRT(1-PI()*P64/3)-1) -P63*(1-1/SQRT(1-PI()*P63/3)) )^2*K64^2 + ( P64*(1-1/SQRT(1-PI()*P64/3)) - P63*(1-1/SQRT(1-PI()*P63/3)) )^2*SUMSQ(K65:K$76) ), (1/(PI()^2*H64*$J$77))*SQRT((1+P63/(1-P63))^2*K64^2+(P63/(1-P63)-P64/(1-P64))^2*SUMSQ(K65:K$76)) )</f>
        <v>5.3413757653245237E-9</v>
      </c>
      <c r="V64" s="345">
        <f t="shared" si="18"/>
        <v>5.346387859313267E-9</v>
      </c>
      <c r="W64" s="340">
        <f t="shared" si="19"/>
        <v>7.2767826573464829</v>
      </c>
      <c r="X64" s="345">
        <f t="shared" si="20"/>
        <v>1.0692775718626534E-8</v>
      </c>
      <c r="Y64" s="338">
        <f t="shared" si="8"/>
        <v>-16.426363306412401</v>
      </c>
      <c r="Z64" s="346">
        <f t="shared" si="21"/>
        <v>7.2767826573464825E-2</v>
      </c>
      <c r="AA64" s="346">
        <f t="shared" si="22"/>
        <v>0.44299413824031436</v>
      </c>
      <c r="AB64" s="346">
        <f t="shared" si="9"/>
        <v>0.14553565314692965</v>
      </c>
      <c r="AC64" s="336">
        <f t="shared" si="2"/>
        <v>9.4815146635261328E-12</v>
      </c>
      <c r="AD64" s="337">
        <f t="shared" si="3"/>
        <v>7.6647886326109162E-13</v>
      </c>
      <c r="AE64" s="308">
        <f t="shared" si="10"/>
        <v>8.0839284698848068</v>
      </c>
      <c r="AF64" s="337">
        <f t="shared" si="11"/>
        <v>1.5329577265221832E-12</v>
      </c>
      <c r="AG64" s="338">
        <f t="shared" si="23"/>
        <v>-25.381677037790666</v>
      </c>
      <c r="AH64" s="339">
        <f t="shared" si="24"/>
        <v>8.083928469884806E-2</v>
      </c>
      <c r="AI64" s="340">
        <f t="shared" si="25"/>
        <v>0.31849465493744489</v>
      </c>
      <c r="AJ64" s="341">
        <f t="shared" si="12"/>
        <v>0.16167856939769612</v>
      </c>
    </row>
    <row r="65" spans="1:36" x14ac:dyDescent="0.2">
      <c r="A65" s="309">
        <v>58</v>
      </c>
      <c r="B65" s="309">
        <f t="shared" si="13"/>
        <v>79.456041666666664</v>
      </c>
      <c r="C65" s="1">
        <v>584.71</v>
      </c>
      <c r="D65" s="347">
        <v>2</v>
      </c>
      <c r="E65" s="326">
        <f t="shared" si="4"/>
        <v>11.656913715524677</v>
      </c>
      <c r="F65" s="327">
        <f>SQRT((((-1)*10^4/(C90+273.15)^2)*D65)^2)</f>
        <v>0.26805726735251134</v>
      </c>
      <c r="G65" s="309">
        <f t="shared" si="5"/>
        <v>2.6448166666666664</v>
      </c>
      <c r="H65" s="1">
        <v>9521.34</v>
      </c>
      <c r="I65" s="324">
        <v>30</v>
      </c>
      <c r="J65" s="1">
        <v>6.3000000000000003E-4</v>
      </c>
      <c r="K65" s="1">
        <v>1.0000000000000001E-5</v>
      </c>
      <c r="L65" s="328">
        <f t="shared" si="6"/>
        <v>1.5873015873015872</v>
      </c>
      <c r="M65" s="329">
        <f t="shared" si="1"/>
        <v>8.4909093359569808E-4</v>
      </c>
      <c r="N65" s="342">
        <f>(1/$J$77)*SQRT(((1-J66/$J$77)*K65)^2+(J66/$J$77)^2*(SUMSQ(K$8:K64)+SUMSQ(K66:K$76)))</f>
        <v>1.5279493376597034E-5</v>
      </c>
      <c r="O65" s="340">
        <f t="shared" si="14"/>
        <v>1.7995120159736029</v>
      </c>
      <c r="P65" s="332">
        <f t="shared" si="7"/>
        <v>0.89971292639864198</v>
      </c>
      <c r="Q65" s="342">
        <f>SQRT(((1-P65)/$J$77)^2*SUMSQ(K$8:K65)+(P65/$J$77)^2*SUMSQ(K66:K$76))</f>
        <v>6.4046696755477531E-3</v>
      </c>
      <c r="R65" s="340">
        <f t="shared" si="15"/>
        <v>0.71185702546080709</v>
      </c>
      <c r="S65" s="343">
        <f t="shared" si="16"/>
        <v>8.9717957731402269E-8</v>
      </c>
      <c r="T65" s="344">
        <f t="shared" si="17"/>
        <v>2.8268486703994057E-10</v>
      </c>
      <c r="U65" s="344">
        <f>IF(P65&lt;=0.85, (1/(3*H65*$J$77))*SQRT( ((1-P65)*(1/SQRT(1-PI()*P65/3)-1) + (1-P64)*(1-1/SQRT(1-PI()*P64/3)))^2*SUMSQ(K$8:K64) + ( (1-P65)*(1/SQRT(1-PI()*P65/3)-1) -P64*(1-1/SQRT(1-PI()*P64/3)) )^2*K65^2 + ( P65*(1-1/SQRT(1-PI()*P65/3)) - P64*(1-1/SQRT(1-PI()*P64/3)) )^2*SUMSQ(K90:K$92) ), (1/(PI()^2*H65*$J$77))*SQRT((1+P64/(1-P64))^2*K65^2+(P64/(1-P64)-P65/(1-P65))^2*SUMSQ(K90:K$92)) )</f>
        <v>1.4181081582020206E-9</v>
      </c>
      <c r="V65" s="345">
        <f t="shared" si="18"/>
        <v>1.4460088113191137E-9</v>
      </c>
      <c r="W65" s="340">
        <f t="shared" si="19"/>
        <v>1.6117272928215516</v>
      </c>
      <c r="X65" s="345">
        <f t="shared" si="20"/>
        <v>2.8920176226382275E-9</v>
      </c>
      <c r="Y65" s="338">
        <f t="shared" si="8"/>
        <v>-16.226594890244044</v>
      </c>
      <c r="Z65" s="346">
        <f t="shared" si="21"/>
        <v>1.6117272928215517E-2</v>
      </c>
      <c r="AA65" s="346">
        <f t="shared" si="22"/>
        <v>9.9326279094486714E-2</v>
      </c>
      <c r="AB65" s="346">
        <f t="shared" si="9"/>
        <v>3.2234545856431034E-2</v>
      </c>
      <c r="AC65" s="336">
        <f t="shared" si="2"/>
        <v>1.157806655805437E-11</v>
      </c>
      <c r="AD65" s="337">
        <f t="shared" si="3"/>
        <v>4.4835677477154384E-13</v>
      </c>
      <c r="AE65" s="308">
        <f t="shared" si="10"/>
        <v>3.8724667242445676</v>
      </c>
      <c r="AF65" s="337">
        <f t="shared" si="11"/>
        <v>8.9671354954308768E-13</v>
      </c>
      <c r="AG65" s="338">
        <f t="shared" si="23"/>
        <v>-25.181908621622309</v>
      </c>
      <c r="AH65" s="339">
        <f t="shared" si="24"/>
        <v>3.8724667242445679E-2</v>
      </c>
      <c r="AI65" s="340">
        <f t="shared" si="25"/>
        <v>0.1537797147321667</v>
      </c>
      <c r="AJ65" s="341">
        <f t="shared" si="12"/>
        <v>7.7449334484891358E-2</v>
      </c>
    </row>
    <row r="66" spans="1:36" x14ac:dyDescent="0.2">
      <c r="A66" s="309">
        <v>59</v>
      </c>
      <c r="B66" s="309">
        <f t="shared" si="13"/>
        <v>82.100858333333335</v>
      </c>
      <c r="C66" s="1">
        <v>598.28714285714295</v>
      </c>
      <c r="D66" s="347">
        <v>2</v>
      </c>
      <c r="E66" s="326">
        <f t="shared" si="4"/>
        <v>11.475296964292154</v>
      </c>
      <c r="F66" s="327">
        <f t="shared" ref="F66:F71" si="26">SQRT((((-1)*10^4/(C67+273.15)^2)*D66)^2)</f>
        <v>2.5634225919299269E-2</v>
      </c>
      <c r="G66" s="309">
        <f t="shared" si="5"/>
        <v>2.6448166666666664</v>
      </c>
      <c r="H66" s="1">
        <v>9521.34</v>
      </c>
      <c r="I66" s="324">
        <v>30</v>
      </c>
      <c r="J66" s="1">
        <v>7.3999999999999999E-4</v>
      </c>
      <c r="K66" s="1">
        <v>2.0000000000000002E-5</v>
      </c>
      <c r="L66" s="328">
        <f t="shared" si="6"/>
        <v>2.7027027027027026</v>
      </c>
      <c r="M66" s="329">
        <f t="shared" si="1"/>
        <v>9.9734490612828032E-4</v>
      </c>
      <c r="N66" s="342">
        <f>(1/$J$77)*SQRT(((1-J67/$J$77)*K66)^2+(J67/$J$77)^2*(SUMSQ(K$8:K65)+SUMSQ(K67:K$76)))</f>
        <v>2.8260439726270045E-5</v>
      </c>
      <c r="O66" s="340">
        <f t="shared" si="14"/>
        <v>2.8335673599595381</v>
      </c>
      <c r="P66" s="332">
        <f t="shared" si="7"/>
        <v>0.90071027130477022</v>
      </c>
      <c r="Q66" s="342">
        <f>SQRT(((1-P66)/$J$77)^2*SUMSQ(K$8:K66)+(P66/$J$77)^2*SUMSQ(K67:K$76))</f>
        <v>6.4116927750627311E-3</v>
      </c>
      <c r="R66" s="340">
        <f t="shared" si="15"/>
        <v>0.71184852436230617</v>
      </c>
      <c r="S66" s="343">
        <f t="shared" si="16"/>
        <v>1.0635823110140388E-7</v>
      </c>
      <c r="T66" s="344">
        <f t="shared" si="17"/>
        <v>3.3511532337277277E-10</v>
      </c>
      <c r="U66" s="344">
        <f>IF(P66&lt;=0.85, (1/(3*H66*$J$77))*SQRT( ((1-P66)*(1/SQRT(1-PI()*P66/3)-1) + (1-P65)*(1-1/SQRT(1-PI()*P65/3)))^2*SUMSQ(K$8:K65) + ( (1-P66)*(1/SQRT(1-PI()*P66/3)-1) -P65*(1-1/SQRT(1-PI()*P65/3)) )^2*K66^2 + ( P66*(1-1/SQRT(1-PI()*P66/3)) - P65*(1-1/SQRT(1-PI()*P65/3)) )^2*SUMSQ(K67:K$76) ), (1/(PI()^2*H66*$J$77))*SQRT((1+P65/(1-P65))^2*K66^2+(P65/(1-P65)-P66/(1-P66))^2*SUMSQ(K67:K$76)) )</f>
        <v>8.1069558443672981E-9</v>
      </c>
      <c r="V66" s="345">
        <f t="shared" si="18"/>
        <v>8.1138791796822028E-9</v>
      </c>
      <c r="W66" s="340">
        <f t="shared" si="19"/>
        <v>7.6288211036024869</v>
      </c>
      <c r="X66" s="345">
        <f t="shared" si="20"/>
        <v>1.6227758359364406E-8</v>
      </c>
      <c r="Y66" s="338">
        <f t="shared" si="8"/>
        <v>-16.056452901949044</v>
      </c>
      <c r="Z66" s="346">
        <f t="shared" si="21"/>
        <v>7.6288211036024872E-2</v>
      </c>
      <c r="AA66" s="346">
        <f t="shared" si="22"/>
        <v>0.47512493264788558</v>
      </c>
      <c r="AB66" s="346">
        <f t="shared" si="9"/>
        <v>0.15257642207204974</v>
      </c>
      <c r="AC66" s="336">
        <f t="shared" si="2"/>
        <v>1.372548718034373E-11</v>
      </c>
      <c r="AD66" s="337">
        <f t="shared" si="3"/>
        <v>1.1532451729273457E-12</v>
      </c>
      <c r="AE66" s="308">
        <f t="shared" si="10"/>
        <v>8.4022166774444855</v>
      </c>
      <c r="AF66" s="337">
        <f t="shared" si="11"/>
        <v>2.3064903458546914E-12</v>
      </c>
      <c r="AG66" s="338">
        <f t="shared" si="23"/>
        <v>-25.011766633327309</v>
      </c>
      <c r="AH66" s="339">
        <f t="shared" si="24"/>
        <v>8.4022166774444851E-2</v>
      </c>
      <c r="AI66" s="340">
        <f t="shared" si="25"/>
        <v>0.33593055623063522</v>
      </c>
      <c r="AJ66" s="341">
        <f t="shared" si="12"/>
        <v>0.1680443335488897</v>
      </c>
    </row>
    <row r="67" spans="1:36" x14ac:dyDescent="0.2">
      <c r="A67" s="309">
        <v>60</v>
      </c>
      <c r="B67" s="309">
        <f t="shared" si="13"/>
        <v>84.748458333333332</v>
      </c>
      <c r="C67" s="1">
        <v>610.14321428571395</v>
      </c>
      <c r="D67" s="347">
        <v>2</v>
      </c>
      <c r="E67" s="326">
        <f t="shared" si="4"/>
        <v>11.321268903992005</v>
      </c>
      <c r="F67" s="327">
        <f t="shared" si="26"/>
        <v>2.4959682508943131E-2</v>
      </c>
      <c r="G67" s="309">
        <f t="shared" si="5"/>
        <v>2.6476000000000002</v>
      </c>
      <c r="H67" s="1">
        <v>9531.36</v>
      </c>
      <c r="I67" s="324">
        <v>30</v>
      </c>
      <c r="J67" s="1">
        <v>8.8000000000000003E-4</v>
      </c>
      <c r="K67" s="1">
        <v>1.0000000000000001E-5</v>
      </c>
      <c r="L67" s="328">
        <f t="shared" si="6"/>
        <v>1.1363636363636365</v>
      </c>
      <c r="M67" s="329">
        <f t="shared" si="1"/>
        <v>1.1860317802606577E-3</v>
      </c>
      <c r="N67" s="342">
        <f>(1/$J$77)*SQRT(((1-J68/$J$77)*K67)^2+(J68/$J$77)^2*(SUMSQ(K$8:K66)+SUMSQ(K68:K$76)))</f>
        <v>1.3829216239380952E-5</v>
      </c>
      <c r="O67" s="340">
        <f t="shared" si="14"/>
        <v>1.1660072242197139</v>
      </c>
      <c r="P67" s="332">
        <f t="shared" si="7"/>
        <v>0.90189630308503088</v>
      </c>
      <c r="Q67" s="342">
        <f>SQRT(((1-P67)/$J$77)^2*SUMSQ(K$8:K67)+(P67/$J$77)^2*SUMSQ(K68:K$76))</f>
        <v>6.420087572418162E-3</v>
      </c>
      <c r="R67" s="340">
        <f t="shared" si="15"/>
        <v>0.71184320752370089</v>
      </c>
      <c r="S67" s="343">
        <f t="shared" si="16"/>
        <v>1.2774509857591937E-7</v>
      </c>
      <c r="T67" s="344">
        <f t="shared" si="17"/>
        <v>4.0207829284357962E-10</v>
      </c>
      <c r="U67" s="344">
        <f>IF(P67&lt;=0.85, (1/(3*H67*$J$77))*SQRT( ((1-P67)*(1/SQRT(1-PI()*P67/3)-1) + (1-P66)*(1-1/SQRT(1-PI()*P66/3)))^2*SUMSQ(K$8:K66) + ( (1-P67)*(1/SQRT(1-PI()*P67/3)-1) -P66*(1-1/SQRT(1-PI()*P66/3)) )^2*K67^2 + ( P67*(1-1/SQRT(1-PI()*P67/3)) - P66*(1-1/SQRT(1-PI()*P66/3)) )^2*SUMSQ(K68:K$76) ), (1/(PI()^2*H67*$J$77))*SQRT((1+P66/(1-P66))^2*K67^2+(P66/(1-P66)-P67/(1-P67))^2*SUMSQ(K68:K$76)) )</f>
        <v>9.3241352342664E-9</v>
      </c>
      <c r="V67" s="345">
        <f t="shared" si="18"/>
        <v>9.332800481123774E-9</v>
      </c>
      <c r="W67" s="340">
        <f t="shared" si="19"/>
        <v>7.3057992714900584</v>
      </c>
      <c r="X67" s="345">
        <f t="shared" si="20"/>
        <v>1.8665600962247548E-8</v>
      </c>
      <c r="Y67" s="338">
        <f t="shared" si="8"/>
        <v>-15.873228975910427</v>
      </c>
      <c r="Z67" s="346">
        <f t="shared" si="21"/>
        <v>7.3057992714900585E-2</v>
      </c>
      <c r="AA67" s="346">
        <f t="shared" si="22"/>
        <v>0.46025917490244139</v>
      </c>
      <c r="AB67" s="346">
        <f t="shared" si="9"/>
        <v>0.14611598542980117</v>
      </c>
      <c r="AC67" s="336">
        <f t="shared" si="2"/>
        <v>1.6485453873182965E-11</v>
      </c>
      <c r="AD67" s="337">
        <f t="shared" si="3"/>
        <v>1.3369798289659739E-12</v>
      </c>
      <c r="AE67" s="308">
        <f t="shared" si="10"/>
        <v>8.1100577469744461</v>
      </c>
      <c r="AF67" s="337">
        <f t="shared" si="11"/>
        <v>2.6739596579319478E-12</v>
      </c>
      <c r="AG67" s="338">
        <f t="shared" si="23"/>
        <v>-24.82854270728869</v>
      </c>
      <c r="AH67" s="339">
        <f t="shared" si="24"/>
        <v>8.1100577469744459E-2</v>
      </c>
      <c r="AI67" s="340">
        <f t="shared" si="25"/>
        <v>0.32664251956252149</v>
      </c>
      <c r="AJ67" s="341">
        <f t="shared" si="12"/>
        <v>0.16220115493948892</v>
      </c>
    </row>
    <row r="68" spans="1:36" x14ac:dyDescent="0.2">
      <c r="A68" s="309">
        <v>61</v>
      </c>
      <c r="B68" s="309">
        <f t="shared" si="13"/>
        <v>86.394941666666668</v>
      </c>
      <c r="C68" s="1">
        <v>621.99928571428597</v>
      </c>
      <c r="D68" s="347">
        <v>2</v>
      </c>
      <c r="E68" s="326">
        <f t="shared" si="4"/>
        <v>11.171320984767901</v>
      </c>
      <c r="F68" s="327">
        <f t="shared" si="26"/>
        <v>2.4311418046353644E-2</v>
      </c>
      <c r="G68" s="309">
        <f t="shared" si="5"/>
        <v>1.6464833333333333</v>
      </c>
      <c r="H68" s="1">
        <v>5927.34</v>
      </c>
      <c r="I68" s="324">
        <v>30</v>
      </c>
      <c r="J68" s="1">
        <v>3.2000000000000003E-4</v>
      </c>
      <c r="K68" s="1">
        <v>1.0000000000000001E-5</v>
      </c>
      <c r="L68" s="328">
        <f t="shared" si="6"/>
        <v>3.125</v>
      </c>
      <c r="M68" s="329">
        <f t="shared" si="1"/>
        <v>4.3128428373114826E-4</v>
      </c>
      <c r="N68" s="342">
        <f>(1/$J$77)*SQRT(((1-J69/$J$77)*K68)^2+(J69/$J$77)^2*(SUMSQ(K$8:K67)+SUMSQ(K69:K$76)))</f>
        <v>1.3643706949604774E-5</v>
      </c>
      <c r="O68" s="340">
        <f t="shared" si="14"/>
        <v>3.1635066391869535</v>
      </c>
      <c r="P68" s="332">
        <f t="shared" si="7"/>
        <v>0.90232758736876206</v>
      </c>
      <c r="Q68" s="342">
        <f>SQRT(((1-P68)/$J$77)^2*SUMSQ(K$8:K68)+(P68/$J$77)^2*SUMSQ(K69:K$76))</f>
        <v>6.4231330969561698E-3</v>
      </c>
      <c r="R68" s="340">
        <f t="shared" si="15"/>
        <v>0.71184048752032358</v>
      </c>
      <c r="S68" s="343">
        <f t="shared" si="16"/>
        <v>7.5313885135544437E-8</v>
      </c>
      <c r="T68" s="344">
        <f t="shared" si="17"/>
        <v>3.8118558308892904E-10</v>
      </c>
      <c r="U68" s="344">
        <f>IF(P68&lt;=0.85, (1/(3*H68*$J$77))*SQRT( ((1-P68)*(1/SQRT(1-PI()*P68/3)-1) + (1-P67)*(1-1/SQRT(1-PI()*P67/3)))^2*SUMSQ(K$8:K67) + ( (1-P68)*(1/SQRT(1-PI()*P68/3)-1) -P67*(1-1/SQRT(1-PI()*P67/3)) )^2*K68^2 + ( P68*(1-1/SQRT(1-PI()*P68/3)) - P67*(1-1/SQRT(1-PI()*P67/3)) )^2*SUMSQ(K$76:K77) ), (1/(PI()^2*H68*$J$77))*SQRT((1+P67/(1-P67))^2*K68^2+(P67/(1-P67)-P68/(1-P68))^2*SUMSQ(K$76:K77)) )</f>
        <v>8.1574721481114398E-9</v>
      </c>
      <c r="V68" s="345">
        <f t="shared" si="18"/>
        <v>8.1663733870040943E-9</v>
      </c>
      <c r="W68" s="340">
        <f t="shared" si="19"/>
        <v>10.84311793543362</v>
      </c>
      <c r="X68" s="345">
        <f t="shared" si="20"/>
        <v>1.6332746774008189E-8</v>
      </c>
      <c r="Y68" s="338">
        <f t="shared" si="8"/>
        <v>-16.401601321589311</v>
      </c>
      <c r="Z68" s="346">
        <f t="shared" si="21"/>
        <v>0.1084311793543362</v>
      </c>
      <c r="AA68" s="346">
        <f t="shared" si="22"/>
        <v>0.6611011768199061</v>
      </c>
      <c r="AB68" s="346">
        <f t="shared" si="9"/>
        <v>0.2168623587086724</v>
      </c>
      <c r="AC68" s="336">
        <f t="shared" si="2"/>
        <v>9.7192267511879551E-12</v>
      </c>
      <c r="AD68" s="337">
        <f t="shared" si="3"/>
        <v>1.1080410424337967E-12</v>
      </c>
      <c r="AE68" s="308">
        <f t="shared" si="10"/>
        <v>11.400506139013206</v>
      </c>
      <c r="AF68" s="337">
        <f t="shared" si="11"/>
        <v>2.2160820848675934E-12</v>
      </c>
      <c r="AG68" s="338">
        <f t="shared" si="23"/>
        <v>-25.356915052967576</v>
      </c>
      <c r="AH68" s="339">
        <f t="shared" si="24"/>
        <v>0.11400506139013207</v>
      </c>
      <c r="AI68" s="340">
        <f t="shared" si="25"/>
        <v>0.44960146434212939</v>
      </c>
      <c r="AJ68" s="341">
        <f t="shared" si="12"/>
        <v>0.22801012278026414</v>
      </c>
    </row>
    <row r="69" spans="1:36" x14ac:dyDescent="0.2">
      <c r="A69" s="309">
        <v>62</v>
      </c>
      <c r="B69" s="309">
        <f t="shared" si="13"/>
        <v>88.040319444444449</v>
      </c>
      <c r="C69" s="1">
        <v>633.85535714285697</v>
      </c>
      <c r="D69" s="347">
        <v>2</v>
      </c>
      <c r="E69" s="326">
        <f t="shared" si="4"/>
        <v>11.025293203891144</v>
      </c>
      <c r="F69" s="327">
        <f t="shared" si="26"/>
        <v>2.3688085011067572E-2</v>
      </c>
      <c r="G69" s="309">
        <f t="shared" si="5"/>
        <v>1.6453777777777776</v>
      </c>
      <c r="H69" s="1">
        <v>5923.36</v>
      </c>
      <c r="I69" s="324">
        <v>30</v>
      </c>
      <c r="J69" s="1">
        <v>2.2000000000000001E-4</v>
      </c>
      <c r="K69" s="1">
        <v>1.0000000000000001E-5</v>
      </c>
      <c r="L69" s="328">
        <f t="shared" si="6"/>
        <v>4.5454545454545459</v>
      </c>
      <c r="M69" s="329">
        <f t="shared" si="1"/>
        <v>2.9650794506516442E-4</v>
      </c>
      <c r="N69" s="342">
        <f>(1/$J$77)*SQRT(((1-J70/$J$77)*K69)^2+(J70/$J$77)^2*(SUMSQ(K$8:K68)+SUMSQ(K70:K$76)))</f>
        <v>1.5662549094602063E-5</v>
      </c>
      <c r="O69" s="340">
        <f t="shared" si="14"/>
        <v>5.2823370689644955</v>
      </c>
      <c r="P69" s="332">
        <f t="shared" si="7"/>
        <v>0.90262409531382726</v>
      </c>
      <c r="Q69" s="342">
        <f>SQRT(((1-P69)/$J$77)^2*SUMSQ(K$8:K69)+(P69/$J$77)^2*SUMSQ(K70:K$76))</f>
        <v>6.4252233674125248E-3</v>
      </c>
      <c r="R69" s="340">
        <f t="shared" si="15"/>
        <v>0.71183822820269183</v>
      </c>
      <c r="S69" s="343">
        <f t="shared" si="16"/>
        <v>5.2006375038648624E-8</v>
      </c>
      <c r="T69" s="344">
        <f t="shared" si="17"/>
        <v>2.6339632424155526E-10</v>
      </c>
      <c r="U69" s="344">
        <f>IF(P69&lt;=0.85, (1/(3*H69*$J$77))*SQRT( ((1-P69)*(1/SQRT(1-PI()*P69/3)-1) + (1-P68)*(1-1/SQRT(1-PI()*P68/3)))^2*SUMSQ(K$8:K68) + ( (1-P69)*(1/SQRT(1-PI()*P69/3)-1) -P68*(1-1/SQRT(1-PI()*P68/3)) )^2*K69^2 + ( P69*(1-1/SQRT(1-PI()*P69/3)) - P68*(1-1/SQRT(1-PI()*P68/3)) )^2*SUMSQ(K70:K$76) ), (1/(PI()^2*H69*$J$77))*SQRT((1+P68/(1-P68))^2*K69^2+(P68/(1-P68)-P69/(1-P69))^2*SUMSQ(K70:K$76)) )</f>
        <v>4.4693213928148843E-9</v>
      </c>
      <c r="V69" s="345">
        <f t="shared" si="18"/>
        <v>4.4770762039412216E-9</v>
      </c>
      <c r="W69" s="340">
        <f t="shared" si="19"/>
        <v>8.6087065299476748</v>
      </c>
      <c r="X69" s="345">
        <f t="shared" si="20"/>
        <v>8.9541524078824432E-9</v>
      </c>
      <c r="Y69" s="338">
        <f t="shared" si="8"/>
        <v>-16.771899528982281</v>
      </c>
      <c r="Z69" s="346">
        <f t="shared" si="21"/>
        <v>8.6087065299476739E-2</v>
      </c>
      <c r="AA69" s="346">
        <f t="shared" si="22"/>
        <v>0.51328154661740033</v>
      </c>
      <c r="AB69" s="346">
        <f t="shared" si="9"/>
        <v>0.17217413059895348</v>
      </c>
      <c r="AC69" s="336">
        <f t="shared" si="2"/>
        <v>6.7114018961875893E-12</v>
      </c>
      <c r="AD69" s="337">
        <f t="shared" si="3"/>
        <v>6.2422590571360015E-13</v>
      </c>
      <c r="AE69" s="308">
        <f t="shared" si="10"/>
        <v>9.3009763886765828</v>
      </c>
      <c r="AF69" s="337">
        <f t="shared" si="11"/>
        <v>1.2484518114272003E-12</v>
      </c>
      <c r="AG69" s="338">
        <f t="shared" si="23"/>
        <v>-25.727213260360543</v>
      </c>
      <c r="AH69" s="339">
        <f t="shared" si="24"/>
        <v>9.3009763886765823E-2</v>
      </c>
      <c r="AI69" s="340">
        <f t="shared" si="25"/>
        <v>0.36152288607982092</v>
      </c>
      <c r="AJ69" s="341">
        <f t="shared" si="12"/>
        <v>0.18601952777353165</v>
      </c>
    </row>
    <row r="70" spans="1:36" x14ac:dyDescent="0.2">
      <c r="A70" s="309">
        <v>63</v>
      </c>
      <c r="B70" s="309">
        <f t="shared" si="13"/>
        <v>89.687352777777789</v>
      </c>
      <c r="C70" s="1">
        <v>645.711428571429</v>
      </c>
      <c r="D70" s="347">
        <v>2</v>
      </c>
      <c r="E70" s="326">
        <f t="shared" si="4"/>
        <v>10.883033816695502</v>
      </c>
      <c r="F70" s="327">
        <f t="shared" si="26"/>
        <v>2.3088421160223273E-2</v>
      </c>
      <c r="G70" s="309">
        <f t="shared" si="5"/>
        <v>1.6470333333333331</v>
      </c>
      <c r="H70" s="1">
        <v>5929.32</v>
      </c>
      <c r="I70" s="324">
        <v>30</v>
      </c>
      <c r="J70" s="1">
        <v>8.1999999999999998E-4</v>
      </c>
      <c r="K70" s="1">
        <v>2.0000000000000002E-5</v>
      </c>
      <c r="L70" s="328">
        <f t="shared" si="6"/>
        <v>2.4390243902439024</v>
      </c>
      <c r="M70" s="329">
        <f t="shared" si="1"/>
        <v>1.1051659770610672E-3</v>
      </c>
      <c r="N70" s="342">
        <f>(1/$J$77)*SQRT(((1-J71/$J$77)*K70)^2+(J71/$J$77)^2*(SUMSQ(K$8:K69)+SUMSQ(K71:K$76)))</f>
        <v>2.8117671033257432E-5</v>
      </c>
      <c r="O70" s="340">
        <f t="shared" si="14"/>
        <v>2.5442034605543924</v>
      </c>
      <c r="P70" s="332">
        <f t="shared" si="7"/>
        <v>0.90372926129088837</v>
      </c>
      <c r="Q70" s="342">
        <f>SQRT(((1-P70)/$J$77)^2*SUMSQ(K$8:K70)+(P70/$J$77)^2*SUMSQ(K71:K$76))</f>
        <v>6.4330114511341749E-3</v>
      </c>
      <c r="R70" s="340">
        <f t="shared" si="15"/>
        <v>0.71182949658454686</v>
      </c>
      <c r="S70" s="343">
        <f t="shared" si="16"/>
        <v>1.9505074305937713E-7</v>
      </c>
      <c r="T70" s="344">
        <f t="shared" si="17"/>
        <v>9.868791517039583E-10</v>
      </c>
      <c r="U70" s="344">
        <f>IF(P70&lt;=0.85, (1/(3*H70*$J$77))*SQRT( ((1-P70)*(1/SQRT(1-PI()*P70/3)-1) + (1-P69)*(1-1/SQRT(1-PI()*P69/3)))^2*SUMSQ(K$8:K69) + ( (1-P70)*(1/SQRT(1-PI()*P70/3)-1) -P69*(1-1/SQRT(1-PI()*P69/3)) )^2*K70^2 + ( P70*(1-1/SQRT(1-PI()*P70/3)) - P69*(1-1/SQRT(1-PI()*P69/3)) )^2*SUMSQ(K71:K$76) ), (1/(PI()^2*H70*$J$77))*SQRT((1+P69/(1-P69))^2*K70^2+(P69/(1-P69)-P70/(1-P70))^2*SUMSQ(K71:K$76)) )</f>
        <v>1.5097406161473239E-8</v>
      </c>
      <c r="V70" s="345">
        <f t="shared" si="18"/>
        <v>1.5129626673006776E-8</v>
      </c>
      <c r="W70" s="340">
        <f t="shared" si="19"/>
        <v>7.7567644376525298</v>
      </c>
      <c r="X70" s="345">
        <f t="shared" si="20"/>
        <v>3.0259253346013552E-8</v>
      </c>
      <c r="Y70" s="338">
        <f t="shared" si="8"/>
        <v>-15.45000609141691</v>
      </c>
      <c r="Z70" s="346">
        <f t="shared" si="21"/>
        <v>7.7567644376525302E-2</v>
      </c>
      <c r="AA70" s="346">
        <f t="shared" si="22"/>
        <v>0.50205575271337399</v>
      </c>
      <c r="AB70" s="346">
        <f t="shared" si="9"/>
        <v>0.1551352887530506</v>
      </c>
      <c r="AC70" s="336">
        <f t="shared" si="2"/>
        <v>2.5171220371515395E-11</v>
      </c>
      <c r="AD70" s="337">
        <f t="shared" si="3"/>
        <v>2.1442234968029432E-12</v>
      </c>
      <c r="AE70" s="308">
        <f t="shared" si="10"/>
        <v>8.5185520016717948</v>
      </c>
      <c r="AF70" s="337">
        <f t="shared" si="11"/>
        <v>4.2884469936058864E-12</v>
      </c>
      <c r="AG70" s="338">
        <f t="shared" si="23"/>
        <v>-24.405319822795175</v>
      </c>
      <c r="AH70" s="339">
        <f t="shared" si="24"/>
        <v>8.5185520016717947E-2</v>
      </c>
      <c r="AI70" s="340">
        <f t="shared" si="25"/>
        <v>0.34904488298142505</v>
      </c>
      <c r="AJ70" s="341">
        <f t="shared" si="12"/>
        <v>0.17037104003343589</v>
      </c>
    </row>
    <row r="71" spans="1:36" x14ac:dyDescent="0.2">
      <c r="A71" s="309">
        <v>64</v>
      </c>
      <c r="B71" s="309">
        <f t="shared" si="13"/>
        <v>91.332730555555571</v>
      </c>
      <c r="C71" s="1">
        <v>657.5675</v>
      </c>
      <c r="D71" s="347">
        <v>2</v>
      </c>
      <c r="E71" s="326">
        <f t="shared" si="4"/>
        <v>10.744398810595053</v>
      </c>
      <c r="F71" s="327">
        <f t="shared" si="26"/>
        <v>2.2511243133453134E-2</v>
      </c>
      <c r="G71" s="309">
        <f t="shared" si="5"/>
        <v>1.6453777777777776</v>
      </c>
      <c r="H71" s="1">
        <v>5923.36</v>
      </c>
      <c r="I71" s="324">
        <v>30</v>
      </c>
      <c r="J71" s="1">
        <v>8.3000000000000012E-4</v>
      </c>
      <c r="K71" s="1">
        <v>2.0000000000000002E-5</v>
      </c>
      <c r="L71" s="328">
        <f t="shared" si="6"/>
        <v>2.4096385542168672</v>
      </c>
      <c r="M71" s="329">
        <f t="shared" si="1"/>
        <v>1.1186436109276658E-3</v>
      </c>
      <c r="N71" s="342">
        <f>(1/$J$77)*SQRT(((1-J72/$J$77)*K71)^2+(J72/$J$77)^2*(SUMSQ(K$8:K70)+SUMSQ(K72:K$76)))</f>
        <v>2.8871851474323312E-5</v>
      </c>
      <c r="O71" s="340">
        <f t="shared" si="14"/>
        <v>2.5809695949883933</v>
      </c>
      <c r="P71" s="332">
        <f t="shared" si="7"/>
        <v>0.90484790490181599</v>
      </c>
      <c r="Q71" s="342">
        <f>SQRT(((1-P71)/$J$77)^2*SUMSQ(K$8:K71)+(P71/$J$77)^2*SUMSQ(K72:K$76))</f>
        <v>6.440895354631819E-3</v>
      </c>
      <c r="R71" s="340">
        <f t="shared" si="15"/>
        <v>0.71182077338519267</v>
      </c>
      <c r="S71" s="343">
        <f t="shared" si="16"/>
        <v>1.9992406389451396E-7</v>
      </c>
      <c r="T71" s="344">
        <f t="shared" si="17"/>
        <v>1.0125540093520263E-9</v>
      </c>
      <c r="U71" s="344">
        <f>IF(P71&lt;=0.85, (1/(3*H71*$J$77))*SQRT( ((1-P71)*(1/SQRT(1-PI()*P71/3)-1) + (1-P70)*(1-1/SQRT(1-PI()*P70/3)))^2*SUMSQ(K$8:K70) + ( (1-P71)*(1/SQRT(1-PI()*P71/3)-1) -P70*(1-1/SQRT(1-PI()*P70/3)) )^2*K71^2 + ( P71*(1-1/SQRT(1-PI()*P71/3)) - P70*(1-1/SQRT(1-PI()*P70/3)) )^2*SUMSQ(K$76:K96) ), (1/(PI()^2*H71*$J$77))*SQRT((1+P70/(1-P70))^2*K71^2+(P70/(1-P70)-P71/(1-P71))^2*SUMSQ(K$76:K96)) )</f>
        <v>2.1743713847432893E-8</v>
      </c>
      <c r="V71" s="345">
        <f t="shared" si="18"/>
        <v>2.1767277218359209E-8</v>
      </c>
      <c r="W71" s="340">
        <f t="shared" si="19"/>
        <v>10.887772484379013</v>
      </c>
      <c r="X71" s="345">
        <f t="shared" si="20"/>
        <v>4.3534554436718418E-8</v>
      </c>
      <c r="Y71" s="338">
        <f t="shared" si="8"/>
        <v>-15.425328223022706</v>
      </c>
      <c r="Z71" s="346">
        <f t="shared" si="21"/>
        <v>0.10887772484379013</v>
      </c>
      <c r="AA71" s="346">
        <f t="shared" si="22"/>
        <v>0.70583732980985958</v>
      </c>
      <c r="AB71" s="346">
        <f t="shared" si="9"/>
        <v>0.21775544968758026</v>
      </c>
      <c r="AC71" s="336">
        <f t="shared" si="2"/>
        <v>2.5800120475961468E-11</v>
      </c>
      <c r="AD71" s="337">
        <f t="shared" si="3"/>
        <v>2.9523041147424557E-12</v>
      </c>
      <c r="AE71" s="308">
        <f t="shared" si="10"/>
        <v>11.442985770136932</v>
      </c>
      <c r="AF71" s="337">
        <f t="shared" si="11"/>
        <v>5.9046082294849115E-12</v>
      </c>
      <c r="AG71" s="338">
        <f t="shared" si="23"/>
        <v>-24.380641954400968</v>
      </c>
      <c r="AH71" s="339">
        <f t="shared" si="24"/>
        <v>0.11442985770136932</v>
      </c>
      <c r="AI71" s="340">
        <f t="shared" si="25"/>
        <v>0.46934718911580381</v>
      </c>
      <c r="AJ71" s="341">
        <f t="shared" si="12"/>
        <v>0.22885971540273864</v>
      </c>
    </row>
    <row r="72" spans="1:36" x14ac:dyDescent="0.2">
      <c r="A72" s="309">
        <v>65</v>
      </c>
      <c r="B72" s="309">
        <f t="shared" si="13"/>
        <v>92.977005555555564</v>
      </c>
      <c r="C72" s="1">
        <v>669.42357142857202</v>
      </c>
      <c r="D72" s="347">
        <v>2</v>
      </c>
      <c r="E72" s="326">
        <f t="shared" si="4"/>
        <v>10.609251418797919</v>
      </c>
      <c r="F72" s="327">
        <f t="shared" ref="F72" si="27">SQRT((((-1)*10^4/(C97+273.15)^2)*D72)^2)</f>
        <v>0.26805726735251134</v>
      </c>
      <c r="G72" s="309">
        <f t="shared" si="5"/>
        <v>1.6442750000000002</v>
      </c>
      <c r="H72" s="1">
        <v>5919.39</v>
      </c>
      <c r="I72" s="324">
        <v>30</v>
      </c>
      <c r="J72" s="1">
        <v>1.07E-3</v>
      </c>
      <c r="K72" s="1">
        <v>2.0000000000000002E-5</v>
      </c>
      <c r="L72" s="328">
        <f t="shared" si="6"/>
        <v>1.8691588785046731</v>
      </c>
      <c r="M72" s="329">
        <f t="shared" ref="M72:M75" si="28">J72/$J$77</f>
        <v>1.4421068237260269E-3</v>
      </c>
      <c r="N72" s="342">
        <f>(1/$J$77)*SQRT(((1-J73/$J$77)*K72)^2+(J73/$J$77)^2*(SUMSQ(K$8:K71)+SUMSQ(K73:K$76)))</f>
        <v>2.983333000455824E-5</v>
      </c>
      <c r="O72" s="340">
        <f t="shared" si="14"/>
        <v>2.0687323236899133</v>
      </c>
      <c r="P72" s="332">
        <f t="shared" si="7"/>
        <v>0.90629001172554202</v>
      </c>
      <c r="Q72" s="342">
        <f>SQRT(((1-P72)/$J$77)^2*SUMSQ(K$8:K72)+(P72/$J$77)^2*SUMSQ(K73:K$76))</f>
        <v>6.4510725987277345E-3</v>
      </c>
      <c r="R72" s="340">
        <f t="shared" si="15"/>
        <v>0.71181106657516124</v>
      </c>
      <c r="S72" s="343">
        <f t="shared" si="16"/>
        <v>2.6140530212142526E-7</v>
      </c>
      <c r="T72" s="344">
        <f t="shared" si="17"/>
        <v>1.3248255417606811E-9</v>
      </c>
      <c r="U72" s="344">
        <f>IF(P72&lt;=0.85, (1/(3*H72*$J$77))*SQRT( ((1-P72)*(1/SQRT(1-PI()*P72/3)-1) + (1-P71)*(1-1/SQRT(1-PI()*P71/3)))^2*SUMSQ(K$8:K71) + ( (1-P72)*(1/SQRT(1-PI()*P72/3)-1) -P71*(1-1/SQRT(1-PI()*P71/3)) )^2*K72^2 + ( P72*(1-1/SQRT(1-PI()*P72/3)) - P71*(1-1/SQRT(1-PI()*P71/3)) )^2*SUMSQ(K73:K$76) ), (1/(PI()^2*H72*$J$77))*SQRT((1+P71/(1-P71))^2*K72^2+(P71/(1-P71)-P72/(1-P72))^2*SUMSQ(K73:K$76)) )</f>
        <v>2.0289401411681275E-8</v>
      </c>
      <c r="V72" s="345">
        <f t="shared" si="18"/>
        <v>2.0332608597040264E-8</v>
      </c>
      <c r="W72" s="340">
        <f t="shared" si="19"/>
        <v>7.7781928798045463</v>
      </c>
      <c r="X72" s="345">
        <f t="shared" si="20"/>
        <v>4.0665217194080527E-8</v>
      </c>
      <c r="Y72" s="338">
        <f t="shared" si="8"/>
        <v>-15.157193752406432</v>
      </c>
      <c r="Z72" s="346">
        <f t="shared" si="21"/>
        <v>7.7781928798045463E-2</v>
      </c>
      <c r="AA72" s="346">
        <f t="shared" si="22"/>
        <v>0.5131684008835502</v>
      </c>
      <c r="AB72" s="346">
        <f t="shared" si="9"/>
        <v>0.15556385759609093</v>
      </c>
      <c r="AC72" s="336">
        <f t="shared" ref="AC72:AC75" si="29">S72*($AC$3^2)*10^(-8)</f>
        <v>3.3734249676649076E-11</v>
      </c>
      <c r="AD72" s="337">
        <f t="shared" ref="AD72:AD75" si="30">AC72*SQRT((V72/S72)^2+(2*$AD$3/$AC$3)^2)</f>
        <v>2.8802534328432861E-12</v>
      </c>
      <c r="AE72" s="308">
        <f t="shared" si="10"/>
        <v>8.5380687593505424</v>
      </c>
      <c r="AF72" s="337">
        <f t="shared" si="11"/>
        <v>5.7605068656865722E-12</v>
      </c>
      <c r="AG72" s="338">
        <f t="shared" si="23"/>
        <v>-24.112507483784693</v>
      </c>
      <c r="AH72" s="339">
        <f t="shared" si="24"/>
        <v>8.5380687593505422E-2</v>
      </c>
      <c r="AI72" s="340">
        <f t="shared" si="25"/>
        <v>0.35409294388367812</v>
      </c>
      <c r="AJ72" s="341">
        <f t="shared" si="12"/>
        <v>0.17076137518701084</v>
      </c>
    </row>
    <row r="73" spans="1:36" x14ac:dyDescent="0.2">
      <c r="A73" s="309">
        <v>66</v>
      </c>
      <c r="B73" s="309">
        <f t="shared" si="13"/>
        <v>94.62293055555557</v>
      </c>
      <c r="C73" s="1">
        <v>681.27964285714302</v>
      </c>
      <c r="D73" s="347">
        <v>2</v>
      </c>
      <c r="E73" s="326">
        <f t="shared" ref="E73:E75" si="31">10000/(C73+273.15)</f>
        <v>10.477461670264551</v>
      </c>
      <c r="F73" s="327">
        <f t="shared" ref="F73:F75" si="32">SQRT((((-1)*10^4/(C74+273.15)^2)*D73)^2)</f>
        <v>2.1419970966759364E-2</v>
      </c>
      <c r="G73" s="309">
        <f t="shared" ref="G73:G75" si="33">H73/60/60</f>
        <v>1.6459249999999999</v>
      </c>
      <c r="H73" s="1">
        <v>5925.33</v>
      </c>
      <c r="I73" s="324">
        <v>30</v>
      </c>
      <c r="J73" s="1">
        <v>1.32E-3</v>
      </c>
      <c r="K73" s="1">
        <v>2.0000000000000002E-5</v>
      </c>
      <c r="L73" s="328">
        <f t="shared" ref="L73:L75" si="34">100*(K73/J73)</f>
        <v>1.5151515151515154</v>
      </c>
      <c r="M73" s="329">
        <f t="shared" si="28"/>
        <v>1.7790476703909864E-3</v>
      </c>
      <c r="N73" s="342">
        <f>(1/$J$77)*SQRT(((1-J74/$J$77)*K73)^2+(J74/$J$77)^2*(SUMSQ(K$8:K72)+SUMSQ(K74:K$76)))</f>
        <v>2.7783189910927199E-5</v>
      </c>
      <c r="O73" s="340">
        <f t="shared" si="14"/>
        <v>1.5616888953189887</v>
      </c>
      <c r="P73" s="332">
        <f t="shared" ref="P73:P75" si="35">M73+P72</f>
        <v>0.90806905939593296</v>
      </c>
      <c r="Q73" s="342">
        <f>SQRT(((1-P73)/$J$77)^2*SUMSQ(K$8:K73)+(P73/$J$77)^2*SUMSQ(K74:K$76))</f>
        <v>6.4636391504838287E-3</v>
      </c>
      <c r="R73" s="340">
        <f t="shared" si="15"/>
        <v>0.71180039487124247</v>
      </c>
      <c r="S73" s="343">
        <f t="shared" si="16"/>
        <v>3.2775162670868031E-7</v>
      </c>
      <c r="T73" s="344">
        <f t="shared" si="17"/>
        <v>1.6594094845789872E-9</v>
      </c>
      <c r="U73" s="344">
        <f>IF(P73&lt;=0.85, (1/(3*H73*$J$77))*SQRT( ((1-P73)*(1/SQRT(1-PI()*P73/3)-1) + (1-P72)*(1-1/SQRT(1-PI()*P72/3)))^2*SUMSQ(K$8:K72) + ( (1-P73)*(1/SQRT(1-PI()*P73/3)-1) -P72*(1-1/SQRT(1-PI()*P72/3)) )^2*K73^2 + ( P73*(1-1/SQRT(1-PI()*P73/3)) - P72*(1-1/SQRT(1-PI()*P72/3)) )^2*SUMSQ(K74:K$76) ), (1/(PI()^2*H73*$J$77))*SQRT((1+P72/(1-P72))^2*K73^2+(P72/(1-P72)-P73/(1-P73))^2*SUMSQ(K74:K$76)) )</f>
        <v>2.5607626731499526E-8</v>
      </c>
      <c r="V73" s="345">
        <f t="shared" si="18"/>
        <v>2.566133641604271E-8</v>
      </c>
      <c r="W73" s="340">
        <f t="shared" si="19"/>
        <v>7.8295069573679363</v>
      </c>
      <c r="X73" s="345">
        <f t="shared" si="20"/>
        <v>5.132267283208542E-8</v>
      </c>
      <c r="Y73" s="338">
        <f t="shared" ref="Y73:Y75" si="36">LN(S73)</f>
        <v>-14.931009751054262</v>
      </c>
      <c r="Z73" s="346">
        <f t="shared" si="21"/>
        <v>7.8295069573679363E-2</v>
      </c>
      <c r="AA73" s="346">
        <f t="shared" si="22"/>
        <v>0.52437893269844682</v>
      </c>
      <c r="AB73" s="346">
        <f t="shared" ref="AB73:AB75" si="37">2*Z73</f>
        <v>0.15659013914735873</v>
      </c>
      <c r="AC73" s="336">
        <f t="shared" si="29"/>
        <v>4.2296216326104504E-11</v>
      </c>
      <c r="AD73" s="337">
        <f t="shared" si="30"/>
        <v>3.6310633606818833E-12</v>
      </c>
      <c r="AE73" s="308">
        <f t="shared" ref="AE73:AE75" si="38">100*AD73/AC73</f>
        <v>8.5848420404471337</v>
      </c>
      <c r="AF73" s="337">
        <f t="shared" ref="AF73:AF75" si="39">2*AD73</f>
        <v>7.2621267213637665E-12</v>
      </c>
      <c r="AG73" s="338">
        <f t="shared" si="23"/>
        <v>-23.886323482432527</v>
      </c>
      <c r="AH73" s="339">
        <f t="shared" si="24"/>
        <v>8.5848420404471326E-2</v>
      </c>
      <c r="AI73" s="340">
        <f t="shared" si="25"/>
        <v>0.35940407684593884</v>
      </c>
      <c r="AJ73" s="341">
        <f t="shared" ref="AJ73:AJ75" si="40">2*AH73</f>
        <v>0.17169684080894265</v>
      </c>
    </row>
    <row r="74" spans="1:36" x14ac:dyDescent="0.2">
      <c r="A74" s="309">
        <v>67</v>
      </c>
      <c r="B74" s="309">
        <f t="shared" ref="B74:B75" si="41">B73+G74</f>
        <v>95.769427777777793</v>
      </c>
      <c r="C74" s="1">
        <v>693.13571428571402</v>
      </c>
      <c r="D74" s="347">
        <v>2</v>
      </c>
      <c r="E74" s="326">
        <f t="shared" si="31"/>
        <v>10.348905972797164</v>
      </c>
      <c r="F74" s="327">
        <f t="shared" si="32"/>
        <v>2.0903854381364429E-2</v>
      </c>
      <c r="G74" s="309">
        <f t="shared" si="33"/>
        <v>1.1464972222222223</v>
      </c>
      <c r="H74" s="1">
        <v>4127.3900000000003</v>
      </c>
      <c r="I74" s="324">
        <v>30</v>
      </c>
      <c r="J74" s="1">
        <v>6.9999999999999999E-4</v>
      </c>
      <c r="K74" s="1">
        <v>2.0000000000000002E-5</v>
      </c>
      <c r="L74" s="328">
        <f t="shared" si="34"/>
        <v>2.8571428571428572</v>
      </c>
      <c r="M74" s="329">
        <f t="shared" si="28"/>
        <v>9.4343437066188676E-4</v>
      </c>
      <c r="N74" s="342">
        <f>(1/$J$77)*SQRT(((1-J75/$J$77)*K74)^2+(J75/$J$77)^2*(SUMSQ(K$8:K73)+SUMSQ(K75:K$76)))</f>
        <v>3.655624648102274E-5</v>
      </c>
      <c r="O74" s="340">
        <f t="shared" ref="O74:O75" si="42">100*(N74/M74)</f>
        <v>3.8748054573606341</v>
      </c>
      <c r="P74" s="332">
        <f t="shared" si="35"/>
        <v>0.90901249376659488</v>
      </c>
      <c r="Q74" s="342">
        <f>SQRT(((1-P74)/$J$77)^2*SUMSQ(K$8:K74)+(P74/$J$77)^2*SUMSQ(K75:K$76))</f>
        <v>6.4702820039540887E-3</v>
      </c>
      <c r="R74" s="340">
        <f t="shared" ref="R74:R75" si="43">100*(Q74/P74)</f>
        <v>0.7117924174115311</v>
      </c>
      <c r="S74" s="343">
        <f t="shared" ref="S74:S75" si="44">IF(P74&lt;=0.85, (((-1)*PI()^2*(P74-P73)/3-2*PI()*(SQRT(1-PI()*P74/3)-SQRT(1-PI()*P73/3)))/PI()^2/H74), ((-1)*LN((1-P74)/(1-P73))/PI()^2/H74 ))</f>
        <v>2.5322861678039105E-7</v>
      </c>
      <c r="T74" s="344">
        <f t="shared" ref="T74:T75" si="45">IF(P74&lt;=0.85, ABS(((-1)*(P74-P73)/3-2*(SQRT(1-PI()*P74/3)-SQRT(1-PI()*P73/3))/PI())*(-1)*I74/H74^2), ABS((-1)*LN((1-P74)/(1-P73))*(-1)*I74/PI()^2/H74^2))</f>
        <v>1.8405962371890542E-9</v>
      </c>
      <c r="U74" s="344">
        <f>IF(P74&lt;=0.85, (1/(3*H74*$J$77))*SQRT( ((1-P74)*(1/SQRT(1-PI()*P74/3)-1) + (1-P73)*(1-1/SQRT(1-PI()*P73/3)))^2*SUMSQ(K$8:K73) + ( (1-P74)*(1/SQRT(1-PI()*P74/3)-1) -P73*(1-1/SQRT(1-PI()*P73/3)) )^2*K74^2 + ( P74*(1-1/SQRT(1-PI()*P74/3)) - P73*(1-1/SQRT(1-PI()*P73/3)) )^2*SUMSQ(K$76:K99) ), (1/(PI()^2*H74*$J$77))*SQRT((1+P73/(1-P73))^2*K74^2+(P73/(1-P73)-P74/(1-P74))^2*SUMSQ(K$76:K99)) )</f>
        <v>2.9020383626183053E-8</v>
      </c>
      <c r="V74" s="345">
        <f t="shared" ref="V74:V75" si="46">SQRT(T74^2+U74^2)</f>
        <v>2.9078694267782862E-8</v>
      </c>
      <c r="W74" s="340">
        <f t="shared" ref="W74:W75" si="47">100*(V74/S74)</f>
        <v>11.483178574955828</v>
      </c>
      <c r="X74" s="345">
        <f t="shared" ref="X74:X75" si="48">V74*2</f>
        <v>5.8157388535565725E-8</v>
      </c>
      <c r="Y74" s="338">
        <f t="shared" si="36"/>
        <v>-15.18897313260304</v>
      </c>
      <c r="Z74" s="346">
        <f t="shared" ref="Z74:Z75" si="49">V74/S74</f>
        <v>0.11483178574955827</v>
      </c>
      <c r="AA74" s="346">
        <f t="shared" ref="AA74:AA75" si="50">ABS(100*(Z74/Y74))</f>
        <v>0.75602073127032221</v>
      </c>
      <c r="AB74" s="346">
        <f t="shared" si="37"/>
        <v>0.22966357149911654</v>
      </c>
      <c r="AC74" s="336">
        <f t="shared" si="29"/>
        <v>3.2679051704062752E-11</v>
      </c>
      <c r="AD74" s="337">
        <f t="shared" si="30"/>
        <v>3.9250482896636051E-12</v>
      </c>
      <c r="AE74" s="308">
        <f t="shared" si="38"/>
        <v>12.010900209737825</v>
      </c>
      <c r="AF74" s="337">
        <f t="shared" si="39"/>
        <v>7.8500965793272103E-12</v>
      </c>
      <c r="AG74" s="338">
        <f t="shared" ref="AG74:AG75" si="51">LN(AC74)</f>
        <v>-24.144286863981304</v>
      </c>
      <c r="AH74" s="339">
        <f t="shared" ref="AH74:AH75" si="52">AD74/AC74</f>
        <v>0.12010900209737825</v>
      </c>
      <c r="AI74" s="340">
        <f t="shared" ref="AI74:AI75" si="53">ABS(100*(AH74/AG74))</f>
        <v>0.49746344869915421</v>
      </c>
      <c r="AJ74" s="341">
        <f t="shared" si="40"/>
        <v>0.2402180041947565</v>
      </c>
    </row>
    <row r="75" spans="1:36" x14ac:dyDescent="0.2">
      <c r="A75" s="309">
        <v>68</v>
      </c>
      <c r="B75" s="309">
        <f t="shared" si="41"/>
        <v>96.916344444444462</v>
      </c>
      <c r="C75" s="1">
        <v>704.99178571428604</v>
      </c>
      <c r="D75" s="347">
        <v>2</v>
      </c>
      <c r="E75" s="326">
        <f t="shared" si="31"/>
        <v>10.223466726449603</v>
      </c>
      <c r="F75" s="327">
        <f t="shared" si="32"/>
        <v>0.26805726735251134</v>
      </c>
      <c r="G75" s="309">
        <f t="shared" si="33"/>
        <v>1.1469166666666666</v>
      </c>
      <c r="H75" s="1">
        <v>4128.8999999999996</v>
      </c>
      <c r="I75" s="324">
        <v>30</v>
      </c>
      <c r="J75" s="1">
        <v>2.5400000000000002E-3</v>
      </c>
      <c r="K75" s="1">
        <v>5.9999999999999988E-5</v>
      </c>
      <c r="L75" s="328">
        <f t="shared" si="34"/>
        <v>2.3622047244094482</v>
      </c>
      <c r="M75" s="329">
        <f t="shared" si="28"/>
        <v>3.423319002115989E-3</v>
      </c>
      <c r="N75" s="342">
        <f>(1/$J$77)*SQRT(((1-J76/$J$77)*K75)^2+(J76/$J$77)^2*(SUMSQ(K$8:K74)+SUMSQ(K76:K$76)))</f>
        <v>8.6190670141784238E-4</v>
      </c>
      <c r="O75" s="340">
        <f t="shared" si="42"/>
        <v>25.177516348464422</v>
      </c>
      <c r="P75" s="332">
        <f t="shared" si="35"/>
        <v>0.91243581276871089</v>
      </c>
      <c r="Q75" s="342">
        <f>SQRT(((1-P75)/$J$77)^2*SUMSQ(K$8:K75)+(P75/$J$77)^2*SUMSQ(K76:K$76))</f>
        <v>6.4941397548097472E-3</v>
      </c>
      <c r="R75" s="340">
        <f t="shared" si="43"/>
        <v>0.71173661357107609</v>
      </c>
      <c r="S75" s="343">
        <f t="shared" si="44"/>
        <v>9.4109291926687914E-7</v>
      </c>
      <c r="T75" s="344">
        <f t="shared" si="45"/>
        <v>6.8378472663436685E-9</v>
      </c>
      <c r="U75" s="344">
        <f>IF(P75&lt;=0.85, (1/(3*H75*$J$77))*SQRT( ((1-P75)*(1/SQRT(1-PI()*P75/3)-1) + (1-P74)*(1-1/SQRT(1-PI()*P74/3)))^2*SUMSQ(K$8:K74) + ( (1-P75)*(1/SQRT(1-PI()*P75/3)-1) -P74*(1-1/SQRT(1-PI()*P74/3)) )^2*K75^2 + ( P75*(1-1/SQRT(1-PI()*P75/3)) - P74*(1-1/SQRT(1-PI()*P74/3)) )^2*SUMSQ(K76:K$91) ), (1/(PI()^2*H75*$J$77))*SQRT((1+P74/(1-P74))^2*K75^2+(P74/(1-P74)-P75/(1-P75))^2*SUMSQ(K76:K$91)) )</f>
        <v>1.0925906599322301E-7</v>
      </c>
      <c r="V75" s="345">
        <f t="shared" si="46"/>
        <v>1.0947282611200509E-7</v>
      </c>
      <c r="W75" s="340">
        <f t="shared" si="47"/>
        <v>11.632520431381582</v>
      </c>
      <c r="X75" s="345">
        <f t="shared" si="48"/>
        <v>2.1894565222401019E-7</v>
      </c>
      <c r="Y75" s="338">
        <f t="shared" si="36"/>
        <v>-13.876223957000231</v>
      </c>
      <c r="Z75" s="346">
        <f t="shared" si="49"/>
        <v>0.11632520431381582</v>
      </c>
      <c r="AA75" s="346">
        <f t="shared" si="50"/>
        <v>0.83830590133371596</v>
      </c>
      <c r="AB75" s="346">
        <f t="shared" si="37"/>
        <v>0.23265040862763164</v>
      </c>
      <c r="AC75" s="336">
        <f t="shared" si="29"/>
        <v>1.2144766479422305E-10</v>
      </c>
      <c r="AD75" s="337">
        <f t="shared" si="30"/>
        <v>1.4760456860962421E-11</v>
      </c>
      <c r="AE75" s="308">
        <f t="shared" si="38"/>
        <v>12.153759305271167</v>
      </c>
      <c r="AF75" s="337">
        <f t="shared" si="39"/>
        <v>2.9520913721924842E-11</v>
      </c>
      <c r="AG75" s="338">
        <f t="shared" si="51"/>
        <v>-22.831537688378493</v>
      </c>
      <c r="AH75" s="339">
        <f t="shared" si="52"/>
        <v>0.12153759305271168</v>
      </c>
      <c r="AI75" s="340">
        <f t="shared" si="53"/>
        <v>0.53232329206882845</v>
      </c>
      <c r="AJ75" s="341">
        <f t="shared" si="40"/>
        <v>0.24307518610542336</v>
      </c>
    </row>
    <row r="76" spans="1:36" x14ac:dyDescent="0.2">
      <c r="B76" s="309"/>
      <c r="D76" s="347"/>
      <c r="E76" s="326"/>
      <c r="F76" s="327"/>
      <c r="G76" s="309"/>
      <c r="J76" s="338">
        <v>8.7999999999999995E-2</v>
      </c>
      <c r="K76" s="346">
        <f>IF(J76&lt;0.06,J76*0.1,IF(J76&lt;0.2,J76*0.06,J76*0.03))</f>
        <v>5.2799999999999991E-3</v>
      </c>
      <c r="L76" s="328">
        <f>100*(K76/J76)</f>
        <v>5.9999999999999991</v>
      </c>
      <c r="M76" s="329"/>
      <c r="N76" s="342"/>
      <c r="O76" s="340"/>
      <c r="P76" s="332"/>
      <c r="Q76" s="342"/>
      <c r="R76" s="340"/>
    </row>
    <row r="77" spans="1:36" x14ac:dyDescent="0.2">
      <c r="B77" s="309"/>
      <c r="D77" s="347"/>
      <c r="E77" s="326"/>
      <c r="F77" s="327"/>
      <c r="G77" s="309"/>
      <c r="J77" s="120">
        <f>SUM(J9:J76)</f>
        <v>0.74196999999999991</v>
      </c>
      <c r="K77" s="346">
        <f>SQRT(SUMSQ(K8:K76))</f>
        <v>5.3738719746566337E-3</v>
      </c>
      <c r="L77" s="328">
        <f>100*(K77/J77)</f>
        <v>0.72427078920396171</v>
      </c>
      <c r="M77" s="329"/>
      <c r="N77" s="342"/>
      <c r="O77" s="340"/>
      <c r="P77" s="332"/>
    </row>
    <row r="90" spans="1:36" x14ac:dyDescent="0.2">
      <c r="A90" s="309"/>
      <c r="B90" s="309"/>
      <c r="D90" s="347"/>
      <c r="E90" s="326"/>
      <c r="F90" s="327"/>
      <c r="G90" s="309"/>
      <c r="I90" s="324"/>
      <c r="L90" s="328"/>
      <c r="M90" s="329"/>
      <c r="N90" s="342"/>
      <c r="O90" s="340"/>
      <c r="P90" s="332"/>
      <c r="Q90" s="342"/>
      <c r="R90" s="340"/>
      <c r="S90" s="343"/>
      <c r="T90" s="344"/>
      <c r="U90" s="344"/>
      <c r="V90" s="345"/>
      <c r="W90" s="340"/>
      <c r="X90" s="345"/>
      <c r="Y90" s="338"/>
      <c r="Z90" s="346"/>
      <c r="AA90" s="346"/>
      <c r="AB90" s="346"/>
      <c r="AC90" s="336"/>
      <c r="AD90" s="337"/>
      <c r="AE90" s="308"/>
      <c r="AF90" s="337"/>
      <c r="AG90" s="338"/>
      <c r="AH90" s="339"/>
      <c r="AI90" s="340"/>
      <c r="AJ90" s="341"/>
    </row>
    <row r="91" spans="1:36" x14ac:dyDescent="0.2">
      <c r="A91" s="309"/>
      <c r="B91" s="309"/>
      <c r="D91" s="347"/>
      <c r="E91" s="326"/>
      <c r="F91" s="327"/>
      <c r="G91" s="309"/>
      <c r="I91" s="324"/>
      <c r="L91" s="328"/>
      <c r="M91" s="329"/>
      <c r="N91" s="342"/>
      <c r="O91" s="340"/>
      <c r="P91" s="332"/>
      <c r="Q91" s="342"/>
      <c r="R91" s="340"/>
      <c r="S91" s="343"/>
      <c r="T91" s="344"/>
      <c r="U91" s="344"/>
      <c r="V91" s="345"/>
      <c r="W91" s="340"/>
      <c r="X91" s="345"/>
      <c r="Y91" s="338"/>
      <c r="Z91" s="346"/>
      <c r="AA91" s="346"/>
      <c r="AB91" s="346"/>
      <c r="AC91" s="336"/>
      <c r="AD91" s="337"/>
      <c r="AE91" s="308"/>
      <c r="AF91" s="337"/>
      <c r="AG91" s="338"/>
      <c r="AH91" s="339"/>
      <c r="AI91" s="340"/>
      <c r="AJ91" s="341"/>
    </row>
    <row r="92" spans="1:36" x14ac:dyDescent="0.2">
      <c r="I92" s="302"/>
      <c r="S92" s="343"/>
      <c r="T92" s="344"/>
      <c r="U92" s="344"/>
      <c r="V92" s="345"/>
      <c r="W92" s="340"/>
      <c r="X92" s="345"/>
      <c r="Y92" s="338"/>
      <c r="Z92" s="346"/>
      <c r="AA92" s="346"/>
      <c r="AB92" s="346"/>
      <c r="AC92" s="336"/>
      <c r="AD92" s="337"/>
      <c r="AE92" s="308"/>
      <c r="AF92" s="337"/>
      <c r="AG92" s="338"/>
      <c r="AH92" s="339"/>
      <c r="AI92" s="340"/>
      <c r="AJ92" s="341"/>
    </row>
    <row r="93" spans="1:36" x14ac:dyDescent="0.2">
      <c r="I93" s="34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B675-9353-9948-98D1-60BA30958626}">
  <dimension ref="A1:AM93"/>
  <sheetViews>
    <sheetView topLeftCell="A4" zoomScale="75" zoomScaleNormal="100" workbookViewId="0">
      <selection activeCell="AC4" sqref="AC1:AJ1048576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hidden="1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620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0.64536944444444444</v>
      </c>
      <c r="C8" s="1">
        <v>300.05</v>
      </c>
      <c r="D8" s="347">
        <v>2</v>
      </c>
      <c r="E8" s="326">
        <f>10000/(C8+273.15)</f>
        <v>17.445917655268666</v>
      </c>
      <c r="F8" s="327">
        <f t="shared" ref="F8:F64" si="0">SQRT((((-1)*10^4/(C9+273.15)^2)*D8)^2)</f>
        <v>5.8794322882269288E-2</v>
      </c>
      <c r="G8" s="309">
        <f>H8/60/60</f>
        <v>0.64536944444444444</v>
      </c>
      <c r="H8" s="1">
        <v>2323.33</v>
      </c>
      <c r="I8" s="324">
        <v>30</v>
      </c>
      <c r="J8" s="1">
        <v>9.1299999999999992E-3</v>
      </c>
      <c r="K8" s="1">
        <v>1.19999999999999E-4</v>
      </c>
      <c r="L8" s="328">
        <f>100*(K8/J8)</f>
        <v>1.3143483023000988</v>
      </c>
      <c r="M8" s="329">
        <f t="shared" ref="M8:M71" si="1">J8/$J$79</f>
        <v>2.4460751612185904E-3</v>
      </c>
      <c r="N8" s="330">
        <f>(1/$J$79)*SQRT(((1-J9/$J$79)*K8)^2+(J9/$J$79)^2*SUMSQ(K9:K$78))</f>
        <v>6.8925416759081789E-5</v>
      </c>
      <c r="O8" s="331">
        <f>100*(N8/M8)</f>
        <v>2.8177963560508252</v>
      </c>
      <c r="P8" s="332">
        <f>M8+P7</f>
        <v>2.4460751612185904E-3</v>
      </c>
      <c r="Q8" s="330">
        <f>SQRT(((1-P8)/$J$79)^2*SUMSQ(K$8:K8)+(P8/$J$79)^2*SUMSQ(K9:K$78))</f>
        <v>6.2968396878574978E-5</v>
      </c>
      <c r="R8" s="331">
        <f>100*(Q8/P8)</f>
        <v>2.5742625523904694</v>
      </c>
      <c r="S8" s="333">
        <f>IF(P8&lt;=0.85, ((2*PI()-PI()^2*P8/3-2*PI()*SQRT(1-PI()*P8/3))/PI()^2/H8), ((-1)*LN((1-P8)*PI()^2/6)/PI()^2/H8 ))</f>
        <v>2.2502606701686837E-10</v>
      </c>
      <c r="T8" s="333">
        <f>IF(P8&lt;=0.85, ABS((2/PI()-P8/3-2*SQRT(1-PI()*P8/3)/PI())*(-1)*I8/H8^2), ABS((-1)*LN((1-P8)*PI()^2/6)*(-1)*I8/PI()^2/H8^2))</f>
        <v>2.9056492231851049E-12</v>
      </c>
      <c r="U8" s="333">
        <f>IF(P8&lt;=0.85, ((1/(3*H8*$J$79))*((1/SQRT(1-PI()*P8/3))-1)*SQRT(((1-P8)*K8)^2+(-P8)^2*SUMSQ(K9:K$78))),  (1/(PI()^2*H8*$J$79))*SQRT(K8^2+(P8/(1-P8))^2*SUMSQ(K9:K$78)))</f>
        <v>1.1592956986326703E-11</v>
      </c>
      <c r="V8" s="334">
        <f>SQRT(T8^2+U8^2)</f>
        <v>1.1951545887248951E-11</v>
      </c>
      <c r="W8" s="331">
        <f>100*(V8/S8)</f>
        <v>5.3111828534749455</v>
      </c>
      <c r="X8" s="334">
        <f>V8*2</f>
        <v>2.3903091774497903E-11</v>
      </c>
      <c r="Y8" s="335">
        <f>LN(S8)</f>
        <v>-22.214804867026313</v>
      </c>
      <c r="Z8" s="335">
        <f>V8/S8</f>
        <v>5.3111828534749453E-2</v>
      </c>
      <c r="AA8" s="335">
        <f>ABS(100*(Z8/Y8))</f>
        <v>0.23908302977526463</v>
      </c>
      <c r="AB8" s="335">
        <f>2*Z8</f>
        <v>0.10622365706949891</v>
      </c>
      <c r="AC8" s="336">
        <f t="shared" ref="AC8:AC71" si="2">S8*($AC$3^2)*10^(-8)</f>
        <v>2.9039523938100053E-14</v>
      </c>
      <c r="AD8" s="337">
        <f t="shared" ref="AD8:AD71" si="3">AC8*SQRT((V8/S8)^2+(2*$AD$3/$AC$3)^2)</f>
        <v>1.8505035772009516E-15</v>
      </c>
      <c r="AE8" s="308">
        <f>100*AD8/AC8</f>
        <v>6.3723619613924809</v>
      </c>
      <c r="AF8" s="337">
        <f>2*AD8</f>
        <v>3.7010071544019033E-15</v>
      </c>
      <c r="AG8" s="338">
        <f>LN(AC8)</f>
        <v>-31.170118598404574</v>
      </c>
      <c r="AH8" s="339">
        <f>AD8/AC8</f>
        <v>6.3723619613924809E-2</v>
      </c>
      <c r="AI8" s="340">
        <f>ABS(100*(AH8/AG8))</f>
        <v>0.20443816860288258</v>
      </c>
      <c r="AJ8" s="341">
        <f>2*AH8</f>
        <v>0.12744723922784962</v>
      </c>
    </row>
    <row r="9" spans="1:39" x14ac:dyDescent="0.2">
      <c r="A9" s="309">
        <v>2</v>
      </c>
      <c r="B9" s="309">
        <f>B8+G9</f>
        <v>1.2918499999999999</v>
      </c>
      <c r="C9" s="1">
        <v>310.08999999999997</v>
      </c>
      <c r="D9" s="347">
        <v>2</v>
      </c>
      <c r="E9" s="326">
        <f t="shared" ref="E9:E72" si="4">10000/(C9+273.15)</f>
        <v>17.145600438927371</v>
      </c>
      <c r="F9" s="327">
        <f t="shared" si="0"/>
        <v>5.6828886055496602E-2</v>
      </c>
      <c r="G9" s="309">
        <f t="shared" ref="G9:G72" si="5">H9/60/60</f>
        <v>0.6464805555555555</v>
      </c>
      <c r="H9" s="1">
        <v>2327.33</v>
      </c>
      <c r="I9" s="324">
        <v>30</v>
      </c>
      <c r="J9" s="1">
        <v>1.0279999999999999E-2</v>
      </c>
      <c r="K9" s="1">
        <v>1.6000000000000001E-4</v>
      </c>
      <c r="L9" s="328">
        <f t="shared" ref="L9:L72" si="6">100*(K9/J9)</f>
        <v>1.5564202334630353</v>
      </c>
      <c r="M9" s="329">
        <f t="shared" si="1"/>
        <v>2.7541788233655102E-3</v>
      </c>
      <c r="N9" s="342">
        <f>(1/$J$79)*SQRT(((1-J10/$J$79)*K9)^2+(J10/$J$79)^2*(SUMSQ(K$8:K8)+SUMSQ(K10:K$78)))</f>
        <v>8.4280455971135265E-5</v>
      </c>
      <c r="O9" s="340">
        <f>100*(N9/M9)</f>
        <v>3.0600938202025496</v>
      </c>
      <c r="P9" s="332">
        <f t="shared" ref="P9:P72" si="7">M9+P8</f>
        <v>5.2002539845841002E-3</v>
      </c>
      <c r="Q9" s="342">
        <f>SQRT(((1-P9)/$J$79)^2*SUMSQ(K$8:K9)+(P9/$J$79)^2*SUMSQ(K10:K$78))</f>
        <v>1.2693778902294231E-4</v>
      </c>
      <c r="R9" s="340">
        <f>100*(Q9/P9)</f>
        <v>2.4409921015251026</v>
      </c>
      <c r="S9" s="343">
        <f>IF(P9&lt;=0.85, (((-1)*PI()^2*(P9-P8)/3-2*PI()*(SQRT(1-PI()*P9/3)-SQRT(1-PI()*P8/3)))/PI()^2/H9), ((-1)*LN((1-P9)/(1-P8))/PI()^2/H9 ))</f>
        <v>7.9213239782748247E-10</v>
      </c>
      <c r="T9" s="344">
        <f>IF(P9&lt;=0.85, ABS(((-1)*(P9-P8)/3-2*(SQRT(1-PI()*P9/3)-SQRT(1-PI()*P8/3))/PI())*(-1)*I9/H9^2), ABS((-1)*LN((1-P9)/(1-P8))*(-1)*I9/PI()^2/H9^2))</f>
        <v>1.0210830408590297E-11</v>
      </c>
      <c r="U9" s="344">
        <f>IF(P9&lt;=0.85, (1/(3*H9*$J$79))*SQRT( ((1-P9)*(1/SQRT(1-PI()*P9/3)-1) + (1-P8)*(1-1/SQRT(1-PI()*P8/3)))^2*SUMSQ(K$8:K8) + ( (1-P9)*(1/SQRT(1-PI()*P9/3)-1) -P8*(1-1/SQRT(1-PI()*P8/3)) )^2*K9^2 + ( P9*(1-1/SQRT(1-PI()*P9/3)) - P8*(1-1/SQRT(1-PI()*P8/3)) )^2*SUMSQ(K10:K$78) ), (1/(PI()^2*H9*$J$79))*SQRT((1+P8/(1-P8))^2*K9^2+(P8/(1-P8)-P9/(1-P9))^2*SUMSQ(K10:K$78)) )</f>
        <v>3.9485452428939065E-11</v>
      </c>
      <c r="V9" s="345">
        <f>SQRT(T9^2+U9^2)</f>
        <v>4.0784335364830971E-11</v>
      </c>
      <c r="W9" s="340">
        <f>100*(V9/S9)</f>
        <v>5.1486765945550097</v>
      </c>
      <c r="X9" s="345">
        <f>V9*2</f>
        <v>8.1568670729661942E-11</v>
      </c>
      <c r="Y9" s="338">
        <f t="shared" ref="Y9:Y72" si="8">LN(S9)</f>
        <v>-20.956292569111206</v>
      </c>
      <c r="Z9" s="346">
        <f>V9/S9</f>
        <v>5.14867659455501E-2</v>
      </c>
      <c r="AA9" s="346">
        <f>ABS(100*(Z9/Y9))</f>
        <v>0.24568642461806281</v>
      </c>
      <c r="AB9" s="346">
        <f t="shared" ref="AB9:AB72" si="9">2*Z9</f>
        <v>0.1029735318911002</v>
      </c>
      <c r="AC9" s="336">
        <f t="shared" si="2"/>
        <v>1.0222436908667748E-13</v>
      </c>
      <c r="AD9" s="337">
        <f t="shared" si="3"/>
        <v>6.3763104195804203E-15</v>
      </c>
      <c r="AE9" s="308">
        <f t="shared" ref="AE9:AE72" si="10">100*AD9/AC9</f>
        <v>6.2375639747640381</v>
      </c>
      <c r="AF9" s="337">
        <f t="shared" ref="AF9:AF72" si="11">2*AD9</f>
        <v>1.2752620839160841E-14</v>
      </c>
      <c r="AG9" s="338">
        <f>LN(AC9)</f>
        <v>-29.911606300489467</v>
      </c>
      <c r="AH9" s="339">
        <f>AD9/AC9</f>
        <v>6.2375639747640377E-2</v>
      </c>
      <c r="AI9" s="340">
        <f>ABS(100*(AH9/AG9))</f>
        <v>0.2085332332908503</v>
      </c>
      <c r="AJ9" s="341">
        <f t="shared" ref="AJ9:AJ72" si="12">2*AH9</f>
        <v>0.12475127949528075</v>
      </c>
    </row>
    <row r="10" spans="1:39" x14ac:dyDescent="0.2">
      <c r="A10" s="309">
        <v>3</v>
      </c>
      <c r="B10" s="309">
        <f t="shared" ref="B10:B73" si="13">B9+G10</f>
        <v>1.9361111111111111</v>
      </c>
      <c r="C10" s="1">
        <v>320.08999999999997</v>
      </c>
      <c r="D10" s="347">
        <v>2</v>
      </c>
      <c r="E10" s="326">
        <f t="shared" si="4"/>
        <v>16.856584181781404</v>
      </c>
      <c r="F10" s="327">
        <f t="shared" si="0"/>
        <v>5.4960380798230589E-2</v>
      </c>
      <c r="G10" s="309">
        <f t="shared" si="5"/>
        <v>0.64426111111111117</v>
      </c>
      <c r="H10" s="1">
        <v>2319.34</v>
      </c>
      <c r="I10" s="324">
        <v>30</v>
      </c>
      <c r="J10" s="1">
        <v>1.2239999999999999E-2</v>
      </c>
      <c r="K10" s="1">
        <v>1.4999999999999999E-4</v>
      </c>
      <c r="L10" s="328">
        <f t="shared" si="6"/>
        <v>1.2254901960784315</v>
      </c>
      <c r="M10" s="329">
        <f t="shared" si="1"/>
        <v>3.2792946301550435E-3</v>
      </c>
      <c r="N10" s="342">
        <f>(1/$J$79)*SQRT(((1-J11/$J$79)*K10)^2+(J11/$J$79)^2*(SUMSQ(K$8:K9)+SUMSQ(K11:K$78)))</f>
        <v>9.0477219083340927E-5</v>
      </c>
      <c r="O10" s="340">
        <f t="shared" ref="O10:O73" si="14">100*(N10/M10)</f>
        <v>2.7590451388951047</v>
      </c>
      <c r="P10" s="332">
        <f t="shared" si="7"/>
        <v>8.4795486147391432E-3</v>
      </c>
      <c r="Q10" s="342">
        <f>SQRT(((1-P10)/$J$79)^2*SUMSQ(K$8:K10)+(P10/$J$79)^2*SUMSQ(K11:K$78))</f>
        <v>1.9924434108858319E-4</v>
      </c>
      <c r="R10" s="340">
        <f t="shared" ref="R10:R73" si="15">100*(Q10/P10)</f>
        <v>2.3497045673192658</v>
      </c>
      <c r="S10" s="343">
        <f t="shared" ref="S10:S73" si="16">IF(P10&lt;=0.85, (((-1)*PI()^2*(P10-P9)/3-2*PI()*(SQRT(1-PI()*P10/3)-SQRT(1-PI()*P9/3)))/PI()^2/H10), ((-1)*LN((1-P10)/(1-P9))/PI()^2/H10 ))</f>
        <v>1.6971851352502233E-9</v>
      </c>
      <c r="T10" s="344">
        <f t="shared" ref="T10:T73" si="17">IF(P10&lt;=0.85, ABS(((-1)*(P10-P9)/3-2*(SQRT(1-PI()*P10/3)-SQRT(1-PI()*P9/3))/PI())*(-1)*I10/H10^2), ABS((-1)*LN((1-P10)/(1-P9))*(-1)*I10/PI()^2/H10^2))</f>
        <v>2.1952604645074552E-11</v>
      </c>
      <c r="U10" s="344">
        <f>IF(P10&lt;=0.85, (1/(3*H10*$J$79))*SQRT( ((1-P10)*(1/SQRT(1-PI()*P10/3)-1) + (1-P9)*(1-1/SQRT(1-PI()*P9/3)))^2*SUMSQ(K$8:K9) + ( (1-P10)*(1/SQRT(1-PI()*P10/3)-1) -P9*(1-1/SQRT(1-PI()*P9/3)) )^2*K10^2 + ( P10*(1-1/SQRT(1-PI()*P10/3)) - P9*(1-1/SQRT(1-PI()*P9/3)) )^2*SUMSQ(K11:K$78) ), (1/(PI()^2*H10*$J$79))*SQRT((1+P9/(1-P9))^2*K10^2+(P9/(1-P9)-P10/(1-P10))^2*SUMSQ(K11:K$78)) )</f>
        <v>8.0740191742304512E-11</v>
      </c>
      <c r="V10" s="345">
        <f t="shared" ref="V10:V73" si="18">SQRT(T10^2+U10^2)</f>
        <v>8.3671353600184138E-11</v>
      </c>
      <c r="W10" s="340">
        <f t="shared" ref="W10:W73" si="19">100*(V10/S10)</f>
        <v>4.930007449531904</v>
      </c>
      <c r="X10" s="345">
        <f t="shared" ref="X10:X73" si="20">V10*2</f>
        <v>1.6734270720036828E-10</v>
      </c>
      <c r="Y10" s="338">
        <f t="shared" si="8"/>
        <v>-20.194294761034783</v>
      </c>
      <c r="Z10" s="346">
        <f t="shared" ref="Z10:Z73" si="21">V10/S10</f>
        <v>4.9300074495319042E-2</v>
      </c>
      <c r="AA10" s="346">
        <f t="shared" ref="AA10:AA73" si="22">ABS(100*(Z10/Y10))</f>
        <v>0.24412872585401857</v>
      </c>
      <c r="AB10" s="346">
        <f t="shared" si="9"/>
        <v>9.8600148990638084E-2</v>
      </c>
      <c r="AC10" s="336">
        <f t="shared" si="2"/>
        <v>2.190210628299872E-13</v>
      </c>
      <c r="AD10" s="337">
        <f t="shared" si="3"/>
        <v>1.3269008764671868E-14</v>
      </c>
      <c r="AE10" s="308">
        <f t="shared" si="10"/>
        <v>6.0583254383035285</v>
      </c>
      <c r="AF10" s="337">
        <f t="shared" si="11"/>
        <v>2.6538017529343736E-14</v>
      </c>
      <c r="AG10" s="338">
        <f t="shared" ref="AG10:AG73" si="23">LN(AC10)</f>
        <v>-29.149608492413048</v>
      </c>
      <c r="AH10" s="339">
        <f t="shared" ref="AH10:AH73" si="24">AD10/AC10</f>
        <v>6.058325438303528E-2</v>
      </c>
      <c r="AI10" s="340">
        <f t="shared" ref="AI10:AI73" si="25">ABS(100*(AH10/AG10))</f>
        <v>0.20783556801047143</v>
      </c>
      <c r="AJ10" s="341">
        <f t="shared" si="12"/>
        <v>0.12116650876607056</v>
      </c>
    </row>
    <row r="11" spans="1:39" x14ac:dyDescent="0.2">
      <c r="A11" s="309">
        <v>4</v>
      </c>
      <c r="B11" s="309">
        <f t="shared" si="13"/>
        <v>2.5814833333333334</v>
      </c>
      <c r="C11" s="1">
        <v>330.09</v>
      </c>
      <c r="D11" s="347">
        <v>2</v>
      </c>
      <c r="E11" s="326">
        <f t="shared" si="4"/>
        <v>16.57715005636231</v>
      </c>
      <c r="F11" s="327">
        <f t="shared" si="0"/>
        <v>5.3182536364590985E-2</v>
      </c>
      <c r="G11" s="309">
        <f t="shared" si="5"/>
        <v>0.64537222222222235</v>
      </c>
      <c r="H11" s="1">
        <v>2323.34</v>
      </c>
      <c r="I11" s="324">
        <v>30</v>
      </c>
      <c r="J11" s="1">
        <v>1.3669999999999899E-2</v>
      </c>
      <c r="K11" s="1">
        <v>1.19999999999999E-4</v>
      </c>
      <c r="L11" s="328">
        <f t="shared" si="6"/>
        <v>0.87783467446964059</v>
      </c>
      <c r="M11" s="329">
        <f t="shared" si="1"/>
        <v>3.6624148361290125E-3</v>
      </c>
      <c r="N11" s="342">
        <f>(1/$J$79)*SQRT(((1-J12/$J$79)*K11)^2+(J12/$J$79)^2*(SUMSQ(K$8:K10)+SUMSQ(K12:K$78)))</f>
        <v>9.830557891813976E-5</v>
      </c>
      <c r="O11" s="340">
        <f t="shared" si="14"/>
        <v>2.6841737846945759</v>
      </c>
      <c r="P11" s="332">
        <f t="shared" si="7"/>
        <v>1.2141963450868156E-2</v>
      </c>
      <c r="Q11" s="342">
        <f>SQRT(((1-P11)/$J$79)^2*SUMSQ(K$8:K11)+(P11/$J$79)^2*SUMSQ(K12:K$78))</f>
        <v>2.7881830942303213E-4</v>
      </c>
      <c r="R11" s="340">
        <f t="shared" si="15"/>
        <v>2.2963197884037156</v>
      </c>
      <c r="S11" s="343">
        <f t="shared" si="16"/>
        <v>2.8601893947941753E-9</v>
      </c>
      <c r="T11" s="344">
        <f t="shared" si="17"/>
        <v>3.6932038291349991E-11</v>
      </c>
      <c r="U11" s="344">
        <f>IF(P11&lt;=0.85, (1/(3*H11*$J$79))*SQRT( ((1-P11)*(1/SQRT(1-PI()*P11/3)-1) + (1-P10)*(1-1/SQRT(1-PI()*P10/3)))^2*SUMSQ(K$8:K10) + ( (1-P11)*(1/SQRT(1-PI()*P11/3)-1) -P10*(1-1/SQRT(1-PI()*P10/3)) )^2*K11^2 + ( P11*(1-1/SQRT(1-PI()*P11/3)) - P10*(1-1/SQRT(1-PI()*P10/3)) )^2*SUMSQ(K12:K$78) ), (1/(PI()^2*H11*$J$79))*SQRT((1+P10/(1-P10))^2*K11^2+(P10/(1-P10)-P11/(1-P11))^2*SUMSQ(K12:K$78)) )</f>
        <v>1.3188887261322429E-10</v>
      </c>
      <c r="V11" s="345">
        <f t="shared" si="18"/>
        <v>1.3696222169467405E-10</v>
      </c>
      <c r="W11" s="340">
        <f t="shared" si="19"/>
        <v>4.7885717618546071</v>
      </c>
      <c r="X11" s="345">
        <f t="shared" si="20"/>
        <v>2.7392444338934811E-10</v>
      </c>
      <c r="Y11" s="338">
        <f t="shared" si="8"/>
        <v>-19.672377992351223</v>
      </c>
      <c r="Z11" s="346">
        <f t="shared" si="21"/>
        <v>4.788571761854607E-2</v>
      </c>
      <c r="AA11" s="346">
        <f t="shared" si="22"/>
        <v>0.24341601019035125</v>
      </c>
      <c r="AB11" s="346">
        <f t="shared" si="9"/>
        <v>9.577143523709214E-2</v>
      </c>
      <c r="AC11" s="336">
        <f t="shared" si="2"/>
        <v>3.6910629732243041E-13</v>
      </c>
      <c r="AD11" s="337">
        <f t="shared" si="3"/>
        <v>2.1938938467777977E-14</v>
      </c>
      <c r="AE11" s="308">
        <f t="shared" si="10"/>
        <v>5.9437995577228966</v>
      </c>
      <c r="AF11" s="337">
        <f t="shared" si="11"/>
        <v>4.3877876935555954E-14</v>
      </c>
      <c r="AG11" s="338">
        <f t="shared" si="23"/>
        <v>-28.627691723729484</v>
      </c>
      <c r="AH11" s="339">
        <f t="shared" si="24"/>
        <v>5.9437995577228959E-2</v>
      </c>
      <c r="AI11" s="340">
        <f t="shared" si="25"/>
        <v>0.2076241289407236</v>
      </c>
      <c r="AJ11" s="341">
        <f t="shared" si="12"/>
        <v>0.11887599115445792</v>
      </c>
    </row>
    <row r="12" spans="1:39" x14ac:dyDescent="0.2">
      <c r="A12" s="309">
        <v>5</v>
      </c>
      <c r="B12" s="309">
        <f t="shared" si="13"/>
        <v>3.2279666666666667</v>
      </c>
      <c r="C12" s="1">
        <v>340.09</v>
      </c>
      <c r="D12" s="347">
        <v>2</v>
      </c>
      <c r="E12" s="326">
        <f t="shared" si="4"/>
        <v>16.306829300110888</v>
      </c>
      <c r="F12" s="327">
        <f t="shared" si="0"/>
        <v>5.1491233374608078E-2</v>
      </c>
      <c r="G12" s="309">
        <f t="shared" si="5"/>
        <v>0.64648333333333341</v>
      </c>
      <c r="H12" s="1">
        <v>2327.34</v>
      </c>
      <c r="I12" s="324">
        <v>30</v>
      </c>
      <c r="J12" s="1">
        <v>1.566E-2</v>
      </c>
      <c r="K12" s="1">
        <v>1.3999999999999999E-4</v>
      </c>
      <c r="L12" s="328">
        <f t="shared" si="6"/>
        <v>0.89399744572158357</v>
      </c>
      <c r="M12" s="329">
        <f t="shared" si="1"/>
        <v>4.1955681297571878E-3</v>
      </c>
      <c r="N12" s="342">
        <f>(1/$J$79)*SQRT(((1-J13/$J$79)*K12)^2+(J13/$J$79)^2*(SUMSQ(K$8:K11)+SUMSQ(K13:K$78)))</f>
        <v>1.0825410942163135E-4</v>
      </c>
      <c r="O12" s="340">
        <f t="shared" si="14"/>
        <v>2.5802014428948481</v>
      </c>
      <c r="P12" s="332">
        <f t="shared" si="7"/>
        <v>1.6337531580625342E-2</v>
      </c>
      <c r="Q12" s="342">
        <f>SQRT(((1-P12)/$J$79)^2*SUMSQ(K$8:K12)+(P12/$J$79)^2*SUMSQ(K13:K$78))</f>
        <v>3.7107411526470874E-4</v>
      </c>
      <c r="R12" s="340">
        <f t="shared" si="15"/>
        <v>2.2712985338909157</v>
      </c>
      <c r="S12" s="343">
        <f t="shared" si="16"/>
        <v>4.5314509294870797E-9</v>
      </c>
      <c r="T12" s="344">
        <f t="shared" si="17"/>
        <v>5.8411546179163168E-11</v>
      </c>
      <c r="U12" s="344">
        <f>IF(P12&lt;=0.85, (1/(3*H12*$J$79))*SQRT( ((1-P12)*(1/SQRT(1-PI()*P12/3)-1) + (1-P11)*(1-1/SQRT(1-PI()*P11/3)))^2*SUMSQ(K$8:K11) + ( (1-P12)*(1/SQRT(1-PI()*P12/3)-1) -P11*(1-1/SQRT(1-PI()*P11/3)) )^2*K12^2 + ( P12*(1-1/SQRT(1-PI()*P12/3)) - P11*(1-1/SQRT(1-PI()*P11/3)) )^2*SUMSQ(K13:K$78) ), (1/(PI()^2*H12*$J$79))*SQRT((1+P11/(1-P11))^2*K12^2+(P11/(1-P11)-P12/(1-P12))^2*SUMSQ(K13:K$78)) )</f>
        <v>2.0843936694869305E-10</v>
      </c>
      <c r="V12" s="345">
        <f t="shared" si="18"/>
        <v>2.1646911655248288E-10</v>
      </c>
      <c r="W12" s="340">
        <f t="shared" si="19"/>
        <v>4.777037640281482</v>
      </c>
      <c r="X12" s="345">
        <f t="shared" si="20"/>
        <v>4.3293823310496577E-10</v>
      </c>
      <c r="Y12" s="338">
        <f t="shared" si="8"/>
        <v>-19.212223655249471</v>
      </c>
      <c r="Z12" s="346">
        <f t="shared" si="21"/>
        <v>4.777037640281482E-2</v>
      </c>
      <c r="AA12" s="346">
        <f t="shared" si="22"/>
        <v>0.24864574377241455</v>
      </c>
      <c r="AB12" s="346">
        <f t="shared" si="9"/>
        <v>9.5540752805629639E-2</v>
      </c>
      <c r="AC12" s="336">
        <f t="shared" si="2"/>
        <v>5.8478192986993575E-13</v>
      </c>
      <c r="AD12" s="337">
        <f t="shared" si="3"/>
        <v>3.4703948679146051E-14</v>
      </c>
      <c r="AE12" s="308">
        <f t="shared" si="10"/>
        <v>5.9345111239782549</v>
      </c>
      <c r="AF12" s="337">
        <f t="shared" si="11"/>
        <v>6.9407897358292101E-14</v>
      </c>
      <c r="AG12" s="338">
        <f t="shared" si="23"/>
        <v>-28.167537386627735</v>
      </c>
      <c r="AH12" s="339">
        <f t="shared" si="24"/>
        <v>5.934511123978254E-2</v>
      </c>
      <c r="AI12" s="340">
        <f t="shared" si="25"/>
        <v>0.21068618965588401</v>
      </c>
      <c r="AJ12" s="341">
        <f t="shared" si="12"/>
        <v>0.11869022247956508</v>
      </c>
    </row>
    <row r="13" spans="1:39" x14ac:dyDescent="0.2">
      <c r="A13" s="309">
        <v>6</v>
      </c>
      <c r="B13" s="309">
        <f t="shared" si="13"/>
        <v>3.8722277777777778</v>
      </c>
      <c r="C13" s="1">
        <v>350.08</v>
      </c>
      <c r="D13" s="347">
        <v>2</v>
      </c>
      <c r="E13" s="326">
        <f t="shared" si="4"/>
        <v>16.045440688028496</v>
      </c>
      <c r="F13" s="327">
        <f t="shared" si="0"/>
        <v>4.9879345802970924E-2</v>
      </c>
      <c r="G13" s="309">
        <f t="shared" si="5"/>
        <v>0.64426111111111117</v>
      </c>
      <c r="H13" s="1">
        <v>2319.34</v>
      </c>
      <c r="I13" s="324">
        <v>30</v>
      </c>
      <c r="J13" s="1">
        <v>1.712E-2</v>
      </c>
      <c r="K13" s="1">
        <v>1.3999999999999999E-4</v>
      </c>
      <c r="L13" s="328">
        <f t="shared" si="6"/>
        <v>0.81775700934579432</v>
      </c>
      <c r="M13" s="329">
        <f t="shared" si="1"/>
        <v>4.5867258225697994E-3</v>
      </c>
      <c r="N13" s="342">
        <f>(1/$J$79)*SQRT(((1-J14/$J$79)*K13)^2+(J14/$J$79)^2*(SUMSQ(K$8:K12)+SUMSQ(K14:K$78)))</f>
        <v>1.1698359930867201E-4</v>
      </c>
      <c r="O13" s="340">
        <f t="shared" si="14"/>
        <v>2.5504816253248324</v>
      </c>
      <c r="P13" s="332">
        <f t="shared" si="7"/>
        <v>2.0924257403195142E-2</v>
      </c>
      <c r="Q13" s="342">
        <f>SQRT(((1-P13)/$J$79)^2*SUMSQ(K$8:K13)+(P13/$J$79)^2*SUMSQ(K14:K$78))</f>
        <v>4.7207935224552672E-4</v>
      </c>
      <c r="R13" s="340">
        <f t="shared" si="15"/>
        <v>2.2561343188859837</v>
      </c>
      <c r="S13" s="343">
        <f t="shared" si="16"/>
        <v>6.5267216125304769E-9</v>
      </c>
      <c r="T13" s="344">
        <f t="shared" si="17"/>
        <v>8.4421278629228504E-11</v>
      </c>
      <c r="U13" s="344">
        <f>IF(P13&lt;=0.85, (1/(3*H13*$J$79))*SQRT( ((1-P13)*(1/SQRT(1-PI()*P13/3)-1) + (1-P12)*(1-1/SQRT(1-PI()*P12/3)))^2*SUMSQ(K$8:K12) + ( (1-P13)*(1/SQRT(1-PI()*P13/3)-1) -P12*(1-1/SQRT(1-PI()*P12/3)) )^2*K13^2 + ( P13*(1-1/SQRT(1-PI()*P13/3)) - P12*(1-1/SQRT(1-PI()*P12/3)) )^2*SUMSQ(K14:K$78) ), (1/(PI()^2*H13*$J$79))*SQRT((1+P12/(1-P12))^2*K13^2+(P12/(1-P12)-P13/(1-P13))^2*SUMSQ(K14:K$78)) )</f>
        <v>2.9872914497919458E-10</v>
      </c>
      <c r="V13" s="345">
        <f t="shared" si="18"/>
        <v>3.1042882331606145E-10</v>
      </c>
      <c r="W13" s="340">
        <f t="shared" si="19"/>
        <v>4.7562749224676217</v>
      </c>
      <c r="X13" s="345">
        <f t="shared" si="20"/>
        <v>6.2085764663212291E-10</v>
      </c>
      <c r="Y13" s="338">
        <f t="shared" si="8"/>
        <v>-18.847361069875916</v>
      </c>
      <c r="Z13" s="346">
        <f t="shared" si="21"/>
        <v>4.7562749224676217E-2</v>
      </c>
      <c r="AA13" s="346">
        <f t="shared" si="22"/>
        <v>0.2523576061833751</v>
      </c>
      <c r="AB13" s="346">
        <f t="shared" si="9"/>
        <v>9.5125498449352433E-2</v>
      </c>
      <c r="AC13" s="336">
        <f t="shared" si="2"/>
        <v>8.4227081340841301E-13</v>
      </c>
      <c r="AD13" s="337">
        <f t="shared" si="3"/>
        <v>4.9843993258948255E-14</v>
      </c>
      <c r="AE13" s="308">
        <f t="shared" si="10"/>
        <v>5.917810811613526</v>
      </c>
      <c r="AF13" s="337">
        <f t="shared" si="11"/>
        <v>9.9687986517896511E-14</v>
      </c>
      <c r="AG13" s="338">
        <f t="shared" si="23"/>
        <v>-27.802674801254181</v>
      </c>
      <c r="AH13" s="339">
        <f t="shared" si="24"/>
        <v>5.9178108116135261E-2</v>
      </c>
      <c r="AI13" s="340">
        <f t="shared" si="25"/>
        <v>0.21285041291590309</v>
      </c>
      <c r="AJ13" s="341">
        <f t="shared" si="12"/>
        <v>0.11835621623227052</v>
      </c>
    </row>
    <row r="14" spans="1:39" x14ac:dyDescent="0.2">
      <c r="A14" s="309">
        <v>7</v>
      </c>
      <c r="B14" s="309">
        <f t="shared" si="13"/>
        <v>4.5176083333333334</v>
      </c>
      <c r="C14" s="1">
        <v>360.07</v>
      </c>
      <c r="D14" s="347">
        <v>2</v>
      </c>
      <c r="E14" s="326">
        <f t="shared" si="4"/>
        <v>15.792299674678626</v>
      </c>
      <c r="F14" s="327">
        <f t="shared" si="0"/>
        <v>4.8341978414334477E-2</v>
      </c>
      <c r="G14" s="309">
        <f t="shared" si="5"/>
        <v>0.64538055555555551</v>
      </c>
      <c r="H14" s="1">
        <v>2323.37</v>
      </c>
      <c r="I14" s="324">
        <v>30</v>
      </c>
      <c r="J14" s="1">
        <v>1.8679999999999999E-2</v>
      </c>
      <c r="K14" s="1">
        <v>2.1000000000000001E-4</v>
      </c>
      <c r="L14" s="328">
        <f t="shared" si="6"/>
        <v>1.1241970021413277</v>
      </c>
      <c r="M14" s="329">
        <f t="shared" si="1"/>
        <v>5.0046751381777948E-3</v>
      </c>
      <c r="N14" s="342">
        <f>(1/$J$79)*SQRT(((1-J15/$J$79)*K14)^2+(J15/$J$79)^2*(SUMSQ(K$8:K13)+SUMSQ(K15:K$78)))</f>
        <v>1.3268424563549466E-4</v>
      </c>
      <c r="O14" s="340">
        <f t="shared" si="14"/>
        <v>2.651205961867988</v>
      </c>
      <c r="P14" s="332">
        <f t="shared" si="7"/>
        <v>2.5928932541372938E-2</v>
      </c>
      <c r="Q14" s="342">
        <f>SQRT(((1-P14)/$J$79)^2*SUMSQ(K$8:K14)+(P14/$J$79)^2*SUMSQ(K15:K$78))</f>
        <v>5.8382924650792129E-4</v>
      </c>
      <c r="R14" s="340">
        <f t="shared" si="15"/>
        <v>2.2516516851449508</v>
      </c>
      <c r="S14" s="343">
        <f t="shared" si="16"/>
        <v>8.9734147083054577E-9</v>
      </c>
      <c r="T14" s="344">
        <f t="shared" si="17"/>
        <v>1.1586722788413435E-10</v>
      </c>
      <c r="U14" s="344">
        <f>IF(P14&lt;=0.85, (1/(3*H14*$J$79))*SQRT( ((1-P14)*(1/SQRT(1-PI()*P14/3)-1) + (1-P13)*(1-1/SQRT(1-PI()*P13/3)))^2*SUMSQ(K$8:K13) + ( (1-P14)*(1/SQRT(1-PI()*P14/3)-1) -P13*(1-1/SQRT(1-PI()*P13/3)) )^2*K14^2 + ( P14*(1-1/SQRT(1-PI()*P14/3)) - P13*(1-1/SQRT(1-PI()*P13/3)) )^2*SUMSQ(K15:K$78) ), (1/(PI()^2*H14*$J$79))*SQRT((1+P13/(1-P13))^2*K14^2+(P13/(1-P13)-P14/(1-P14))^2*SUMSQ(K15:K$78)) )</f>
        <v>4.1774813164537833E-10</v>
      </c>
      <c r="V14" s="345">
        <f t="shared" si="18"/>
        <v>4.3351899149951696E-10</v>
      </c>
      <c r="W14" s="340">
        <f t="shared" si="19"/>
        <v>4.8311485158294083</v>
      </c>
      <c r="X14" s="345">
        <f t="shared" si="20"/>
        <v>8.6703798299903392E-10</v>
      </c>
      <c r="Y14" s="338">
        <f t="shared" si="8"/>
        <v>-18.528999552345816</v>
      </c>
      <c r="Z14" s="346">
        <f t="shared" si="21"/>
        <v>4.8311485158294087E-2</v>
      </c>
      <c r="AA14" s="346">
        <f t="shared" si="22"/>
        <v>0.26073445045864735</v>
      </c>
      <c r="AB14" s="346">
        <f t="shared" si="9"/>
        <v>9.6622970316588175E-2</v>
      </c>
      <c r="AC14" s="336">
        <f t="shared" si="2"/>
        <v>1.1580155787409358E-12</v>
      </c>
      <c r="AD14" s="337">
        <f t="shared" si="3"/>
        <v>6.9227958900993419E-14</v>
      </c>
      <c r="AE14" s="308">
        <f t="shared" si="10"/>
        <v>5.9781543678593874</v>
      </c>
      <c r="AF14" s="337">
        <f t="shared" si="11"/>
        <v>1.3845591780198684E-13</v>
      </c>
      <c r="AG14" s="338">
        <f t="shared" si="23"/>
        <v>-27.484313283724077</v>
      </c>
      <c r="AH14" s="339">
        <f t="shared" si="24"/>
        <v>5.9781543678593875E-2</v>
      </c>
      <c r="AI14" s="340">
        <f t="shared" si="25"/>
        <v>0.21751150578681505</v>
      </c>
      <c r="AJ14" s="341">
        <f t="shared" si="12"/>
        <v>0.11956308735718775</v>
      </c>
    </row>
    <row r="15" spans="1:39" x14ac:dyDescent="0.2">
      <c r="A15" s="309">
        <v>8</v>
      </c>
      <c r="B15" s="309">
        <f t="shared" si="13"/>
        <v>5.1640972222222228</v>
      </c>
      <c r="C15" s="1">
        <v>370.06</v>
      </c>
      <c r="D15" s="347">
        <v>2</v>
      </c>
      <c r="E15" s="326">
        <f t="shared" si="4"/>
        <v>15.54702196794204</v>
      </c>
      <c r="F15" s="327">
        <f t="shared" si="0"/>
        <v>4.6873172228254517E-2</v>
      </c>
      <c r="G15" s="309">
        <f t="shared" si="5"/>
        <v>0.646488888888889</v>
      </c>
      <c r="H15" s="1">
        <v>2327.36</v>
      </c>
      <c r="I15" s="324">
        <v>30</v>
      </c>
      <c r="J15" s="1">
        <v>2.027E-2</v>
      </c>
      <c r="K15" s="1">
        <v>2.2000000000000001E-4</v>
      </c>
      <c r="L15" s="328">
        <f t="shared" si="6"/>
        <v>1.0853478046373952</v>
      </c>
      <c r="M15" s="329">
        <f t="shared" si="1"/>
        <v>5.4306619406244063E-3</v>
      </c>
      <c r="N15" s="342">
        <f>(1/$J$79)*SQRT(((1-J16/$J$79)*K15)^2+(J16/$J$79)^2*(SUMSQ(K$8:K14)+SUMSQ(K16:K$78)))</f>
        <v>1.3934428414086615E-4</v>
      </c>
      <c r="O15" s="340">
        <f t="shared" si="14"/>
        <v>2.5658802861303611</v>
      </c>
      <c r="P15" s="332">
        <f t="shared" si="7"/>
        <v>3.1359594481997342E-2</v>
      </c>
      <c r="Q15" s="342">
        <f>SQRT(((1-P15)/$J$79)^2*SUMSQ(K$8:K15)+(P15/$J$79)^2*SUMSQ(K16:K$78))</f>
        <v>7.0475224931918097E-4</v>
      </c>
      <c r="R15" s="340">
        <f t="shared" si="15"/>
        <v>2.2473257736918737</v>
      </c>
      <c r="S15" s="343">
        <f t="shared" si="16"/>
        <v>1.1935549954942892E-8</v>
      </c>
      <c r="T15" s="344">
        <f t="shared" si="17"/>
        <v>1.5385092922808834E-10</v>
      </c>
      <c r="U15" s="344">
        <f>IF(P15&lt;=0.85, (1/(3*H15*$J$79))*SQRT( ((1-P15)*(1/SQRT(1-PI()*P15/3)-1) + (1-P14)*(1-1/SQRT(1-PI()*P14/3)))^2*SUMSQ(K$8:K14) + ( (1-P15)*(1/SQRT(1-PI()*P15/3)-1) -P14*(1-1/SQRT(1-PI()*P14/3)) )^2*K15^2 + ( P15*(1-1/SQRT(1-PI()*P15/3)) - P14*(1-1/SQRT(1-PI()*P14/3)) )^2*SUMSQ(K16:K$78) ), (1/(PI()^2*H15*$J$79))*SQRT((1+P14/(1-P14))^2*K15^2+(P14/(1-P14)-P15/(1-P15))^2*SUMSQ(K16:K$78)) )</f>
        <v>5.5482862505813695E-10</v>
      </c>
      <c r="V15" s="345">
        <f t="shared" si="18"/>
        <v>5.7576463212692127E-10</v>
      </c>
      <c r="W15" s="340">
        <f t="shared" si="19"/>
        <v>4.8239472357826187</v>
      </c>
      <c r="X15" s="345">
        <f t="shared" si="20"/>
        <v>1.1515292642538425E-9</v>
      </c>
      <c r="Y15" s="338">
        <f t="shared" si="8"/>
        <v>-18.243744499043128</v>
      </c>
      <c r="Z15" s="346">
        <f t="shared" si="21"/>
        <v>4.8239472357826191E-2</v>
      </c>
      <c r="AA15" s="346">
        <f t="shared" si="22"/>
        <v>0.26441650923337762</v>
      </c>
      <c r="AB15" s="346">
        <f t="shared" si="9"/>
        <v>9.6478944715652382E-2</v>
      </c>
      <c r="AC15" s="336">
        <f t="shared" si="2"/>
        <v>1.5402779474653982E-12</v>
      </c>
      <c r="AD15" s="337">
        <f t="shared" si="3"/>
        <v>9.1990578612791056E-14</v>
      </c>
      <c r="AE15" s="308">
        <f t="shared" si="10"/>
        <v>5.9723362763302559</v>
      </c>
      <c r="AF15" s="337">
        <f t="shared" si="11"/>
        <v>1.8398115722558211E-13</v>
      </c>
      <c r="AG15" s="338">
        <f t="shared" si="23"/>
        <v>-27.199058230421393</v>
      </c>
      <c r="AH15" s="339">
        <f t="shared" si="24"/>
        <v>5.9723362763302555E-2</v>
      </c>
      <c r="AI15" s="340">
        <f t="shared" si="25"/>
        <v>0.21957878929978406</v>
      </c>
      <c r="AJ15" s="341">
        <f t="shared" si="12"/>
        <v>0.11944672552660511</v>
      </c>
    </row>
    <row r="16" spans="1:39" x14ac:dyDescent="0.2">
      <c r="A16" s="309">
        <v>9</v>
      </c>
      <c r="B16" s="309">
        <f t="shared" si="13"/>
        <v>5.8083722222222232</v>
      </c>
      <c r="C16" s="1">
        <v>380.06</v>
      </c>
      <c r="D16" s="347">
        <v>2</v>
      </c>
      <c r="E16" s="326">
        <f t="shared" si="4"/>
        <v>15.309012415609068</v>
      </c>
      <c r="F16" s="327">
        <f t="shared" si="0"/>
        <v>4.5470304625061526E-2</v>
      </c>
      <c r="G16" s="309">
        <f t="shared" si="5"/>
        <v>0.64427500000000004</v>
      </c>
      <c r="H16" s="1">
        <v>2319.39</v>
      </c>
      <c r="I16" s="324">
        <v>30</v>
      </c>
      <c r="J16" s="1">
        <v>2.1299999999999999E-2</v>
      </c>
      <c r="K16" s="1">
        <v>1.8999999999999901E-4</v>
      </c>
      <c r="L16" s="328">
        <f t="shared" si="6"/>
        <v>0.89201877934271834</v>
      </c>
      <c r="M16" s="329">
        <f t="shared" si="1"/>
        <v>5.7066156554168648E-3</v>
      </c>
      <c r="N16" s="342">
        <f>(1/$J$79)*SQRT(((1-J17/$J$79)*K16)^2+(J17/$J$79)^2*(SUMSQ(K$8:K15)+SUMSQ(K17:K$78)))</f>
        <v>1.4475005331001007E-4</v>
      </c>
      <c r="O16" s="340">
        <f t="shared" si="14"/>
        <v>2.5365306172776791</v>
      </c>
      <c r="P16" s="332">
        <f t="shared" si="7"/>
        <v>3.7066210137414207E-2</v>
      </c>
      <c r="Q16" s="342">
        <f>SQRT(((1-P16)/$J$79)^2*SUMSQ(K$8:K16)+(P16/$J$79)^2*SUMSQ(K17:K$78))</f>
        <v>8.3098878663693848E-4</v>
      </c>
      <c r="R16" s="340">
        <f t="shared" si="15"/>
        <v>2.2419038352079808</v>
      </c>
      <c r="S16" s="343">
        <f t="shared" si="16"/>
        <v>1.5099650782665508E-8</v>
      </c>
      <c r="T16" s="344">
        <f t="shared" si="17"/>
        <v>1.9530545681406071E-10</v>
      </c>
      <c r="U16" s="344">
        <f>IF(P16&lt;=0.85, (1/(3*H16*$J$79))*SQRT( ((1-P16)*(1/SQRT(1-PI()*P16/3)-1) + (1-P15)*(1-1/SQRT(1-PI()*P15/3)))^2*SUMSQ(K$8:K15) + ( (1-P16)*(1/SQRT(1-PI()*P16/3)-1) -P15*(1-1/SQRT(1-PI()*P15/3)) )^2*K16^2 + ( P16*(1-1/SQRT(1-PI()*P16/3)) - P15*(1-1/SQRT(1-PI()*P15/3)) )^2*SUMSQ(K17:K$78) ), (1/(PI()^2*H16*$J$79))*SQRT((1+P15/(1-P15))^2*K16^2+(P15/(1-P15)-P16/(1-P16))^2*SUMSQ(K17:K$78)) )</f>
        <v>6.955147033822872E-10</v>
      </c>
      <c r="V16" s="345">
        <f t="shared" si="18"/>
        <v>7.2241603254793556E-10</v>
      </c>
      <c r="W16" s="340">
        <f t="shared" si="19"/>
        <v>4.7843227829962371</v>
      </c>
      <c r="X16" s="345">
        <f t="shared" si="20"/>
        <v>1.4448320650958711E-9</v>
      </c>
      <c r="Y16" s="338">
        <f t="shared" si="8"/>
        <v>-18.00859422036876</v>
      </c>
      <c r="Z16" s="346">
        <f t="shared" si="21"/>
        <v>4.7843227829962372E-2</v>
      </c>
      <c r="AA16" s="346">
        <f t="shared" si="22"/>
        <v>0.26566886479039498</v>
      </c>
      <c r="AB16" s="346">
        <f t="shared" si="9"/>
        <v>9.5686455659924743E-2</v>
      </c>
      <c r="AC16" s="336">
        <f t="shared" si="2"/>
        <v>1.9486038936426705E-12</v>
      </c>
      <c r="AD16" s="337">
        <f t="shared" si="3"/>
        <v>1.1575441629505942E-13</v>
      </c>
      <c r="AE16" s="308">
        <f t="shared" si="10"/>
        <v>5.9403769371860928</v>
      </c>
      <c r="AF16" s="337">
        <f t="shared" si="11"/>
        <v>2.3150883259011885E-13</v>
      </c>
      <c r="AG16" s="338">
        <f t="shared" si="23"/>
        <v>-26.963907951747021</v>
      </c>
      <c r="AH16" s="339">
        <f t="shared" si="24"/>
        <v>5.9403769371860933E-2</v>
      </c>
      <c r="AI16" s="340">
        <f t="shared" si="25"/>
        <v>0.2203084563193374</v>
      </c>
      <c r="AJ16" s="341">
        <f t="shared" si="12"/>
        <v>0.11880753874372187</v>
      </c>
    </row>
    <row r="17" spans="1:39" x14ac:dyDescent="0.2">
      <c r="A17" s="309">
        <v>10</v>
      </c>
      <c r="B17" s="309">
        <f t="shared" si="13"/>
        <v>6.4537305555555564</v>
      </c>
      <c r="C17" s="1">
        <v>390.06</v>
      </c>
      <c r="D17" s="347">
        <v>2</v>
      </c>
      <c r="E17" s="326">
        <f t="shared" si="4"/>
        <v>15.078180365193528</v>
      </c>
      <c r="F17" s="327">
        <f t="shared" si="0"/>
        <v>4.4129486990448621E-2</v>
      </c>
      <c r="G17" s="309">
        <f t="shared" si="5"/>
        <v>0.64535833333333337</v>
      </c>
      <c r="H17" s="1">
        <v>2323.29</v>
      </c>
      <c r="I17" s="324">
        <v>30</v>
      </c>
      <c r="J17" s="1">
        <v>2.2849999999999999E-2</v>
      </c>
      <c r="K17" s="1">
        <v>1.3999999999999999E-4</v>
      </c>
      <c r="L17" s="328">
        <f t="shared" si="6"/>
        <v>0.61269146608315095</v>
      </c>
      <c r="M17" s="329">
        <f t="shared" si="1"/>
        <v>6.1218858087453221E-3</v>
      </c>
      <c r="N17" s="342">
        <f>(1/$J$79)*SQRT(((1-J18/$J$79)*K17)^2+(J18/$J$79)^2*(SUMSQ(K$8:K16)+SUMSQ(K18:K$78)))</f>
        <v>1.4804438880681729E-4</v>
      </c>
      <c r="O17" s="340">
        <f t="shared" si="14"/>
        <v>2.4182807950342826</v>
      </c>
      <c r="P17" s="332">
        <f t="shared" si="7"/>
        <v>4.3188095946159528E-2</v>
      </c>
      <c r="Q17" s="342">
        <f>SQRT(((1-P17)/$J$79)^2*SUMSQ(K$8:K17)+(P17/$J$79)^2*SUMSQ(K18:K$78))</f>
        <v>9.6578209436481305E-4</v>
      </c>
      <c r="R17" s="340">
        <f t="shared" si="15"/>
        <v>2.236222906350875</v>
      </c>
      <c r="S17" s="343">
        <f t="shared" si="16"/>
        <v>1.9058299740220544E-8</v>
      </c>
      <c r="T17" s="344">
        <f t="shared" si="17"/>
        <v>2.4609454360265812E-10</v>
      </c>
      <c r="U17" s="344">
        <f>IF(P17&lt;=0.85, (1/(3*H17*$J$79))*SQRT( ((1-P17)*(1/SQRT(1-PI()*P17/3)-1) + (1-P16)*(1-1/SQRT(1-PI()*P16/3)))^2*SUMSQ(K$8:K16) + ( (1-P17)*(1/SQRT(1-PI()*P17/3)-1) -P16*(1-1/SQRT(1-PI()*P16/3)) )^2*K17^2 + ( P17*(1-1/SQRT(1-PI()*P17/3)) - P16*(1-1/SQRT(1-PI()*P16/3)) )^2*SUMSQ(K18:K$78) ), (1/(PI()^2*H17*$J$79))*SQRT((1+P16/(1-P16))^2*K17^2+(P16/(1-P16)-P17/(1-P17))^2*SUMSQ(K18:K$78)) )</f>
        <v>8.6932019163606127E-10</v>
      </c>
      <c r="V17" s="345">
        <f t="shared" si="18"/>
        <v>9.0348221896015128E-10</v>
      </c>
      <c r="W17" s="340">
        <f t="shared" si="19"/>
        <v>4.7406234096184701</v>
      </c>
      <c r="X17" s="345">
        <f t="shared" si="20"/>
        <v>1.8069644379203026E-9</v>
      </c>
      <c r="Y17" s="338">
        <f t="shared" si="8"/>
        <v>-17.775763148354162</v>
      </c>
      <c r="Z17" s="346">
        <f t="shared" si="21"/>
        <v>4.7406234096184705E-2</v>
      </c>
      <c r="AA17" s="346">
        <f t="shared" si="22"/>
        <v>0.26669028890933438</v>
      </c>
      <c r="AB17" s="346">
        <f t="shared" si="9"/>
        <v>9.4812468192369409E-2</v>
      </c>
      <c r="AC17" s="336">
        <f t="shared" si="2"/>
        <v>2.4594659581555649E-12</v>
      </c>
      <c r="AD17" s="337">
        <f t="shared" si="3"/>
        <v>1.4523733530736E-13</v>
      </c>
      <c r="AE17" s="308">
        <f t="shared" si="10"/>
        <v>5.9052386891452766</v>
      </c>
      <c r="AF17" s="337">
        <f t="shared" si="11"/>
        <v>2.9047467061472E-13</v>
      </c>
      <c r="AG17" s="338">
        <f t="shared" si="23"/>
        <v>-26.731076879732427</v>
      </c>
      <c r="AH17" s="339">
        <f t="shared" si="24"/>
        <v>5.9052386891452764E-2</v>
      </c>
      <c r="AI17" s="340">
        <f t="shared" si="25"/>
        <v>0.22091286167459431</v>
      </c>
      <c r="AJ17" s="341">
        <f t="shared" si="12"/>
        <v>0.11810477378290553</v>
      </c>
      <c r="AM17" s="322"/>
    </row>
    <row r="18" spans="1:39" x14ac:dyDescent="0.2">
      <c r="A18" s="309">
        <v>11</v>
      </c>
      <c r="B18" s="309">
        <f t="shared" si="13"/>
        <v>7.1002138888888897</v>
      </c>
      <c r="C18" s="1">
        <v>400.06</v>
      </c>
      <c r="D18" s="347">
        <v>2</v>
      </c>
      <c r="E18" s="326">
        <f t="shared" si="4"/>
        <v>14.854205968419958</v>
      </c>
      <c r="F18" s="327">
        <f t="shared" si="0"/>
        <v>4.284711319570448E-2</v>
      </c>
      <c r="G18" s="309">
        <f t="shared" si="5"/>
        <v>0.64648333333333341</v>
      </c>
      <c r="H18" s="1">
        <v>2327.34</v>
      </c>
      <c r="I18" s="324">
        <v>30</v>
      </c>
      <c r="J18" s="1">
        <v>2.4140000000000002E-2</v>
      </c>
      <c r="K18" s="1">
        <v>1.3999999999999999E-4</v>
      </c>
      <c r="L18" s="328">
        <f t="shared" si="6"/>
        <v>0.57995028997514497</v>
      </c>
      <c r="M18" s="329">
        <f t="shared" si="1"/>
        <v>6.4674977428057804E-3</v>
      </c>
      <c r="N18" s="342">
        <f>(1/$J$79)*SQRT(((1-J19/$J$79)*K18)^2+(J19/$J$79)^2*(SUMSQ(K$8:K17)+SUMSQ(K19:K$78)))</f>
        <v>1.57364677569061E-4</v>
      </c>
      <c r="O18" s="340">
        <f t="shared" si="14"/>
        <v>2.433161692929974</v>
      </c>
      <c r="P18" s="332">
        <f t="shared" si="7"/>
        <v>4.9655593688965306E-2</v>
      </c>
      <c r="Q18" s="342">
        <f>SQRT(((1-P18)/$J$79)^2*SUMSQ(K$8:K18)+(P18/$J$79)^2*SUMSQ(K19:K$78))</f>
        <v>1.1083554201734755E-3</v>
      </c>
      <c r="R18" s="340">
        <f t="shared" si="15"/>
        <v>2.2320857285808251</v>
      </c>
      <c r="S18" s="343">
        <f t="shared" si="16"/>
        <v>2.3372356123536781E-8</v>
      </c>
      <c r="T18" s="344">
        <f t="shared" si="17"/>
        <v>3.0127556940803645E-10</v>
      </c>
      <c r="U18" s="344">
        <f>IF(P18&lt;=0.85, (1/(3*H18*$J$79))*SQRT( ((1-P18)*(1/SQRT(1-PI()*P18/3)-1) + (1-P17)*(1-1/SQRT(1-PI()*P17/3)))^2*SUMSQ(K$8:K17) + ( (1-P18)*(1/SQRT(1-PI()*P18/3)-1) -P17*(1-1/SQRT(1-PI()*P17/3)) )^2*K18^2 + ( P18*(1-1/SQRT(1-PI()*P18/3)) - P17*(1-1/SQRT(1-PI()*P17/3)) )^2*SUMSQ(K19:K$78) ), (1/(PI()^2*H18*$J$79))*SQRT((1+P17/(1-P17))^2*K18^2+(P17/(1-P17)-P18/(1-P18))^2*SUMSQ(K19:K$78)) )</f>
        <v>1.0670630144400766E-9</v>
      </c>
      <c r="V18" s="345">
        <f t="shared" si="18"/>
        <v>1.1087788081975952E-9</v>
      </c>
      <c r="W18" s="340">
        <f t="shared" si="19"/>
        <v>4.7439753285335922</v>
      </c>
      <c r="X18" s="345">
        <f t="shared" si="20"/>
        <v>2.2175576163951904E-9</v>
      </c>
      <c r="Y18" s="338">
        <f t="shared" si="8"/>
        <v>-17.571711875183212</v>
      </c>
      <c r="Z18" s="346">
        <f t="shared" si="21"/>
        <v>4.7439753285335923E-2</v>
      </c>
      <c r="AA18" s="346">
        <f t="shared" si="22"/>
        <v>0.26997798292115061</v>
      </c>
      <c r="AB18" s="346">
        <f t="shared" si="9"/>
        <v>9.4879506570671845E-2</v>
      </c>
      <c r="AC18" s="336">
        <f t="shared" si="2"/>
        <v>3.016193208799972E-12</v>
      </c>
      <c r="AD18" s="337">
        <f t="shared" si="3"/>
        <v>1.781945801140001E-13</v>
      </c>
      <c r="AE18" s="308">
        <f t="shared" si="10"/>
        <v>5.9079298897067973</v>
      </c>
      <c r="AF18" s="337">
        <f t="shared" si="11"/>
        <v>3.563891602280002E-13</v>
      </c>
      <c r="AG18" s="338">
        <f t="shared" si="23"/>
        <v>-26.527025606561473</v>
      </c>
      <c r="AH18" s="339">
        <f t="shared" si="24"/>
        <v>5.9079298897067978E-2</v>
      </c>
      <c r="AI18" s="340">
        <f t="shared" si="25"/>
        <v>0.22271361958671571</v>
      </c>
      <c r="AJ18" s="341">
        <f t="shared" si="12"/>
        <v>0.11815859779413596</v>
      </c>
    </row>
    <row r="19" spans="1:39" x14ac:dyDescent="0.2">
      <c r="A19" s="309">
        <v>12</v>
      </c>
      <c r="B19" s="309">
        <f t="shared" si="13"/>
        <v>7.7444777777777789</v>
      </c>
      <c r="C19" s="1">
        <v>410.06</v>
      </c>
      <c r="D19" s="347">
        <v>2</v>
      </c>
      <c r="E19" s="326">
        <f t="shared" si="4"/>
        <v>14.636788103218629</v>
      </c>
      <c r="F19" s="327">
        <f t="shared" si="0"/>
        <v>4.1621036137381377E-2</v>
      </c>
      <c r="G19" s="309">
        <f t="shared" si="5"/>
        <v>0.64426388888888886</v>
      </c>
      <c r="H19" s="1">
        <v>2319.35</v>
      </c>
      <c r="I19" s="324">
        <v>30</v>
      </c>
      <c r="J19" s="1">
        <v>2.5760000000000002E-2</v>
      </c>
      <c r="K19" s="1">
        <v>1.8999999999999901E-4</v>
      </c>
      <c r="L19" s="328">
        <f t="shared" si="6"/>
        <v>0.73757763975154889</v>
      </c>
      <c r="M19" s="329">
        <f t="shared" si="1"/>
        <v>6.9015220320910071E-3</v>
      </c>
      <c r="N19" s="342">
        <f>(1/$J$79)*SQRT(((1-J20/$J$79)*K19)^2+(J20/$J$79)^2*(SUMSQ(K$8:K18)+SUMSQ(K20:K$78)))</f>
        <v>1.66731080922437E-4</v>
      </c>
      <c r="O19" s="340">
        <f t="shared" si="14"/>
        <v>2.4158595762958277</v>
      </c>
      <c r="P19" s="332">
        <f t="shared" si="7"/>
        <v>5.6557115721056317E-2</v>
      </c>
      <c r="Q19" s="342">
        <f>SQRT(((1-P19)/$J$79)^2*SUMSQ(K$8:K19)+(P19/$J$79)^2*SUMSQ(K20:K$78))</f>
        <v>1.2610401822173874E-3</v>
      </c>
      <c r="R19" s="340">
        <f t="shared" si="15"/>
        <v>2.2296755521213751</v>
      </c>
      <c r="S19" s="343">
        <f t="shared" si="16"/>
        <v>2.8788805292316971E-8</v>
      </c>
      <c r="T19" s="344">
        <f t="shared" si="17"/>
        <v>3.7237336269623321E-10</v>
      </c>
      <c r="U19" s="344">
        <f>IF(P19&lt;=0.85, (1/(3*H19*$J$79))*SQRT( ((1-P19)*(1/SQRT(1-PI()*P19/3)-1) + (1-P18)*(1-1/SQRT(1-PI()*P18/3)))^2*SUMSQ(K$8:K18) + ( (1-P19)*(1/SQRT(1-PI()*P19/3)-1) -P18*(1-1/SQRT(1-PI()*P18/3)) )^2*K19^2 + ( P19*(1-1/SQRT(1-PI()*P19/3)) - P18*(1-1/SQRT(1-PI()*P18/3)) )^2*SUMSQ(K20:K$78) ), (1/(PI()^2*H19*$J$79))*SQRT((1+P18/(1-P18))^2*K19^2+(P18/(1-P18)-P19/(1-P19))^2*SUMSQ(K20:K$78)) )</f>
        <v>1.3246393720740716E-9</v>
      </c>
      <c r="V19" s="345">
        <f t="shared" si="18"/>
        <v>1.3759837888923296E-9</v>
      </c>
      <c r="W19" s="340">
        <f t="shared" si="19"/>
        <v>4.7795793362065844</v>
      </c>
      <c r="X19" s="345">
        <f t="shared" si="20"/>
        <v>2.7519675777846593E-9</v>
      </c>
      <c r="Y19" s="338">
        <f t="shared" si="8"/>
        <v>-17.363279230497813</v>
      </c>
      <c r="Z19" s="346">
        <f t="shared" si="21"/>
        <v>4.7795793362065846E-2</v>
      </c>
      <c r="AA19" s="346">
        <f t="shared" si="22"/>
        <v>0.27526939311161164</v>
      </c>
      <c r="AB19" s="346">
        <f t="shared" si="9"/>
        <v>9.5591586724131691E-2</v>
      </c>
      <c r="AC19" s="336">
        <f t="shared" si="2"/>
        <v>3.7151838074513881E-12</v>
      </c>
      <c r="AD19" s="337">
        <f t="shared" si="3"/>
        <v>2.2055401464998228E-13</v>
      </c>
      <c r="AE19" s="308">
        <f t="shared" si="10"/>
        <v>5.9365572763217358</v>
      </c>
      <c r="AF19" s="337">
        <f t="shared" si="11"/>
        <v>4.4110802929996457E-13</v>
      </c>
      <c r="AG19" s="338">
        <f t="shared" si="23"/>
        <v>-26.318592961876078</v>
      </c>
      <c r="AH19" s="339">
        <f t="shared" si="24"/>
        <v>5.9365572763217356E-2</v>
      </c>
      <c r="AI19" s="340">
        <f t="shared" si="25"/>
        <v>0.2255651464696902</v>
      </c>
      <c r="AJ19" s="341">
        <f t="shared" si="12"/>
        <v>0.11873114552643471</v>
      </c>
    </row>
    <row r="20" spans="1:39" x14ac:dyDescent="0.2">
      <c r="A20" s="309">
        <v>13</v>
      </c>
      <c r="B20" s="309">
        <f t="shared" si="13"/>
        <v>8.3915305555555566</v>
      </c>
      <c r="C20" s="1">
        <v>420.05</v>
      </c>
      <c r="D20" s="347">
        <v>2</v>
      </c>
      <c r="E20" s="326">
        <f t="shared" si="4"/>
        <v>14.425851125216386</v>
      </c>
      <c r="F20" s="327">
        <f t="shared" si="0"/>
        <v>4.0445692113154748E-2</v>
      </c>
      <c r="G20" s="309">
        <f t="shared" si="5"/>
        <v>0.64705277777777781</v>
      </c>
      <c r="H20" s="1">
        <v>2329.39</v>
      </c>
      <c r="I20" s="324">
        <v>30</v>
      </c>
      <c r="J20" s="1">
        <v>2.6769999999999999E-2</v>
      </c>
      <c r="K20" s="1">
        <v>1.8000000000000001E-4</v>
      </c>
      <c r="L20" s="328">
        <f t="shared" si="6"/>
        <v>0.67239447142323505</v>
      </c>
      <c r="M20" s="329">
        <f t="shared" si="1"/>
        <v>7.1721174223243877E-3</v>
      </c>
      <c r="N20" s="342">
        <f>(1/$J$79)*SQRT(((1-J21/$J$79)*K20)^2+(J21/$J$79)^2*(SUMSQ(K$8:K19)+SUMSQ(K21:K$78)))</f>
        <v>1.6861534468699588E-4</v>
      </c>
      <c r="O20" s="340">
        <f t="shared" si="14"/>
        <v>2.3509841621130332</v>
      </c>
      <c r="P20" s="332">
        <f t="shared" si="7"/>
        <v>6.3729233143380706E-2</v>
      </c>
      <c r="Q20" s="342">
        <f>SQRT(((1-P20)/$J$79)^2*SUMSQ(K$8:K20)+(P20/$J$79)^2*SUMSQ(K21:K$78))</f>
        <v>1.4196193226211824E-3</v>
      </c>
      <c r="R20" s="340">
        <f t="shared" si="15"/>
        <v>2.2275794836998322</v>
      </c>
      <c r="S20" s="343">
        <f t="shared" si="16"/>
        <v>3.3933424379572404E-8</v>
      </c>
      <c r="T20" s="344">
        <f t="shared" si="17"/>
        <v>4.3702545790407501E-10</v>
      </c>
      <c r="U20" s="344">
        <f>IF(P20&lt;=0.85, (1/(3*H20*$J$79))*SQRT( ((1-P20)*(1/SQRT(1-PI()*P20/3)-1) + (1-P19)*(1-1/SQRT(1-PI()*P19/3)))^2*SUMSQ(K$8:K19) + ( (1-P20)*(1/SQRT(1-PI()*P20/3)-1) -P19*(1-1/SQRT(1-PI()*P19/3)) )^2*K20^2 + ( P20*(1-1/SQRT(1-PI()*P20/3)) - P19*(1-1/SQRT(1-PI()*P19/3)) )^2*SUMSQ(K21:K$78) ), (1/(PI()^2*H20*$J$79))*SQRT((1+P19/(1-P19))^2*K20^2+(P19/(1-P19)-P20/(1-P20))^2*SUMSQ(K21:K$78)) )</f>
        <v>1.561643713244734E-9</v>
      </c>
      <c r="V20" s="345">
        <f t="shared" si="18"/>
        <v>1.6216418648928215E-9</v>
      </c>
      <c r="W20" s="340">
        <f t="shared" si="19"/>
        <v>4.7788924770853196</v>
      </c>
      <c r="X20" s="345">
        <f t="shared" si="20"/>
        <v>3.243283729785643E-9</v>
      </c>
      <c r="Y20" s="338">
        <f t="shared" si="8"/>
        <v>-17.198865338410172</v>
      </c>
      <c r="Z20" s="346">
        <f t="shared" si="21"/>
        <v>4.7788924770853197E-2</v>
      </c>
      <c r="AA20" s="346">
        <f t="shared" si="22"/>
        <v>0.27786091599965224</v>
      </c>
      <c r="AB20" s="346">
        <f t="shared" si="9"/>
        <v>9.5577849541706394E-2</v>
      </c>
      <c r="AC20" s="336">
        <f t="shared" si="2"/>
        <v>4.3790948428140668E-12</v>
      </c>
      <c r="AD20" s="337">
        <f t="shared" si="3"/>
        <v>2.5994325788236775E-13</v>
      </c>
      <c r="AE20" s="308">
        <f t="shared" si="10"/>
        <v>5.9360042934197939</v>
      </c>
      <c r="AF20" s="337">
        <f t="shared" si="11"/>
        <v>5.1988651576473549E-13</v>
      </c>
      <c r="AG20" s="338">
        <f t="shared" si="23"/>
        <v>-26.154179069788437</v>
      </c>
      <c r="AH20" s="339">
        <f t="shared" si="24"/>
        <v>5.9360042934197929E-2</v>
      </c>
      <c r="AI20" s="340">
        <f t="shared" si="25"/>
        <v>0.22696198101192436</v>
      </c>
      <c r="AJ20" s="341">
        <f t="shared" si="12"/>
        <v>0.11872008586839586</v>
      </c>
    </row>
    <row r="21" spans="1:39" x14ac:dyDescent="0.2">
      <c r="A21" s="309">
        <v>14</v>
      </c>
      <c r="B21" s="309">
        <f t="shared" si="13"/>
        <v>9.0369083333333347</v>
      </c>
      <c r="C21" s="1">
        <v>430.05</v>
      </c>
      <c r="D21" s="347">
        <v>2</v>
      </c>
      <c r="E21" s="326">
        <f t="shared" si="4"/>
        <v>14.220705346985209</v>
      </c>
      <c r="F21" s="327">
        <f t="shared" si="0"/>
        <v>3.932054289824035E-2</v>
      </c>
      <c r="G21" s="309">
        <f t="shared" si="5"/>
        <v>0.64537777777777783</v>
      </c>
      <c r="H21" s="1">
        <v>2323.36</v>
      </c>
      <c r="I21" s="324">
        <v>30</v>
      </c>
      <c r="J21" s="1">
        <v>2.72399999999999E-2</v>
      </c>
      <c r="K21" s="1">
        <v>1.8999999999999901E-4</v>
      </c>
      <c r="L21" s="328">
        <f t="shared" si="6"/>
        <v>0.69750367107195188</v>
      </c>
      <c r="M21" s="329">
        <f t="shared" si="1"/>
        <v>7.2980380494626681E-3</v>
      </c>
      <c r="N21" s="342">
        <f>(1/$J$79)*SQRT(((1-J22/$J$79)*K21)^2+(J22/$J$79)^2*(SUMSQ(K$8:K20)+SUMSQ(K22:K$78)))</f>
        <v>1.6984254670692321E-4</v>
      </c>
      <c r="O21" s="340">
        <f t="shared" si="14"/>
        <v>2.3272356975369317</v>
      </c>
      <c r="P21" s="332">
        <f t="shared" si="7"/>
        <v>7.1027271192843369E-2</v>
      </c>
      <c r="Q21" s="342">
        <f>SQRT(((1-P21)/$J$79)^2*SUMSQ(K$8:K21)+(P21/$J$79)^2*SUMSQ(K22:K$78))</f>
        <v>1.5810854847266133E-3</v>
      </c>
      <c r="R21" s="340">
        <f t="shared" si="15"/>
        <v>2.2260259449273643</v>
      </c>
      <c r="S21" s="343">
        <f t="shared" si="16"/>
        <v>3.9018718882201169E-8</v>
      </c>
      <c r="T21" s="344">
        <f t="shared" si="17"/>
        <v>5.038227250473606E-10</v>
      </c>
      <c r="U21" s="344">
        <f>IF(P21&lt;=0.85, (1/(3*H21*$J$79))*SQRT( ((1-P21)*(1/SQRT(1-PI()*P21/3)-1) + (1-P20)*(1-1/SQRT(1-PI()*P20/3)))^2*SUMSQ(K$8:K20) + ( (1-P21)*(1/SQRT(1-PI()*P21/3)-1) -P20*(1-1/SQRT(1-PI()*P20/3)) )^2*K21^2 + ( P21*(1-1/SQRT(1-PI()*P21/3)) - P20*(1-1/SQRT(1-PI()*P20/3)) )^2*SUMSQ(K22:K$78) ), (1/(PI()^2*H21*$J$79))*SQRT((1+P20/(1-P20))^2*K21^2+(P20/(1-P20)-P21/(1-P21))^2*SUMSQ(K22:K$78)) )</f>
        <v>1.8021990921914357E-9</v>
      </c>
      <c r="V21" s="345">
        <f t="shared" si="18"/>
        <v>1.8712987217891706E-9</v>
      </c>
      <c r="W21" s="340">
        <f t="shared" si="19"/>
        <v>4.7958999562202047</v>
      </c>
      <c r="X21" s="345">
        <f t="shared" si="20"/>
        <v>3.7425974435783412E-9</v>
      </c>
      <c r="Y21" s="338">
        <f t="shared" si="8"/>
        <v>-17.059224334627672</v>
      </c>
      <c r="Z21" s="346">
        <f t="shared" si="21"/>
        <v>4.7958999562202044E-2</v>
      </c>
      <c r="AA21" s="346">
        <f t="shared" si="22"/>
        <v>0.28113235761166738</v>
      </c>
      <c r="AB21" s="346">
        <f t="shared" si="9"/>
        <v>9.5917999124404088E-2</v>
      </c>
      <c r="AC21" s="336">
        <f t="shared" si="2"/>
        <v>5.0353500642605069E-12</v>
      </c>
      <c r="AD21" s="337">
        <f t="shared" si="3"/>
        <v>2.99588476516981E-13</v>
      </c>
      <c r="AE21" s="308">
        <f t="shared" si="10"/>
        <v>5.9497050392459396</v>
      </c>
      <c r="AF21" s="337">
        <f t="shared" si="11"/>
        <v>5.99176953033962E-13</v>
      </c>
      <c r="AG21" s="338">
        <f t="shared" si="23"/>
        <v>-26.014538066005937</v>
      </c>
      <c r="AH21" s="339">
        <f t="shared" si="24"/>
        <v>5.9497050392459387E-2</v>
      </c>
      <c r="AI21" s="340">
        <f t="shared" si="25"/>
        <v>0.22870692626368855</v>
      </c>
      <c r="AJ21" s="341">
        <f t="shared" si="12"/>
        <v>0.11899410078491877</v>
      </c>
    </row>
    <row r="22" spans="1:39" x14ac:dyDescent="0.2">
      <c r="A22" s="309">
        <v>15</v>
      </c>
      <c r="B22" s="309">
        <f t="shared" si="13"/>
        <v>9.6834000000000007</v>
      </c>
      <c r="C22" s="1">
        <v>440.04</v>
      </c>
      <c r="D22" s="347">
        <v>2</v>
      </c>
      <c r="E22" s="326">
        <f t="shared" si="4"/>
        <v>14.021508994798019</v>
      </c>
      <c r="F22" s="327">
        <f t="shared" si="0"/>
        <v>3.8241699258097499E-2</v>
      </c>
      <c r="G22" s="309">
        <f t="shared" si="5"/>
        <v>0.64649166666666658</v>
      </c>
      <c r="H22" s="1">
        <v>2327.37</v>
      </c>
      <c r="I22" s="324">
        <v>30</v>
      </c>
      <c r="J22" s="1">
        <v>2.7320000000000001E-2</v>
      </c>
      <c r="K22" s="1">
        <v>2.29999999999999E-4</v>
      </c>
      <c r="L22" s="328">
        <f t="shared" si="6"/>
        <v>0.84187408491946925</v>
      </c>
      <c r="M22" s="329">
        <f t="shared" si="1"/>
        <v>7.3194713476990025E-3</v>
      </c>
      <c r="N22" s="342">
        <f>(1/$J$79)*SQRT(((1-J23/$J$79)*K22)^2+(J23/$J$79)^2*(SUMSQ(K$8:K21)+SUMSQ(K23:K$78)))</f>
        <v>1.7269523820806205E-4</v>
      </c>
      <c r="O22" s="340">
        <f t="shared" si="14"/>
        <v>2.3593949618007817</v>
      </c>
      <c r="P22" s="332">
        <f t="shared" si="7"/>
        <v>7.8346742540542372E-2</v>
      </c>
      <c r="Q22" s="342">
        <f>SQRT(((1-P22)/$J$79)^2*SUMSQ(K$8:K22)+(P22/$J$79)^2*SUMSQ(K23:K$78))</f>
        <v>1.743333153514182E-3</v>
      </c>
      <c r="R22" s="340">
        <f t="shared" si="15"/>
        <v>2.2251507809811657</v>
      </c>
      <c r="S22" s="343">
        <f t="shared" si="16"/>
        <v>4.3570941598804586E-8</v>
      </c>
      <c r="T22" s="344">
        <f t="shared" si="17"/>
        <v>5.6163319453466543E-10</v>
      </c>
      <c r="U22" s="344">
        <f>IF(P22&lt;=0.85, (1/(3*H22*$J$79))*SQRT( ((1-P22)*(1/SQRT(1-PI()*P22/3)-1) + (1-P21)*(1-1/SQRT(1-PI()*P21/3)))^2*SUMSQ(K$8:K21) + ( (1-P22)*(1/SQRT(1-PI()*P22/3)-1) -P21*(1-1/SQRT(1-PI()*P21/3)) )^2*K22^2 + ( P22*(1-1/SQRT(1-PI()*P22/3)) - P21*(1-1/SQRT(1-PI()*P21/3)) )^2*SUMSQ(K23:K$78) ), (1/(PI()^2*H22*$J$79))*SQRT((1+P21/(1-P21))^2*K22^2+(P21/(1-P21)-P22/(1-P22))^2*SUMSQ(K23:K$78)) )</f>
        <v>2.029442031948563E-9</v>
      </c>
      <c r="V22" s="345">
        <f t="shared" si="18"/>
        <v>2.1057223953414954E-9</v>
      </c>
      <c r="W22" s="340">
        <f t="shared" si="19"/>
        <v>4.832859511577019</v>
      </c>
      <c r="X22" s="345">
        <f t="shared" si="20"/>
        <v>4.2114447906829908E-9</v>
      </c>
      <c r="Y22" s="338">
        <f t="shared" si="8"/>
        <v>-16.948875385877649</v>
      </c>
      <c r="Z22" s="346">
        <f t="shared" si="21"/>
        <v>4.8328595115770187E-2</v>
      </c>
      <c r="AA22" s="346">
        <f t="shared" si="22"/>
        <v>0.28514337391399514</v>
      </c>
      <c r="AB22" s="346">
        <f t="shared" si="9"/>
        <v>9.6657190231540374E-2</v>
      </c>
      <c r="AC22" s="336">
        <f t="shared" si="2"/>
        <v>5.6228125849490915E-12</v>
      </c>
      <c r="AD22" s="337">
        <f t="shared" si="3"/>
        <v>3.3621816830575878E-13</v>
      </c>
      <c r="AE22" s="308">
        <f t="shared" si="10"/>
        <v>5.9795371662525874</v>
      </c>
      <c r="AF22" s="337">
        <f t="shared" si="11"/>
        <v>6.7243633661151757E-13</v>
      </c>
      <c r="AG22" s="338">
        <f t="shared" si="23"/>
        <v>-25.90418911725591</v>
      </c>
      <c r="AH22" s="339">
        <f t="shared" si="24"/>
        <v>5.9795371662525874E-2</v>
      </c>
      <c r="AI22" s="340">
        <f t="shared" si="25"/>
        <v>0.23083282550116022</v>
      </c>
      <c r="AJ22" s="341">
        <f t="shared" si="12"/>
        <v>0.11959074332505175</v>
      </c>
    </row>
    <row r="23" spans="1:39" x14ac:dyDescent="0.2">
      <c r="A23" s="309">
        <v>16</v>
      </c>
      <c r="B23" s="309">
        <f t="shared" si="13"/>
        <v>10.327661111111112</v>
      </c>
      <c r="C23" s="1">
        <v>450.03</v>
      </c>
      <c r="D23" s="347">
        <v>2</v>
      </c>
      <c r="E23" s="326">
        <f t="shared" si="4"/>
        <v>13.827816034735475</v>
      </c>
      <c r="F23" s="327">
        <f t="shared" si="0"/>
        <v>3.7206654672346247E-2</v>
      </c>
      <c r="G23" s="309">
        <f t="shared" si="5"/>
        <v>0.64426111111111117</v>
      </c>
      <c r="H23" s="1">
        <v>2319.34</v>
      </c>
      <c r="I23" s="324">
        <v>30</v>
      </c>
      <c r="J23" s="1">
        <v>2.7210000000000002E-2</v>
      </c>
      <c r="K23" s="1">
        <v>2.2000000000000001E-4</v>
      </c>
      <c r="L23" s="328">
        <f t="shared" si="6"/>
        <v>0.80852627710400593</v>
      </c>
      <c r="M23" s="329">
        <f t="shared" si="1"/>
        <v>7.2900005626240797E-3</v>
      </c>
      <c r="N23" s="342">
        <f>(1/$J$79)*SQRT(((1-J24/$J$79)*K23)^2+(J24/$J$79)^2*(SUMSQ(K$8:K22)+SUMSQ(K24:K$78)))</f>
        <v>1.6476680164110541E-4</v>
      </c>
      <c r="O23" s="340">
        <f t="shared" si="14"/>
        <v>2.26017543106741</v>
      </c>
      <c r="P23" s="332">
        <f t="shared" si="7"/>
        <v>8.5636743103166449E-2</v>
      </c>
      <c r="Q23" s="342">
        <f>SQRT(((1-P23)/$J$79)^2*SUMSQ(K$8:K23)+(P23/$J$79)^2*SUMSQ(K24:K$78))</f>
        <v>1.9048153812512541E-3</v>
      </c>
      <c r="R23" s="340">
        <f t="shared" si="15"/>
        <v>2.2242968522944948</v>
      </c>
      <c r="S23" s="343">
        <f t="shared" si="16"/>
        <v>4.8102078470178858E-8</v>
      </c>
      <c r="T23" s="344">
        <f t="shared" si="17"/>
        <v>6.2218663676104726E-10</v>
      </c>
      <c r="U23" s="344">
        <f>IF(P23&lt;=0.85, (1/(3*H23*$J$79))*SQRT( ((1-P23)*(1/SQRT(1-PI()*P23/3)-1) + (1-P22)*(1-1/SQRT(1-PI()*P22/3)))^2*SUMSQ(K$8:K22) + ( (1-P23)*(1/SQRT(1-PI()*P23/3)-1) -P22*(1-1/SQRT(1-PI()*P22/3)) )^2*K23^2 + ( P23*(1-1/SQRT(1-PI()*P23/3)) - P22*(1-1/SQRT(1-PI()*P22/3)) )^2*SUMSQ(K24:K$78) ), (1/(PI()^2*H23*$J$79))*SQRT((1+P22/(1-P22))^2*K23^2+(P22/(1-P22)-P23/(1-P23))^2*SUMSQ(K24:K$78)) )</f>
        <v>2.2439746366991391E-9</v>
      </c>
      <c r="V23" s="345">
        <f t="shared" si="18"/>
        <v>2.3286344455738556E-9</v>
      </c>
      <c r="W23" s="340">
        <f t="shared" si="19"/>
        <v>4.8410266658591583</v>
      </c>
      <c r="X23" s="345">
        <f t="shared" si="20"/>
        <v>4.6572688911477112E-9</v>
      </c>
      <c r="Y23" s="338">
        <f t="shared" si="8"/>
        <v>-16.849940449330052</v>
      </c>
      <c r="Z23" s="346">
        <f t="shared" si="21"/>
        <v>4.8410266658591584E-2</v>
      </c>
      <c r="AA23" s="346">
        <f t="shared" si="22"/>
        <v>0.28730230118122679</v>
      </c>
      <c r="AB23" s="346">
        <f t="shared" si="9"/>
        <v>9.6820533317183169E-2</v>
      </c>
      <c r="AC23" s="336">
        <f t="shared" si="2"/>
        <v>6.2075539857451929E-12</v>
      </c>
      <c r="AD23" s="337">
        <f t="shared" si="3"/>
        <v>3.7159287601944106E-13</v>
      </c>
      <c r="AE23" s="308">
        <f t="shared" si="10"/>
        <v>5.9861400621364513</v>
      </c>
      <c r="AF23" s="337">
        <f t="shared" si="11"/>
        <v>7.4318575203888213E-13</v>
      </c>
      <c r="AG23" s="338">
        <f t="shared" si="23"/>
        <v>-25.805254180708317</v>
      </c>
      <c r="AH23" s="339">
        <f t="shared" si="24"/>
        <v>5.9861400621364518E-2</v>
      </c>
      <c r="AI23" s="340">
        <f t="shared" si="25"/>
        <v>0.23197369110247382</v>
      </c>
      <c r="AJ23" s="341">
        <f t="shared" si="12"/>
        <v>0.11972280124272904</v>
      </c>
    </row>
    <row r="24" spans="1:39" x14ac:dyDescent="0.2">
      <c r="A24" s="309">
        <v>17</v>
      </c>
      <c r="B24" s="309">
        <f t="shared" si="13"/>
        <v>10.973033333333335</v>
      </c>
      <c r="C24" s="1">
        <v>460.02</v>
      </c>
      <c r="D24" s="347">
        <v>2</v>
      </c>
      <c r="E24" s="326">
        <f t="shared" si="4"/>
        <v>13.639401503062047</v>
      </c>
      <c r="F24" s="327">
        <f t="shared" si="0"/>
        <v>3.6213069951098249E-2</v>
      </c>
      <c r="G24" s="309">
        <f t="shared" si="5"/>
        <v>0.64537222222222235</v>
      </c>
      <c r="H24" s="1">
        <v>2323.34</v>
      </c>
      <c r="I24" s="324">
        <v>30</v>
      </c>
      <c r="J24" s="1">
        <v>2.5950000000000001E-2</v>
      </c>
      <c r="K24" s="1">
        <v>2.5000000000000001E-4</v>
      </c>
      <c r="L24" s="328">
        <f t="shared" si="6"/>
        <v>0.96339113680154131</v>
      </c>
      <c r="M24" s="329">
        <f t="shared" si="1"/>
        <v>6.9524261154022375E-3</v>
      </c>
      <c r="N24" s="342">
        <f>(1/$J$79)*SQRT(((1-J25/$J$79)*K24)^2+(J25/$J$79)^2*(SUMSQ(K$8:K23)+SUMSQ(K25:K$78)))</f>
        <v>1.7185853208960677E-4</v>
      </c>
      <c r="O24" s="340">
        <f t="shared" si="14"/>
        <v>2.4719217326003009</v>
      </c>
      <c r="P24" s="332">
        <f t="shared" si="7"/>
        <v>9.258916921856869E-2</v>
      </c>
      <c r="Q24" s="342">
        <f>SQRT(((1-P24)/$J$79)^2*SUMSQ(K$8:K24)+(P24/$J$79)^2*SUMSQ(K25:K$78))</f>
        <v>2.0590315477680078E-3</v>
      </c>
      <c r="R24" s="340">
        <f t="shared" si="15"/>
        <v>2.2238362922421282</v>
      </c>
      <c r="S24" s="343">
        <f t="shared" si="16"/>
        <v>5.0077076791306871E-8</v>
      </c>
      <c r="T24" s="344">
        <f t="shared" si="17"/>
        <v>6.46617500554895E-10</v>
      </c>
      <c r="U24" s="344">
        <f>IF(P24&lt;=0.85, (1/(3*H24*$J$79))*SQRT( ((1-P24)*(1/SQRT(1-PI()*P24/3)-1) + (1-P23)*(1-1/SQRT(1-PI()*P23/3)))^2*SUMSQ(K$8:K23) + ( (1-P24)*(1/SQRT(1-PI()*P24/3)-1) -P23*(1-1/SQRT(1-PI()*P23/3)) )^2*K24^2 + ( P24*(1-1/SQRT(1-PI()*P24/3)) - P23*(1-1/SQRT(1-PI()*P23/3)) )^2*SUMSQ(K25:K$78) ), (1/(PI()^2*H24*$J$79))*SQRT((1+P23/(1-P23))^2*K24^2+(P23/(1-P23)-P24/(1-P24))^2*SUMSQ(K25:K$78)) )</f>
        <v>2.3582780921817888E-9</v>
      </c>
      <c r="V24" s="345">
        <f t="shared" si="18"/>
        <v>2.4453199692654612E-9</v>
      </c>
      <c r="W24" s="340">
        <f t="shared" si="19"/>
        <v>4.8831124457527366</v>
      </c>
      <c r="X24" s="345">
        <f t="shared" si="20"/>
        <v>4.8906399385309224E-9</v>
      </c>
      <c r="Y24" s="338">
        <f t="shared" si="8"/>
        <v>-16.809702482638823</v>
      </c>
      <c r="Z24" s="346">
        <f t="shared" si="21"/>
        <v>4.8831124457527367E-2</v>
      </c>
      <c r="AA24" s="346">
        <f t="shared" si="22"/>
        <v>0.2904936866548381</v>
      </c>
      <c r="AB24" s="346">
        <f t="shared" si="9"/>
        <v>9.7662248915054733E-2</v>
      </c>
      <c r="AC24" s="336">
        <f t="shared" si="2"/>
        <v>6.4624267290874351E-12</v>
      </c>
      <c r="AD24" s="337">
        <f t="shared" si="3"/>
        <v>3.8905269273030818E-13</v>
      </c>
      <c r="AE24" s="308">
        <f t="shared" si="10"/>
        <v>6.0202259776374545</v>
      </c>
      <c r="AF24" s="337">
        <f t="shared" si="11"/>
        <v>7.7810538546061636E-13</v>
      </c>
      <c r="AG24" s="338">
        <f t="shared" si="23"/>
        <v>-25.765016214017084</v>
      </c>
      <c r="AH24" s="339">
        <f t="shared" si="24"/>
        <v>6.0202259776374542E-2</v>
      </c>
      <c r="AI24" s="340">
        <f t="shared" si="25"/>
        <v>0.23365892447458417</v>
      </c>
      <c r="AJ24" s="341">
        <f t="shared" si="12"/>
        <v>0.12040451955274908</v>
      </c>
    </row>
    <row r="25" spans="1:39" x14ac:dyDescent="0.2">
      <c r="A25" s="309">
        <v>18</v>
      </c>
      <c r="B25" s="309">
        <f t="shared" si="13"/>
        <v>11.619516666666669</v>
      </c>
      <c r="C25" s="1">
        <v>470.01</v>
      </c>
      <c r="D25" s="347">
        <v>2</v>
      </c>
      <c r="E25" s="326">
        <f t="shared" si="4"/>
        <v>13.456052532429087</v>
      </c>
      <c r="F25" s="327">
        <f t="shared" si="0"/>
        <v>3.525876000697048E-2</v>
      </c>
      <c r="G25" s="309">
        <f t="shared" si="5"/>
        <v>0.64648333333333341</v>
      </c>
      <c r="H25" s="1">
        <v>2327.34</v>
      </c>
      <c r="I25" s="324">
        <v>30</v>
      </c>
      <c r="J25" s="1">
        <v>2.6700000000000002E-2</v>
      </c>
      <c r="K25" s="1">
        <v>1.8000000000000001E-4</v>
      </c>
      <c r="L25" s="328">
        <f t="shared" si="6"/>
        <v>0.6741573033707865</v>
      </c>
      <c r="M25" s="329">
        <f t="shared" si="1"/>
        <v>7.15336328636762E-3</v>
      </c>
      <c r="N25" s="342">
        <f>(1/$J$79)*SQRT(((1-J26/$J$79)*K25)^2+(J26/$J$79)^2*(SUMSQ(K$8:K24)+SUMSQ(K26:K$78)))</f>
        <v>1.6713721646800529E-4</v>
      </c>
      <c r="O25" s="340">
        <f t="shared" si="14"/>
        <v>2.3364843889100912</v>
      </c>
      <c r="P25" s="332">
        <f t="shared" si="7"/>
        <v>9.974253250493631E-2</v>
      </c>
      <c r="Q25" s="342">
        <f>SQRT(((1-P25)/$J$79)^2*SUMSQ(K$8:K25)+(P25/$J$79)^2*SUMSQ(K26:K$78))</f>
        <v>2.2172336822481624E-3</v>
      </c>
      <c r="R25" s="340">
        <f t="shared" si="15"/>
        <v>2.2229570741433005</v>
      </c>
      <c r="S25" s="343">
        <f t="shared" si="16"/>
        <v>5.5845381402611105E-8</v>
      </c>
      <c r="T25" s="344">
        <f t="shared" si="17"/>
        <v>7.1986106115923428E-10</v>
      </c>
      <c r="U25" s="344">
        <f>IF(P25&lt;=0.85, (1/(3*H25*$J$79))*SQRT( ((1-P25)*(1/SQRT(1-PI()*P25/3)-1) + (1-P24)*(1-1/SQRT(1-PI()*P24/3)))^2*SUMSQ(K$8:K24) + ( (1-P25)*(1/SQRT(1-PI()*P25/3)-1) -P24*(1-1/SQRT(1-PI()*P24/3)) )^2*K25^2 + ( P25*(1-1/SQRT(1-PI()*P25/3)) - P24*(1-1/SQRT(1-PI()*P24/3)) )^2*SUMSQ(K26:K$78) ), (1/(PI()^2*H25*$J$79))*SQRT((1+P24/(1-P24))^2*K25^2+(P24/(1-P24)-P25/(1-P25))^2*SUMSQ(K26:K$78)) )</f>
        <v>2.6080325856043294E-9</v>
      </c>
      <c r="V25" s="345">
        <f t="shared" si="18"/>
        <v>2.7055561193490895E-9</v>
      </c>
      <c r="W25" s="340">
        <f t="shared" si="19"/>
        <v>4.8447267283281343</v>
      </c>
      <c r="X25" s="345">
        <f t="shared" si="20"/>
        <v>5.411112238698179E-9</v>
      </c>
      <c r="Y25" s="338">
        <f t="shared" si="8"/>
        <v>-16.700679011312495</v>
      </c>
      <c r="Z25" s="346">
        <f t="shared" si="21"/>
        <v>4.8447267283281345E-2</v>
      </c>
      <c r="AA25" s="346">
        <f t="shared" si="22"/>
        <v>0.29009160196699035</v>
      </c>
      <c r="AB25" s="346">
        <f t="shared" si="9"/>
        <v>9.689453456656269E-2</v>
      </c>
      <c r="AC25" s="336">
        <f t="shared" si="2"/>
        <v>7.2068241318544012E-12</v>
      </c>
      <c r="AD25" s="337">
        <f t="shared" si="3"/>
        <v>4.3162626214386862E-13</v>
      </c>
      <c r="AE25" s="308">
        <f t="shared" si="10"/>
        <v>5.9891327198629183</v>
      </c>
      <c r="AF25" s="337">
        <f t="shared" si="11"/>
        <v>8.6325252428773724E-13</v>
      </c>
      <c r="AG25" s="338">
        <f t="shared" si="23"/>
        <v>-25.65599274269076</v>
      </c>
      <c r="AH25" s="339">
        <f t="shared" si="24"/>
        <v>5.9891327198629177E-2</v>
      </c>
      <c r="AI25" s="340">
        <f t="shared" si="25"/>
        <v>0.2334399132370033</v>
      </c>
      <c r="AJ25" s="341">
        <f t="shared" si="12"/>
        <v>0.11978265439725835</v>
      </c>
    </row>
    <row r="26" spans="1:39" x14ac:dyDescent="0.2">
      <c r="A26" s="309">
        <v>19</v>
      </c>
      <c r="B26" s="309">
        <f t="shared" si="13"/>
        <v>12.263783333333336</v>
      </c>
      <c r="C26" s="1">
        <v>480</v>
      </c>
      <c r="D26" s="347">
        <v>2</v>
      </c>
      <c r="E26" s="326">
        <f t="shared" si="4"/>
        <v>13.277567549624909</v>
      </c>
      <c r="F26" s="327">
        <f t="shared" si="0"/>
        <v>3.4341681831215019E-2</v>
      </c>
      <c r="G26" s="309">
        <f t="shared" si="5"/>
        <v>0.64426666666666665</v>
      </c>
      <c r="H26" s="1">
        <v>2319.36</v>
      </c>
      <c r="I26" s="324">
        <v>30</v>
      </c>
      <c r="J26" s="1">
        <v>2.6980000000000001E-2</v>
      </c>
      <c r="K26" s="1">
        <v>1.8000000000000001E-4</v>
      </c>
      <c r="L26" s="328">
        <f t="shared" si="6"/>
        <v>0.66716085989621954</v>
      </c>
      <c r="M26" s="329">
        <f t="shared" si="1"/>
        <v>7.228379830194696E-3</v>
      </c>
      <c r="N26" s="342">
        <f>(1/$J$79)*SQRT(((1-J27/$J$79)*K26)^2+(J27/$J$79)^2*(SUMSQ(K$8:K25)+SUMSQ(K27:K$78)))</f>
        <v>1.6384417572445057E-4</v>
      </c>
      <c r="O26" s="340">
        <f t="shared" si="14"/>
        <v>2.2666791116874312</v>
      </c>
      <c r="P26" s="332">
        <f t="shared" si="7"/>
        <v>0.10697091233513101</v>
      </c>
      <c r="Q26" s="342">
        <f>SQRT(((1-P26)/$J$79)^2*SUMSQ(K$8:K26)+(P26/$J$79)^2*SUMSQ(K27:K$78))</f>
        <v>2.3771131202490357E-3</v>
      </c>
      <c r="R26" s="340">
        <f t="shared" si="15"/>
        <v>2.2222051475093876</v>
      </c>
      <c r="S26" s="343">
        <f t="shared" si="16"/>
        <v>6.1240756361324179E-8</v>
      </c>
      <c r="T26" s="344">
        <f t="shared" si="17"/>
        <v>7.9212484945835401E-10</v>
      </c>
      <c r="U26" s="344">
        <f>IF(P26&lt;=0.85, (1/(3*H26*$J$79))*SQRT( ((1-P26)*(1/SQRT(1-PI()*P26/3)-1) + (1-P25)*(1-1/SQRT(1-PI()*P25/3)))^2*SUMSQ(K$8:K25) + ( (1-P26)*(1/SQRT(1-PI()*P26/3)-1) -P25*(1-1/SQRT(1-PI()*P25/3)) )^2*K26^2 + ( P26*(1-1/SQRT(1-PI()*P26/3)) - P25*(1-1/SQRT(1-PI()*P25/3)) )^2*SUMSQ(K27:K$78) ), (1/(PI()^2*H26*$J$79))*SQRT((1+P25/(1-P25))^2*K26^2+(P25/(1-P25)-P26/(1-P26))^2*SUMSQ(K27:K$78)) )</f>
        <v>2.8682574967019707E-9</v>
      </c>
      <c r="V26" s="345">
        <f t="shared" si="18"/>
        <v>2.9756281428492501E-9</v>
      </c>
      <c r="W26" s="340">
        <f t="shared" si="19"/>
        <v>4.8589016851667592</v>
      </c>
      <c r="X26" s="345">
        <f t="shared" si="20"/>
        <v>5.9512562856985001E-9</v>
      </c>
      <c r="Y26" s="338">
        <f t="shared" si="8"/>
        <v>-16.608452915460433</v>
      </c>
      <c r="Z26" s="346">
        <f t="shared" si="21"/>
        <v>4.8589016851667596E-2</v>
      </c>
      <c r="AA26" s="346">
        <f t="shared" si="22"/>
        <v>0.2925559478597623</v>
      </c>
      <c r="AB26" s="346">
        <f t="shared" si="9"/>
        <v>9.7178033703335193E-2</v>
      </c>
      <c r="AC26" s="336">
        <f t="shared" si="2"/>
        <v>7.9030951121263399E-12</v>
      </c>
      <c r="AD26" s="337">
        <f t="shared" si="3"/>
        <v>4.7423351310418041E-13</v>
      </c>
      <c r="AE26" s="308">
        <f t="shared" si="10"/>
        <v>6.0006049070132867</v>
      </c>
      <c r="AF26" s="337">
        <f t="shared" si="11"/>
        <v>9.4846702620836082E-13</v>
      </c>
      <c r="AG26" s="338">
        <f t="shared" si="23"/>
        <v>-25.563766646838697</v>
      </c>
      <c r="AH26" s="339">
        <f t="shared" si="24"/>
        <v>6.0006049070132871E-2</v>
      </c>
      <c r="AI26" s="340">
        <f t="shared" si="25"/>
        <v>0.23473085910660751</v>
      </c>
      <c r="AJ26" s="341">
        <f t="shared" si="12"/>
        <v>0.12001209814026574</v>
      </c>
    </row>
    <row r="27" spans="1:39" x14ac:dyDescent="0.2">
      <c r="A27" s="309">
        <v>20</v>
      </c>
      <c r="B27" s="309">
        <f t="shared" si="13"/>
        <v>12.909169444444448</v>
      </c>
      <c r="C27" s="1">
        <v>489.99</v>
      </c>
      <c r="D27" s="347">
        <v>2</v>
      </c>
      <c r="E27" s="326">
        <f t="shared" si="4"/>
        <v>13.103755536336715</v>
      </c>
      <c r="F27" s="327">
        <f t="shared" si="0"/>
        <v>3.3459057996665716E-2</v>
      </c>
      <c r="G27" s="309">
        <f t="shared" si="5"/>
        <v>0.6453861111111111</v>
      </c>
      <c r="H27" s="1">
        <v>2323.39</v>
      </c>
      <c r="I27" s="324">
        <v>30</v>
      </c>
      <c r="J27" s="1">
        <v>2.64E-2</v>
      </c>
      <c r="K27" s="1">
        <v>2.39999999999999E-4</v>
      </c>
      <c r="L27" s="328">
        <f t="shared" si="6"/>
        <v>0.9090909090909054</v>
      </c>
      <c r="M27" s="329">
        <f t="shared" si="1"/>
        <v>7.072988417981466E-3</v>
      </c>
      <c r="N27" s="342">
        <f>(1/$J$79)*SQRT(((1-J28/$J$79)*K27)^2+(J28/$J$79)^2*(SUMSQ(K$8:K26)+SUMSQ(K28:K$78)))</f>
        <v>1.7249788412493675E-4</v>
      </c>
      <c r="O27" s="340">
        <f t="shared" si="14"/>
        <v>2.4388260510423017</v>
      </c>
      <c r="P27" s="332">
        <f t="shared" si="7"/>
        <v>0.11404390075311248</v>
      </c>
      <c r="Q27" s="342">
        <f>SQRT(((1-P27)/$J$79)^2*SUMSQ(K$8:K27)+(P27/$J$79)^2*SUMSQ(K28:K$78))</f>
        <v>2.5338569687900882E-3</v>
      </c>
      <c r="R27" s="340">
        <f t="shared" si="15"/>
        <v>2.2218259390087853</v>
      </c>
      <c r="S27" s="343">
        <f t="shared" si="16"/>
        <v>6.4360452894925633E-8</v>
      </c>
      <c r="T27" s="344">
        <f t="shared" si="17"/>
        <v>8.3103292466945839E-10</v>
      </c>
      <c r="U27" s="344">
        <f>IF(P27&lt;=0.85, (1/(3*H27*$J$79))*SQRT( ((1-P27)*(1/SQRT(1-PI()*P27/3)-1) + (1-P26)*(1-1/SQRT(1-PI()*P26/3)))^2*SUMSQ(K$8:K26) + ( (1-P27)*(1/SQRT(1-PI()*P27/3)-1) -P26*(1-1/SQRT(1-PI()*P26/3)) )^2*K27^2 + ( P27*(1-1/SQRT(1-PI()*P27/3)) - P26*(1-1/SQRT(1-PI()*P26/3)) )^2*SUMSQ(K28:K$78) ), (1/(PI()^2*H27*$J$79))*SQRT((1+P26/(1-P26))^2*K27^2+(P26/(1-P26)-P27/(1-P27))^2*SUMSQ(K28:K$78)) )</f>
        <v>3.050905029329416E-9</v>
      </c>
      <c r="V27" s="345">
        <f t="shared" si="18"/>
        <v>3.1620621783690777E-9</v>
      </c>
      <c r="W27" s="340">
        <f t="shared" si="19"/>
        <v>4.9130514720451632</v>
      </c>
      <c r="X27" s="345">
        <f t="shared" si="20"/>
        <v>6.3241243567381554E-9</v>
      </c>
      <c r="Y27" s="338">
        <f t="shared" si="8"/>
        <v>-16.558766477946342</v>
      </c>
      <c r="Z27" s="346">
        <f t="shared" si="21"/>
        <v>4.9130514720451629E-2</v>
      </c>
      <c r="AA27" s="346">
        <f t="shared" si="22"/>
        <v>0.29670395307455844</v>
      </c>
      <c r="AB27" s="346">
        <f t="shared" si="9"/>
        <v>9.8261029440903258E-2</v>
      </c>
      <c r="AC27" s="336">
        <f t="shared" si="2"/>
        <v>8.3056907019089942E-12</v>
      </c>
      <c r="AD27" s="337">
        <f t="shared" si="3"/>
        <v>5.0204041626518628E-13</v>
      </c>
      <c r="AE27" s="308">
        <f t="shared" si="10"/>
        <v>6.0445354189483176</v>
      </c>
      <c r="AF27" s="337">
        <f t="shared" si="11"/>
        <v>1.0040808325303726E-12</v>
      </c>
      <c r="AG27" s="338">
        <f t="shared" si="23"/>
        <v>-25.514080209324604</v>
      </c>
      <c r="AH27" s="339">
        <f t="shared" si="24"/>
        <v>6.0445354189483179E-2</v>
      </c>
      <c r="AI27" s="340">
        <f t="shared" si="25"/>
        <v>0.23690979135274601</v>
      </c>
      <c r="AJ27" s="341">
        <f t="shared" si="12"/>
        <v>0.12089070837896636</v>
      </c>
    </row>
    <row r="28" spans="1:39" x14ac:dyDescent="0.2">
      <c r="A28" s="309">
        <v>21</v>
      </c>
      <c r="B28" s="309">
        <f t="shared" si="13"/>
        <v>13.555652777777782</v>
      </c>
      <c r="C28" s="1">
        <v>499.99</v>
      </c>
      <c r="D28" s="347">
        <v>10</v>
      </c>
      <c r="E28" s="326">
        <f t="shared" si="4"/>
        <v>12.934268049771063</v>
      </c>
      <c r="F28" s="327">
        <f t="shared" si="0"/>
        <v>0.16305430801785048</v>
      </c>
      <c r="G28" s="309">
        <f t="shared" si="5"/>
        <v>0.64648333333333341</v>
      </c>
      <c r="H28" s="1">
        <v>2327.34</v>
      </c>
      <c r="I28" s="324">
        <v>30</v>
      </c>
      <c r="J28" s="1">
        <v>2.7E-2</v>
      </c>
      <c r="K28" s="1">
        <v>1.2999999999999999E-4</v>
      </c>
      <c r="L28" s="328">
        <f t="shared" si="6"/>
        <v>0.48148148148148145</v>
      </c>
      <c r="M28" s="329">
        <f t="shared" si="1"/>
        <v>7.2337381547537723E-3</v>
      </c>
      <c r="N28" s="342">
        <f>(1/$J$79)*SQRT(((1-J29/$J$79)*K28)^2+(J29/$J$79)^2*(SUMSQ(K$8:K27)+SUMSQ(K29:K$78)))</f>
        <v>1.6736368698332677E-4</v>
      </c>
      <c r="O28" s="340">
        <f t="shared" si="14"/>
        <v>2.3136542048227291</v>
      </c>
      <c r="P28" s="332">
        <f t="shared" si="7"/>
        <v>0.12127763890786625</v>
      </c>
      <c r="Q28" s="342">
        <f>SQRT(((1-P28)/$J$79)^2*SUMSQ(K$8:K28)+(P28/$J$79)^2*SUMSQ(K29:K$78))</f>
        <v>2.6937104886317234E-3</v>
      </c>
      <c r="R28" s="340">
        <f t="shared" si="15"/>
        <v>2.2211105962230313</v>
      </c>
      <c r="S28" s="343">
        <f t="shared" si="16"/>
        <v>7.0408181748426109E-8</v>
      </c>
      <c r="T28" s="344">
        <f t="shared" si="17"/>
        <v>9.0757923313859711E-10</v>
      </c>
      <c r="U28" s="344">
        <f>IF(P28&lt;=0.85, (1/(3*H28*$J$79))*SQRT( ((1-P28)*(1/SQRT(1-PI()*P28/3)-1) + (1-P27)*(1-1/SQRT(1-PI()*P27/3)))^2*SUMSQ(K$8:K27) + ( (1-P28)*(1/SQRT(1-PI()*P28/3)-1) -P27*(1-1/SQRT(1-PI()*P27/3)) )^2*K28^2 + ( P28*(1-1/SQRT(1-PI()*P28/3)) - P27*(1-1/SQRT(1-PI()*P27/3)) )^2*SUMSQ(K29:K$78) ), (1/(PI()^2*H28*$J$79))*SQRT((1+P27/(1-P27))^2*K28^2+(P27/(1-P27)-P28/(1-P28))^2*SUMSQ(K29:K$78)) )</f>
        <v>3.3021232541119892E-9</v>
      </c>
      <c r="V28" s="345">
        <f t="shared" si="18"/>
        <v>3.4245756014098442E-9</v>
      </c>
      <c r="W28" s="340">
        <f t="shared" si="19"/>
        <v>4.8638887077727961</v>
      </c>
      <c r="X28" s="345">
        <f t="shared" si="20"/>
        <v>6.8491512028196884E-9</v>
      </c>
      <c r="Y28" s="338">
        <f t="shared" si="8"/>
        <v>-16.46895636251779</v>
      </c>
      <c r="Z28" s="346">
        <f t="shared" si="21"/>
        <v>4.8638887077727962E-2</v>
      </c>
      <c r="AA28" s="346">
        <f t="shared" si="22"/>
        <v>0.2953367900617353</v>
      </c>
      <c r="AB28" s="346">
        <f t="shared" si="9"/>
        <v>9.7277774155455923E-2</v>
      </c>
      <c r="AC28" s="336">
        <f t="shared" si="2"/>
        <v>9.0861476913616885E-12</v>
      </c>
      <c r="AD28" s="337">
        <f t="shared" si="3"/>
        <v>5.4559080295408296E-13</v>
      </c>
      <c r="AE28" s="308">
        <f t="shared" si="10"/>
        <v>6.0046437883987158</v>
      </c>
      <c r="AF28" s="337">
        <f t="shared" si="11"/>
        <v>1.0911816059081659E-12</v>
      </c>
      <c r="AG28" s="338">
        <f t="shared" si="23"/>
        <v>-25.424270093896052</v>
      </c>
      <c r="AH28" s="339">
        <f t="shared" si="24"/>
        <v>6.0046437883987155E-2</v>
      </c>
      <c r="AI28" s="340">
        <f t="shared" si="25"/>
        <v>0.23617762737032644</v>
      </c>
      <c r="AJ28" s="341">
        <f t="shared" si="12"/>
        <v>0.12009287576797431</v>
      </c>
    </row>
    <row r="29" spans="1:39" x14ac:dyDescent="0.2">
      <c r="A29" s="309">
        <v>22</v>
      </c>
      <c r="B29" s="309">
        <f t="shared" si="13"/>
        <v>14.199911111111115</v>
      </c>
      <c r="C29" s="1">
        <v>509.98</v>
      </c>
      <c r="D29" s="347">
        <v>10</v>
      </c>
      <c r="E29" s="326">
        <f t="shared" si="4"/>
        <v>12.769272023801923</v>
      </c>
      <c r="F29" s="327">
        <f t="shared" si="0"/>
        <v>0.15896455332659212</v>
      </c>
      <c r="G29" s="309">
        <f t="shared" si="5"/>
        <v>0.64425833333333327</v>
      </c>
      <c r="H29" s="1">
        <v>2319.33</v>
      </c>
      <c r="I29" s="324">
        <v>30</v>
      </c>
      <c r="J29" s="1">
        <v>2.7589999999999899E-2</v>
      </c>
      <c r="K29" s="1">
        <v>1.4999999999999999E-4</v>
      </c>
      <c r="L29" s="328">
        <f t="shared" si="6"/>
        <v>0.54367524465386197</v>
      </c>
      <c r="M29" s="329">
        <f t="shared" si="1"/>
        <v>7.3918087292465127E-3</v>
      </c>
      <c r="N29" s="342">
        <f>(1/$J$79)*SQRT(((1-J30/$J$79)*K29)^2+(J30/$J$79)^2*(SUMSQ(K$8:K28)+SUMSQ(K30:K$78)))</f>
        <v>1.7258035224329319E-4</v>
      </c>
      <c r="O29" s="340">
        <f t="shared" si="14"/>
        <v>2.3347513249424305</v>
      </c>
      <c r="P29" s="332">
        <f t="shared" si="7"/>
        <v>0.12866944763711277</v>
      </c>
      <c r="Q29" s="342">
        <f>SQRT(((1-P29)/$J$79)^2*SUMSQ(K$8:K29)+(P29/$J$79)^2*SUMSQ(K30:K$78))</f>
        <v>2.8571457309060091E-3</v>
      </c>
      <c r="R29" s="340">
        <f t="shared" si="15"/>
        <v>2.2205315895689819</v>
      </c>
      <c r="S29" s="343">
        <f t="shared" si="16"/>
        <v>7.7182661730870199E-8</v>
      </c>
      <c r="T29" s="344">
        <f t="shared" si="17"/>
        <v>9.983399740123698E-10</v>
      </c>
      <c r="U29" s="344">
        <f>IF(P29&lt;=0.85, (1/(3*H29*$J$79))*SQRT( ((1-P29)*(1/SQRT(1-PI()*P29/3)-1) + (1-P28)*(1-1/SQRT(1-PI()*P28/3)))^2*SUMSQ(K$8:K28) + ( (1-P29)*(1/SQRT(1-PI()*P29/3)-1) -P28*(1-1/SQRT(1-PI()*P28/3)) )^2*K29^2 + ( P29*(1-1/SQRT(1-PI()*P29/3)) - P28*(1-1/SQRT(1-PI()*P28/3)) )^2*SUMSQ(K30:K$78) ), (1/(PI()^2*H29*$J$79))*SQRT((1+P28/(1-P28))^2*K29^2+(P28/(1-P28)-P29/(1-P29))^2*SUMSQ(K30:K$78)) )</f>
        <v>3.6374865547681823E-9</v>
      </c>
      <c r="V29" s="345">
        <f t="shared" si="18"/>
        <v>3.7720009464248974E-9</v>
      </c>
      <c r="W29" s="340">
        <f t="shared" si="19"/>
        <v>4.8871091794910688</v>
      </c>
      <c r="X29" s="345">
        <f t="shared" si="20"/>
        <v>7.5440018928497947E-9</v>
      </c>
      <c r="Y29" s="338">
        <f t="shared" si="8"/>
        <v>-16.377090994117928</v>
      </c>
      <c r="Z29" s="346">
        <f t="shared" si="21"/>
        <v>4.8871091794910684E-2</v>
      </c>
      <c r="AA29" s="346">
        <f t="shared" si="22"/>
        <v>0.29841131011889382</v>
      </c>
      <c r="AB29" s="346">
        <f t="shared" si="9"/>
        <v>9.7742183589821369E-2</v>
      </c>
      <c r="AC29" s="336">
        <f t="shared" si="2"/>
        <v>9.9603916233041063E-12</v>
      </c>
      <c r="AD29" s="337">
        <f t="shared" si="3"/>
        <v>5.9996102731512908E-13</v>
      </c>
      <c r="AE29" s="308">
        <f t="shared" si="10"/>
        <v>6.0234682531097841</v>
      </c>
      <c r="AF29" s="337">
        <f t="shared" si="11"/>
        <v>1.1999220546302582E-12</v>
      </c>
      <c r="AG29" s="338">
        <f t="shared" si="23"/>
        <v>-25.33240472549619</v>
      </c>
      <c r="AH29" s="339">
        <f t="shared" si="24"/>
        <v>6.0234682531097837E-2</v>
      </c>
      <c r="AI29" s="340">
        <f t="shared" si="25"/>
        <v>0.23777719953476706</v>
      </c>
      <c r="AJ29" s="341">
        <f t="shared" si="12"/>
        <v>0.12046936506219567</v>
      </c>
    </row>
    <row r="30" spans="1:39" x14ac:dyDescent="0.2">
      <c r="A30" s="309">
        <v>23</v>
      </c>
      <c r="B30" s="309">
        <f t="shared" si="13"/>
        <v>14.845283333333338</v>
      </c>
      <c r="C30" s="1">
        <v>519.99</v>
      </c>
      <c r="D30" s="347">
        <v>10</v>
      </c>
      <c r="E30" s="326">
        <f t="shared" si="4"/>
        <v>12.608114582545326</v>
      </c>
      <c r="F30" s="327">
        <f t="shared" si="0"/>
        <v>0.15503448196407432</v>
      </c>
      <c r="G30" s="309">
        <f t="shared" si="5"/>
        <v>0.64537222222222235</v>
      </c>
      <c r="H30" s="1">
        <v>2323.34</v>
      </c>
      <c r="I30" s="324">
        <v>30</v>
      </c>
      <c r="J30" s="1">
        <v>2.8289999999999999E-2</v>
      </c>
      <c r="K30" s="1">
        <v>1.8999999999999901E-4</v>
      </c>
      <c r="L30" s="328">
        <f t="shared" si="6"/>
        <v>0.67161541180628848</v>
      </c>
      <c r="M30" s="329">
        <f t="shared" si="1"/>
        <v>7.5793500888142306E-3</v>
      </c>
      <c r="N30" s="342">
        <f>(1/$J$79)*SQRT(((1-J31/$J$79)*K30)^2+(J31/$J$79)^2*(SUMSQ(K$8:K29)+SUMSQ(K31:K$78)))</f>
        <v>1.6786185091517849E-4</v>
      </c>
      <c r="O30" s="340">
        <f t="shared" si="14"/>
        <v>2.2147261829601019</v>
      </c>
      <c r="P30" s="332">
        <f t="shared" si="7"/>
        <v>0.13624879772592699</v>
      </c>
      <c r="Q30" s="342">
        <f>SQRT(((1-P30)/$J$79)^2*SUMSQ(K$8:K30)+(P30/$J$79)^2*SUMSQ(K31:K$78))</f>
        <v>3.0248676787001144E-3</v>
      </c>
      <c r="R30" s="340">
        <f t="shared" si="15"/>
        <v>2.2201059599695152</v>
      </c>
      <c r="S30" s="343">
        <f t="shared" si="16"/>
        <v>8.4300506445258462E-8</v>
      </c>
      <c r="T30" s="344">
        <f t="shared" si="17"/>
        <v>1.0885256541693197E-9</v>
      </c>
      <c r="U30" s="344">
        <f>IF(P30&lt;=0.85, (1/(3*H30*$J$79))*SQRT( ((1-P30)*(1/SQRT(1-PI()*P30/3)-1) + (1-P29)*(1-1/SQRT(1-PI()*P29/3)))^2*SUMSQ(K$8:K29) + ( (1-P30)*(1/SQRT(1-PI()*P30/3)-1) -P29*(1-1/SQRT(1-PI()*P29/3)) )^2*K30^2 + ( P30*(1-1/SQRT(1-PI()*P30/3)) - P29*(1-1/SQRT(1-PI()*P29/3)) )^2*SUMSQ(K31:K$78) ), (1/(PI()^2*H30*$J$79))*SQRT((1+P29/(1-P29))^2*K30^2+(P29/(1-P29)-P30/(1-P30))^2*SUMSQ(K31:K$78)) )</f>
        <v>4.001154302264977E-9</v>
      </c>
      <c r="V30" s="345">
        <f t="shared" si="18"/>
        <v>4.146579777397063E-9</v>
      </c>
      <c r="W30" s="340">
        <f t="shared" si="19"/>
        <v>4.9188076706154717</v>
      </c>
      <c r="X30" s="345">
        <f t="shared" si="20"/>
        <v>8.293159554794126E-9</v>
      </c>
      <c r="Y30" s="338">
        <f t="shared" si="8"/>
        <v>-16.288877964302337</v>
      </c>
      <c r="Z30" s="346">
        <f t="shared" si="21"/>
        <v>4.9188076706154715E-2</v>
      </c>
      <c r="AA30" s="346">
        <f t="shared" si="22"/>
        <v>0.30197338830797404</v>
      </c>
      <c r="AB30" s="346">
        <f t="shared" si="9"/>
        <v>9.8376153412309431E-2</v>
      </c>
      <c r="AC30" s="336">
        <f t="shared" si="2"/>
        <v>1.0878946636558027E-11</v>
      </c>
      <c r="AD30" s="337">
        <f t="shared" si="3"/>
        <v>6.5809087581121758E-13</v>
      </c>
      <c r="AE30" s="308">
        <f t="shared" si="10"/>
        <v>6.0492150370491187</v>
      </c>
      <c r="AF30" s="337">
        <f t="shared" si="11"/>
        <v>1.3161817516224352E-12</v>
      </c>
      <c r="AG30" s="338">
        <f t="shared" si="23"/>
        <v>-25.244191695680598</v>
      </c>
      <c r="AH30" s="339">
        <f t="shared" si="24"/>
        <v>6.0492150370491195E-2</v>
      </c>
      <c r="AI30" s="340">
        <f t="shared" si="25"/>
        <v>0.2396279948263968</v>
      </c>
      <c r="AJ30" s="341">
        <f t="shared" si="12"/>
        <v>0.12098430074098239</v>
      </c>
    </row>
    <row r="31" spans="1:39" x14ac:dyDescent="0.2">
      <c r="A31" s="309">
        <v>24</v>
      </c>
      <c r="B31" s="309">
        <f t="shared" si="13"/>
        <v>15.492338888888893</v>
      </c>
      <c r="C31" s="1">
        <v>529.98</v>
      </c>
      <c r="D31" s="347">
        <v>10</v>
      </c>
      <c r="E31" s="326">
        <f t="shared" si="4"/>
        <v>12.4512843499807</v>
      </c>
      <c r="F31" s="327">
        <f t="shared" si="0"/>
        <v>0.15124465345442548</v>
      </c>
      <c r="G31" s="309">
        <f t="shared" si="5"/>
        <v>0.64705555555555561</v>
      </c>
      <c r="H31" s="1">
        <v>2329.4</v>
      </c>
      <c r="I31" s="324">
        <v>30</v>
      </c>
      <c r="J31" s="1">
        <v>2.69699999999999E-2</v>
      </c>
      <c r="K31" s="1">
        <v>2.39999999999999E-4</v>
      </c>
      <c r="L31" s="328">
        <f t="shared" si="6"/>
        <v>0.88987764182424878</v>
      </c>
      <c r="M31" s="329">
        <f t="shared" si="1"/>
        <v>7.2257006679151302E-3</v>
      </c>
      <c r="N31" s="342">
        <f>(1/$J$79)*SQRT(((1-J32/$J$79)*K31)^2+(J32/$J$79)^2*(SUMSQ(K$8:K30)+SUMSQ(K32:K$78)))</f>
        <v>1.9036543778241751E-4</v>
      </c>
      <c r="O31" s="340">
        <f t="shared" si="14"/>
        <v>2.6345602527892238</v>
      </c>
      <c r="P31" s="332">
        <f t="shared" si="7"/>
        <v>0.14347449839384213</v>
      </c>
      <c r="Q31" s="342">
        <f>SQRT(((1-P31)/$J$79)^2*SUMSQ(K$8:K31)+(P31/$J$79)^2*SUMSQ(K32:K$78))</f>
        <v>3.1849569498652859E-3</v>
      </c>
      <c r="R31" s="340">
        <f t="shared" si="15"/>
        <v>2.2198766927363467</v>
      </c>
      <c r="S31" s="343">
        <f t="shared" si="16"/>
        <v>8.5205725357236831E-8</v>
      </c>
      <c r="T31" s="344">
        <f t="shared" si="17"/>
        <v>1.0973520051159547E-9</v>
      </c>
      <c r="U31" s="344">
        <f>IF(P31&lt;=0.85, (1/(3*H31*$J$79))*SQRT( ((1-P31)*(1/SQRT(1-PI()*P31/3)-1) + (1-P30)*(1-1/SQRT(1-PI()*P30/3)))^2*SUMSQ(K$8:K30) + ( (1-P31)*(1/SQRT(1-PI()*P31/3)-1) -P30*(1-1/SQRT(1-PI()*P30/3)) )^2*K31^2 + ( P31*(1-1/SQRT(1-PI()*P31/3)) - P30*(1-1/SQRT(1-PI()*P30/3)) )^2*SUMSQ(K32:K$78) ), (1/(PI()^2*H31*$J$79))*SQRT((1+P30/(1-P30))^2*K31^2+(P30/(1-P30)-P31/(1-P31))^2*SUMSQ(K32:K$78)) )</f>
        <v>4.0893814175289641E-9</v>
      </c>
      <c r="V31" s="345">
        <f t="shared" si="18"/>
        <v>4.2340550068655472E-9</v>
      </c>
      <c r="W31" s="340">
        <f t="shared" si="19"/>
        <v>4.9692142037564775</v>
      </c>
      <c r="X31" s="345">
        <f t="shared" si="20"/>
        <v>8.4681100137310944E-9</v>
      </c>
      <c r="Y31" s="338">
        <f t="shared" si="8"/>
        <v>-16.278197206340295</v>
      </c>
      <c r="Z31" s="346">
        <f t="shared" si="21"/>
        <v>4.9692142037564772E-2</v>
      </c>
      <c r="AA31" s="346">
        <f t="shared" si="22"/>
        <v>0.3052680920846067</v>
      </c>
      <c r="AB31" s="346">
        <f t="shared" si="9"/>
        <v>9.9384284075129545E-2</v>
      </c>
      <c r="AC31" s="336">
        <f t="shared" si="2"/>
        <v>1.0995764775061271E-11</v>
      </c>
      <c r="AD31" s="337">
        <f t="shared" si="3"/>
        <v>6.6967207746149906E-13</v>
      </c>
      <c r="AE31" s="308">
        <f t="shared" si="10"/>
        <v>6.0902728565123159</v>
      </c>
      <c r="AF31" s="337">
        <f t="shared" si="11"/>
        <v>1.3393441549229981E-12</v>
      </c>
      <c r="AG31" s="338">
        <f t="shared" si="23"/>
        <v>-25.233510937718556</v>
      </c>
      <c r="AH31" s="339">
        <f t="shared" si="24"/>
        <v>6.090272856512316E-2</v>
      </c>
      <c r="AI31" s="340">
        <f t="shared" si="25"/>
        <v>0.24135653859442507</v>
      </c>
      <c r="AJ31" s="341">
        <f t="shared" si="12"/>
        <v>0.12180545713024632</v>
      </c>
    </row>
    <row r="32" spans="1:39" x14ac:dyDescent="0.2">
      <c r="A32" s="309">
        <v>25</v>
      </c>
      <c r="B32" s="309">
        <f t="shared" si="13"/>
        <v>16.137163888888892</v>
      </c>
      <c r="C32" s="1">
        <v>539.98</v>
      </c>
      <c r="D32" s="347">
        <v>10</v>
      </c>
      <c r="E32" s="326">
        <f t="shared" si="4"/>
        <v>12.2981565063397</v>
      </c>
      <c r="F32" s="327">
        <f t="shared" si="0"/>
        <v>0.1475956954048411</v>
      </c>
      <c r="G32" s="309">
        <f t="shared" si="5"/>
        <v>0.64482499999999987</v>
      </c>
      <c r="H32" s="1">
        <v>2321.37</v>
      </c>
      <c r="I32" s="324">
        <v>30</v>
      </c>
      <c r="J32" s="1">
        <v>3.022E-2</v>
      </c>
      <c r="K32" s="1">
        <v>1.2999999999999999E-4</v>
      </c>
      <c r="L32" s="328">
        <f t="shared" si="6"/>
        <v>0.43017868960953004</v>
      </c>
      <c r="M32" s="329">
        <f t="shared" si="1"/>
        <v>8.0964284087651477E-3</v>
      </c>
      <c r="N32" s="342">
        <f>(1/$J$79)*SQRT(((1-J33/$J$79)*K32)^2+(J33/$J$79)^2*(SUMSQ(K$8:K31)+SUMSQ(K33:K$78)))</f>
        <v>1.9105754520896799E-4</v>
      </c>
      <c r="O32" s="340">
        <f t="shared" si="14"/>
        <v>2.3597756388746691</v>
      </c>
      <c r="P32" s="332">
        <f t="shared" si="7"/>
        <v>0.15157092680260728</v>
      </c>
      <c r="Q32" s="342">
        <f>SQRT(((1-P32)/$J$79)^2*SUMSQ(K$8:K32)+(P32/$J$79)^2*SUMSQ(K33:K$78))</f>
        <v>3.3639607072523201E-3</v>
      </c>
      <c r="R32" s="340">
        <f t="shared" si="15"/>
        <v>2.2193970692237364</v>
      </c>
      <c r="S32" s="343">
        <f t="shared" si="16"/>
        <v>1.0176054692836971E-7</v>
      </c>
      <c r="T32" s="344">
        <f t="shared" si="17"/>
        <v>1.3150925564865107E-9</v>
      </c>
      <c r="U32" s="344">
        <f>IF(P32&lt;=0.85, (1/(3*H32*$J$79))*SQRT( ((1-P32)*(1/SQRT(1-PI()*P32/3)-1) + (1-P31)*(1-1/SQRT(1-PI()*P31/3)))^2*SUMSQ(K$8:K31) + ( (1-P32)*(1/SQRT(1-PI()*P32/3)-1) -P31*(1-1/SQRT(1-PI()*P31/3)) )^2*K32^2 + ( P32*(1-1/SQRT(1-PI()*P32/3)) - P31*(1-1/SQRT(1-PI()*P31/3)) )^2*SUMSQ(K33:K$78) ), (1/(PI()^2*H32*$J$79))*SQRT((1+P31/(1-P31))^2*K32^2+(P31/(1-P31)-P32/(1-P32))^2*SUMSQ(K33:K$78)) )</f>
        <v>4.8354728445591452E-9</v>
      </c>
      <c r="V32" s="345">
        <f t="shared" si="18"/>
        <v>5.0111142535962134E-9</v>
      </c>
      <c r="W32" s="340">
        <f t="shared" si="19"/>
        <v>4.924417571304514</v>
      </c>
      <c r="X32" s="345">
        <f t="shared" si="20"/>
        <v>1.0022228507192427E-8</v>
      </c>
      <c r="Y32" s="338">
        <f t="shared" si="8"/>
        <v>-16.100643362679875</v>
      </c>
      <c r="Z32" s="346">
        <f t="shared" si="21"/>
        <v>4.9244175713045138E-2</v>
      </c>
      <c r="AA32" s="346">
        <f t="shared" si="22"/>
        <v>0.30585222344089413</v>
      </c>
      <c r="AB32" s="346">
        <f t="shared" si="9"/>
        <v>9.8488351426090276E-2</v>
      </c>
      <c r="AC32" s="336">
        <f t="shared" si="2"/>
        <v>1.3132157876887339E-11</v>
      </c>
      <c r="AD32" s="337">
        <f t="shared" si="3"/>
        <v>7.9499161947734294E-13</v>
      </c>
      <c r="AE32" s="308">
        <f t="shared" si="10"/>
        <v>6.0537775050399905</v>
      </c>
      <c r="AF32" s="337">
        <f t="shared" si="11"/>
        <v>1.5899832389546859E-12</v>
      </c>
      <c r="AG32" s="338">
        <f t="shared" si="23"/>
        <v>-25.05595709405814</v>
      </c>
      <c r="AH32" s="339">
        <f t="shared" si="24"/>
        <v>6.0537775050399908E-2</v>
      </c>
      <c r="AI32" s="340">
        <f t="shared" si="25"/>
        <v>0.24161030777290105</v>
      </c>
      <c r="AJ32" s="341">
        <f t="shared" si="12"/>
        <v>0.12107555010079982</v>
      </c>
    </row>
    <row r="33" spans="1:36" x14ac:dyDescent="0.2">
      <c r="A33" s="309">
        <v>26</v>
      </c>
      <c r="B33" s="309">
        <f t="shared" si="13"/>
        <v>16.783094444444448</v>
      </c>
      <c r="C33" s="1">
        <v>549.97</v>
      </c>
      <c r="D33" s="347">
        <v>10</v>
      </c>
      <c r="E33" s="326">
        <f t="shared" si="4"/>
        <v>12.148896880163282</v>
      </c>
      <c r="F33" s="327">
        <f t="shared" si="0"/>
        <v>0.14407029772792199</v>
      </c>
      <c r="G33" s="309">
        <f t="shared" si="5"/>
        <v>0.64593055555555556</v>
      </c>
      <c r="H33" s="1">
        <v>2325.35</v>
      </c>
      <c r="I33" s="324">
        <v>30</v>
      </c>
      <c r="J33" s="1">
        <v>3.1660000000000001E-2</v>
      </c>
      <c r="K33" s="1">
        <v>2.2000000000000001E-4</v>
      </c>
      <c r="L33" s="328">
        <f t="shared" si="6"/>
        <v>0.6948831332912192</v>
      </c>
      <c r="M33" s="329">
        <f t="shared" si="1"/>
        <v>8.4822277770186822E-3</v>
      </c>
      <c r="N33" s="342">
        <f>(1/$J$79)*SQRT(((1-J34/$J$79)*K33)^2+(J34/$J$79)^2*(SUMSQ(K$8:K32)+SUMSQ(K34:K$78)))</f>
        <v>1.929414751126914E-4</v>
      </c>
      <c r="O33" s="340">
        <f t="shared" si="14"/>
        <v>2.2746556704765371</v>
      </c>
      <c r="P33" s="332">
        <f t="shared" si="7"/>
        <v>0.16005315457962596</v>
      </c>
      <c r="Q33" s="342">
        <f>SQRT(((1-P33)/$J$79)^2*SUMSQ(K$8:K33)+(P33/$J$79)^2*SUMSQ(K34:K$78))</f>
        <v>3.5517380447312218E-3</v>
      </c>
      <c r="R33" s="340">
        <f t="shared" si="15"/>
        <v>2.2190990574723366</v>
      </c>
      <c r="S33" s="343">
        <f t="shared" si="16"/>
        <v>1.1326818606840013E-7</v>
      </c>
      <c r="T33" s="344">
        <f t="shared" si="17"/>
        <v>1.4613050001298765E-9</v>
      </c>
      <c r="U33" s="344">
        <f>IF(P33&lt;=0.85, (1/(3*H33*$J$79))*SQRT( ((1-P33)*(1/SQRT(1-PI()*P33/3)-1) + (1-P32)*(1-1/SQRT(1-PI()*P32/3)))^2*SUMSQ(K$8:K32) + ( (1-P33)*(1/SQRT(1-PI()*P33/3)-1) -P32*(1-1/SQRT(1-PI()*P32/3)) )^2*K33^2 + ( P33*(1-1/SQRT(1-PI()*P33/3)) - P32*(1-1/SQRT(1-PI()*P32/3)) )^2*SUMSQ(K34:K$78) ), (1/(PI()^2*H33*$J$79))*SQRT((1+P32/(1-P32))^2*K33^2+(P32/(1-P32)-P33/(1-P33))^2*SUMSQ(K34:K$78)) )</f>
        <v>5.4405190267318431E-9</v>
      </c>
      <c r="V33" s="345">
        <f t="shared" si="18"/>
        <v>5.6333524284954677E-9</v>
      </c>
      <c r="W33" s="340">
        <f t="shared" si="19"/>
        <v>4.9734639743357523</v>
      </c>
      <c r="X33" s="345">
        <f t="shared" si="20"/>
        <v>1.1266704856990935E-8</v>
      </c>
      <c r="Y33" s="338">
        <f t="shared" si="8"/>
        <v>-15.993507502089967</v>
      </c>
      <c r="Z33" s="346">
        <f t="shared" si="21"/>
        <v>4.9734639743357525E-2</v>
      </c>
      <c r="AA33" s="346">
        <f t="shared" si="22"/>
        <v>0.31096768321056784</v>
      </c>
      <c r="AB33" s="346">
        <f t="shared" si="9"/>
        <v>9.9469279486715051E-2</v>
      </c>
      <c r="AC33" s="336">
        <f t="shared" si="2"/>
        <v>1.4617214104852608E-11</v>
      </c>
      <c r="AD33" s="337">
        <f t="shared" si="3"/>
        <v>8.9073514729138035E-13</v>
      </c>
      <c r="AE33" s="308">
        <f t="shared" si="10"/>
        <v>6.0937408517240979</v>
      </c>
      <c r="AF33" s="337">
        <f t="shared" si="11"/>
        <v>1.7814702945827607E-12</v>
      </c>
      <c r="AG33" s="338">
        <f t="shared" si="23"/>
        <v>-24.94882123346823</v>
      </c>
      <c r="AH33" s="339">
        <f t="shared" si="24"/>
        <v>6.0937408517240985E-2</v>
      </c>
      <c r="AI33" s="340">
        <f t="shared" si="25"/>
        <v>0.24424964990127448</v>
      </c>
      <c r="AJ33" s="341">
        <f t="shared" si="12"/>
        <v>0.12187481703448197</v>
      </c>
    </row>
    <row r="34" spans="1:36" x14ac:dyDescent="0.2">
      <c r="A34" s="309">
        <v>27</v>
      </c>
      <c r="B34" s="309">
        <f t="shared" si="13"/>
        <v>17.430147222222224</v>
      </c>
      <c r="C34" s="1">
        <v>559.98</v>
      </c>
      <c r="D34" s="347">
        <v>10</v>
      </c>
      <c r="E34" s="326">
        <f t="shared" si="4"/>
        <v>12.002928714606364</v>
      </c>
      <c r="F34" s="327">
        <f t="shared" si="0"/>
        <v>0.14067639063293849</v>
      </c>
      <c r="G34" s="309">
        <f t="shared" si="5"/>
        <v>0.64705277777777781</v>
      </c>
      <c r="H34" s="1">
        <v>2329.39</v>
      </c>
      <c r="I34" s="324">
        <v>30</v>
      </c>
      <c r="J34" s="1">
        <v>3.0980000000000001E-2</v>
      </c>
      <c r="K34" s="1">
        <v>1.8999999999999901E-4</v>
      </c>
      <c r="L34" s="328">
        <f t="shared" si="6"/>
        <v>0.61329890251775021</v>
      </c>
      <c r="M34" s="329">
        <f t="shared" si="1"/>
        <v>8.3000447420100692E-3</v>
      </c>
      <c r="N34" s="342">
        <f>(1/$J$79)*SQRT(((1-J35/$J$79)*K34)^2+(J35/$J$79)^2*(SUMSQ(K$8:K33)+SUMSQ(K35:K$78)))</f>
        <v>2.0702910481849561E-4</v>
      </c>
      <c r="O34" s="340">
        <f t="shared" si="14"/>
        <v>2.494313118224929</v>
      </c>
      <c r="P34" s="332">
        <f t="shared" si="7"/>
        <v>0.16835319932163603</v>
      </c>
      <c r="Q34" s="342">
        <f>SQRT(((1-P34)/$J$79)^2*SUMSQ(K$8:K34)+(P34/$J$79)^2*SUMSQ(K35:K$78))</f>
        <v>3.7354082291296605E-3</v>
      </c>
      <c r="R34" s="340">
        <f t="shared" si="15"/>
        <v>2.2187925410275242</v>
      </c>
      <c r="S34" s="343">
        <f t="shared" si="16"/>
        <v>1.1751399184561731E-7</v>
      </c>
      <c r="T34" s="344">
        <f t="shared" si="17"/>
        <v>1.5134519146079093E-9</v>
      </c>
      <c r="U34" s="344">
        <f>IF(P34&lt;=0.85, (1/(3*H34*$J$79))*SQRT( ((1-P34)*(1/SQRT(1-PI()*P34/3)-1) + (1-P33)*(1-1/SQRT(1-PI()*P33/3)))^2*SUMSQ(K$8:K33) + ( (1-P34)*(1/SQRT(1-PI()*P34/3)-1) -P33*(1-1/SQRT(1-PI()*P33/3)) )^2*K34^2 + ( P34*(1-1/SQRT(1-PI()*P34/3)) - P33*(1-1/SQRT(1-PI()*P33/3)) )^2*SUMSQ(K35:K$78) ), (1/(PI()^2*H34*$J$79))*SQRT((1+P33/(1-P33))^2*K34^2+(P33/(1-P33)-P34/(1-P34))^2*SUMSQ(K35:K$78)) )</f>
        <v>5.6545467718693603E-9</v>
      </c>
      <c r="V34" s="345">
        <f t="shared" si="18"/>
        <v>5.8535831670087807E-9</v>
      </c>
      <c r="W34" s="340">
        <f t="shared" si="19"/>
        <v>4.9811797515132161</v>
      </c>
      <c r="X34" s="345">
        <f t="shared" si="20"/>
        <v>1.1707166334017561E-8</v>
      </c>
      <c r="Y34" s="338">
        <f t="shared" si="8"/>
        <v>-15.956708430914434</v>
      </c>
      <c r="Z34" s="346">
        <f t="shared" si="21"/>
        <v>4.9811797515132157E-2</v>
      </c>
      <c r="AA34" s="346">
        <f t="shared" si="22"/>
        <v>0.3121683756446102</v>
      </c>
      <c r="AB34" s="346">
        <f t="shared" si="9"/>
        <v>9.9623595030264314E-2</v>
      </c>
      <c r="AC34" s="336">
        <f t="shared" si="2"/>
        <v>1.5165133642080173E-11</v>
      </c>
      <c r="AD34" s="337">
        <f t="shared" si="3"/>
        <v>9.2507918564337763E-13</v>
      </c>
      <c r="AE34" s="308">
        <f t="shared" si="10"/>
        <v>6.1000397851850794</v>
      </c>
      <c r="AF34" s="337">
        <f t="shared" si="11"/>
        <v>1.8501583712867553E-12</v>
      </c>
      <c r="AG34" s="338">
        <f t="shared" si="23"/>
        <v>-24.912022162292697</v>
      </c>
      <c r="AH34" s="339">
        <f t="shared" si="24"/>
        <v>6.1000397851850796E-2</v>
      </c>
      <c r="AI34" s="340">
        <f t="shared" si="25"/>
        <v>0.24486329312994165</v>
      </c>
      <c r="AJ34" s="341">
        <f t="shared" si="12"/>
        <v>0.12200079570370159</v>
      </c>
    </row>
    <row r="35" spans="1:36" x14ac:dyDescent="0.2">
      <c r="A35" s="309">
        <v>28</v>
      </c>
      <c r="B35" s="309">
        <f t="shared" si="13"/>
        <v>18.074961111111115</v>
      </c>
      <c r="C35" s="1">
        <v>569.97</v>
      </c>
      <c r="D35" s="347">
        <v>10</v>
      </c>
      <c r="E35" s="326">
        <f t="shared" si="4"/>
        <v>11.860707847044312</v>
      </c>
      <c r="F35" s="327">
        <f t="shared" si="0"/>
        <v>0.13739779187107354</v>
      </c>
      <c r="G35" s="309">
        <f t="shared" si="5"/>
        <v>0.64481388888888891</v>
      </c>
      <c r="H35" s="1">
        <v>2321.33</v>
      </c>
      <c r="I35" s="324">
        <v>30</v>
      </c>
      <c r="J35" s="1">
        <v>3.3829999999999999E-2</v>
      </c>
      <c r="K35" s="1">
        <v>2.0000000000000001E-4</v>
      </c>
      <c r="L35" s="328">
        <f t="shared" si="6"/>
        <v>0.5911912503694946</v>
      </c>
      <c r="M35" s="329">
        <f t="shared" si="1"/>
        <v>9.0636059916785229E-3</v>
      </c>
      <c r="N35" s="342">
        <f>(1/$J$79)*SQRT(((1-J36/$J$79)*K35)^2+(J36/$J$79)^2*(SUMSQ(K$8:K34)+SUMSQ(K36:K$78)))</f>
        <v>2.1228288687909794E-4</v>
      </c>
      <c r="O35" s="340">
        <f t="shared" si="14"/>
        <v>2.3421460186376049</v>
      </c>
      <c r="P35" s="332">
        <f t="shared" si="7"/>
        <v>0.17741680531331455</v>
      </c>
      <c r="Q35" s="342">
        <f>SQRT(((1-P35)/$J$79)^2*SUMSQ(K$8:K35)+(P35/$J$79)^2*SUMSQ(K36:K$78))</f>
        <v>3.9359878792421784E-3</v>
      </c>
      <c r="R35" s="340">
        <f t="shared" si="15"/>
        <v>2.2184977755017639</v>
      </c>
      <c r="S35" s="343">
        <f t="shared" si="16"/>
        <v>1.3668841838122499E-7</v>
      </c>
      <c r="T35" s="344">
        <f t="shared" si="17"/>
        <v>1.7665099539646466E-9</v>
      </c>
      <c r="U35" s="344">
        <f>IF(P35&lt;=0.85, (1/(3*H35*$J$79))*SQRT( ((1-P35)*(1/SQRT(1-PI()*P35/3)-1) + (1-P34)*(1-1/SQRT(1-PI()*P34/3)))^2*SUMSQ(K$8:K34) + ( (1-P35)*(1/SQRT(1-PI()*P35/3)-1) -P34*(1-1/SQRT(1-PI()*P34/3)) )^2*K35^2 + ( P35*(1-1/SQRT(1-PI()*P35/3)) - P34*(1-1/SQRT(1-PI()*P34/3)) )^2*SUMSQ(K36:K$78) ), (1/(PI()^2*H35*$J$79))*SQRT((1+P34/(1-P34))^2*K35^2+(P34/(1-P34)-P35/(1-P35))^2*SUMSQ(K36:K$78)) )</f>
        <v>6.60237349358044E-9</v>
      </c>
      <c r="V35" s="345">
        <f t="shared" si="18"/>
        <v>6.8346099498208205E-9</v>
      </c>
      <c r="W35" s="340">
        <f t="shared" si="19"/>
        <v>5.0001382931793419</v>
      </c>
      <c r="X35" s="345">
        <f t="shared" si="20"/>
        <v>1.3669219899641641E-8</v>
      </c>
      <c r="Y35" s="338">
        <f t="shared" si="8"/>
        <v>-15.805561819693587</v>
      </c>
      <c r="Z35" s="346">
        <f t="shared" si="21"/>
        <v>5.0001382931793417E-2</v>
      </c>
      <c r="AA35" s="346">
        <f t="shared" si="22"/>
        <v>0.31635308824955621</v>
      </c>
      <c r="AB35" s="346">
        <f t="shared" si="9"/>
        <v>0.10000276586358683</v>
      </c>
      <c r="AC35" s="336">
        <f t="shared" si="2"/>
        <v>1.7639585716729731E-11</v>
      </c>
      <c r="AD35" s="337">
        <f t="shared" si="3"/>
        <v>1.078754292438708E-12</v>
      </c>
      <c r="AE35" s="308">
        <f t="shared" si="10"/>
        <v>6.1155307713128213</v>
      </c>
      <c r="AF35" s="337">
        <f t="shared" si="11"/>
        <v>2.1575085848774159E-12</v>
      </c>
      <c r="AG35" s="338">
        <f t="shared" si="23"/>
        <v>-24.760875551071852</v>
      </c>
      <c r="AH35" s="339">
        <f t="shared" si="24"/>
        <v>6.1155307713128215E-2</v>
      </c>
      <c r="AI35" s="340">
        <f t="shared" si="25"/>
        <v>0.24698362376964056</v>
      </c>
      <c r="AJ35" s="341">
        <f t="shared" si="12"/>
        <v>0.12231061542625643</v>
      </c>
    </row>
    <row r="36" spans="1:36" x14ac:dyDescent="0.2">
      <c r="A36" s="309">
        <v>29</v>
      </c>
      <c r="B36" s="309">
        <f t="shared" si="13"/>
        <v>18.720894444444447</v>
      </c>
      <c r="C36" s="1">
        <v>579.97</v>
      </c>
      <c r="D36" s="347">
        <v>2</v>
      </c>
      <c r="E36" s="326">
        <f t="shared" si="4"/>
        <v>11.721680420105026</v>
      </c>
      <c r="F36" s="327">
        <f t="shared" si="0"/>
        <v>2.6846497594326158E-2</v>
      </c>
      <c r="G36" s="309">
        <f t="shared" si="5"/>
        <v>0.64593333333333336</v>
      </c>
      <c r="H36" s="1">
        <v>2325.36</v>
      </c>
      <c r="I36" s="324">
        <v>30</v>
      </c>
      <c r="J36" s="1">
        <v>3.4630000000000001E-2</v>
      </c>
      <c r="K36" s="1">
        <v>1.6999999999999901E-4</v>
      </c>
      <c r="L36" s="328">
        <f t="shared" si="6"/>
        <v>0.49090384060063241</v>
      </c>
      <c r="M36" s="329">
        <f t="shared" si="1"/>
        <v>9.2779389740415986E-3</v>
      </c>
      <c r="N36" s="342">
        <f>(1/$J$79)*SQRT(((1-J37/$J$79)*K36)^2+(J37/$J$79)^2*(SUMSQ(K$8:K35)+SUMSQ(K37:K$78)))</f>
        <v>2.236057649139753E-4</v>
      </c>
      <c r="O36" s="340">
        <f t="shared" si="14"/>
        <v>2.4100801432257053</v>
      </c>
      <c r="P36" s="332">
        <f t="shared" si="7"/>
        <v>0.18669474428735616</v>
      </c>
      <c r="Q36" s="342">
        <f>SQRT(((1-P36)/$J$79)^2*SUMSQ(K$8:K36)+(P36/$J$79)^2*SUMSQ(K37:K$78))</f>
        <v>4.1412534946556013E-3</v>
      </c>
      <c r="R36" s="340">
        <f t="shared" si="15"/>
        <v>2.2181950062190725</v>
      </c>
      <c r="S36" s="343">
        <f t="shared" si="16"/>
        <v>1.4837227489919667E-7</v>
      </c>
      <c r="T36" s="344">
        <f t="shared" si="17"/>
        <v>1.9141845765713234E-9</v>
      </c>
      <c r="U36" s="344">
        <f>IF(P36&lt;=0.85, (1/(3*H36*$J$79))*SQRT( ((1-P36)*(1/SQRT(1-PI()*P36/3)-1) + (1-P35)*(1-1/SQRT(1-PI()*P35/3)))^2*SUMSQ(K$8:K35) + ( (1-P36)*(1/SQRT(1-PI()*P36/3)-1) -P35*(1-1/SQRT(1-PI()*P35/3)) )^2*K36^2 + ( P36*(1-1/SQRT(1-PI()*P36/3)) - P35*(1-1/SQRT(1-PI()*P35/3)) )^2*SUMSQ(K37:K$78) ), (1/(PI()^2*H36*$J$79))*SQRT((1+P35/(1-P35))^2*K36^2+(P35/(1-P35)-P36/(1-P36))^2*SUMSQ(K37:K$78)) )</f>
        <v>7.1837651741442395E-9</v>
      </c>
      <c r="V36" s="345">
        <f t="shared" si="18"/>
        <v>7.4344189194873298E-9</v>
      </c>
      <c r="W36" s="340">
        <f t="shared" si="19"/>
        <v>5.0106523772977365</v>
      </c>
      <c r="X36" s="345">
        <f t="shared" si="20"/>
        <v>1.486883783897466E-8</v>
      </c>
      <c r="Y36" s="338">
        <f t="shared" si="8"/>
        <v>-15.723541350492257</v>
      </c>
      <c r="Z36" s="346">
        <f t="shared" si="21"/>
        <v>5.0106523772977363E-2</v>
      </c>
      <c r="AA36" s="346">
        <f t="shared" si="22"/>
        <v>0.31867200051220446</v>
      </c>
      <c r="AB36" s="346">
        <f t="shared" si="9"/>
        <v>0.10021304754595473</v>
      </c>
      <c r="AC36" s="336">
        <f t="shared" si="2"/>
        <v>1.9147382726831368E-11</v>
      </c>
      <c r="AD36" s="337">
        <f t="shared" si="3"/>
        <v>1.1726106512650845E-12</v>
      </c>
      <c r="AE36" s="308">
        <f t="shared" si="10"/>
        <v>6.1241302166164804</v>
      </c>
      <c r="AF36" s="337">
        <f t="shared" si="11"/>
        <v>2.3452213025301689E-12</v>
      </c>
      <c r="AG36" s="338">
        <f t="shared" si="23"/>
        <v>-24.67885508187052</v>
      </c>
      <c r="AH36" s="339">
        <f t="shared" si="24"/>
        <v>6.1241302166164802E-2</v>
      </c>
      <c r="AI36" s="340">
        <f t="shared" si="25"/>
        <v>0.24815293077008921</v>
      </c>
      <c r="AJ36" s="341">
        <f t="shared" si="12"/>
        <v>0.1224826043323296</v>
      </c>
    </row>
    <row r="37" spans="1:36" x14ac:dyDescent="0.2">
      <c r="A37" s="309">
        <v>30</v>
      </c>
      <c r="B37" s="309">
        <f t="shared" si="13"/>
        <v>19.367936111111113</v>
      </c>
      <c r="C37" s="1">
        <v>589.97</v>
      </c>
      <c r="D37" s="347">
        <v>2</v>
      </c>
      <c r="E37" s="326">
        <f t="shared" si="4"/>
        <v>11.585874501807396</v>
      </c>
      <c r="F37" s="327">
        <f t="shared" si="0"/>
        <v>2.6235063685638084E-2</v>
      </c>
      <c r="G37" s="309">
        <f t="shared" si="5"/>
        <v>0.64704166666666663</v>
      </c>
      <c r="H37" s="1">
        <v>2329.35</v>
      </c>
      <c r="I37" s="324">
        <v>30</v>
      </c>
      <c r="J37" s="1">
        <v>3.6900000000000002E-2</v>
      </c>
      <c r="K37" s="1">
        <v>1.8999999999999901E-4</v>
      </c>
      <c r="L37" s="328">
        <f t="shared" si="6"/>
        <v>0.51490514905148776</v>
      </c>
      <c r="M37" s="329">
        <f t="shared" si="1"/>
        <v>9.8861088114968222E-3</v>
      </c>
      <c r="N37" s="342">
        <f>(1/$J$79)*SQRT(((1-J38/$J$79)*K37)^2+(J38/$J$79)^2*(SUMSQ(K$8:K36)+SUMSQ(K38:K$78)))</f>
        <v>2.5210196403688956E-4</v>
      </c>
      <c r="O37" s="340">
        <f t="shared" si="14"/>
        <v>2.5500626064697305</v>
      </c>
      <c r="P37" s="332">
        <f t="shared" si="7"/>
        <v>0.19658085309885298</v>
      </c>
      <c r="Q37" s="342">
        <f>SQRT(((1-P37)/$J$79)^2*SUMSQ(K$8:K37)+(P37/$J$79)^2*SUMSQ(K38:K$78))</f>
        <v>4.3600193893906531E-3</v>
      </c>
      <c r="R37" s="340">
        <f t="shared" si="15"/>
        <v>2.2179267821155331</v>
      </c>
      <c r="S37" s="343">
        <f t="shared" si="16"/>
        <v>1.6766817137539757E-7</v>
      </c>
      <c r="T37" s="344">
        <f t="shared" si="17"/>
        <v>2.1594200705183574E-9</v>
      </c>
      <c r="U37" s="344">
        <f>IF(P37&lt;=0.85, (1/(3*H37*$J$79))*SQRT( ((1-P37)*(1/SQRT(1-PI()*P37/3)-1) + (1-P36)*(1-1/SQRT(1-PI()*P36/3)))^2*SUMSQ(K$8:K36) + ( (1-P37)*(1/SQRT(1-PI()*P37/3)-1) -P36*(1-1/SQRT(1-PI()*P36/3)) )^2*K37^2 + ( P37*(1-1/SQRT(1-PI()*P37/3)) - P36*(1-1/SQRT(1-PI()*P36/3)) )^2*SUMSQ(K38:K$78) ), (1/(PI()^2*H37*$J$79))*SQRT((1+P36/(1-P36))^2*K37^2+(P36/(1-P36)-P37/(1-P37))^2*SUMSQ(K38:K$78)) )</f>
        <v>8.1634767446308325E-9</v>
      </c>
      <c r="V37" s="345">
        <f t="shared" si="18"/>
        <v>8.4442553017472136E-9</v>
      </c>
      <c r="W37" s="340">
        <f t="shared" si="19"/>
        <v>5.0362899723174674</v>
      </c>
      <c r="X37" s="345">
        <f t="shared" si="20"/>
        <v>1.6888510603494427E-8</v>
      </c>
      <c r="Y37" s="338">
        <f t="shared" si="8"/>
        <v>-15.601278981149102</v>
      </c>
      <c r="Z37" s="346">
        <f t="shared" si="21"/>
        <v>5.0362899723174676E-2</v>
      </c>
      <c r="AA37" s="346">
        <f t="shared" si="22"/>
        <v>0.32281263468224464</v>
      </c>
      <c r="AB37" s="346">
        <f t="shared" si="9"/>
        <v>0.10072579944634935</v>
      </c>
      <c r="AC37" s="336">
        <f t="shared" si="2"/>
        <v>2.1637510448726505E-11</v>
      </c>
      <c r="AD37" s="337">
        <f t="shared" si="3"/>
        <v>1.329651871774333E-12</v>
      </c>
      <c r="AE37" s="308">
        <f t="shared" si="10"/>
        <v>6.1451241117833444</v>
      </c>
      <c r="AF37" s="337">
        <f t="shared" si="11"/>
        <v>2.6593037435486661E-12</v>
      </c>
      <c r="AG37" s="338">
        <f t="shared" si="23"/>
        <v>-24.556592712527365</v>
      </c>
      <c r="AH37" s="339">
        <f t="shared" si="24"/>
        <v>6.1451241117833448E-2</v>
      </c>
      <c r="AI37" s="340">
        <f t="shared" si="25"/>
        <v>0.25024335353529953</v>
      </c>
      <c r="AJ37" s="341">
        <f t="shared" si="12"/>
        <v>0.1229024822356669</v>
      </c>
    </row>
    <row r="38" spans="1:36" x14ac:dyDescent="0.2">
      <c r="A38" s="309">
        <v>31</v>
      </c>
      <c r="B38" s="309">
        <f t="shared" si="13"/>
        <v>20.013308333333335</v>
      </c>
      <c r="C38" s="1">
        <v>599.97</v>
      </c>
      <c r="D38" s="347">
        <v>2</v>
      </c>
      <c r="E38" s="326">
        <f t="shared" si="4"/>
        <v>11.453179402602162</v>
      </c>
      <c r="F38" s="327">
        <f t="shared" si="0"/>
        <v>2.6536916726352309E-2</v>
      </c>
      <c r="G38" s="309">
        <f t="shared" si="5"/>
        <v>0.64537222222222235</v>
      </c>
      <c r="H38" s="1">
        <v>2323.34</v>
      </c>
      <c r="I38" s="324">
        <v>30</v>
      </c>
      <c r="J38" s="1">
        <v>4.1619999999999997E-2</v>
      </c>
      <c r="K38" s="1">
        <v>2.7E-4</v>
      </c>
      <c r="L38" s="328">
        <f t="shared" si="6"/>
        <v>0.64872657376261411</v>
      </c>
      <c r="M38" s="329">
        <f t="shared" si="1"/>
        <v>1.1150673407438963E-2</v>
      </c>
      <c r="N38" s="342">
        <f>(1/$J$79)*SQRT(((1-J39/$J$79)*K38)^2+(J39/$J$79)^2*(SUMSQ(K$8:K37)+SUMSQ(K39:K$78)))</f>
        <v>2.8864517221294066E-4</v>
      </c>
      <c r="O38" s="340">
        <f t="shared" si="14"/>
        <v>2.5885896005202378</v>
      </c>
      <c r="P38" s="332">
        <f t="shared" si="7"/>
        <v>0.20773152650629195</v>
      </c>
      <c r="Q38" s="342">
        <f>SQRT(((1-P38)/$J$79)^2*SUMSQ(K$8:K38)+(P38/$J$79)^2*SUMSQ(K39:K$78))</f>
        <v>4.6069295880355509E-3</v>
      </c>
      <c r="R38" s="340">
        <f t="shared" si="15"/>
        <v>2.2177325057571426</v>
      </c>
      <c r="S38" s="343">
        <f t="shared" si="16"/>
        <v>2.0206547516643025E-7</v>
      </c>
      <c r="T38" s="344">
        <f t="shared" si="17"/>
        <v>2.6091593374163531E-9</v>
      </c>
      <c r="U38" s="344">
        <f>IF(P38&lt;=0.85, (1/(3*H38*$J$79))*SQRT( ((1-P38)*(1/SQRT(1-PI()*P38/3)-1) + (1-P37)*(1-1/SQRT(1-PI()*P37/3)))^2*SUMSQ(K$8:K37) + ( (1-P38)*(1/SQRT(1-PI()*P38/3)-1) -P37*(1-1/SQRT(1-PI()*P37/3)) )^2*K38^2 + ( P38*(1-1/SQRT(1-PI()*P38/3)) - P37*(1-1/SQRT(1-PI()*P37/3)) )^2*SUMSQ(K39:K$78) ), (1/(PI()^2*H38*$J$79))*SQRT((1+P37/(1-P37))^2*K38^2+(P37/(1-P37)-P38/(1-P38))^2*SUMSQ(K39:K$78)) )</f>
        <v>9.9268296836551713E-9</v>
      </c>
      <c r="V38" s="345">
        <f t="shared" si="18"/>
        <v>1.0263998247092815E-8</v>
      </c>
      <c r="W38" s="340">
        <f t="shared" si="19"/>
        <v>5.079540796684304</v>
      </c>
      <c r="X38" s="345">
        <f t="shared" si="20"/>
        <v>2.0527996494185629E-8</v>
      </c>
      <c r="Y38" s="338">
        <f t="shared" si="8"/>
        <v>-15.414674057578162</v>
      </c>
      <c r="Z38" s="346">
        <f t="shared" si="21"/>
        <v>5.0795407966843037E-2</v>
      </c>
      <c r="AA38" s="346">
        <f t="shared" si="22"/>
        <v>0.32952631873439453</v>
      </c>
      <c r="AB38" s="346">
        <f t="shared" si="9"/>
        <v>0.10159081593368607</v>
      </c>
      <c r="AC38" s="336">
        <f t="shared" si="2"/>
        <v>2.6076468744037754E-11</v>
      </c>
      <c r="AD38" s="337">
        <f t="shared" si="3"/>
        <v>1.6116875434234201E-12</v>
      </c>
      <c r="AE38" s="308">
        <f t="shared" si="10"/>
        <v>6.1806203870757006</v>
      </c>
      <c r="AF38" s="337">
        <f t="shared" si="11"/>
        <v>3.2233750868468403E-12</v>
      </c>
      <c r="AG38" s="338">
        <f t="shared" si="23"/>
        <v>-24.369987788956426</v>
      </c>
      <c r="AH38" s="339">
        <f t="shared" si="24"/>
        <v>6.1806203870756998E-2</v>
      </c>
      <c r="AI38" s="340">
        <f t="shared" si="25"/>
        <v>0.25361606417695981</v>
      </c>
      <c r="AJ38" s="341">
        <f t="shared" si="12"/>
        <v>0.123612407741514</v>
      </c>
    </row>
    <row r="39" spans="1:36" x14ac:dyDescent="0.2">
      <c r="A39" s="309">
        <v>32</v>
      </c>
      <c r="B39" s="309">
        <f t="shared" si="13"/>
        <v>21.660347222222224</v>
      </c>
      <c r="C39" s="1">
        <v>594.99</v>
      </c>
      <c r="D39" s="347">
        <v>2</v>
      </c>
      <c r="E39" s="326">
        <f t="shared" si="4"/>
        <v>11.518879443407746</v>
      </c>
      <c r="F39" s="327">
        <f t="shared" si="0"/>
        <v>2.7158995537130106E-2</v>
      </c>
      <c r="G39" s="309">
        <f t="shared" si="5"/>
        <v>1.6470388888888889</v>
      </c>
      <c r="H39" s="1">
        <v>5929.34</v>
      </c>
      <c r="I39" s="324">
        <v>30</v>
      </c>
      <c r="J39" s="1">
        <v>4.7120000000000002E-2</v>
      </c>
      <c r="K39" s="1">
        <v>2.1000000000000001E-4</v>
      </c>
      <c r="L39" s="328">
        <f t="shared" si="6"/>
        <v>0.44567062818336156</v>
      </c>
      <c r="M39" s="329">
        <f t="shared" si="1"/>
        <v>1.2624212661185102E-2</v>
      </c>
      <c r="N39" s="342">
        <f>(1/$J$79)*SQRT(((1-J40/$J$79)*K39)^2+(J40/$J$79)^2*(SUMSQ(K$8:K38)+SUMSQ(K40:K$78)))</f>
        <v>1.8705218502814802E-4</v>
      </c>
      <c r="O39" s="340">
        <f t="shared" si="14"/>
        <v>1.4816938691413681</v>
      </c>
      <c r="P39" s="332">
        <f t="shared" si="7"/>
        <v>0.22035573916747705</v>
      </c>
      <c r="Q39" s="342">
        <f>SQRT(((1-P39)/$J$79)^2*SUMSQ(K$8:K39)+(P39/$J$79)^2*SUMSQ(K40:K$78))</f>
        <v>4.8862959298438145E-3</v>
      </c>
      <c r="R39" s="340">
        <f t="shared" si="15"/>
        <v>2.217457983306748</v>
      </c>
      <c r="S39" s="343">
        <f t="shared" si="16"/>
        <v>9.6028934802486258E-8</v>
      </c>
      <c r="T39" s="344">
        <f t="shared" si="17"/>
        <v>4.8586656256422968E-10</v>
      </c>
      <c r="U39" s="344">
        <f>IF(P39&lt;=0.85, (1/(3*H39*$J$79))*SQRT( ((1-P39)*(1/SQRT(1-PI()*P39/3)-1) + (1-P38)*(1-1/SQRT(1-PI()*P38/3)))^2*SUMSQ(K$8:K38) + ( (1-P39)*(1/SQRT(1-PI()*P39/3)-1) -P38*(1-1/SQRT(1-PI()*P38/3)) )^2*K39^2 + ( P39*(1-1/SQRT(1-PI()*P39/3)) - P38*(1-1/SQRT(1-PI()*P38/3)) )^2*SUMSQ(K40:K$78) ), (1/(PI()^2*H39*$J$79))*SQRT((1+P38/(1-P38))^2*K39^2+(P38/(1-P38)-P39/(1-P39))^2*SUMSQ(K40:K$78)) )</f>
        <v>4.7264600707957175E-9</v>
      </c>
      <c r="V39" s="345">
        <f t="shared" si="18"/>
        <v>4.7513672892594017E-9</v>
      </c>
      <c r="W39" s="340">
        <f t="shared" si="19"/>
        <v>4.9478496236911145</v>
      </c>
      <c r="X39" s="345">
        <f t="shared" si="20"/>
        <v>9.5027345785188033E-9</v>
      </c>
      <c r="Y39" s="338">
        <f t="shared" si="8"/>
        <v>-16.158616286699129</v>
      </c>
      <c r="Z39" s="346">
        <f t="shared" si="21"/>
        <v>4.947849623691114E-2</v>
      </c>
      <c r="AA39" s="346">
        <f t="shared" si="22"/>
        <v>0.3062050324051514</v>
      </c>
      <c r="AB39" s="346">
        <f t="shared" si="9"/>
        <v>9.8956992473822281E-2</v>
      </c>
      <c r="AC39" s="336">
        <f t="shared" si="2"/>
        <v>1.2392495624686929E-11</v>
      </c>
      <c r="AD39" s="337">
        <f t="shared" si="3"/>
        <v>7.5257810356849111E-13</v>
      </c>
      <c r="AE39" s="308">
        <f t="shared" si="10"/>
        <v>6.0728534942492942</v>
      </c>
      <c r="AF39" s="337">
        <f t="shared" si="11"/>
        <v>1.5051562071369822E-12</v>
      </c>
      <c r="AG39" s="338">
        <f t="shared" si="23"/>
        <v>-25.113930018077394</v>
      </c>
      <c r="AH39" s="339">
        <f t="shared" si="24"/>
        <v>6.0728534942492945E-2</v>
      </c>
      <c r="AI39" s="340">
        <f t="shared" si="25"/>
        <v>0.24181215325032607</v>
      </c>
      <c r="AJ39" s="341">
        <f t="shared" si="12"/>
        <v>0.12145706988498589</v>
      </c>
    </row>
    <row r="40" spans="1:36" x14ac:dyDescent="0.2">
      <c r="A40" s="309">
        <v>33</v>
      </c>
      <c r="B40" s="309">
        <f t="shared" si="13"/>
        <v>23.307941666666668</v>
      </c>
      <c r="C40" s="1">
        <v>584.99</v>
      </c>
      <c r="D40" s="347">
        <v>2</v>
      </c>
      <c r="E40" s="326">
        <f t="shared" si="4"/>
        <v>11.653110215116415</v>
      </c>
      <c r="F40" s="327">
        <f t="shared" si="0"/>
        <v>2.7803207688211498E-2</v>
      </c>
      <c r="G40" s="309">
        <f t="shared" si="5"/>
        <v>1.6475944444444444</v>
      </c>
      <c r="H40" s="1">
        <v>5931.34</v>
      </c>
      <c r="I40" s="324">
        <v>30</v>
      </c>
      <c r="J40" s="1">
        <v>3.0079999999999999E-2</v>
      </c>
      <c r="K40" s="1">
        <v>1.4999999999999999E-4</v>
      </c>
      <c r="L40" s="328">
        <f t="shared" si="6"/>
        <v>0.49867021276595741</v>
      </c>
      <c r="M40" s="329">
        <f t="shared" si="1"/>
        <v>8.0589201368516106E-3</v>
      </c>
      <c r="N40" s="342">
        <f>(1/$J$79)*SQRT(((1-J41/$J$79)*K40)^2+(J41/$J$79)^2*(SUMSQ(K$8:K39)+SUMSQ(K41:K$78)))</f>
        <v>1.1274324416677432E-4</v>
      </c>
      <c r="O40" s="340">
        <f t="shared" si="14"/>
        <v>1.3989869889791449</v>
      </c>
      <c r="P40" s="332">
        <f t="shared" si="7"/>
        <v>0.22841465930432867</v>
      </c>
      <c r="Q40" s="342">
        <f>SQRT(((1-P40)/$J$79)^2*SUMSQ(K$8:K40)+(P40/$J$79)^2*SUMSQ(K41:K$78))</f>
        <v>5.0646225900263728E-3</v>
      </c>
      <c r="R40" s="340">
        <f t="shared" si="15"/>
        <v>2.2172931481068008</v>
      </c>
      <c r="S40" s="343">
        <f t="shared" si="16"/>
        <v>6.4905185024137918E-8</v>
      </c>
      <c r="T40" s="344">
        <f t="shared" si="17"/>
        <v>3.2828257201983692E-10</v>
      </c>
      <c r="U40" s="344">
        <f>IF(P40&lt;=0.85, (1/(3*H40*$J$79))*SQRT( ((1-P40)*(1/SQRT(1-PI()*P40/3)-1) + (1-P39)*(1-1/SQRT(1-PI()*P39/3)))^2*SUMSQ(K$8:K39) + ( (1-P40)*(1/SQRT(1-PI()*P40/3)-1) -P39*(1-1/SQRT(1-PI()*P39/3)) )^2*K40^2 + ( P40*(1-1/SQRT(1-PI()*P40/3)) - P39*(1-1/SQRT(1-PI()*P39/3)) )^2*SUMSQ(K41:K$78) ), (1/(PI()^2*H40*$J$79))*SQRT((1+P39/(1-P39))^2*K40^2+(P39/(1-P39)-P40/(1-P40))^2*SUMSQ(K41:K$78)) )</f>
        <v>3.2164182698675637E-9</v>
      </c>
      <c r="V40" s="345">
        <f t="shared" si="18"/>
        <v>3.2331278870205259E-9</v>
      </c>
      <c r="W40" s="340">
        <f t="shared" si="19"/>
        <v>4.9813090985229325</v>
      </c>
      <c r="X40" s="345">
        <f t="shared" si="20"/>
        <v>6.4662557740410519E-9</v>
      </c>
      <c r="Y40" s="338">
        <f t="shared" si="8"/>
        <v>-16.550338323913923</v>
      </c>
      <c r="Z40" s="346">
        <f t="shared" si="21"/>
        <v>4.9813090985229326E-2</v>
      </c>
      <c r="AA40" s="346">
        <f t="shared" si="22"/>
        <v>0.30097929124055045</v>
      </c>
      <c r="AB40" s="346">
        <f t="shared" si="9"/>
        <v>9.9626181970458652E-2</v>
      </c>
      <c r="AC40" s="336">
        <f t="shared" si="2"/>
        <v>8.3759881652909881E-12</v>
      </c>
      <c r="AD40" s="337">
        <f t="shared" si="3"/>
        <v>5.109474574412654E-13</v>
      </c>
      <c r="AE40" s="308">
        <f t="shared" si="10"/>
        <v>6.1001454080196247</v>
      </c>
      <c r="AF40" s="337">
        <f t="shared" si="11"/>
        <v>1.0218949148825308E-12</v>
      </c>
      <c r="AG40" s="338">
        <f t="shared" si="23"/>
        <v>-25.505652055292185</v>
      </c>
      <c r="AH40" s="339">
        <f t="shared" si="24"/>
        <v>6.1001454080196242E-2</v>
      </c>
      <c r="AI40" s="340">
        <f t="shared" si="25"/>
        <v>0.2391683770638556</v>
      </c>
      <c r="AJ40" s="341">
        <f t="shared" si="12"/>
        <v>0.12200290816039248</v>
      </c>
    </row>
    <row r="41" spans="1:36" x14ac:dyDescent="0.2">
      <c r="A41" s="309">
        <v>34</v>
      </c>
      <c r="B41" s="309">
        <f t="shared" si="13"/>
        <v>24.953872222222223</v>
      </c>
      <c r="C41" s="1">
        <v>574.99</v>
      </c>
      <c r="D41" s="347">
        <v>2</v>
      </c>
      <c r="E41" s="326">
        <f t="shared" si="4"/>
        <v>11.79050628433985</v>
      </c>
      <c r="F41" s="327">
        <f t="shared" si="0"/>
        <v>2.8470615764168903E-2</v>
      </c>
      <c r="G41" s="309">
        <f t="shared" si="5"/>
        <v>1.6459305555555557</v>
      </c>
      <c r="H41" s="1">
        <v>5925.35</v>
      </c>
      <c r="I41" s="324">
        <v>30</v>
      </c>
      <c r="J41" s="1">
        <v>1.7759999999999901E-2</v>
      </c>
      <c r="K41" s="1">
        <v>1.6000000000000001E-4</v>
      </c>
      <c r="L41" s="328">
        <f t="shared" si="6"/>
        <v>0.90090090090090591</v>
      </c>
      <c r="M41" s="329">
        <f t="shared" si="1"/>
        <v>4.7581922084602331E-3</v>
      </c>
      <c r="N41" s="342">
        <f>(1/$J$79)*SQRT(((1-J42/$J$79)*K41)^2+(J42/$J$79)^2*(SUMSQ(K$8:K40)+SUMSQ(K42:K$78)))</f>
        <v>8.3158857477924175E-5</v>
      </c>
      <c r="O41" s="340">
        <f t="shared" si="14"/>
        <v>1.7476985761538764</v>
      </c>
      <c r="P41" s="332">
        <f t="shared" si="7"/>
        <v>0.23317285151278891</v>
      </c>
      <c r="Q41" s="342">
        <f>SQRT(((1-P41)/$J$79)^2*SUMSQ(K$8:K41)+(P41/$J$79)^2*SUMSQ(K42:K$78))</f>
        <v>5.1699611547911025E-3</v>
      </c>
      <c r="R41" s="340">
        <f t="shared" si="15"/>
        <v>2.2172225974204136</v>
      </c>
      <c r="S41" s="343">
        <f t="shared" si="16"/>
        <v>3.9710874929967958E-8</v>
      </c>
      <c r="T41" s="344">
        <f t="shared" si="17"/>
        <v>2.0105584444784515E-10</v>
      </c>
      <c r="U41" s="344">
        <f>IF(P41&lt;=0.85, (1/(3*H41*$J$79))*SQRT( ((1-P41)*(1/SQRT(1-PI()*P41/3)-1) + (1-P40)*(1-1/SQRT(1-PI()*P40/3)))^2*SUMSQ(K$8:K40) + ( (1-P41)*(1/SQRT(1-PI()*P41/3)-1) -P40*(1-1/SQRT(1-PI()*P40/3)) )^2*K41^2 + ( P41*(1-1/SQRT(1-PI()*P41/3)) - P40*(1-1/SQRT(1-PI()*P40/3)) )^2*SUMSQ(K42:K$78) ), (1/(PI()^2*H41*$J$79))*SQRT((1+P40/(1-P40))^2*K41^2+(P40/(1-P40)-P41/(1-P41))^2*SUMSQ(K42:K$78)) )</f>
        <v>1.9975190362945835E-9</v>
      </c>
      <c r="V41" s="345">
        <f t="shared" si="18"/>
        <v>2.0076119527801876E-9</v>
      </c>
      <c r="W41" s="340">
        <f t="shared" si="19"/>
        <v>5.0555721985997737</v>
      </c>
      <c r="X41" s="345">
        <f t="shared" si="20"/>
        <v>4.0152239055603752E-9</v>
      </c>
      <c r="Y41" s="338">
        <f t="shared" si="8"/>
        <v>-17.041640759057611</v>
      </c>
      <c r="Z41" s="346">
        <f t="shared" si="21"/>
        <v>5.055572198599774E-2</v>
      </c>
      <c r="AA41" s="346">
        <f t="shared" si="22"/>
        <v>0.29665994431391496</v>
      </c>
      <c r="AB41" s="346">
        <f t="shared" si="9"/>
        <v>0.10111144397199548</v>
      </c>
      <c r="AC41" s="336">
        <f t="shared" si="2"/>
        <v>5.1246725253623932E-12</v>
      </c>
      <c r="AD41" s="337">
        <f t="shared" si="3"/>
        <v>3.1572784242184619E-13</v>
      </c>
      <c r="AE41" s="308">
        <f t="shared" si="10"/>
        <v>6.1609369351755676</v>
      </c>
      <c r="AF41" s="337">
        <f t="shared" si="11"/>
        <v>6.3145568484369238E-13</v>
      </c>
      <c r="AG41" s="338">
        <f t="shared" si="23"/>
        <v>-25.996954490435872</v>
      </c>
      <c r="AH41" s="339">
        <f t="shared" si="24"/>
        <v>6.1609369351755677E-2</v>
      </c>
      <c r="AI41" s="340">
        <f t="shared" si="25"/>
        <v>0.23698687234468716</v>
      </c>
      <c r="AJ41" s="341">
        <f t="shared" si="12"/>
        <v>0.12321873870351135</v>
      </c>
    </row>
    <row r="42" spans="1:36" x14ac:dyDescent="0.2">
      <c r="A42" s="309">
        <v>35</v>
      </c>
      <c r="B42" s="309">
        <f t="shared" si="13"/>
        <v>26.599255555555558</v>
      </c>
      <c r="C42" s="1">
        <v>564.99</v>
      </c>
      <c r="D42" s="347">
        <v>2</v>
      </c>
      <c r="E42" s="326">
        <f t="shared" si="4"/>
        <v>11.931180948290262</v>
      </c>
      <c r="F42" s="327">
        <f t="shared" si="0"/>
        <v>2.9162346889535246E-2</v>
      </c>
      <c r="G42" s="309">
        <f t="shared" si="5"/>
        <v>1.6453833333333334</v>
      </c>
      <c r="H42" s="1">
        <v>5923.38</v>
      </c>
      <c r="I42" s="324">
        <v>30</v>
      </c>
      <c r="J42" s="1">
        <v>1.2019999999999999E-2</v>
      </c>
      <c r="K42" s="1">
        <v>1.3999999999999999E-4</v>
      </c>
      <c r="L42" s="328">
        <f t="shared" si="6"/>
        <v>1.1647254575707155</v>
      </c>
      <c r="M42" s="329">
        <f t="shared" si="1"/>
        <v>3.2203530600051979E-3</v>
      </c>
      <c r="N42" s="342">
        <f>(1/$J$79)*SQRT(((1-J43/$J$79)*K42)^2+(J43/$J$79)^2*(SUMSQ(K$8:K41)+SUMSQ(K43:K$78)))</f>
        <v>6.3148169954241909E-5</v>
      </c>
      <c r="O42" s="340">
        <f t="shared" si="14"/>
        <v>1.960908284824521</v>
      </c>
      <c r="P42" s="332">
        <f t="shared" si="7"/>
        <v>0.23639320457279411</v>
      </c>
      <c r="Q42" s="342">
        <f>SQRT(((1-P42)/$J$79)^2*SUMSQ(K$8:K42)+(P42/$J$79)^2*SUMSQ(K43:K$78))</f>
        <v>5.2412624427977022E-3</v>
      </c>
      <c r="R42" s="340">
        <f t="shared" si="15"/>
        <v>2.2171798264123646</v>
      </c>
      <c r="S42" s="343">
        <f t="shared" si="16"/>
        <v>2.7460793256296424E-8</v>
      </c>
      <c r="T42" s="344">
        <f t="shared" si="17"/>
        <v>1.3908001811278222E-10</v>
      </c>
      <c r="U42" s="344">
        <f>IF(P42&lt;=0.85, (1/(3*H42*$J$79))*SQRT( ((1-P42)*(1/SQRT(1-PI()*P42/3)-1) + (1-P41)*(1-1/SQRT(1-PI()*P41/3)))^2*SUMSQ(K$8:K41) + ( (1-P42)*(1/SQRT(1-PI()*P42/3)-1) -P41*(1-1/SQRT(1-PI()*P41/3)) )^2*K42^2 + ( P42*(1-1/SQRT(1-PI()*P42/3)) - P41*(1-1/SQRT(1-PI()*P41/3)) )^2*SUMSQ(K43:K$78) ), (1/(PI()^2*H42*$J$79))*SQRT((1+P41/(1-P41))^2*K42^2+(P41/(1-P41)-P42/(1-P42))^2*SUMSQ(K43:K$78)) )</f>
        <v>1.3992092843520729E-9</v>
      </c>
      <c r="V42" s="345">
        <f t="shared" si="18"/>
        <v>1.4061045028216402E-9</v>
      </c>
      <c r="W42" s="340">
        <f t="shared" si="19"/>
        <v>5.1204074467121874</v>
      </c>
      <c r="X42" s="345">
        <f t="shared" si="20"/>
        <v>2.8122090056432803E-9</v>
      </c>
      <c r="Y42" s="338">
        <f t="shared" si="8"/>
        <v>-17.410506549321845</v>
      </c>
      <c r="Z42" s="346">
        <f t="shared" si="21"/>
        <v>5.1204074467121871E-2</v>
      </c>
      <c r="AA42" s="346">
        <f t="shared" si="22"/>
        <v>0.29409870598576188</v>
      </c>
      <c r="AB42" s="346">
        <f t="shared" si="9"/>
        <v>0.10240814893424374</v>
      </c>
      <c r="AC42" s="336">
        <f t="shared" si="2"/>
        <v>3.5438043854077509E-12</v>
      </c>
      <c r="AD42" s="337">
        <f t="shared" si="3"/>
        <v>2.2022087263642363E-13</v>
      </c>
      <c r="AE42" s="308">
        <f t="shared" si="10"/>
        <v>6.2142502431348214</v>
      </c>
      <c r="AF42" s="337">
        <f t="shared" si="11"/>
        <v>4.4044174527284727E-13</v>
      </c>
      <c r="AG42" s="338">
        <f t="shared" si="23"/>
        <v>-26.36582028070011</v>
      </c>
      <c r="AH42" s="339">
        <f t="shared" si="24"/>
        <v>6.2142502431348216E-2</v>
      </c>
      <c r="AI42" s="340">
        <f t="shared" si="25"/>
        <v>0.23569341583063427</v>
      </c>
      <c r="AJ42" s="341">
        <f t="shared" si="12"/>
        <v>0.12428500486269643</v>
      </c>
    </row>
    <row r="43" spans="1:36" x14ac:dyDescent="0.2">
      <c r="A43" s="309">
        <v>36</v>
      </c>
      <c r="B43" s="309">
        <f t="shared" si="13"/>
        <v>28.243519444444448</v>
      </c>
      <c r="C43" s="1">
        <v>554.99</v>
      </c>
      <c r="D43" s="347">
        <v>2</v>
      </c>
      <c r="E43" s="326">
        <f t="shared" si="4"/>
        <v>12.075252976549859</v>
      </c>
      <c r="F43" s="327">
        <f t="shared" si="0"/>
        <v>2.987959749067531E-2</v>
      </c>
      <c r="G43" s="309">
        <f t="shared" si="5"/>
        <v>1.644263888888889</v>
      </c>
      <c r="H43" s="1">
        <v>5919.35</v>
      </c>
      <c r="I43" s="324">
        <v>30</v>
      </c>
      <c r="J43" s="1">
        <v>8.5699999999999995E-3</v>
      </c>
      <c r="K43" s="122">
        <v>9.0000000000000006E-5</v>
      </c>
      <c r="L43" s="328">
        <f t="shared" si="6"/>
        <v>1.0501750291715288</v>
      </c>
      <c r="M43" s="329">
        <f t="shared" si="1"/>
        <v>2.2960420735644378E-3</v>
      </c>
      <c r="N43" s="342">
        <f>(1/$J$79)*SQRT(((1-J44/$J$79)*K43)^2+(J44/$J$79)^2*(SUMSQ(K$8:K42)+SUMSQ(K44:K$78)))</f>
        <v>3.8586571481026814E-5</v>
      </c>
      <c r="O43" s="340">
        <f t="shared" si="14"/>
        <v>1.680569007218756</v>
      </c>
      <c r="P43" s="332">
        <f t="shared" si="7"/>
        <v>0.23868924664635854</v>
      </c>
      <c r="Q43" s="342">
        <f>SQRT(((1-P43)/$J$79)^2*SUMSQ(K$8:K43)+(P43/$J$79)^2*SUMSQ(K44:K$78))</f>
        <v>5.2920775234672869E-3</v>
      </c>
      <c r="R43" s="340">
        <f t="shared" si="15"/>
        <v>2.2171411564711239</v>
      </c>
      <c r="S43" s="343">
        <f t="shared" si="16"/>
        <v>1.9878181966078024E-8</v>
      </c>
      <c r="T43" s="344">
        <f t="shared" si="17"/>
        <v>1.0074509177229608E-10</v>
      </c>
      <c r="U43" s="344">
        <f>IF(P43&lt;=0.85, (1/(3*H43*$J$79))*SQRT( ((1-P43)*(1/SQRT(1-PI()*P43/3)-1) + (1-P42)*(1-1/SQRT(1-PI()*P42/3)))^2*SUMSQ(K$8:K42) + ( (1-P43)*(1/SQRT(1-PI()*P43/3)-1) -P42*(1-1/SQRT(1-PI()*P42/3)) )^2*K43^2 + ( P43*(1-1/SQRT(1-PI()*P43/3)) - P42*(1-1/SQRT(1-PI()*P42/3)) )^2*SUMSQ(K44:K$78) ), (1/(PI()^2*H43*$J$79))*SQRT((1+P42/(1-P42))^2*K43^2+(P42/(1-P42)-P43/(1-P43))^2*SUMSQ(K44:K$78)) )</f>
        <v>1.0094292208175298E-9</v>
      </c>
      <c r="V43" s="345">
        <f t="shared" si="18"/>
        <v>1.0144441460013921E-9</v>
      </c>
      <c r="W43" s="340">
        <f t="shared" si="19"/>
        <v>5.1033044557723324</v>
      </c>
      <c r="X43" s="345">
        <f t="shared" si="20"/>
        <v>2.0288882920027842E-9</v>
      </c>
      <c r="Y43" s="338">
        <f t="shared" si="8"/>
        <v>-17.733643090298315</v>
      </c>
      <c r="Z43" s="346">
        <f t="shared" si="21"/>
        <v>5.1033044557723325E-2</v>
      </c>
      <c r="AA43" s="346">
        <f t="shared" si="22"/>
        <v>0.28777529973884713</v>
      </c>
      <c r="AB43" s="346">
        <f t="shared" si="9"/>
        <v>0.10206608911544665</v>
      </c>
      <c r="AC43" s="336">
        <f t="shared" si="2"/>
        <v>2.5652714314495822E-12</v>
      </c>
      <c r="AD43" s="337">
        <f t="shared" si="3"/>
        <v>1.5905106973300336E-13</v>
      </c>
      <c r="AE43" s="308">
        <f t="shared" si="10"/>
        <v>6.2001653229781946</v>
      </c>
      <c r="AF43" s="337">
        <f t="shared" si="11"/>
        <v>3.1810213946600672E-13</v>
      </c>
      <c r="AG43" s="338">
        <f t="shared" si="23"/>
        <v>-26.68895682167658</v>
      </c>
      <c r="AH43" s="339">
        <f t="shared" si="24"/>
        <v>6.2001653229781954E-2</v>
      </c>
      <c r="AI43" s="340">
        <f t="shared" si="25"/>
        <v>0.23231201445619878</v>
      </c>
      <c r="AJ43" s="341">
        <f t="shared" si="12"/>
        <v>0.12400330645956391</v>
      </c>
    </row>
    <row r="44" spans="1:36" x14ac:dyDescent="0.2">
      <c r="A44" s="309">
        <v>37</v>
      </c>
      <c r="B44" s="309">
        <f t="shared" si="13"/>
        <v>29.889447222222227</v>
      </c>
      <c r="C44" s="1">
        <v>544.99</v>
      </c>
      <c r="D44" s="347">
        <v>2</v>
      </c>
      <c r="E44" s="326">
        <f t="shared" si="4"/>
        <v>12.222846945510549</v>
      </c>
      <c r="F44" s="327">
        <f t="shared" si="0"/>
        <v>3.0623638472650712E-2</v>
      </c>
      <c r="G44" s="309">
        <f t="shared" si="5"/>
        <v>1.6459277777777779</v>
      </c>
      <c r="H44" s="1">
        <v>5925.34</v>
      </c>
      <c r="I44" s="324">
        <v>30</v>
      </c>
      <c r="J44" s="1">
        <v>5.0799999999999899E-3</v>
      </c>
      <c r="K44" s="122">
        <v>8.0000000000000007E-5</v>
      </c>
      <c r="L44" s="328">
        <f t="shared" si="6"/>
        <v>1.5748031496063024</v>
      </c>
      <c r="M44" s="329">
        <f t="shared" si="1"/>
        <v>1.3610144380055218E-3</v>
      </c>
      <c r="N44" s="342">
        <f>(1/$J$79)*SQRT(((1-J45/$J$79)*K44)^2+(J45/$J$79)^2*(SUMSQ(K$8:K43)+SUMSQ(K45:K$78)))</f>
        <v>3.0586688870735386E-5</v>
      </c>
      <c r="O44" s="340">
        <f t="shared" si="14"/>
        <v>2.2473449227737943</v>
      </c>
      <c r="P44" s="332">
        <f t="shared" si="7"/>
        <v>0.24005026108436406</v>
      </c>
      <c r="Q44" s="342">
        <f>SQRT(((1-P44)/$J$79)^2*SUMSQ(K$8:K44)+(P44/$J$79)^2*SUMSQ(K45:K$78))</f>
        <v>5.3222047690079377E-3</v>
      </c>
      <c r="R44" s="340">
        <f t="shared" si="15"/>
        <v>2.217121008311457</v>
      </c>
      <c r="S44" s="343">
        <f t="shared" si="16"/>
        <v>1.1883963530138627E-8</v>
      </c>
      <c r="T44" s="344">
        <f t="shared" si="17"/>
        <v>6.0168514533201275E-11</v>
      </c>
      <c r="U44" s="344">
        <f>IF(P44&lt;=0.85, (1/(3*H44*$J$79))*SQRT( ((1-P44)*(1/SQRT(1-PI()*P44/3)-1) + (1-P43)*(1-1/SQRT(1-PI()*P43/3)))^2*SUMSQ(K$8:K43) + ( (1-P44)*(1/SQRT(1-PI()*P44/3)-1) -P43*(1-1/SQRT(1-PI()*P43/3)) )^2*K44^2 + ( P44*(1-1/SQRT(1-PI()*P44/3)) - P43*(1-1/SQRT(1-PI()*P43/3)) )^2*SUMSQ(K45:K$78) ), (1/(PI()^2*H44*$J$79))*SQRT((1+P43/(1-P43))^2*K44^2+(P43/(1-P43)-P44/(1-P44))^2*SUMSQ(K45:K$78)) )</f>
        <v>6.1999652577932703E-10</v>
      </c>
      <c r="V44" s="345">
        <f t="shared" si="18"/>
        <v>6.2290925672971641E-10</v>
      </c>
      <c r="W44" s="340">
        <f t="shared" si="19"/>
        <v>5.2415951559424734</v>
      </c>
      <c r="X44" s="345">
        <f t="shared" si="20"/>
        <v>1.2458185134594328E-9</v>
      </c>
      <c r="Y44" s="338">
        <f t="shared" si="8"/>
        <v>-18.248075948171138</v>
      </c>
      <c r="Z44" s="346">
        <f t="shared" si="21"/>
        <v>5.2415951559424731E-2</v>
      </c>
      <c r="AA44" s="346">
        <f t="shared" si="22"/>
        <v>0.28724097657363146</v>
      </c>
      <c r="AB44" s="346">
        <f t="shared" si="9"/>
        <v>0.10483190311884946</v>
      </c>
      <c r="AC44" s="336">
        <f t="shared" si="2"/>
        <v>1.5336207399789778E-12</v>
      </c>
      <c r="AD44" s="337">
        <f t="shared" si="3"/>
        <v>9.6840169767906988E-14</v>
      </c>
      <c r="AE44" s="308">
        <f t="shared" si="10"/>
        <v>6.3144796652420361</v>
      </c>
      <c r="AF44" s="337">
        <f t="shared" si="11"/>
        <v>1.9368033953581398E-13</v>
      </c>
      <c r="AG44" s="338">
        <f t="shared" si="23"/>
        <v>-27.203389679549399</v>
      </c>
      <c r="AH44" s="339">
        <f t="shared" si="24"/>
        <v>6.3144796652420357E-2</v>
      </c>
      <c r="AI44" s="340">
        <f t="shared" si="25"/>
        <v>0.23212106063344931</v>
      </c>
      <c r="AJ44" s="341">
        <f t="shared" si="12"/>
        <v>0.12628959330484071</v>
      </c>
    </row>
    <row r="45" spans="1:36" x14ac:dyDescent="0.2">
      <c r="A45" s="309">
        <v>38</v>
      </c>
      <c r="B45" s="309">
        <f t="shared" si="13"/>
        <v>31.534266666666671</v>
      </c>
      <c r="C45" s="1">
        <v>534.99</v>
      </c>
      <c r="D45" s="347">
        <v>2</v>
      </c>
      <c r="E45" s="326">
        <f t="shared" si="4"/>
        <v>12.374093597643974</v>
      </c>
      <c r="F45" s="327">
        <f t="shared" si="0"/>
        <v>3.1395820852932035E-2</v>
      </c>
      <c r="G45" s="309">
        <f t="shared" si="5"/>
        <v>1.6448194444444446</v>
      </c>
      <c r="H45" s="1">
        <v>5921.35</v>
      </c>
      <c r="I45" s="324">
        <v>30</v>
      </c>
      <c r="J45" s="1">
        <v>3.6799999999999901E-3</v>
      </c>
      <c r="K45" s="122">
        <v>5.0000000000000002E-5</v>
      </c>
      <c r="L45" s="328">
        <f t="shared" si="6"/>
        <v>1.3586956521739169</v>
      </c>
      <c r="M45" s="329">
        <f t="shared" si="1"/>
        <v>9.8593171887014115E-4</v>
      </c>
      <c r="N45" s="342">
        <f>(1/$J$79)*SQRT(((1-J46/$J$79)*K45)^2+(J46/$J$79)^2*(SUMSQ(K$8:K44)+SUMSQ(K46:K$78)))</f>
        <v>2.2133697834152174E-5</v>
      </c>
      <c r="O45" s="340">
        <f t="shared" si="14"/>
        <v>2.2449524049715097</v>
      </c>
      <c r="P45" s="332">
        <f t="shared" si="7"/>
        <v>0.24103619280323421</v>
      </c>
      <c r="Q45" s="342">
        <f>SQRT(((1-P45)/$J$79)^2*SUMSQ(K$8:K45)+(P45/$J$79)^2*SUMSQ(K46:K$78))</f>
        <v>5.3440218225735405E-3</v>
      </c>
      <c r="R45" s="340">
        <f t="shared" si="15"/>
        <v>2.2171034816070305</v>
      </c>
      <c r="S45" s="343">
        <f t="shared" si="16"/>
        <v>8.6672909546303007E-9</v>
      </c>
      <c r="T45" s="344">
        <f t="shared" si="17"/>
        <v>4.3912068808448931E-11</v>
      </c>
      <c r="U45" s="344">
        <f>IF(P45&lt;=0.85, (1/(3*H45*$J$79))*SQRT( ((1-P45)*(1/SQRT(1-PI()*P45/3)-1) + (1-P44)*(1-1/SQRT(1-PI()*P44/3)))^2*SUMSQ(K$8:K44) + ( (1-P45)*(1/SQRT(1-PI()*P45/3)-1) -P44*(1-1/SQRT(1-PI()*P44/3)) )^2*K45^2 + ( P45*(1-1/SQRT(1-PI()*P45/3)) - P44*(1-1/SQRT(1-PI()*P44/3)) )^2*SUMSQ(K46:K$78) ), (1/(PI()^2*H45*$J$79))*SQRT((1+P44/(1-P44))^2*K45^2+(P44/(1-P44)-P45/(1-P45))^2*SUMSQ(K46:K$78)) )</f>
        <v>4.4716330927758749E-10</v>
      </c>
      <c r="V45" s="345">
        <f t="shared" si="18"/>
        <v>4.4931424966399777E-10</v>
      </c>
      <c r="W45" s="340">
        <f t="shared" si="19"/>
        <v>5.1840217666162687</v>
      </c>
      <c r="X45" s="345">
        <f t="shared" si="20"/>
        <v>8.9862849932799554E-10</v>
      </c>
      <c r="Y45" s="338">
        <f t="shared" si="8"/>
        <v>-18.563709556960735</v>
      </c>
      <c r="Z45" s="346">
        <f t="shared" si="21"/>
        <v>5.1840217666162688E-2</v>
      </c>
      <c r="AA45" s="346">
        <f t="shared" si="22"/>
        <v>0.2792557032154408</v>
      </c>
      <c r="AB45" s="346">
        <f t="shared" si="9"/>
        <v>0.10368043533232538</v>
      </c>
      <c r="AC45" s="336">
        <f t="shared" si="2"/>
        <v>1.1185104307786584E-12</v>
      </c>
      <c r="AD45" s="337">
        <f t="shared" si="3"/>
        <v>7.0094484250839941E-14</v>
      </c>
      <c r="AE45" s="308">
        <f t="shared" si="10"/>
        <v>6.2667707266746904</v>
      </c>
      <c r="AF45" s="337">
        <f t="shared" si="11"/>
        <v>1.4018896850167988E-13</v>
      </c>
      <c r="AG45" s="338">
        <f t="shared" si="23"/>
        <v>-27.519023288338996</v>
      </c>
      <c r="AH45" s="339">
        <f t="shared" si="24"/>
        <v>6.2667707266746905E-2</v>
      </c>
      <c r="AI45" s="340">
        <f t="shared" si="25"/>
        <v>0.22772504172886809</v>
      </c>
      <c r="AJ45" s="341">
        <f t="shared" si="12"/>
        <v>0.12533541453349381</v>
      </c>
    </row>
    <row r="46" spans="1:36" x14ac:dyDescent="0.2">
      <c r="A46" s="309">
        <v>39</v>
      </c>
      <c r="B46" s="309">
        <f t="shared" si="13"/>
        <v>33.180755555555557</v>
      </c>
      <c r="C46" s="1">
        <v>524.99</v>
      </c>
      <c r="D46" s="347">
        <v>2</v>
      </c>
      <c r="E46" s="326">
        <f t="shared" si="4"/>
        <v>12.529130227779588</v>
      </c>
      <c r="F46" s="327">
        <f t="shared" si="0"/>
        <v>3.2197581898620944E-2</v>
      </c>
      <c r="G46" s="309">
        <f t="shared" si="5"/>
        <v>1.6464888888888889</v>
      </c>
      <c r="H46" s="1">
        <v>5927.36</v>
      </c>
      <c r="I46" s="324">
        <v>30</v>
      </c>
      <c r="J46" s="1">
        <v>2.97E-3</v>
      </c>
      <c r="K46" s="122">
        <v>4.0000000000000003E-5</v>
      </c>
      <c r="L46" s="328">
        <f t="shared" si="6"/>
        <v>1.3468013468013469</v>
      </c>
      <c r="M46" s="329">
        <f t="shared" si="1"/>
        <v>7.9571119702291496E-4</v>
      </c>
      <c r="N46" s="342">
        <f>(1/$J$79)*SQRT(((1-J47/$J$79)*K46)^2+(J47/$J$79)^2*(SUMSQ(K$8:K45)+SUMSQ(K47:K$78)))</f>
        <v>1.6524002348460632E-5</v>
      </c>
      <c r="O46" s="340">
        <f t="shared" si="14"/>
        <v>2.0766331315034607</v>
      </c>
      <c r="P46" s="332">
        <f t="shared" si="7"/>
        <v>0.24183190400025711</v>
      </c>
      <c r="Q46" s="342">
        <f>SQRT(((1-P46)/$J$79)^2*SUMSQ(K$8:K46)+(P46/$J$79)^2*SUMSQ(K47:K$78))</f>
        <v>5.3616282630439601E-3</v>
      </c>
      <c r="R46" s="340">
        <f t="shared" si="15"/>
        <v>2.2170888846155963</v>
      </c>
      <c r="S46" s="343">
        <f t="shared" si="16"/>
        <v>7.0202622608254643E-9</v>
      </c>
      <c r="T46" s="344">
        <f t="shared" si="17"/>
        <v>3.553147907749218E-11</v>
      </c>
      <c r="U46" s="344">
        <f>IF(P46&lt;=0.85, (1/(3*H46*$J$79))*SQRT( ((1-P46)*(1/SQRT(1-PI()*P46/3)-1) + (1-P45)*(1-1/SQRT(1-PI()*P45/3)))^2*SUMSQ(K$8:K45) + ( (1-P46)*(1/SQRT(1-PI()*P46/3)-1) -P45*(1-1/SQRT(1-PI()*P45/3)) )^2*K46^2 + ( P46*(1-1/SQRT(1-PI()*P46/3)) - P45*(1-1/SQRT(1-PI()*P45/3)) )^2*SUMSQ(K47:K$78) ), (1/(PI()^2*H46*$J$79))*SQRT((1+P45/(1-P45))^2*K46^2+(P45/(1-P45)-P46/(1-P46))^2*SUMSQ(K47:K$78)) )</f>
        <v>3.6214766075921749E-10</v>
      </c>
      <c r="V46" s="345">
        <f t="shared" si="18"/>
        <v>3.6388654028255504E-10</v>
      </c>
      <c r="W46" s="340">
        <f t="shared" si="19"/>
        <v>5.1833753036993819</v>
      </c>
      <c r="X46" s="345">
        <f t="shared" si="20"/>
        <v>7.2777308056511008E-10</v>
      </c>
      <c r="Y46" s="338">
        <f t="shared" si="8"/>
        <v>-18.774465260514578</v>
      </c>
      <c r="Z46" s="346">
        <f t="shared" si="21"/>
        <v>5.1833753036993821E-2</v>
      </c>
      <c r="AA46" s="346">
        <f t="shared" si="22"/>
        <v>0.27608644143920158</v>
      </c>
      <c r="AB46" s="346">
        <f t="shared" si="9"/>
        <v>0.10366750607398764</v>
      </c>
      <c r="AC46" s="336">
        <f t="shared" si="2"/>
        <v>9.0596203665462179E-13</v>
      </c>
      <c r="AD46" s="337">
        <f t="shared" si="3"/>
        <v>5.6769718994602078E-14</v>
      </c>
      <c r="AE46" s="308">
        <f t="shared" si="10"/>
        <v>6.2662359677047146</v>
      </c>
      <c r="AF46" s="337">
        <f t="shared" si="11"/>
        <v>1.1353943798920416E-13</v>
      </c>
      <c r="AG46" s="338">
        <f t="shared" si="23"/>
        <v>-27.729778991892843</v>
      </c>
      <c r="AH46" s="339">
        <f t="shared" si="24"/>
        <v>6.2662359677047141E-2</v>
      </c>
      <c r="AI46" s="340">
        <f t="shared" si="25"/>
        <v>0.22597496970807912</v>
      </c>
      <c r="AJ46" s="341">
        <f t="shared" si="12"/>
        <v>0.12532471935409428</v>
      </c>
    </row>
    <row r="47" spans="1:36" x14ac:dyDescent="0.2">
      <c r="A47" s="309">
        <v>40</v>
      </c>
      <c r="B47" s="309">
        <f t="shared" si="13"/>
        <v>34.826127777777778</v>
      </c>
      <c r="C47" s="1">
        <v>514.99</v>
      </c>
      <c r="D47" s="347">
        <v>2</v>
      </c>
      <c r="E47" s="326">
        <f t="shared" si="4"/>
        <v>12.688101098789556</v>
      </c>
      <c r="F47" s="327">
        <f t="shared" si="0"/>
        <v>3.3030451819276295E-2</v>
      </c>
      <c r="G47" s="309">
        <f t="shared" si="5"/>
        <v>1.6453722222222222</v>
      </c>
      <c r="H47" s="1">
        <v>5923.34</v>
      </c>
      <c r="I47" s="324">
        <v>30</v>
      </c>
      <c r="J47" s="1">
        <v>2.1199999999999999E-3</v>
      </c>
      <c r="K47" s="122">
        <v>4.0000000000000003E-5</v>
      </c>
      <c r="L47" s="328">
        <f t="shared" si="6"/>
        <v>1.8867924528301889</v>
      </c>
      <c r="M47" s="329">
        <f t="shared" si="1"/>
        <v>5.6798240326214804E-4</v>
      </c>
      <c r="N47" s="342">
        <f>(1/$J$79)*SQRT(((1-J48/$J$79)*K47)^2+(J48/$J$79)^2*(SUMSQ(K$8:K46)+SUMSQ(K48:K$78)))</f>
        <v>1.3630551949812641E-5</v>
      </c>
      <c r="O47" s="340">
        <f t="shared" si="14"/>
        <v>2.3998194084054325</v>
      </c>
      <c r="P47" s="332">
        <f t="shared" si="7"/>
        <v>0.24239988640351925</v>
      </c>
      <c r="Q47" s="342">
        <f>SQRT(((1-P47)/$J$79)^2*SUMSQ(K$8:K47)+(P47/$J$79)^2*SUMSQ(K48:K$78))</f>
        <v>5.3741974634720063E-3</v>
      </c>
      <c r="R47" s="340">
        <f t="shared" si="15"/>
        <v>2.2170792004933801</v>
      </c>
      <c r="S47" s="343">
        <f t="shared" si="16"/>
        <v>5.0321777660567548E-9</v>
      </c>
      <c r="T47" s="344">
        <f t="shared" si="17"/>
        <v>2.5486521621534926E-11</v>
      </c>
      <c r="U47" s="344">
        <f>IF(P47&lt;=0.85, (1/(3*H47*$J$79))*SQRT( ((1-P47)*(1/SQRT(1-PI()*P47/3)-1) + (1-P46)*(1-1/SQRT(1-PI()*P46/3)))^2*SUMSQ(K$8:K46) + ( (1-P47)*(1/SQRT(1-PI()*P47/3)-1) -P46*(1-1/SQRT(1-PI()*P46/3)) )^2*K47^2 + ( P47*(1-1/SQRT(1-PI()*P47/3)) - P46*(1-1/SQRT(1-PI()*P46/3)) )^2*SUMSQ(K48:K$78) ), (1/(PI()^2*H47*$J$79))*SQRT((1+P46/(1-P46))^2*K47^2+(P46/(1-P46)-P47/(1-P47))^2*SUMSQ(K48:K$78)) )</f>
        <v>2.6806847949851052E-10</v>
      </c>
      <c r="V47" s="345">
        <f t="shared" si="18"/>
        <v>2.6927731520684825E-10</v>
      </c>
      <c r="W47" s="340">
        <f t="shared" si="19"/>
        <v>5.3511089576999504</v>
      </c>
      <c r="X47" s="345">
        <f t="shared" si="20"/>
        <v>5.3855463041369651E-10</v>
      </c>
      <c r="Y47" s="338">
        <f t="shared" si="8"/>
        <v>-19.107412991054463</v>
      </c>
      <c r="Z47" s="346">
        <f t="shared" si="21"/>
        <v>5.3511089576999502E-2</v>
      </c>
      <c r="AA47" s="346">
        <f t="shared" si="22"/>
        <v>0.28005407954521022</v>
      </c>
      <c r="AB47" s="346">
        <f t="shared" si="9"/>
        <v>0.107022179153999</v>
      </c>
      <c r="AC47" s="336">
        <f t="shared" si="2"/>
        <v>6.4940052783851777E-13</v>
      </c>
      <c r="AD47" s="337">
        <f t="shared" si="3"/>
        <v>4.1598501726114529E-14</v>
      </c>
      <c r="AE47" s="308">
        <f t="shared" si="10"/>
        <v>6.405677227361072</v>
      </c>
      <c r="AF47" s="337">
        <f t="shared" si="11"/>
        <v>8.3197003452229059E-14</v>
      </c>
      <c r="AG47" s="338">
        <f t="shared" si="23"/>
        <v>-28.062726722432725</v>
      </c>
      <c r="AH47" s="339">
        <f t="shared" si="24"/>
        <v>6.4056772273610715E-2</v>
      </c>
      <c r="AI47" s="340">
        <f t="shared" si="25"/>
        <v>0.22826282316466823</v>
      </c>
      <c r="AJ47" s="341">
        <f t="shared" si="12"/>
        <v>0.12811354454722143</v>
      </c>
    </row>
    <row r="48" spans="1:36" x14ac:dyDescent="0.2">
      <c r="A48" s="309">
        <v>41</v>
      </c>
      <c r="B48" s="309">
        <f t="shared" si="13"/>
        <v>36.470388888888891</v>
      </c>
      <c r="C48" s="1">
        <v>504.99</v>
      </c>
      <c r="D48" s="347">
        <v>2</v>
      </c>
      <c r="E48" s="326">
        <f t="shared" si="4"/>
        <v>12.851157889325828</v>
      </c>
      <c r="F48" s="327">
        <f t="shared" si="0"/>
        <v>3.3895178541772562E-2</v>
      </c>
      <c r="G48" s="309">
        <f t="shared" si="5"/>
        <v>1.6442611111111112</v>
      </c>
      <c r="H48" s="1">
        <v>5919.34</v>
      </c>
      <c r="I48" s="324">
        <v>30</v>
      </c>
      <c r="J48" s="1">
        <v>1.4199999999999901E-3</v>
      </c>
      <c r="K48" s="122">
        <v>4.0000000000000003E-5</v>
      </c>
      <c r="L48" s="328">
        <f t="shared" si="6"/>
        <v>2.816901408450724</v>
      </c>
      <c r="M48" s="329">
        <f t="shared" si="1"/>
        <v>3.8044104369445498E-4</v>
      </c>
      <c r="N48" s="342">
        <f>(1/$J$79)*SQRT(((1-J49/$J$79)*K48)^2+(J49/$J$79)^2*(SUMSQ(K$8:K47)+SUMSQ(K49:K$78)))</f>
        <v>1.2454425114405017E-5</v>
      </c>
      <c r="O48" s="340">
        <f t="shared" si="14"/>
        <v>3.273680724209028</v>
      </c>
      <c r="P48" s="332">
        <f t="shared" si="7"/>
        <v>0.2427803274472137</v>
      </c>
      <c r="Q48" s="342">
        <f>SQRT(((1-P48)/$J$79)^2*SUMSQ(K$8:K48)+(P48/$J$79)^2*SUMSQ(K49:K$78))</f>
        <v>5.3826182902995392E-3</v>
      </c>
      <c r="R48" s="340">
        <f t="shared" si="15"/>
        <v>2.2170734947500432</v>
      </c>
      <c r="S48" s="343">
        <f t="shared" si="16"/>
        <v>3.3811393280938974E-9</v>
      </c>
      <c r="T48" s="344">
        <f t="shared" si="17"/>
        <v>1.7136062439869459E-11</v>
      </c>
      <c r="U48" s="344">
        <f>IF(P48&lt;=0.85, (1/(3*H48*$J$79))*SQRT( ((1-P48)*(1/SQRT(1-PI()*P48/3)-1) + (1-P47)*(1-1/SQRT(1-PI()*P47/3)))^2*SUMSQ(K$8:K47) + ( (1-P48)*(1/SQRT(1-PI()*P48/3)-1) -P47*(1-1/SQRT(1-PI()*P47/3)) )^2*K48^2 + ( P48*(1-1/SQRT(1-PI()*P48/3)) - P47*(1-1/SQRT(1-PI()*P47/3)) )^2*SUMSQ(K49:K$78) ), (1/(PI()^2*H48*$J$79))*SQRT((1+P47/(1-P47))^2*K48^2+(P47/(1-P47)-P48/(1-P48))^2*SUMSQ(K49:K$78)) )</f>
        <v>1.9354618815688966E-10</v>
      </c>
      <c r="V48" s="345">
        <f t="shared" si="18"/>
        <v>1.9430329792879285E-10</v>
      </c>
      <c r="W48" s="340">
        <f t="shared" si="19"/>
        <v>5.7466811945407317</v>
      </c>
      <c r="X48" s="345">
        <f t="shared" si="20"/>
        <v>3.886065958575857E-10</v>
      </c>
      <c r="Y48" s="338">
        <f t="shared" si="8"/>
        <v>-19.505053104932234</v>
      </c>
      <c r="Z48" s="346">
        <f t="shared" si="21"/>
        <v>5.7466811945407315E-2</v>
      </c>
      <c r="AA48" s="346">
        <f t="shared" si="22"/>
        <v>0.29462525242177223</v>
      </c>
      <c r="AB48" s="346">
        <f t="shared" si="9"/>
        <v>0.11493362389081463</v>
      </c>
      <c r="AC48" s="336">
        <f t="shared" si="2"/>
        <v>4.3633467783478622E-13</v>
      </c>
      <c r="AD48" s="337">
        <f t="shared" si="3"/>
        <v>2.940736417323735E-14</v>
      </c>
      <c r="AE48" s="308">
        <f t="shared" si="10"/>
        <v>6.7396348874136827</v>
      </c>
      <c r="AF48" s="337">
        <f t="shared" si="11"/>
        <v>5.88147283464747E-14</v>
      </c>
      <c r="AG48" s="338">
        <f t="shared" si="23"/>
        <v>-28.460366836310495</v>
      </c>
      <c r="AH48" s="339">
        <f t="shared" si="24"/>
        <v>6.7396348874136827E-2</v>
      </c>
      <c r="AI48" s="340">
        <f t="shared" si="25"/>
        <v>0.23680773077088652</v>
      </c>
      <c r="AJ48" s="341">
        <f t="shared" si="12"/>
        <v>0.13479269774827365</v>
      </c>
    </row>
    <row r="49" spans="1:36" x14ac:dyDescent="0.2">
      <c r="A49" s="309">
        <v>42</v>
      </c>
      <c r="B49" s="309">
        <f t="shared" si="13"/>
        <v>38.116311111111116</v>
      </c>
      <c r="C49" s="1">
        <v>495</v>
      </c>
      <c r="D49" s="347">
        <v>2</v>
      </c>
      <c r="E49" s="326">
        <f t="shared" si="4"/>
        <v>13.018290698431297</v>
      </c>
      <c r="F49" s="327">
        <f t="shared" si="0"/>
        <v>3.4795230438568352E-2</v>
      </c>
      <c r="G49" s="309">
        <f t="shared" si="5"/>
        <v>1.6459222222222221</v>
      </c>
      <c r="H49" s="1">
        <v>5925.32</v>
      </c>
      <c r="I49" s="324">
        <v>30</v>
      </c>
      <c r="J49" s="1">
        <v>1.07E-3</v>
      </c>
      <c r="K49" s="122">
        <v>2.9999999999999899E-5</v>
      </c>
      <c r="L49" s="328">
        <f t="shared" si="6"/>
        <v>2.8037383177569999</v>
      </c>
      <c r="M49" s="329">
        <f t="shared" si="1"/>
        <v>2.8667036391061246E-4</v>
      </c>
      <c r="N49" s="342">
        <f>(1/$J$79)*SQRT(((1-J50/$J$79)*K49)^2+(J50/$J$79)^2*(SUMSQ(K$8:K48)+SUMSQ(K50:K$78)))</f>
        <v>9.7824173463372756E-6</v>
      </c>
      <c r="O49" s="340">
        <f t="shared" si="14"/>
        <v>3.412427156016574</v>
      </c>
      <c r="P49" s="332">
        <f t="shared" si="7"/>
        <v>0.24306699781112431</v>
      </c>
      <c r="Q49" s="342">
        <f>SQRT(((1-P49)/$J$79)^2*SUMSQ(K$8:K49)+(P49/$J$79)^2*SUMSQ(K50:K$78))</f>
        <v>5.3889625195585912E-3</v>
      </c>
      <c r="R49" s="340">
        <f t="shared" si="15"/>
        <v>2.2170687786032128</v>
      </c>
      <c r="S49" s="343">
        <f t="shared" si="16"/>
        <v>2.5495617372974755E-9</v>
      </c>
      <c r="T49" s="344">
        <f t="shared" si="17"/>
        <v>1.290847618675856E-11</v>
      </c>
      <c r="U49" s="344">
        <f>IF(P49&lt;=0.85, (1/(3*H49*$J$79))*SQRT( ((1-P49)*(1/SQRT(1-PI()*P49/3)-1) + (1-P48)*(1-1/SQRT(1-PI()*P48/3)))^2*SUMSQ(K$8:K48) + ( (1-P49)*(1/SQRT(1-PI()*P49/3)-1) -P48*(1-1/SQRT(1-PI()*P48/3)) )^2*K49^2 + ( P49*(1-1/SQRT(1-PI()*P49/3)) - P48*(1-1/SQRT(1-PI()*P48/3)) )^2*SUMSQ(K50:K$78) ), (1/(PI()^2*H49*$J$79))*SQRT((1+P48/(1-P48))^2*K49^2+(P48/(1-P48)-P49/(1-P49))^2*SUMSQ(K50:K$78)) )</f>
        <v>1.4580035803355791E-10</v>
      </c>
      <c r="V49" s="345">
        <f t="shared" si="18"/>
        <v>1.4637067042333919E-10</v>
      </c>
      <c r="W49" s="340">
        <f t="shared" si="19"/>
        <v>5.7410129859609311</v>
      </c>
      <c r="X49" s="345">
        <f t="shared" si="20"/>
        <v>2.9274134084667838E-10</v>
      </c>
      <c r="Y49" s="338">
        <f t="shared" si="8"/>
        <v>-19.787344360273508</v>
      </c>
      <c r="Z49" s="346">
        <f t="shared" si="21"/>
        <v>5.7410129859609312E-2</v>
      </c>
      <c r="AA49" s="346">
        <f t="shared" si="22"/>
        <v>0.29013559785652698</v>
      </c>
      <c r="AB49" s="346">
        <f t="shared" si="9"/>
        <v>0.11482025971921862</v>
      </c>
      <c r="AC49" s="336">
        <f t="shared" si="2"/>
        <v>3.2901992237354429E-13</v>
      </c>
      <c r="AD49" s="337">
        <f t="shared" si="3"/>
        <v>2.2158841726658646E-14</v>
      </c>
      <c r="AE49" s="308">
        <f t="shared" si="10"/>
        <v>6.7348024298362024</v>
      </c>
      <c r="AF49" s="337">
        <f t="shared" si="11"/>
        <v>4.4317683453317292E-14</v>
      </c>
      <c r="AG49" s="338">
        <f t="shared" si="23"/>
        <v>-28.742658091651769</v>
      </c>
      <c r="AH49" s="339">
        <f t="shared" si="24"/>
        <v>6.7348024298362022E-2</v>
      </c>
      <c r="AI49" s="340">
        <f t="shared" si="25"/>
        <v>0.23431383445333848</v>
      </c>
      <c r="AJ49" s="341">
        <f t="shared" si="12"/>
        <v>0.13469604859672404</v>
      </c>
    </row>
    <row r="50" spans="1:36" x14ac:dyDescent="0.2">
      <c r="A50" s="309">
        <v>43</v>
      </c>
      <c r="B50" s="309">
        <f t="shared" si="13"/>
        <v>39.76113055555556</v>
      </c>
      <c r="C50" s="1">
        <v>485</v>
      </c>
      <c r="D50" s="347">
        <v>2</v>
      </c>
      <c r="E50" s="326">
        <f t="shared" si="4"/>
        <v>13.190001978500296</v>
      </c>
      <c r="F50" s="327">
        <f t="shared" si="0"/>
        <v>3.5731614111484573E-2</v>
      </c>
      <c r="G50" s="309">
        <f t="shared" si="5"/>
        <v>1.6448194444444446</v>
      </c>
      <c r="H50" s="1">
        <v>5921.35</v>
      </c>
      <c r="I50" s="324">
        <v>30</v>
      </c>
      <c r="J50" s="1">
        <v>9.3999999999999997E-4</v>
      </c>
      <c r="K50" s="122">
        <v>2.0000000000000002E-5</v>
      </c>
      <c r="L50" s="328">
        <f t="shared" si="6"/>
        <v>2.1276595744680855</v>
      </c>
      <c r="M50" s="329">
        <f t="shared" si="1"/>
        <v>2.5184125427661283E-4</v>
      </c>
      <c r="N50" s="342">
        <f>(1/$J$79)*SQRT(((1-J51/$J$79)*K50)^2+(J51/$J$79)^2*(SUMSQ(K$8:K49)+SUMSQ(K51:K$78)))</f>
        <v>7.1585574300905558E-6</v>
      </c>
      <c r="O50" s="340">
        <f t="shared" si="14"/>
        <v>2.8424879992965209</v>
      </c>
      <c r="P50" s="332">
        <f t="shared" si="7"/>
        <v>0.24331883906540092</v>
      </c>
      <c r="Q50" s="342">
        <f>SQRT(((1-P50)/$J$79)^2*SUMSQ(K$8:K50)+(P50/$J$79)^2*SUMSQ(K51:K$78))</f>
        <v>5.3945346273693139E-3</v>
      </c>
      <c r="R50" s="340">
        <f t="shared" si="15"/>
        <v>2.2170640991424975</v>
      </c>
      <c r="S50" s="343">
        <f t="shared" si="16"/>
        <v>2.2444088667253006E-9</v>
      </c>
      <c r="T50" s="344">
        <f t="shared" si="17"/>
        <v>1.1371100509471484E-11</v>
      </c>
      <c r="U50" s="344">
        <f>IF(P50&lt;=0.85, (1/(3*H50*$J$79))*SQRT( ((1-P50)*(1/SQRT(1-PI()*P50/3)-1) + (1-P49)*(1-1/SQRT(1-PI()*P49/3)))^2*SUMSQ(K$8:K49) + ( (1-P50)*(1/SQRT(1-PI()*P50/3)-1) -P49*(1-1/SQRT(1-PI()*P49/3)) )^2*K50^2 + ( P50*(1-1/SQRT(1-PI()*P50/3)) - P49*(1-1/SQRT(1-PI()*P49/3)) )^2*SUMSQ(K51:K$78) ), (1/(PI()^2*H50*$J$79))*SQRT((1+P49/(1-P49))^2*K50^2+(P49/(1-P49)-P50/(1-P50))^2*SUMSQ(K51:K$78)) )</f>
        <v>1.2164644476198364E-10</v>
      </c>
      <c r="V50" s="345">
        <f t="shared" si="18"/>
        <v>1.2217675494965006E-10</v>
      </c>
      <c r="W50" s="340">
        <f t="shared" si="19"/>
        <v>5.4436050739681745</v>
      </c>
      <c r="X50" s="345">
        <f t="shared" si="20"/>
        <v>2.4435350989930013E-10</v>
      </c>
      <c r="Y50" s="338">
        <f t="shared" si="8"/>
        <v>-19.914823661460133</v>
      </c>
      <c r="Z50" s="346">
        <f t="shared" si="21"/>
        <v>5.4436050739681746E-2</v>
      </c>
      <c r="AA50" s="346">
        <f t="shared" si="22"/>
        <v>0.27334437735960632</v>
      </c>
      <c r="AB50" s="346">
        <f t="shared" si="9"/>
        <v>0.10887210147936349</v>
      </c>
      <c r="AC50" s="336">
        <f t="shared" si="2"/>
        <v>2.8964006648735336E-13</v>
      </c>
      <c r="AD50" s="337">
        <f t="shared" si="3"/>
        <v>1.877778566142576E-14</v>
      </c>
      <c r="AE50" s="308">
        <f t="shared" si="10"/>
        <v>6.4831450597135047</v>
      </c>
      <c r="AF50" s="337">
        <f t="shared" si="11"/>
        <v>3.755557132285152E-14</v>
      </c>
      <c r="AG50" s="338">
        <f t="shared" si="23"/>
        <v>-28.870137392838394</v>
      </c>
      <c r="AH50" s="339">
        <f t="shared" si="24"/>
        <v>6.4831450597135049E-2</v>
      </c>
      <c r="AI50" s="340">
        <f t="shared" si="25"/>
        <v>0.22456232097190268</v>
      </c>
      <c r="AJ50" s="341">
        <f t="shared" si="12"/>
        <v>0.1296629011942701</v>
      </c>
    </row>
    <row r="51" spans="1:36" x14ac:dyDescent="0.2">
      <c r="A51" s="309">
        <v>44</v>
      </c>
      <c r="B51" s="309">
        <f t="shared" si="13"/>
        <v>42.408166666666673</v>
      </c>
      <c r="C51" s="1">
        <v>475</v>
      </c>
      <c r="D51" s="347">
        <v>2</v>
      </c>
      <c r="E51" s="326">
        <f t="shared" si="4"/>
        <v>13.366303548753592</v>
      </c>
      <c r="F51" s="327">
        <f t="shared" si="0"/>
        <v>3.670631163973339E-2</v>
      </c>
      <c r="G51" s="309">
        <f t="shared" si="5"/>
        <v>2.6470361111111114</v>
      </c>
      <c r="H51" s="1">
        <v>9529.33</v>
      </c>
      <c r="I51" s="324">
        <v>30</v>
      </c>
      <c r="J51" s="1">
        <v>8.0000000000000004E-4</v>
      </c>
      <c r="K51" s="122">
        <v>1.0000000000000001E-5</v>
      </c>
      <c r="L51" s="328">
        <f t="shared" si="6"/>
        <v>1.25</v>
      </c>
      <c r="M51" s="329">
        <f t="shared" si="1"/>
        <v>2.1433298236307475E-4</v>
      </c>
      <c r="N51" s="342">
        <f>(1/$J$79)*SQRT(((1-J52/$J$79)*K51)^2+(J52/$J$79)^2*(SUMSQ(K$8:K50)+SUMSQ(K52:K$78)))</f>
        <v>4.2228093325277456E-6</v>
      </c>
      <c r="O51" s="340">
        <f t="shared" si="14"/>
        <v>1.9702097577191418</v>
      </c>
      <c r="P51" s="332">
        <f t="shared" si="7"/>
        <v>0.24353317204776398</v>
      </c>
      <c r="Q51" s="342">
        <f>SQRT(((1-P51)/$J$79)^2*SUMSQ(K$8:K51)+(P51/$J$79)^2*SUMSQ(K52:K$78))</f>
        <v>5.3992760364101385E-3</v>
      </c>
      <c r="R51" s="340">
        <f t="shared" si="15"/>
        <v>2.2170597914895893</v>
      </c>
      <c r="S51" s="343">
        <f t="shared" si="16"/>
        <v>1.1883451479786366E-9</v>
      </c>
      <c r="T51" s="344">
        <f t="shared" si="17"/>
        <v>3.741118676691759E-12</v>
      </c>
      <c r="U51" s="344">
        <f>IF(P51&lt;=0.85, (1/(3*H51*$J$79))*SQRT( ((1-P51)*(1/SQRT(1-PI()*P51/3)-1) + (1-P50)*(1-1/SQRT(1-PI()*P50/3)))^2*SUMSQ(K$8:K50) + ( (1-P51)*(1/SQRT(1-PI()*P51/3)-1) -P50*(1-1/SQRT(1-PI()*P50/3)) )^2*K51^2 + ( P51*(1-1/SQRT(1-PI()*P51/3)) - P50*(1-1/SQRT(1-PI()*P50/3)) )^2*SUMSQ(K52:K$78) ), (1/(PI()^2*H51*$J$79))*SQRT((1+P50/(1-P50))^2*K51^2+(P50/(1-P50)-P51/(1-P51))^2*SUMSQ(K52:K$78)) )</f>
        <v>6.1079238975870293E-11</v>
      </c>
      <c r="V51" s="345">
        <f t="shared" si="18"/>
        <v>6.1193703947584049E-11</v>
      </c>
      <c r="W51" s="340">
        <f t="shared" si="19"/>
        <v>5.1494891069041637</v>
      </c>
      <c r="X51" s="345">
        <f t="shared" si="20"/>
        <v>1.223874078951681E-10</v>
      </c>
      <c r="Y51" s="338">
        <f t="shared" si="8"/>
        <v>-20.550704129599673</v>
      </c>
      <c r="Z51" s="346">
        <f t="shared" si="21"/>
        <v>5.1494891069041634E-2</v>
      </c>
      <c r="AA51" s="346">
        <f t="shared" si="22"/>
        <v>0.2505748257787056</v>
      </c>
      <c r="AB51" s="346">
        <f t="shared" si="9"/>
        <v>0.10298978213808327</v>
      </c>
      <c r="AC51" s="336">
        <f t="shared" si="2"/>
        <v>1.5335546600858385E-13</v>
      </c>
      <c r="AD51" s="337">
        <f t="shared" si="3"/>
        <v>9.5666738400486946E-15</v>
      </c>
      <c r="AE51" s="308">
        <f t="shared" si="10"/>
        <v>6.2382346642363649</v>
      </c>
      <c r="AF51" s="337">
        <f t="shared" si="11"/>
        <v>1.9133347680097389E-14</v>
      </c>
      <c r="AG51" s="338">
        <f t="shared" si="23"/>
        <v>-29.506017860977938</v>
      </c>
      <c r="AH51" s="339">
        <f t="shared" si="24"/>
        <v>6.2382346642363654E-2</v>
      </c>
      <c r="AI51" s="340">
        <f t="shared" si="25"/>
        <v>0.21142245265453138</v>
      </c>
      <c r="AJ51" s="341">
        <f t="shared" si="12"/>
        <v>0.12476469328472731</v>
      </c>
    </row>
    <row r="52" spans="1:36" x14ac:dyDescent="0.2">
      <c r="A52" s="309">
        <v>45</v>
      </c>
      <c r="B52" s="309">
        <f t="shared" si="13"/>
        <v>45.05520555555556</v>
      </c>
      <c r="C52" s="1">
        <v>465</v>
      </c>
      <c r="D52" s="347">
        <v>2</v>
      </c>
      <c r="E52" s="326">
        <f t="shared" si="4"/>
        <v>13.5473819684346</v>
      </c>
      <c r="F52" s="327">
        <f t="shared" si="0"/>
        <v>3.772144213467829E-2</v>
      </c>
      <c r="G52" s="309">
        <f t="shared" si="5"/>
        <v>2.6470388888888889</v>
      </c>
      <c r="H52" s="1">
        <v>9529.34</v>
      </c>
      <c r="I52" s="324">
        <v>30</v>
      </c>
      <c r="J52" s="1">
        <v>5.5000000000000003E-4</v>
      </c>
      <c r="K52" s="122">
        <v>1.0000000000000001E-5</v>
      </c>
      <c r="L52" s="328">
        <f t="shared" si="6"/>
        <v>1.8181818181818181</v>
      </c>
      <c r="M52" s="329">
        <f t="shared" si="1"/>
        <v>1.473539253746139E-4</v>
      </c>
      <c r="N52" s="342">
        <f>(1/$J$79)*SQRT(((1-J53/$J$79)*K52)^2+(J53/$J$79)^2*(SUMSQ(K$8:K51)+SUMSQ(K53:K$78)))</f>
        <v>4.8440167663471452E-6</v>
      </c>
      <c r="O52" s="340">
        <f t="shared" si="14"/>
        <v>3.2873347310106138</v>
      </c>
      <c r="P52" s="332">
        <f t="shared" si="7"/>
        <v>0.24368052597313861</v>
      </c>
      <c r="Q52" s="342">
        <f>SQRT(((1-P52)/$J$79)^2*SUMSQ(K$8:K52)+(P52/$J$79)^2*SUMSQ(K53:K$78))</f>
        <v>5.4025358681590871E-3</v>
      </c>
      <c r="R52" s="340">
        <f t="shared" si="15"/>
        <v>2.2170568807597779</v>
      </c>
      <c r="S52" s="343">
        <f t="shared" si="16"/>
        <v>8.1774544297539808E-10</v>
      </c>
      <c r="T52" s="344">
        <f t="shared" si="17"/>
        <v>2.5744031894403987E-12</v>
      </c>
      <c r="U52" s="344">
        <f>IF(P52&lt;=0.85, (1/(3*H52*$J$79))*SQRT( ((1-P52)*(1/SQRT(1-PI()*P52/3)-1) + (1-P51)*(1-1/SQRT(1-PI()*P51/3)))^2*SUMSQ(K$8:K51) + ( (1-P52)*(1/SQRT(1-PI()*P52/3)-1) -P51*(1-1/SQRT(1-PI()*P51/3)) )^2*K52^2 + ( P52*(1-1/SQRT(1-PI()*P52/3)) - P51*(1-1/SQRT(1-PI()*P51/3)) )^2*SUMSQ(K53:K$78) ), (1/(PI()^2*H52*$J$79))*SQRT((1+P51/(1-P51))^2*K52^2+(P51/(1-P51)-P52/(1-P52))^2*SUMSQ(K53:K$78)) )</f>
        <v>4.3399782811131884E-11</v>
      </c>
      <c r="V52" s="345">
        <f t="shared" si="18"/>
        <v>4.3476070427710222E-11</v>
      </c>
      <c r="W52" s="340">
        <f t="shared" si="19"/>
        <v>5.3165775243602553</v>
      </c>
      <c r="X52" s="345">
        <f t="shared" si="20"/>
        <v>8.6952140855420444E-11</v>
      </c>
      <c r="Y52" s="338">
        <f t="shared" si="8"/>
        <v>-20.924470022163433</v>
      </c>
      <c r="Z52" s="346">
        <f t="shared" si="21"/>
        <v>5.3165775243602553E-2</v>
      </c>
      <c r="AA52" s="346">
        <f t="shared" si="22"/>
        <v>0.25408421425865874</v>
      </c>
      <c r="AB52" s="346">
        <f t="shared" si="9"/>
        <v>0.10633155048720511</v>
      </c>
      <c r="AC52" s="336">
        <f t="shared" si="2"/>
        <v>1.0552972231779792E-13</v>
      </c>
      <c r="AD52" s="337">
        <f t="shared" si="3"/>
        <v>6.7294815564579344E-15</v>
      </c>
      <c r="AE52" s="308">
        <f t="shared" si="10"/>
        <v>6.3768589631956099</v>
      </c>
      <c r="AF52" s="337">
        <f t="shared" si="11"/>
        <v>1.3458963112915869E-14</v>
      </c>
      <c r="AG52" s="338">
        <f t="shared" si="23"/>
        <v>-29.879783753541695</v>
      </c>
      <c r="AH52" s="339">
        <f t="shared" si="24"/>
        <v>6.3768589631956099E-2</v>
      </c>
      <c r="AI52" s="340">
        <f t="shared" si="25"/>
        <v>0.21341717248672365</v>
      </c>
      <c r="AJ52" s="341">
        <f t="shared" si="12"/>
        <v>0.1275371792639122</v>
      </c>
    </row>
    <row r="53" spans="1:36" x14ac:dyDescent="0.2">
      <c r="A53" s="309">
        <v>46</v>
      </c>
      <c r="B53" s="309">
        <f t="shared" si="13"/>
        <v>47.701697222222229</v>
      </c>
      <c r="C53" s="1">
        <v>455</v>
      </c>
      <c r="D53" s="347">
        <v>2</v>
      </c>
      <c r="E53" s="326">
        <f t="shared" si="4"/>
        <v>13.733434045182998</v>
      </c>
      <c r="F53" s="327">
        <f t="shared" si="0"/>
        <v>3.8778193313177695E-2</v>
      </c>
      <c r="G53" s="309">
        <f t="shared" si="5"/>
        <v>2.6464916666666669</v>
      </c>
      <c r="H53" s="1">
        <v>9527.3700000000008</v>
      </c>
      <c r="I53" s="324">
        <v>30</v>
      </c>
      <c r="J53" s="1">
        <v>6.7999999999999896E-4</v>
      </c>
      <c r="K53" s="122">
        <v>2.0000000000000002E-5</v>
      </c>
      <c r="L53" s="328">
        <f t="shared" si="6"/>
        <v>2.9411764705882399</v>
      </c>
      <c r="M53" s="329">
        <f t="shared" si="1"/>
        <v>1.8218303500861326E-4</v>
      </c>
      <c r="N53" s="342">
        <f>(1/$J$79)*SQRT(((1-J54/$J$79)*K53)^2+(J54/$J$79)^2*(SUMSQ(K$8:K52)+SUMSQ(K54:K$78)))</f>
        <v>5.8601954535956477E-6</v>
      </c>
      <c r="O53" s="340">
        <f t="shared" si="14"/>
        <v>3.2166526665441646</v>
      </c>
      <c r="P53" s="332">
        <f t="shared" si="7"/>
        <v>0.24386270900814722</v>
      </c>
      <c r="Q53" s="342">
        <f>SQRT(((1-P53)/$J$79)^2*SUMSQ(K$8:K53)+(P53/$J$79)^2*SUMSQ(K54:K$78))</f>
        <v>5.4065671524670808E-3</v>
      </c>
      <c r="R53" s="340">
        <f t="shared" si="15"/>
        <v>2.2170536751834629</v>
      </c>
      <c r="S53" s="343">
        <f t="shared" si="16"/>
        <v>1.0120952859531108E-9</v>
      </c>
      <c r="T53" s="344">
        <f t="shared" si="17"/>
        <v>3.1869087249254858E-12</v>
      </c>
      <c r="U53" s="344">
        <f>IF(P53&lt;=0.85, (1/(3*H53*$J$79))*SQRT( ((1-P53)*(1/SQRT(1-PI()*P53/3)-1) + (1-P52)*(1-1/SQRT(1-PI()*P52/3)))^2*SUMSQ(K$8:K52) + ( (1-P53)*(1/SQRT(1-PI()*P53/3)-1) -P52*(1-1/SQRT(1-PI()*P52/3)) )^2*K53^2 + ( P53*(1-1/SQRT(1-PI()*P53/3)) - P52*(1-1/SQRT(1-PI()*P52/3)) )^2*SUMSQ(K54:K$78) ), (1/(PI()^2*H53*$J$79))*SQRT((1+P52/(1-P52))^2*K53^2+(P52/(1-P52)-P53/(1-P53))^2*SUMSQ(K54:K$78)) )</f>
        <v>5.8594292644037627E-11</v>
      </c>
      <c r="V53" s="345">
        <f t="shared" si="18"/>
        <v>5.8680895678884529E-11</v>
      </c>
      <c r="W53" s="340">
        <f t="shared" si="19"/>
        <v>5.7979615648168474</v>
      </c>
      <c r="X53" s="345">
        <f t="shared" si="20"/>
        <v>1.1736179135776906E-10</v>
      </c>
      <c r="Y53" s="338">
        <f t="shared" si="8"/>
        <v>-20.711243114433394</v>
      </c>
      <c r="Z53" s="346">
        <f t="shared" si="21"/>
        <v>5.7979615648168475E-2</v>
      </c>
      <c r="AA53" s="346">
        <f t="shared" si="22"/>
        <v>0.27994271192617715</v>
      </c>
      <c r="AB53" s="346">
        <f t="shared" si="9"/>
        <v>0.11595923129633695</v>
      </c>
      <c r="AC53" s="336">
        <f t="shared" si="2"/>
        <v>1.3061049181413455E-13</v>
      </c>
      <c r="AD53" s="337">
        <f t="shared" si="3"/>
        <v>8.8598490851735707E-15</v>
      </c>
      <c r="AE53" s="308">
        <f t="shared" si="10"/>
        <v>6.7834130031311659</v>
      </c>
      <c r="AF53" s="337">
        <f t="shared" si="11"/>
        <v>1.7719698170347141E-14</v>
      </c>
      <c r="AG53" s="338">
        <f t="shared" si="23"/>
        <v>-29.666556845811659</v>
      </c>
      <c r="AH53" s="339">
        <f t="shared" si="24"/>
        <v>6.7834130031311668E-2</v>
      </c>
      <c r="AI53" s="340">
        <f t="shared" si="25"/>
        <v>0.22865521733402144</v>
      </c>
      <c r="AJ53" s="341">
        <f t="shared" si="12"/>
        <v>0.13566826006262334</v>
      </c>
    </row>
    <row r="54" spans="1:36" x14ac:dyDescent="0.2">
      <c r="A54" s="309">
        <v>47</v>
      </c>
      <c r="B54" s="309">
        <f t="shared" si="13"/>
        <v>50.347630555555561</v>
      </c>
      <c r="C54" s="1">
        <v>445.01</v>
      </c>
      <c r="D54" s="347">
        <v>2</v>
      </c>
      <c r="E54" s="326">
        <f t="shared" si="4"/>
        <v>13.924473654895845</v>
      </c>
      <c r="F54" s="327">
        <f t="shared" si="0"/>
        <v>3.9881107590626727E-2</v>
      </c>
      <c r="G54" s="309">
        <f t="shared" si="5"/>
        <v>2.6459333333333332</v>
      </c>
      <c r="H54" s="1">
        <v>9525.36</v>
      </c>
      <c r="I54" s="324">
        <v>30</v>
      </c>
      <c r="J54" s="1">
        <v>4.0000000000000002E-4</v>
      </c>
      <c r="K54" s="122">
        <v>1.0000000000000001E-5</v>
      </c>
      <c r="L54" s="328">
        <f t="shared" si="6"/>
        <v>2.5</v>
      </c>
      <c r="M54" s="329">
        <f t="shared" si="1"/>
        <v>1.0716649118153738E-4</v>
      </c>
      <c r="N54" s="342">
        <f>(1/$J$79)*SQRT(((1-J55/$J$79)*K54)^2+(J55/$J$79)^2*(SUMSQ(K$8:K53)+SUMSQ(K55:K$78)))</f>
        <v>2.6896320750360659E-6</v>
      </c>
      <c r="O54" s="340">
        <f t="shared" si="14"/>
        <v>2.509769654098216</v>
      </c>
      <c r="P54" s="332">
        <f t="shared" si="7"/>
        <v>0.24396987549932875</v>
      </c>
      <c r="Q54" s="342">
        <f>SQRT(((1-P54)/$J$79)^2*SUMSQ(K$8:K54)+(P54/$J$79)^2*SUMSQ(K55:K$78))</f>
        <v>5.4089380388712286E-3</v>
      </c>
      <c r="R54" s="340">
        <f t="shared" si="15"/>
        <v>2.2170516043428941</v>
      </c>
      <c r="S54" s="343">
        <f t="shared" si="16"/>
        <v>5.9591789201321529E-10</v>
      </c>
      <c r="T54" s="344">
        <f t="shared" si="17"/>
        <v>1.8768358109716008E-12</v>
      </c>
      <c r="U54" s="344">
        <f>IF(P54&lt;=0.85, (1/(3*H54*$J$79))*SQRT( ((1-P54)*(1/SQRT(1-PI()*P54/3)-1) + (1-P53)*(1-1/SQRT(1-PI()*P53/3)))^2*SUMSQ(K$8:K53) + ( (1-P54)*(1/SQRT(1-PI()*P54/3)-1) -P53*(1-1/SQRT(1-PI()*P53/3)) )^2*K54^2 + ( P54*(1-1/SQRT(1-PI()*P54/3)) - P53*(1-1/SQRT(1-PI()*P53/3)) )^2*SUMSQ(K55:K$78) ), (1/(PI()^2*H54*$J$79))*SQRT((1+P53/(1-P53))^2*K54^2+(P53/(1-P53)-P54/(1-P54))^2*SUMSQ(K55:K$78)) )</f>
        <v>3.3243687012826517E-11</v>
      </c>
      <c r="V54" s="345">
        <f t="shared" si="18"/>
        <v>3.3296625037203334E-11</v>
      </c>
      <c r="W54" s="340">
        <f t="shared" si="19"/>
        <v>5.5874518089591003</v>
      </c>
      <c r="X54" s="345">
        <f t="shared" si="20"/>
        <v>6.6593250074406668E-11</v>
      </c>
      <c r="Y54" s="338">
        <f t="shared" si="8"/>
        <v>-21.240918223432175</v>
      </c>
      <c r="Z54" s="346">
        <f t="shared" si="21"/>
        <v>5.5874518089590999E-2</v>
      </c>
      <c r="AA54" s="346">
        <f t="shared" si="22"/>
        <v>0.26305133093517752</v>
      </c>
      <c r="AB54" s="346">
        <f t="shared" si="9"/>
        <v>0.111749036179182</v>
      </c>
      <c r="AC54" s="336">
        <f t="shared" si="2"/>
        <v>7.6902965597148629E-14</v>
      </c>
      <c r="AD54" s="337">
        <f t="shared" si="3"/>
        <v>5.0789708444272211E-15</v>
      </c>
      <c r="AE54" s="308">
        <f t="shared" si="10"/>
        <v>6.6043887969588742</v>
      </c>
      <c r="AF54" s="337">
        <f t="shared" si="11"/>
        <v>1.0157941688854442E-14</v>
      </c>
      <c r="AG54" s="338">
        <f t="shared" si="23"/>
        <v>-30.19623195481044</v>
      </c>
      <c r="AH54" s="339">
        <f t="shared" si="24"/>
        <v>6.6043887969588738E-2</v>
      </c>
      <c r="AI54" s="340">
        <f t="shared" si="25"/>
        <v>0.21871565984929969</v>
      </c>
      <c r="AJ54" s="341">
        <f t="shared" si="12"/>
        <v>0.13208777593917748</v>
      </c>
    </row>
    <row r="55" spans="1:36" x14ac:dyDescent="0.2">
      <c r="A55" s="309">
        <v>48</v>
      </c>
      <c r="B55" s="309">
        <f t="shared" si="13"/>
        <v>52.993016666666669</v>
      </c>
      <c r="C55" s="1">
        <v>435.01</v>
      </c>
      <c r="D55" s="347">
        <v>2</v>
      </c>
      <c r="E55" s="326">
        <f t="shared" si="4"/>
        <v>14.121102575689111</v>
      </c>
      <c r="F55" s="327">
        <f t="shared" si="0"/>
        <v>4.1031752812536272E-2</v>
      </c>
      <c r="G55" s="309">
        <f t="shared" si="5"/>
        <v>2.6453861111111108</v>
      </c>
      <c r="H55" s="1">
        <v>9523.39</v>
      </c>
      <c r="I55" s="324">
        <v>30</v>
      </c>
      <c r="J55" s="122">
        <v>4.0000000000000003E-5</v>
      </c>
      <c r="K55" s="1">
        <v>0</v>
      </c>
      <c r="L55" s="328">
        <f t="shared" si="6"/>
        <v>0</v>
      </c>
      <c r="M55" s="329">
        <f t="shared" si="1"/>
        <v>1.0716649118153738E-5</v>
      </c>
      <c r="N55" s="342">
        <f>(1/$J$79)*SQRT(((1-J56/$J$79)*K55)^2+(J56/$J$79)^2*(SUMSQ(K$8:K54)+SUMSQ(K56:K$78)))</f>
        <v>1.9586414856045179E-6</v>
      </c>
      <c r="O55" s="340">
        <f t="shared" si="14"/>
        <v>18.276622328584295</v>
      </c>
      <c r="P55" s="332">
        <f t="shared" si="7"/>
        <v>0.24398059214844689</v>
      </c>
      <c r="Q55" s="342">
        <f>SQRT(((1-P55)/$J$79)^2*SUMSQ(K$8:K55)+(P55/$J$79)^2*SUMSQ(K56:K$78))</f>
        <v>5.409175093678103E-3</v>
      </c>
      <c r="R55" s="340">
        <f t="shared" si="15"/>
        <v>2.2170513834915853</v>
      </c>
      <c r="S55" s="343">
        <f t="shared" si="16"/>
        <v>5.9622135131240057E-11</v>
      </c>
      <c r="T55" s="344">
        <f t="shared" si="17"/>
        <v>1.8781799904626425E-13</v>
      </c>
      <c r="U55" s="344">
        <f>IF(P55&lt;=0.85, (1/(3*H55*$J$79))*SQRT( ((1-P55)*(1/SQRT(1-PI()*P55/3)-1) + (1-P54)*(1-1/SQRT(1-PI()*P54/3)))^2*SUMSQ(K$8:K54) + ( (1-P55)*(1/SQRT(1-PI()*P55/3)-1) -P54*(1-1/SQRT(1-PI()*P54/3)) )^2*K55^2 + ( P55*(1-1/SQRT(1-PI()*P55/3)) - P54*(1-1/SQRT(1-PI()*P54/3)) )^2*SUMSQ(K56:K$78) ), (1/(PI()^2*H55*$J$79))*SQRT((1+P54/(1-P54))^2*K55^2+(P54/(1-P54)-P55/(1-P55))^2*SUMSQ(K56:K$78)) )</f>
        <v>2.9734510411055521E-12</v>
      </c>
      <c r="V55" s="345">
        <f t="shared" si="18"/>
        <v>2.9793768970402912E-12</v>
      </c>
      <c r="W55" s="340">
        <f t="shared" si="19"/>
        <v>4.9970986286923411</v>
      </c>
      <c r="X55" s="345">
        <f t="shared" si="20"/>
        <v>5.9587537940805824E-12</v>
      </c>
      <c r="Y55" s="338">
        <f t="shared" si="8"/>
        <v>-23.542994215987765</v>
      </c>
      <c r="Z55" s="346">
        <f t="shared" si="21"/>
        <v>4.9970986286923411E-2</v>
      </c>
      <c r="AA55" s="346">
        <f t="shared" si="22"/>
        <v>0.21225416711434567</v>
      </c>
      <c r="AB55" s="346">
        <f t="shared" si="9"/>
        <v>9.9941972573846821E-2</v>
      </c>
      <c r="AC55" s="336">
        <f t="shared" si="2"/>
        <v>7.6942126898324763E-15</v>
      </c>
      <c r="AD55" s="337">
        <f t="shared" si="3"/>
        <v>4.7035074200320223E-16</v>
      </c>
      <c r="AE55" s="308">
        <f t="shared" si="10"/>
        <v>6.1130457522281345</v>
      </c>
      <c r="AF55" s="337">
        <f t="shared" si="11"/>
        <v>9.4070148400640446E-16</v>
      </c>
      <c r="AG55" s="338">
        <f t="shared" si="23"/>
        <v>-32.49830794736603</v>
      </c>
      <c r="AH55" s="339">
        <f t="shared" si="24"/>
        <v>6.1130457522281335E-2</v>
      </c>
      <c r="AI55" s="340">
        <f t="shared" si="25"/>
        <v>0.18810350871586201</v>
      </c>
      <c r="AJ55" s="341">
        <f t="shared" si="12"/>
        <v>0.12226091504456267</v>
      </c>
    </row>
    <row r="56" spans="1:36" x14ac:dyDescent="0.2">
      <c r="A56" s="309">
        <v>49</v>
      </c>
      <c r="B56" s="309">
        <f t="shared" si="13"/>
        <v>55.638402777777777</v>
      </c>
      <c r="C56" s="1">
        <v>425.01</v>
      </c>
      <c r="D56" s="347">
        <v>2</v>
      </c>
      <c r="E56" s="326">
        <f t="shared" si="4"/>
        <v>14.323364271800161</v>
      </c>
      <c r="F56" s="327">
        <f t="shared" si="0"/>
        <v>4.2232923451886985E-2</v>
      </c>
      <c r="G56" s="309">
        <f t="shared" si="5"/>
        <v>2.6453861111111108</v>
      </c>
      <c r="H56" s="1">
        <v>9523.39</v>
      </c>
      <c r="I56" s="324">
        <v>30</v>
      </c>
      <c r="J56" s="1">
        <v>3.3E-4</v>
      </c>
      <c r="K56" s="122">
        <v>1.0000000000000001E-5</v>
      </c>
      <c r="L56" s="328">
        <f t="shared" si="6"/>
        <v>3.0303030303030307</v>
      </c>
      <c r="M56" s="329">
        <f t="shared" si="1"/>
        <v>8.8412355224768335E-5</v>
      </c>
      <c r="N56" s="342">
        <f>(1/$J$79)*SQRT(((1-J57/$J$79)*K56)^2+(J57/$J$79)^2*(SUMSQ(K$8:K55)+SUMSQ(K57:K$78)))</f>
        <v>3.1842470400518972E-6</v>
      </c>
      <c r="O56" s="340">
        <f t="shared" si="14"/>
        <v>3.601586036201244</v>
      </c>
      <c r="P56" s="332">
        <f t="shared" si="7"/>
        <v>0.24406900450367167</v>
      </c>
      <c r="Q56" s="342">
        <f>SQRT(((1-P56)/$J$79)^2*SUMSQ(K$8:K56)+(P56/$J$79)^2*SUMSQ(K57:K$78))</f>
        <v>5.4111311365214257E-3</v>
      </c>
      <c r="R56" s="340">
        <f t="shared" si="15"/>
        <v>2.2170497017944868</v>
      </c>
      <c r="S56" s="343">
        <f t="shared" si="16"/>
        <v>4.9200763862824945E-10</v>
      </c>
      <c r="T56" s="344">
        <f t="shared" si="17"/>
        <v>1.5498923344363194E-12</v>
      </c>
      <c r="U56" s="344">
        <f>IF(P56&lt;=0.85, (1/(3*H56*$J$79))*SQRT( ((1-P56)*(1/SQRT(1-PI()*P56/3)-1) + (1-P55)*(1-1/SQRT(1-PI()*P55/3)))^2*SUMSQ(K$8:K55) + ( (1-P56)*(1/SQRT(1-PI()*P56/3)-1) -P55*(1-1/SQRT(1-PI()*P55/3)) )^2*K56^2 + ( P56*(1-1/SQRT(1-PI()*P56/3)) - P55*(1-1/SQRT(1-PI()*P55/3)) )^2*SUMSQ(K57:K$78) ), (1/(PI()^2*H56*$J$79))*SQRT((1+P55/(1-P55))^2*K56^2+(P55/(1-P55)-P56/(1-P56))^2*SUMSQ(K57:K$78)) )</f>
        <v>2.8712547784121565E-11</v>
      </c>
      <c r="V56" s="345">
        <f t="shared" si="18"/>
        <v>2.875434865379163E-11</v>
      </c>
      <c r="W56" s="340">
        <f t="shared" si="19"/>
        <v>5.8442890711942397</v>
      </c>
      <c r="X56" s="345">
        <f t="shared" si="20"/>
        <v>5.750869730758326E-11</v>
      </c>
      <c r="Y56" s="338">
        <f t="shared" si="8"/>
        <v>-21.432526873889589</v>
      </c>
      <c r="Z56" s="346">
        <f t="shared" si="21"/>
        <v>5.8442890711942398E-2</v>
      </c>
      <c r="AA56" s="346">
        <f t="shared" si="22"/>
        <v>0.27268315610111793</v>
      </c>
      <c r="AB56" s="346">
        <f t="shared" si="9"/>
        <v>0.1168857814238848</v>
      </c>
      <c r="AC56" s="336">
        <f t="shared" si="2"/>
        <v>6.3493388961920136E-14</v>
      </c>
      <c r="AD56" s="337">
        <f t="shared" si="3"/>
        <v>4.3321874022019873E-15</v>
      </c>
      <c r="AE56" s="308">
        <f t="shared" si="10"/>
        <v>6.8230527193944495</v>
      </c>
      <c r="AF56" s="337">
        <f t="shared" si="11"/>
        <v>8.6643748044039745E-15</v>
      </c>
      <c r="AG56" s="338">
        <f t="shared" si="23"/>
        <v>-30.387840605267851</v>
      </c>
      <c r="AH56" s="339">
        <f t="shared" si="24"/>
        <v>6.8230527193944498E-2</v>
      </c>
      <c r="AI56" s="340">
        <f t="shared" si="25"/>
        <v>0.22453233212667462</v>
      </c>
      <c r="AJ56" s="341">
        <f t="shared" si="12"/>
        <v>0.136461054387889</v>
      </c>
    </row>
    <row r="57" spans="1:36" x14ac:dyDescent="0.2">
      <c r="A57" s="309">
        <v>50</v>
      </c>
      <c r="B57" s="309">
        <f t="shared" si="13"/>
        <v>58.285449999999997</v>
      </c>
      <c r="C57" s="1">
        <v>415.01</v>
      </c>
      <c r="D57" s="347">
        <v>2</v>
      </c>
      <c r="E57" s="326">
        <f t="shared" si="4"/>
        <v>14.531504301325274</v>
      </c>
      <c r="F57" s="327">
        <f t="shared" si="0"/>
        <v>4.3487621523375146E-2</v>
      </c>
      <c r="G57" s="309">
        <f t="shared" si="5"/>
        <v>2.6470472222222221</v>
      </c>
      <c r="H57" s="1">
        <v>9529.3700000000008</v>
      </c>
      <c r="I57" s="324">
        <v>30</v>
      </c>
      <c r="J57" s="1">
        <v>2.9E-4</v>
      </c>
      <c r="K57" s="122">
        <v>1.0000000000000001E-5</v>
      </c>
      <c r="L57" s="328">
        <f t="shared" si="6"/>
        <v>3.4482758620689653</v>
      </c>
      <c r="M57" s="329">
        <f t="shared" si="1"/>
        <v>7.7695706106614592E-5</v>
      </c>
      <c r="N57" s="342">
        <f>(1/$J$79)*SQRT(((1-J58/$J$79)*K57)^2+(J58/$J$79)^2*(SUMSQ(K$8:K56)+SUMSQ(K58:K$78)))</f>
        <v>3.9105605738447175E-6</v>
      </c>
      <c r="O57" s="340">
        <f t="shared" si="14"/>
        <v>5.0331746370624639</v>
      </c>
      <c r="P57" s="332">
        <f t="shared" si="7"/>
        <v>0.24414670020977827</v>
      </c>
      <c r="Q57" s="342">
        <f>SQRT(((1-P57)/$J$79)^2*SUMSQ(K$8:K57)+(P57/$J$79)^2*SUMSQ(K58:K$78))</f>
        <v>5.4128501257457466E-3</v>
      </c>
      <c r="R57" s="340">
        <f t="shared" si="15"/>
        <v>2.2170482423456308</v>
      </c>
      <c r="S57" s="343">
        <f t="shared" si="16"/>
        <v>4.3228303495802178E-10</v>
      </c>
      <c r="T57" s="344">
        <f t="shared" si="17"/>
        <v>1.360897000404082E-12</v>
      </c>
      <c r="U57" s="344">
        <f>IF(P57&lt;=0.85, (1/(3*H57*$J$79))*SQRT( ((1-P57)*(1/SQRT(1-PI()*P57/3)-1) + (1-P56)*(1-1/SQRT(1-PI()*P56/3)))^2*SUMSQ(K$8:K56) + ( (1-P57)*(1/SQRT(1-PI()*P57/3)-1) -P56*(1-1/SQRT(1-PI()*P56/3)) )^2*K57^2 + ( P57*(1-1/SQRT(1-PI()*P57/3)) - P56*(1-1/SQRT(1-PI()*P56/3)) )^2*SUMSQ(K58:K$78) ), (1/(PI()^2*H57*$J$79))*SQRT((1+P56/(1-P56))^2*K57^2+(P56/(1-P56)-P57/(1-P57))^2*SUMSQ(K58:K$78)) )</f>
        <v>2.6211789120115085E-11</v>
      </c>
      <c r="V57" s="345">
        <f t="shared" si="18"/>
        <v>2.624709373479457E-11</v>
      </c>
      <c r="W57" s="340">
        <f t="shared" si="19"/>
        <v>6.0717381003266482</v>
      </c>
      <c r="X57" s="345">
        <f t="shared" si="20"/>
        <v>5.2494187469589139E-11</v>
      </c>
      <c r="Y57" s="338">
        <f t="shared" si="8"/>
        <v>-21.561940568702965</v>
      </c>
      <c r="Z57" s="346">
        <f t="shared" si="21"/>
        <v>6.0717381003266478E-2</v>
      </c>
      <c r="AA57" s="346">
        <f t="shared" si="22"/>
        <v>0.28159515981320071</v>
      </c>
      <c r="AB57" s="346">
        <f t="shared" si="9"/>
        <v>0.12143476200653296</v>
      </c>
      <c r="AC57" s="336">
        <f t="shared" si="2"/>
        <v>5.5785952748118724E-14</v>
      </c>
      <c r="AD57" s="337">
        <f t="shared" si="3"/>
        <v>3.9155355991901804E-15</v>
      </c>
      <c r="AE57" s="308">
        <f t="shared" si="10"/>
        <v>7.018855834316148</v>
      </c>
      <c r="AF57" s="337">
        <f t="shared" si="11"/>
        <v>7.8310711983803607E-15</v>
      </c>
      <c r="AG57" s="338">
        <f t="shared" si="23"/>
        <v>-30.51725430008123</v>
      </c>
      <c r="AH57" s="339">
        <f t="shared" si="24"/>
        <v>7.018855834316147E-2</v>
      </c>
      <c r="AI57" s="340">
        <f t="shared" si="25"/>
        <v>0.22999630849153638</v>
      </c>
      <c r="AJ57" s="341">
        <f t="shared" si="12"/>
        <v>0.14037711668632294</v>
      </c>
    </row>
    <row r="58" spans="1:36" x14ac:dyDescent="0.2">
      <c r="A58" s="309">
        <v>51</v>
      </c>
      <c r="B58" s="309">
        <f t="shared" si="13"/>
        <v>60.931925</v>
      </c>
      <c r="C58" s="1">
        <v>405.01</v>
      </c>
      <c r="D58" s="347">
        <v>2</v>
      </c>
      <c r="E58" s="326">
        <f t="shared" si="4"/>
        <v>14.745782706146043</v>
      </c>
      <c r="F58" s="327">
        <f t="shared" si="0"/>
        <v>4.0797674033869309E-2</v>
      </c>
      <c r="G58" s="309">
        <f t="shared" si="5"/>
        <v>2.6464750000000001</v>
      </c>
      <c r="H58" s="1">
        <v>9527.31</v>
      </c>
      <c r="I58" s="324">
        <v>30</v>
      </c>
      <c r="J58" s="1">
        <v>4.7999999999999898E-4</v>
      </c>
      <c r="K58" s="122">
        <v>1.0000000000000001E-5</v>
      </c>
      <c r="L58" s="328">
        <f t="shared" si="6"/>
        <v>2.0833333333333379</v>
      </c>
      <c r="M58" s="329">
        <f t="shared" si="1"/>
        <v>1.2859978941784456E-4</v>
      </c>
      <c r="N58" s="342">
        <f>(1/$J$79)*SQRT(((1-J59/$J$79)*K58)^2+(J59/$J$79)^2*(SUMSQ(K$8:K57)+SUMSQ(K59:K$78)))</f>
        <v>4.0421066086683048E-6</v>
      </c>
      <c r="O58" s="340">
        <f t="shared" si="14"/>
        <v>3.1431673620667846</v>
      </c>
      <c r="P58" s="332">
        <f t="shared" si="7"/>
        <v>0.24427529999919612</v>
      </c>
      <c r="Q58" s="342">
        <f>SQRT(((1-P58)/$J$79)^2*SUMSQ(K$8:K58)+(P58/$J$79)^2*SUMSQ(K59:K$78))</f>
        <v>5.4156951299043207E-3</v>
      </c>
      <c r="R58" s="340">
        <f t="shared" si="15"/>
        <v>2.217045738935596</v>
      </c>
      <c r="S58" s="343">
        <f t="shared" si="16"/>
        <v>7.1603608093970339E-10</v>
      </c>
      <c r="T58" s="344">
        <f t="shared" si="17"/>
        <v>2.2546849455083449E-12</v>
      </c>
      <c r="U58" s="344">
        <f>IF(P58&lt;=0.85, (1/(3*H58*$J$79))*SQRT( ((1-P58)*(1/SQRT(1-PI()*P58/3)-1) + (1-P57)*(1-1/SQRT(1-PI()*P57/3)))^2*SUMSQ(K$8:K57) + ( (1-P58)*(1/SQRT(1-PI()*P58/3)-1) -P57*(1-1/SQRT(1-PI()*P57/3)) )^2*K58^2 + ( P58*(1-1/SQRT(1-PI()*P58/3)) - P57*(1-1/SQRT(1-PI()*P57/3)) )^2*SUMSQ(K59:K$78) ), (1/(PI()^2*H58*$J$79))*SQRT((1+P57/(1-P57))^2*K58^2+(P57/(1-P57)-P58/(1-P58))^2*SUMSQ(K59:K$78)) )</f>
        <v>3.8705317805402155E-11</v>
      </c>
      <c r="V58" s="345">
        <f t="shared" si="18"/>
        <v>3.8770932805655874E-11</v>
      </c>
      <c r="W58" s="340">
        <f t="shared" si="19"/>
        <v>5.414661891726757</v>
      </c>
      <c r="X58" s="345">
        <f t="shared" si="20"/>
        <v>7.7541865611311749E-11</v>
      </c>
      <c r="Y58" s="338">
        <f t="shared" si="8"/>
        <v>-21.057290557863666</v>
      </c>
      <c r="Z58" s="346">
        <f t="shared" si="21"/>
        <v>5.4146618917267568E-2</v>
      </c>
      <c r="AA58" s="346">
        <f t="shared" si="22"/>
        <v>0.25713953449270793</v>
      </c>
      <c r="AB58" s="346">
        <f t="shared" si="9"/>
        <v>0.10829323783453514</v>
      </c>
      <c r="AC58" s="336">
        <f t="shared" si="2"/>
        <v>9.2404169830836348E-14</v>
      </c>
      <c r="AD58" s="337">
        <f t="shared" si="3"/>
        <v>5.9682577208176584E-15</v>
      </c>
      <c r="AE58" s="308">
        <f t="shared" si="10"/>
        <v>6.4588619017342017</v>
      </c>
      <c r="AF58" s="337">
        <f t="shared" si="11"/>
        <v>1.1936515441635317E-14</v>
      </c>
      <c r="AG58" s="338">
        <f t="shared" si="23"/>
        <v>-30.012604289241931</v>
      </c>
      <c r="AH58" s="339">
        <f t="shared" si="24"/>
        <v>6.4588619017342017E-2</v>
      </c>
      <c r="AI58" s="340">
        <f t="shared" si="25"/>
        <v>0.2152049798640564</v>
      </c>
      <c r="AJ58" s="341">
        <f t="shared" si="12"/>
        <v>0.12917723803468403</v>
      </c>
    </row>
    <row r="59" spans="1:36" x14ac:dyDescent="0.2">
      <c r="A59" s="309">
        <v>52</v>
      </c>
      <c r="B59" s="309">
        <f t="shared" si="13"/>
        <v>63.577855555555558</v>
      </c>
      <c r="C59" s="1">
        <v>427.01</v>
      </c>
      <c r="D59" s="347">
        <v>2</v>
      </c>
      <c r="E59" s="326">
        <f t="shared" si="4"/>
        <v>14.282449725776965</v>
      </c>
      <c r="F59" s="327">
        <f t="shared" si="0"/>
        <v>3.9656792226923553E-2</v>
      </c>
      <c r="G59" s="309">
        <f t="shared" si="5"/>
        <v>2.6459305555555557</v>
      </c>
      <c r="H59" s="1">
        <v>9525.35</v>
      </c>
      <c r="I59" s="324">
        <v>30</v>
      </c>
      <c r="J59" s="1">
        <v>5.0999999999999895E-4</v>
      </c>
      <c r="K59" s="122">
        <v>1.0000000000000001E-5</v>
      </c>
      <c r="L59" s="328">
        <f t="shared" si="6"/>
        <v>1.9607843137254943</v>
      </c>
      <c r="M59" s="329">
        <f t="shared" si="1"/>
        <v>1.3663727625645987E-4</v>
      </c>
      <c r="N59" s="342">
        <f>(1/$J$79)*SQRT(((1-J60/$J$79)*K59)^2+(J60/$J$79)^2*(SUMSQ(K$8:K58)+SUMSQ(K60:K$78)))</f>
        <v>6.4575994801809436E-6</v>
      </c>
      <c r="O59" s="340">
        <f t="shared" si="14"/>
        <v>4.7260891442686708</v>
      </c>
      <c r="P59" s="332">
        <f t="shared" si="7"/>
        <v>0.24441193727545257</v>
      </c>
      <c r="Q59" s="342">
        <f>SQRT(((1-P59)/$J$79)^2*SUMSQ(K$8:K59)+(P59/$J$79)^2*SUMSQ(K60:K$78))</f>
        <v>5.4187179298127554E-3</v>
      </c>
      <c r="R59" s="340">
        <f t="shared" si="15"/>
        <v>2.2170430749893582</v>
      </c>
      <c r="S59" s="343">
        <f t="shared" si="16"/>
        <v>7.6146206092865846E-10</v>
      </c>
      <c r="T59" s="344">
        <f t="shared" si="17"/>
        <v>2.3982175802316707E-12</v>
      </c>
      <c r="U59" s="344">
        <f>IF(P59&lt;=0.85, (1/(3*H59*$J$79))*SQRT( ((1-P59)*(1/SQRT(1-PI()*P59/3)-1) + (1-P58)*(1-1/SQRT(1-PI()*P58/3)))^2*SUMSQ(K$8:K58) + ( (1-P59)*(1/SQRT(1-PI()*P59/3)-1) -P58*(1-1/SQRT(1-PI()*P58/3)) )^2*K59^2 + ( P59*(1-1/SQRT(1-PI()*P59/3)) - P58*(1-1/SQRT(1-PI()*P58/3)) )^2*SUMSQ(K60:K$78) ), (1/(PI()^2*H59*$J$79))*SQRT((1+P58/(1-P58))^2*K59^2+(P58/(1-P58)-P59/(1-P59))^2*SUMSQ(K60:K$78)) )</f>
        <v>4.0813046175024128E-11</v>
      </c>
      <c r="V59" s="345">
        <f t="shared" si="18"/>
        <v>4.0883446352365936E-11</v>
      </c>
      <c r="W59" s="340">
        <f t="shared" si="19"/>
        <v>5.3690720063591346</v>
      </c>
      <c r="X59" s="345">
        <f t="shared" si="20"/>
        <v>8.1766892704731872E-11</v>
      </c>
      <c r="Y59" s="338">
        <f t="shared" si="8"/>
        <v>-20.995780766333272</v>
      </c>
      <c r="Z59" s="346">
        <f t="shared" si="21"/>
        <v>5.3690720063591345E-2</v>
      </c>
      <c r="AA59" s="346">
        <f t="shared" si="22"/>
        <v>0.25572147404817824</v>
      </c>
      <c r="AB59" s="346">
        <f t="shared" si="9"/>
        <v>0.10738144012718269</v>
      </c>
      <c r="AC59" s="336">
        <f t="shared" si="2"/>
        <v>9.8266374378018994E-14</v>
      </c>
      <c r="AD59" s="337">
        <f t="shared" si="3"/>
        <v>6.3093798697284039E-15</v>
      </c>
      <c r="AE59" s="308">
        <f t="shared" si="10"/>
        <v>6.420690607203003</v>
      </c>
      <c r="AF59" s="337">
        <f t="shared" si="11"/>
        <v>1.2618759739456808E-14</v>
      </c>
      <c r="AG59" s="338">
        <f t="shared" si="23"/>
        <v>-29.951094497711534</v>
      </c>
      <c r="AH59" s="339">
        <f t="shared" si="24"/>
        <v>6.4206906072030029E-2</v>
      </c>
      <c r="AI59" s="340">
        <f t="shared" si="25"/>
        <v>0.21437248671141509</v>
      </c>
      <c r="AJ59" s="341">
        <f t="shared" si="12"/>
        <v>0.12841381214406006</v>
      </c>
    </row>
    <row r="60" spans="1:36" x14ac:dyDescent="0.2">
      <c r="A60" s="309">
        <v>53</v>
      </c>
      <c r="B60" s="309">
        <f t="shared" si="13"/>
        <v>66.22378611111111</v>
      </c>
      <c r="C60" s="1">
        <v>437.01</v>
      </c>
      <c r="D60" s="347">
        <v>2</v>
      </c>
      <c r="E60" s="326">
        <f t="shared" si="4"/>
        <v>14.081333783936016</v>
      </c>
      <c r="F60" s="327">
        <f t="shared" si="0"/>
        <v>3.8563105851073309E-2</v>
      </c>
      <c r="G60" s="309">
        <f t="shared" si="5"/>
        <v>2.6459305555555557</v>
      </c>
      <c r="H60" s="1">
        <v>9525.35</v>
      </c>
      <c r="I60" s="324">
        <v>30</v>
      </c>
      <c r="J60" s="1">
        <v>9.8999999999999999E-4</v>
      </c>
      <c r="K60" s="122">
        <v>2.0000000000000002E-5</v>
      </c>
      <c r="L60" s="328">
        <f t="shared" si="6"/>
        <v>2.0202020202020203</v>
      </c>
      <c r="M60" s="329">
        <f t="shared" si="1"/>
        <v>2.6523706567430501E-4</v>
      </c>
      <c r="N60" s="342">
        <f>(1/$J$79)*SQRT(((1-J61/$J$79)*K60)^2+(J61/$J$79)^2*(SUMSQ(K$8:K59)+SUMSQ(K61:K$78)))</f>
        <v>6.6367608139314328E-6</v>
      </c>
      <c r="O60" s="340">
        <f t="shared" si="14"/>
        <v>2.5021996066269909</v>
      </c>
      <c r="P60" s="332">
        <f t="shared" si="7"/>
        <v>0.24467717434112687</v>
      </c>
      <c r="Q60" s="342">
        <f>SQRT(((1-P60)/$J$79)^2*SUMSQ(K$8:K60)+(P60/$J$79)^2*SUMSQ(K61:K$78))</f>
        <v>5.4245864257513642E-3</v>
      </c>
      <c r="R60" s="340">
        <f t="shared" si="15"/>
        <v>2.2170382016053738</v>
      </c>
      <c r="S60" s="343">
        <f t="shared" si="16"/>
        <v>1.4796539215628087E-9</v>
      </c>
      <c r="T60" s="344">
        <f t="shared" si="17"/>
        <v>4.6601560726780955E-12</v>
      </c>
      <c r="U60" s="344">
        <f>IF(P60&lt;=0.85, (1/(3*H60*$J$79))*SQRT( ((1-P60)*(1/SQRT(1-PI()*P60/3)-1) + (1-P59)*(1-1/SQRT(1-PI()*P59/3)))^2*SUMSQ(K$8:K59) + ( (1-P60)*(1/SQRT(1-PI()*P60/3)-1) -P59*(1-1/SQRT(1-PI()*P59/3)) )^2*K60^2 + ( P60*(1-1/SQRT(1-PI()*P60/3)) - P59*(1-1/SQRT(1-PI()*P59/3)) )^2*SUMSQ(K61:K$78) ), (1/(PI()^2*H60*$J$79))*SQRT((1+P59/(1-P59))^2*K60^2+(P59/(1-P59)-P60/(1-P60))^2*SUMSQ(K61:K$78)) )</f>
        <v>7.9641426232833201E-11</v>
      </c>
      <c r="V60" s="345">
        <f t="shared" si="18"/>
        <v>7.9777652428618947E-11</v>
      </c>
      <c r="W60" s="340">
        <f t="shared" si="19"/>
        <v>5.3916426852272243</v>
      </c>
      <c r="X60" s="345">
        <f t="shared" si="20"/>
        <v>1.5955530485723789E-10</v>
      </c>
      <c r="Y60" s="338">
        <f t="shared" si="8"/>
        <v>-20.331457613296358</v>
      </c>
      <c r="Z60" s="346">
        <f t="shared" si="21"/>
        <v>5.3916426852272242E-2</v>
      </c>
      <c r="AA60" s="346">
        <f t="shared" si="22"/>
        <v>0.26518721814127089</v>
      </c>
      <c r="AB60" s="346">
        <f t="shared" si="9"/>
        <v>0.10783285370454448</v>
      </c>
      <c r="AC60" s="336">
        <f t="shared" si="2"/>
        <v>1.9094874671611182E-13</v>
      </c>
      <c r="AD60" s="337">
        <f t="shared" si="3"/>
        <v>1.2296290473761531E-14</v>
      </c>
      <c r="AE60" s="308">
        <f t="shared" si="10"/>
        <v>6.4395764231135422</v>
      </c>
      <c r="AF60" s="337">
        <f t="shared" si="11"/>
        <v>2.4592580947523062E-14</v>
      </c>
      <c r="AG60" s="338">
        <f t="shared" si="23"/>
        <v>-29.286771344674619</v>
      </c>
      <c r="AH60" s="339">
        <f t="shared" si="24"/>
        <v>6.4395764231135424E-2</v>
      </c>
      <c r="AI60" s="340">
        <f t="shared" si="25"/>
        <v>0.21988003892018257</v>
      </c>
      <c r="AJ60" s="341">
        <f t="shared" si="12"/>
        <v>0.12879152846227085</v>
      </c>
    </row>
    <row r="61" spans="1:36" x14ac:dyDescent="0.2">
      <c r="A61" s="309">
        <v>54</v>
      </c>
      <c r="B61" s="309">
        <f t="shared" si="13"/>
        <v>68.869158333333331</v>
      </c>
      <c r="C61" s="1">
        <v>447.01</v>
      </c>
      <c r="D61" s="347">
        <v>2</v>
      </c>
      <c r="E61" s="326">
        <f t="shared" si="4"/>
        <v>13.885803154854477</v>
      </c>
      <c r="F61" s="327">
        <f t="shared" si="0"/>
        <v>3.751507478801322E-2</v>
      </c>
      <c r="G61" s="309">
        <f t="shared" si="5"/>
        <v>2.645372222222222</v>
      </c>
      <c r="H61" s="1">
        <v>9523.34</v>
      </c>
      <c r="I61" s="324">
        <v>30</v>
      </c>
      <c r="J61" s="1">
        <v>6.6E-4</v>
      </c>
      <c r="K61" s="122">
        <v>1.0000000000000001E-5</v>
      </c>
      <c r="L61" s="328">
        <f t="shared" si="6"/>
        <v>1.5151515151515154</v>
      </c>
      <c r="M61" s="329">
        <f t="shared" si="1"/>
        <v>1.7682471044953667E-4</v>
      </c>
      <c r="N61" s="342">
        <f>(1/$J$79)*SQRT(((1-J62/$J$79)*K61)^2+(J62/$J$79)^2*(SUMSQ(K$8:K60)+SUMSQ(K62:K$78)))</f>
        <v>5.9756787702609032E-6</v>
      </c>
      <c r="O61" s="340">
        <f t="shared" si="14"/>
        <v>3.3794364798161389</v>
      </c>
      <c r="P61" s="332">
        <f t="shared" si="7"/>
        <v>0.2448539990515764</v>
      </c>
      <c r="Q61" s="342">
        <f>SQRT(((1-P61)/$J$79)^2*SUMSQ(K$8:K61)+(P61/$J$79)^2*SUMSQ(K62:K$78))</f>
        <v>5.4284982014627973E-3</v>
      </c>
      <c r="R61" s="340">
        <f t="shared" si="15"/>
        <v>2.2170347319176642</v>
      </c>
      <c r="S61" s="343">
        <f t="shared" si="16"/>
        <v>9.8776073830855285E-10</v>
      </c>
      <c r="T61" s="344">
        <f t="shared" si="17"/>
        <v>3.1115997275385119E-12</v>
      </c>
      <c r="U61" s="344">
        <f>IF(P61&lt;=0.85, (1/(3*H61*$J$79))*SQRT( ((1-P61)*(1/SQRT(1-PI()*P61/3)-1) + (1-P60)*(1-1/SQRT(1-PI()*P60/3)))^2*SUMSQ(K$8:K60) + ( (1-P61)*(1/SQRT(1-PI()*P61/3)-1) -P60*(1-1/SQRT(1-PI()*P60/3)) )^2*K61^2 + ( P61*(1-1/SQRT(1-PI()*P61/3)) - P60*(1-1/SQRT(1-PI()*P60/3)) )^2*SUMSQ(K62:K$78) ), (1/(PI()^2*H61*$J$79))*SQRT((1+P60/(1-P60))^2*K61^2+(P60/(1-P60)-P61/(1-P61))^2*SUMSQ(K62:K$78)) )</f>
        <v>5.1507026919346925E-11</v>
      </c>
      <c r="V61" s="345">
        <f t="shared" si="18"/>
        <v>5.1600929012322504E-11</v>
      </c>
      <c r="W61" s="340">
        <f t="shared" si="19"/>
        <v>5.2240311860020103</v>
      </c>
      <c r="X61" s="345">
        <f t="shared" si="20"/>
        <v>1.0320185802464501E-10</v>
      </c>
      <c r="Y61" s="338">
        <f t="shared" si="8"/>
        <v>-20.735580615211909</v>
      </c>
      <c r="Z61" s="346">
        <f t="shared" si="21"/>
        <v>5.2240311860020101E-2</v>
      </c>
      <c r="AA61" s="346">
        <f t="shared" si="22"/>
        <v>0.25193561168813322</v>
      </c>
      <c r="AB61" s="346">
        <f t="shared" si="9"/>
        <v>0.1044806237200402</v>
      </c>
      <c r="AC61" s="336">
        <f t="shared" si="2"/>
        <v>1.2747012817442342E-13</v>
      </c>
      <c r="AD61" s="337">
        <f t="shared" si="3"/>
        <v>8.0305002650461111E-15</v>
      </c>
      <c r="AE61" s="308">
        <f t="shared" si="10"/>
        <v>6.2999075783916973</v>
      </c>
      <c r="AF61" s="337">
        <f t="shared" si="11"/>
        <v>1.6061000530092222E-14</v>
      </c>
      <c r="AG61" s="338">
        <f t="shared" si="23"/>
        <v>-29.69089434659017</v>
      </c>
      <c r="AH61" s="339">
        <f t="shared" si="24"/>
        <v>6.2999075783916975E-2</v>
      </c>
      <c r="AI61" s="340">
        <f t="shared" si="25"/>
        <v>0.21218315301826554</v>
      </c>
      <c r="AJ61" s="341">
        <f t="shared" si="12"/>
        <v>0.12599815156783395</v>
      </c>
    </row>
    <row r="62" spans="1:36" x14ac:dyDescent="0.2">
      <c r="A62" s="309">
        <v>55</v>
      </c>
      <c r="B62" s="309">
        <f t="shared" si="13"/>
        <v>71.514527777777772</v>
      </c>
      <c r="C62" s="1">
        <v>457</v>
      </c>
      <c r="D62" s="347">
        <v>2</v>
      </c>
      <c r="E62" s="326">
        <f t="shared" si="4"/>
        <v>13.695815928233925</v>
      </c>
      <c r="F62" s="327">
        <f t="shared" si="0"/>
        <v>3.6508207371309179E-2</v>
      </c>
      <c r="G62" s="309">
        <f t="shared" si="5"/>
        <v>2.645369444444444</v>
      </c>
      <c r="H62" s="1">
        <v>9523.33</v>
      </c>
      <c r="I62" s="324">
        <v>30</v>
      </c>
      <c r="J62" s="1">
        <v>8.9999999999999998E-4</v>
      </c>
      <c r="K62" s="122">
        <v>2.0000000000000002E-5</v>
      </c>
      <c r="L62" s="328">
        <f t="shared" si="6"/>
        <v>2.2222222222222223</v>
      </c>
      <c r="M62" s="329">
        <f t="shared" si="1"/>
        <v>2.4112460515845907E-4</v>
      </c>
      <c r="N62" s="342">
        <f>(1/$J$79)*SQRT(((1-J63/$J$79)*K62)^2+(J63/$J$79)^2*(SUMSQ(K$8:K61)+SUMSQ(K63:K$78)))</f>
        <v>5.7046333468278214E-6</v>
      </c>
      <c r="O62" s="340">
        <f t="shared" si="14"/>
        <v>2.3658445570409232</v>
      </c>
      <c r="P62" s="332">
        <f t="shared" si="7"/>
        <v>0.24509512365673486</v>
      </c>
      <c r="Q62" s="342">
        <f>SQRT(((1-P62)/$J$79)^2*SUMSQ(K$8:K62)+(P62/$J$79)^2*SUMSQ(K63:K$78))</f>
        <v>5.433833340822404E-3</v>
      </c>
      <c r="R62" s="340">
        <f t="shared" si="15"/>
        <v>2.217030375697191</v>
      </c>
      <c r="S62" s="343">
        <f t="shared" si="16"/>
        <v>1.3483881443226043E-9</v>
      </c>
      <c r="T62" s="344">
        <f t="shared" si="17"/>
        <v>4.2476365231151485E-12</v>
      </c>
      <c r="U62" s="344">
        <f>IF(P62&lt;=0.85, (1/(3*H62*$J$79))*SQRT( ((1-P62)*(1/SQRT(1-PI()*P62/3)-1) + (1-P61)*(1-1/SQRT(1-PI()*P61/3)))^2*SUMSQ(K$8:K61) + ( (1-P62)*(1/SQRT(1-PI()*P62/3)-1) -P61*(1-1/SQRT(1-PI()*P61/3)) )^2*K62^2 + ( P62*(1-1/SQRT(1-PI()*P62/3)) - P61*(1-1/SQRT(1-PI()*P61/3)) )^2*SUMSQ(K63:K$78) ), (1/(PI()^2*H62*$J$79))*SQRT((1+P61/(1-P61))^2*K62^2+(P61/(1-P61)-P62/(1-P62))^2*SUMSQ(K63:K$78)) )</f>
        <v>7.3657758837666968E-11</v>
      </c>
      <c r="V62" s="345">
        <f t="shared" si="18"/>
        <v>7.3780131831140062E-11</v>
      </c>
      <c r="W62" s="340">
        <f t="shared" si="19"/>
        <v>5.4717280140582458</v>
      </c>
      <c r="X62" s="345">
        <f t="shared" si="20"/>
        <v>1.4756026366228012E-10</v>
      </c>
      <c r="Y62" s="338">
        <f t="shared" si="8"/>
        <v>-20.424355925011177</v>
      </c>
      <c r="Z62" s="346">
        <f t="shared" si="21"/>
        <v>5.4717280140582455E-2</v>
      </c>
      <c r="AA62" s="346">
        <f t="shared" si="22"/>
        <v>0.26790210835278766</v>
      </c>
      <c r="AB62" s="346">
        <f t="shared" si="9"/>
        <v>0.10943456028116491</v>
      </c>
      <c r="AC62" s="336">
        <f t="shared" si="2"/>
        <v>1.7400895066957434E-13</v>
      </c>
      <c r="AD62" s="337">
        <f t="shared" si="3"/>
        <v>1.1322373604042828E-14</v>
      </c>
      <c r="AE62" s="308">
        <f t="shared" si="10"/>
        <v>6.5067765540077804</v>
      </c>
      <c r="AF62" s="337">
        <f t="shared" si="11"/>
        <v>2.2644747208085656E-14</v>
      </c>
      <c r="AG62" s="338">
        <f t="shared" si="23"/>
        <v>-29.379669656389442</v>
      </c>
      <c r="AH62" s="339">
        <f t="shared" si="24"/>
        <v>6.5067765540077802E-2</v>
      </c>
      <c r="AI62" s="340">
        <f t="shared" si="25"/>
        <v>0.22147208018701114</v>
      </c>
      <c r="AJ62" s="341">
        <f t="shared" si="12"/>
        <v>0.1301355310801556</v>
      </c>
    </row>
    <row r="63" spans="1:36" x14ac:dyDescent="0.2">
      <c r="A63" s="309">
        <v>56</v>
      </c>
      <c r="B63" s="309">
        <f t="shared" si="13"/>
        <v>74.161563888888878</v>
      </c>
      <c r="C63" s="1">
        <v>467</v>
      </c>
      <c r="D63" s="347">
        <v>2</v>
      </c>
      <c r="E63" s="326">
        <f t="shared" si="4"/>
        <v>13.510774842937243</v>
      </c>
      <c r="F63" s="327">
        <f t="shared" si="0"/>
        <v>3.5541337598862507E-2</v>
      </c>
      <c r="G63" s="309">
        <f t="shared" si="5"/>
        <v>2.6470361111111114</v>
      </c>
      <c r="H63" s="1">
        <v>9529.33</v>
      </c>
      <c r="I63" s="324">
        <v>30</v>
      </c>
      <c r="J63" s="1">
        <v>3.3E-4</v>
      </c>
      <c r="K63" s="122">
        <v>1.0000000000000001E-5</v>
      </c>
      <c r="L63" s="328">
        <f t="shared" si="6"/>
        <v>3.0303030303030307</v>
      </c>
      <c r="M63" s="329">
        <f t="shared" si="1"/>
        <v>8.8412355224768335E-5</v>
      </c>
      <c r="N63" s="342">
        <f>(1/$J$79)*SQRT(((1-J64/$J$79)*K63)^2+(J64/$J$79)^2*(SUMSQ(K$8:K62)+SUMSQ(K64:K$78)))</f>
        <v>5.503414234818152E-6</v>
      </c>
      <c r="O63" s="340">
        <f t="shared" si="14"/>
        <v>6.2247117168488169</v>
      </c>
      <c r="P63" s="332">
        <f t="shared" si="7"/>
        <v>0.24518353601195964</v>
      </c>
      <c r="Q63" s="342">
        <f>SQRT(((1-P63)/$J$79)^2*SUMSQ(K$8:K63)+(P63/$J$79)^2*SUMSQ(K64:K$78))</f>
        <v>5.4357894041771534E-3</v>
      </c>
      <c r="R63" s="340">
        <f t="shared" si="15"/>
        <v>2.2170287175856722</v>
      </c>
      <c r="S63" s="343">
        <f t="shared" si="16"/>
        <v>4.945139606237635E-10</v>
      </c>
      <c r="T63" s="344">
        <f t="shared" si="17"/>
        <v>1.556816567241654E-12</v>
      </c>
      <c r="U63" s="344">
        <f>IF(P63&lt;=0.85, (1/(3*H63*$J$79))*SQRT( ((1-P63)*(1/SQRT(1-PI()*P63/3)-1) + (1-P62)*(1-1/SQRT(1-PI()*P62/3)))^2*SUMSQ(K$8:K62) + ( (1-P63)*(1/SQRT(1-PI()*P63/3)-1) -P62*(1-1/SQRT(1-PI()*P62/3)) )^2*K63^2 + ( P63*(1-1/SQRT(1-PI()*P63/3)) - P62*(1-1/SQRT(1-PI()*P62/3)) )^2*SUMSQ(K64:K$78) ), (1/(PI()^2*H63*$J$79))*SQRT((1+P62/(1-P62))^2*K63^2+(P62/(1-P62)-P63/(1-P63))^2*SUMSQ(K64:K$78)) )</f>
        <v>2.88728956310582E-11</v>
      </c>
      <c r="V63" s="345">
        <f t="shared" si="18"/>
        <v>2.8914836675070771E-11</v>
      </c>
      <c r="W63" s="340">
        <f t="shared" si="19"/>
        <v>5.8471224227114957</v>
      </c>
      <c r="X63" s="345">
        <f t="shared" si="20"/>
        <v>5.7829673350141541E-11</v>
      </c>
      <c r="Y63" s="338">
        <f t="shared" si="8"/>
        <v>-21.427445733466993</v>
      </c>
      <c r="Z63" s="346">
        <f t="shared" si="21"/>
        <v>5.8471224227114954E-2</v>
      </c>
      <c r="AA63" s="346">
        <f t="shared" si="22"/>
        <v>0.2728800481141353</v>
      </c>
      <c r="AB63" s="346">
        <f t="shared" si="9"/>
        <v>0.11694244845422991</v>
      </c>
      <c r="AC63" s="336">
        <f t="shared" si="2"/>
        <v>6.3816828812912431E-14</v>
      </c>
      <c r="AD63" s="337">
        <f t="shared" si="3"/>
        <v>4.3558047498050372E-15</v>
      </c>
      <c r="AE63" s="308">
        <f t="shared" si="10"/>
        <v>6.8254797846108293</v>
      </c>
      <c r="AF63" s="337">
        <f t="shared" si="11"/>
        <v>8.7116094996100744E-15</v>
      </c>
      <c r="AG63" s="338">
        <f t="shared" si="23"/>
        <v>-30.382759464845257</v>
      </c>
      <c r="AH63" s="339">
        <f t="shared" si="24"/>
        <v>6.82547978461083E-2</v>
      </c>
      <c r="AI63" s="340">
        <f t="shared" si="25"/>
        <v>0.22464976535486628</v>
      </c>
      <c r="AJ63" s="341">
        <f t="shared" si="12"/>
        <v>0.1365095956922166</v>
      </c>
    </row>
    <row r="64" spans="1:36" x14ac:dyDescent="0.2">
      <c r="A64" s="309">
        <v>57</v>
      </c>
      <c r="B64" s="309">
        <f t="shared" si="13"/>
        <v>76.808047222222214</v>
      </c>
      <c r="C64" s="1">
        <v>477</v>
      </c>
      <c r="D64" s="347">
        <v>2</v>
      </c>
      <c r="E64" s="326">
        <f t="shared" si="4"/>
        <v>13.330667199893355</v>
      </c>
      <c r="F64" s="327">
        <f t="shared" si="0"/>
        <v>3.4612374653394389E-2</v>
      </c>
      <c r="G64" s="309">
        <f t="shared" si="5"/>
        <v>2.6464833333333337</v>
      </c>
      <c r="H64" s="1">
        <v>9527.34</v>
      </c>
      <c r="I64" s="324">
        <v>30</v>
      </c>
      <c r="J64" s="1">
        <v>8.0999999999999996E-4</v>
      </c>
      <c r="K64" s="122">
        <v>2.0000000000000002E-5</v>
      </c>
      <c r="L64" s="328">
        <f t="shared" si="6"/>
        <v>2.4691358024691361</v>
      </c>
      <c r="M64" s="329">
        <f t="shared" si="1"/>
        <v>2.1701214464261317E-4</v>
      </c>
      <c r="N64" s="342">
        <f>(1/$J$79)*SQRT(((1-J65/$J$79)*K64)^2+(J65/$J$79)^2*(SUMSQ(K$8:K63)+SUMSQ(K65:K$78)))</f>
        <v>9.1026585903596926E-6</v>
      </c>
      <c r="O64" s="340">
        <f t="shared" si="14"/>
        <v>4.1945387919880801</v>
      </c>
      <c r="P64" s="332">
        <f t="shared" si="7"/>
        <v>0.24540054815660226</v>
      </c>
      <c r="Q64" s="342">
        <f>SQRT(((1-P64)/$J$79)^2*SUMSQ(K$8:K64)+(P64/$J$79)^2*SUMSQ(K65:K$78))</f>
        <v>5.4405911765866288E-3</v>
      </c>
      <c r="R64" s="340">
        <f t="shared" si="15"/>
        <v>2.2170248670816814</v>
      </c>
      <c r="S64" s="343">
        <f t="shared" si="16"/>
        <v>1.2150080825877145E-9</v>
      </c>
      <c r="T64" s="344">
        <f t="shared" si="17"/>
        <v>3.8258572148817483E-12</v>
      </c>
      <c r="U64" s="344">
        <f>IF(P64&lt;=0.85, (1/(3*H64*$J$79))*SQRT( ((1-P64)*(1/SQRT(1-PI()*P64/3)-1) + (1-P63)*(1-1/SQRT(1-PI()*P63/3)))^2*SUMSQ(K$8:K63) + ( (1-P64)*(1/SQRT(1-PI()*P64/3)-1) -P63*(1-1/SQRT(1-PI()*P63/3)) )^2*K64^2 + ( P64*(1-1/SQRT(1-PI()*P64/3)) - P63*(1-1/SQRT(1-PI()*P63/3)) )^2*SUMSQ(K65:K$78) ), (1/(PI()^2*H64*$J$79))*SQRT((1+P63/(1-P63))^2*K64^2+(P63/(1-P63)-P64/(1-P64))^2*SUMSQ(K65:K$78)) )</f>
        <v>6.7658059046467568E-11</v>
      </c>
      <c r="V64" s="345">
        <f t="shared" si="18"/>
        <v>6.7766143001973749E-11</v>
      </c>
      <c r="W64" s="340">
        <f t="shared" si="19"/>
        <v>5.5774232264896515</v>
      </c>
      <c r="X64" s="345">
        <f t="shared" si="20"/>
        <v>1.355322860039475E-10</v>
      </c>
      <c r="Y64" s="338">
        <f t="shared" si="8"/>
        <v>-20.528515107840459</v>
      </c>
      <c r="Z64" s="346">
        <f t="shared" si="21"/>
        <v>5.5774232264896514E-2</v>
      </c>
      <c r="AA64" s="346">
        <f t="shared" si="22"/>
        <v>0.27169150799219111</v>
      </c>
      <c r="AB64" s="346">
        <f t="shared" si="9"/>
        <v>0.11154846452979303</v>
      </c>
      <c r="AC64" s="336">
        <f t="shared" si="2"/>
        <v>1.5679630705471149E-13</v>
      </c>
      <c r="AD64" s="337">
        <f t="shared" si="3"/>
        <v>1.0342137922244232E-14</v>
      </c>
      <c r="AE64" s="308">
        <f t="shared" si="10"/>
        <v>6.5959065723630292</v>
      </c>
      <c r="AF64" s="337">
        <f t="shared" si="11"/>
        <v>2.0684275844488464E-14</v>
      </c>
      <c r="AG64" s="338">
        <f t="shared" si="23"/>
        <v>-29.483828839218724</v>
      </c>
      <c r="AH64" s="339">
        <f t="shared" si="24"/>
        <v>6.5959065723630292E-2</v>
      </c>
      <c r="AI64" s="340">
        <f t="shared" si="25"/>
        <v>0.22371268698959829</v>
      </c>
      <c r="AJ64" s="341">
        <f t="shared" si="12"/>
        <v>0.13191813144726058</v>
      </c>
    </row>
    <row r="65" spans="1:36" x14ac:dyDescent="0.2">
      <c r="A65" s="309">
        <v>58</v>
      </c>
      <c r="B65" s="309">
        <f t="shared" si="13"/>
        <v>79.453424999999996</v>
      </c>
      <c r="C65" s="1">
        <v>487</v>
      </c>
      <c r="D65" s="347">
        <v>2</v>
      </c>
      <c r="E65" s="326">
        <f t="shared" si="4"/>
        <v>13.155298296388871</v>
      </c>
      <c r="F65" s="327">
        <f>SQRT((((-1)*10^4/(C90+273.15)^2)*D65)^2)</f>
        <v>0.26805726735251134</v>
      </c>
      <c r="G65" s="309">
        <f t="shared" si="5"/>
        <v>2.6453777777777776</v>
      </c>
      <c r="H65" s="1">
        <v>9523.36</v>
      </c>
      <c r="I65" s="324">
        <v>30</v>
      </c>
      <c r="J65" s="1">
        <v>1.24E-3</v>
      </c>
      <c r="K65" s="122">
        <v>2.0000000000000002E-5</v>
      </c>
      <c r="L65" s="328">
        <f t="shared" si="6"/>
        <v>1.612903225806452</v>
      </c>
      <c r="M65" s="329">
        <f t="shared" si="1"/>
        <v>3.3221612266276583E-4</v>
      </c>
      <c r="N65" s="342">
        <f>(1/$J$79)*SQRT(((1-J66/$J$79)*K65)^2+(J66/$J$79)^2*(SUMSQ(K$8:K64)+SUMSQ(K66:K$78)))</f>
        <v>1.0954456467408441E-5</v>
      </c>
      <c r="O65" s="340">
        <f t="shared" si="14"/>
        <v>3.2973885733198935</v>
      </c>
      <c r="P65" s="332">
        <f t="shared" si="7"/>
        <v>0.24573276427926502</v>
      </c>
      <c r="Q65" s="342">
        <f>SQRT(((1-P65)/$J$79)^2*SUMSQ(K$8:K65)+(P65/$J$79)^2*SUMSQ(K66:K$78))</f>
        <v>5.4479413420710698E-3</v>
      </c>
      <c r="R65" s="340">
        <f t="shared" si="15"/>
        <v>2.217018702430626</v>
      </c>
      <c r="S65" s="343">
        <f t="shared" si="16"/>
        <v>1.8634004742093805E-9</v>
      </c>
      <c r="T65" s="344">
        <f t="shared" si="17"/>
        <v>5.8699885572194511E-12</v>
      </c>
      <c r="U65" s="344">
        <f>IF(P65&lt;=0.85, (1/(3*H65*$J$79))*SQRT( ((1-P65)*(1/SQRT(1-PI()*P65/3)-1) + (1-P64)*(1-1/SQRT(1-PI()*P64/3)))^2*SUMSQ(K$8:K64) + ( (1-P65)*(1/SQRT(1-PI()*P65/3)-1) -P64*(1-1/SQRT(1-PI()*P64/3)) )^2*K65^2 + ( P65*(1-1/SQRT(1-PI()*P65/3)) - P64*(1-1/SQRT(1-PI()*P64/3)) )^2*SUMSQ(K92:K$94) ), (1/(PI()^2*H65*$J$79))*SQRT((1+P64/(1-P64))^2*K65^2+(P64/(1-P64)-P65/(1-P65))^2*SUMSQ(K92:K$94)) )</f>
        <v>3.0099040800492127E-11</v>
      </c>
      <c r="V65" s="345">
        <f t="shared" si="18"/>
        <v>3.0666089133953435E-11</v>
      </c>
      <c r="W65" s="340">
        <f t="shared" si="19"/>
        <v>1.6457057706269342</v>
      </c>
      <c r="X65" s="345">
        <f t="shared" si="20"/>
        <v>6.1332178267906869E-11</v>
      </c>
      <c r="Y65" s="338">
        <f t="shared" si="8"/>
        <v>-20.100862806426164</v>
      </c>
      <c r="Z65" s="346">
        <f t="shared" si="21"/>
        <v>1.6457057706269342E-2</v>
      </c>
      <c r="AA65" s="346">
        <f t="shared" si="22"/>
        <v>8.1872394557153477E-2</v>
      </c>
      <c r="AB65" s="346">
        <f t="shared" si="9"/>
        <v>3.2914115412538685E-2</v>
      </c>
      <c r="AC65" s="336">
        <f t="shared" si="2"/>
        <v>2.4047108583653086E-13</v>
      </c>
      <c r="AD65" s="337">
        <f t="shared" si="3"/>
        <v>9.346465254239747E-15</v>
      </c>
      <c r="AE65" s="308">
        <f t="shared" si="10"/>
        <v>3.886731422085961</v>
      </c>
      <c r="AF65" s="337">
        <f t="shared" si="11"/>
        <v>1.8692930508479494E-14</v>
      </c>
      <c r="AG65" s="338">
        <f t="shared" si="23"/>
        <v>-29.056176537804429</v>
      </c>
      <c r="AH65" s="339">
        <f t="shared" si="24"/>
        <v>3.8867314220859608E-2</v>
      </c>
      <c r="AI65" s="340">
        <f t="shared" si="25"/>
        <v>0.1337661001965971</v>
      </c>
      <c r="AJ65" s="341">
        <f t="shared" si="12"/>
        <v>7.7734628441719217E-2</v>
      </c>
    </row>
    <row r="66" spans="1:36" x14ac:dyDescent="0.2">
      <c r="A66" s="309">
        <v>59</v>
      </c>
      <c r="B66" s="309">
        <f t="shared" si="13"/>
        <v>82.098244444444447</v>
      </c>
      <c r="C66" s="1">
        <v>497</v>
      </c>
      <c r="D66" s="347">
        <v>2</v>
      </c>
      <c r="E66" s="326">
        <f t="shared" si="4"/>
        <v>12.98448354216711</v>
      </c>
      <c r="F66" s="327">
        <f t="shared" ref="F66:F71" si="26">SQRT((((-1)*10^4/(C67+273.15)^2)*D66)^2)</f>
        <v>3.2860469938648558E-2</v>
      </c>
      <c r="G66" s="309">
        <f t="shared" si="5"/>
        <v>2.6448194444444444</v>
      </c>
      <c r="H66" s="1">
        <v>9521.35</v>
      </c>
      <c r="I66" s="324">
        <v>30</v>
      </c>
      <c r="J66" s="1">
        <v>1.6100000000000001E-3</v>
      </c>
      <c r="K66" s="122">
        <v>4.0000000000000003E-5</v>
      </c>
      <c r="L66" s="328">
        <f t="shared" si="6"/>
        <v>2.4844720496894412</v>
      </c>
      <c r="M66" s="329">
        <f t="shared" si="1"/>
        <v>4.3134512700568795E-4</v>
      </c>
      <c r="N66" s="342">
        <f>(1/$J$79)*SQRT(((1-J67/$J$79)*K66)^2+(J67/$J$79)^2*(SUMSQ(K$8:K65)+SUMSQ(K67:K$78)))</f>
        <v>1.6209998440783898E-5</v>
      </c>
      <c r="O66" s="340">
        <f t="shared" si="14"/>
        <v>3.7580112596403912</v>
      </c>
      <c r="P66" s="332">
        <f t="shared" si="7"/>
        <v>0.2461641094062707</v>
      </c>
      <c r="Q66" s="342">
        <f>SQRT(((1-P66)/$J$79)^2*SUMSQ(K$8:K66)+(P66/$J$79)^2*SUMSQ(K67:K$78))</f>
        <v>5.4574883431930789E-3</v>
      </c>
      <c r="R66" s="340">
        <f t="shared" si="15"/>
        <v>2.2170122022890055</v>
      </c>
      <c r="S66" s="343">
        <f t="shared" si="16"/>
        <v>2.4246427614964346E-9</v>
      </c>
      <c r="T66" s="344">
        <f t="shared" si="17"/>
        <v>7.6395976248003814E-12</v>
      </c>
      <c r="U66" s="344">
        <f>IF(P66&lt;=0.85, (1/(3*H66*$J$79))*SQRT( ((1-P66)*(1/SQRT(1-PI()*P66/3)-1) + (1-P65)*(1-1/SQRT(1-PI()*P65/3)))^2*SUMSQ(K$8:K65) + ( (1-P66)*(1/SQRT(1-PI()*P66/3)-1) -P65*(1-1/SQRT(1-PI()*P65/3)) )^2*K66^2 + ( P66*(1-1/SQRT(1-PI()*P66/3)) - P65*(1-1/SQRT(1-PI()*P65/3)) )^2*SUMSQ(K67:K$78) ), (1/(PI()^2*H66*$J$79))*SQRT((1+P65/(1-P65))^2*K66^2+(P65/(1-P65)-P66/(1-P66))^2*SUMSQ(K67:K$78)) )</f>
        <v>1.352266121181228E-10</v>
      </c>
      <c r="V66" s="345">
        <f t="shared" si="18"/>
        <v>1.3544223889471884E-10</v>
      </c>
      <c r="W66" s="340">
        <f t="shared" si="19"/>
        <v>5.5860698757588088</v>
      </c>
      <c r="X66" s="345">
        <f t="shared" si="20"/>
        <v>2.7088447778943767E-10</v>
      </c>
      <c r="Y66" s="338">
        <f t="shared" si="8"/>
        <v>-19.837581638255692</v>
      </c>
      <c r="Z66" s="346">
        <f t="shared" si="21"/>
        <v>5.586069875758809E-2</v>
      </c>
      <c r="AA66" s="346">
        <f t="shared" si="22"/>
        <v>0.28159026526632552</v>
      </c>
      <c r="AB66" s="346">
        <f t="shared" si="9"/>
        <v>0.11172139751517618</v>
      </c>
      <c r="AC66" s="336">
        <f t="shared" si="2"/>
        <v>3.128991785140103E-13</v>
      </c>
      <c r="AD66" s="337">
        <f t="shared" si="3"/>
        <v>2.0661420176481715E-14</v>
      </c>
      <c r="AE66" s="308">
        <f t="shared" si="10"/>
        <v>6.6032196935143395</v>
      </c>
      <c r="AF66" s="337">
        <f t="shared" si="11"/>
        <v>4.1322840352963431E-14</v>
      </c>
      <c r="AG66" s="338">
        <f t="shared" si="23"/>
        <v>-28.792895369633957</v>
      </c>
      <c r="AH66" s="339">
        <f t="shared" si="24"/>
        <v>6.6032196935143395E-2</v>
      </c>
      <c r="AI66" s="340">
        <f t="shared" si="25"/>
        <v>0.22933503590883525</v>
      </c>
      <c r="AJ66" s="341">
        <f t="shared" si="12"/>
        <v>0.13206439387028679</v>
      </c>
    </row>
    <row r="67" spans="1:36" x14ac:dyDescent="0.2">
      <c r="A67" s="309">
        <v>60</v>
      </c>
      <c r="B67" s="309">
        <f t="shared" si="13"/>
        <v>84.742505555555553</v>
      </c>
      <c r="C67" s="1">
        <v>507</v>
      </c>
      <c r="D67" s="347">
        <v>2</v>
      </c>
      <c r="E67" s="326">
        <f t="shared" si="4"/>
        <v>12.818047811318337</v>
      </c>
      <c r="F67" s="327">
        <f t="shared" si="26"/>
        <v>3.203398049328398E-2</v>
      </c>
      <c r="G67" s="309">
        <f t="shared" si="5"/>
        <v>2.6442611111111112</v>
      </c>
      <c r="H67" s="1">
        <v>9519.34</v>
      </c>
      <c r="I67" s="324">
        <v>30</v>
      </c>
      <c r="J67" s="1">
        <v>2.0500000000000002E-3</v>
      </c>
      <c r="K67" s="122">
        <v>2.9999999999999899E-5</v>
      </c>
      <c r="L67" s="328">
        <f t="shared" si="6"/>
        <v>1.4634146341463363</v>
      </c>
      <c r="M67" s="329">
        <f t="shared" si="1"/>
        <v>5.4922826730537902E-4</v>
      </c>
      <c r="N67" s="342">
        <f>(1/$J$79)*SQRT(((1-J68/$J$79)*K67)^2+(J68/$J$79)^2*(SUMSQ(K$8:K66)+SUMSQ(K68:K$78)))</f>
        <v>1.8297609566642562E-5</v>
      </c>
      <c r="O67" s="340">
        <f t="shared" si="14"/>
        <v>3.3315127162726355</v>
      </c>
      <c r="P67" s="332">
        <f t="shared" si="7"/>
        <v>0.24671333767357609</v>
      </c>
      <c r="Q67" s="342">
        <f>SQRT(((1-P67)/$J$79)^2*SUMSQ(K$8:K67)+(P67/$J$79)^2*SUMSQ(K68:K$78))</f>
        <v>5.469640700682659E-3</v>
      </c>
      <c r="R67" s="340">
        <f t="shared" si="15"/>
        <v>2.2170024337798413</v>
      </c>
      <c r="S67" s="343">
        <f t="shared" si="16"/>
        <v>3.0956516254412726E-9</v>
      </c>
      <c r="T67" s="344">
        <f t="shared" si="17"/>
        <v>9.7558810551191793E-12</v>
      </c>
      <c r="U67" s="344">
        <f>IF(P67&lt;=0.85, (1/(3*H67*$J$79))*SQRT( ((1-P67)*(1/SQRT(1-PI()*P67/3)-1) + (1-P66)*(1-1/SQRT(1-PI()*P66/3)))^2*SUMSQ(K$8:K66) + ( (1-P67)*(1/SQRT(1-PI()*P67/3)-1) -P66*(1-1/SQRT(1-PI()*P66/3)) )^2*K67^2 + ( P67*(1-1/SQRT(1-PI()*P67/3)) - P66*(1-1/SQRT(1-PI()*P66/3)) )^2*SUMSQ(K68:K$78) ), (1/(PI()^2*H67*$J$79))*SQRT((1+P66/(1-P66))^2*K67^2+(P66/(1-P66)-P67/(1-P67))^2*SUMSQ(K68:K$78)) )</f>
        <v>1.6111583605526767E-10</v>
      </c>
      <c r="V67" s="345">
        <f t="shared" si="18"/>
        <v>1.6141093470688262E-10</v>
      </c>
      <c r="W67" s="340">
        <f t="shared" si="19"/>
        <v>5.214118196645404</v>
      </c>
      <c r="X67" s="345">
        <f t="shared" si="20"/>
        <v>3.2282186941376524E-10</v>
      </c>
      <c r="Y67" s="338">
        <f t="shared" si="8"/>
        <v>-19.593267411632517</v>
      </c>
      <c r="Z67" s="346">
        <f t="shared" si="21"/>
        <v>5.2141181966454044E-2</v>
      </c>
      <c r="AA67" s="346">
        <f t="shared" si="22"/>
        <v>0.26611784992786774</v>
      </c>
      <c r="AB67" s="346">
        <f t="shared" si="9"/>
        <v>0.10428236393290809</v>
      </c>
      <c r="AC67" s="336">
        <f t="shared" si="2"/>
        <v>3.9949260400254602E-13</v>
      </c>
      <c r="AD67" s="337">
        <f t="shared" si="3"/>
        <v>2.5134835955308297E-14</v>
      </c>
      <c r="AE67" s="308">
        <f t="shared" si="10"/>
        <v>6.2916899345521067</v>
      </c>
      <c r="AF67" s="337">
        <f t="shared" si="11"/>
        <v>5.0269671910616593E-14</v>
      </c>
      <c r="AG67" s="338">
        <f t="shared" si="23"/>
        <v>-28.548581143010779</v>
      </c>
      <c r="AH67" s="339">
        <f t="shared" si="24"/>
        <v>6.2916899345521068E-2</v>
      </c>
      <c r="AI67" s="340">
        <f t="shared" si="25"/>
        <v>0.2203853810819747</v>
      </c>
      <c r="AJ67" s="341">
        <f t="shared" si="12"/>
        <v>0.12583379869104214</v>
      </c>
    </row>
    <row r="68" spans="1:36" x14ac:dyDescent="0.2">
      <c r="A68" s="309">
        <v>61</v>
      </c>
      <c r="B68" s="309">
        <f t="shared" si="13"/>
        <v>87.389544444444439</v>
      </c>
      <c r="C68" s="1">
        <v>517</v>
      </c>
      <c r="D68" s="347">
        <v>2</v>
      </c>
      <c r="E68" s="326">
        <f t="shared" si="4"/>
        <v>12.655824843384169</v>
      </c>
      <c r="F68" s="327">
        <f t="shared" si="26"/>
        <v>3.1238284545074657E-2</v>
      </c>
      <c r="G68" s="309">
        <f t="shared" si="5"/>
        <v>2.6470388888888889</v>
      </c>
      <c r="H68" s="1">
        <v>9529.34</v>
      </c>
      <c r="I68" s="324">
        <v>30</v>
      </c>
      <c r="J68" s="1">
        <v>2.7699999999999999E-3</v>
      </c>
      <c r="K68" s="122">
        <v>5.0000000000000002E-5</v>
      </c>
      <c r="L68" s="328">
        <f t="shared" si="6"/>
        <v>1.8050541516245491</v>
      </c>
      <c r="M68" s="329">
        <f t="shared" si="1"/>
        <v>7.4212795143214626E-4</v>
      </c>
      <c r="N68" s="342">
        <f>(1/$J$79)*SQRT(((1-J69/$J$79)*K68)^2+(J69/$J$79)^2*(SUMSQ(K$8:K67)+SUMSQ(K69:K$78)))</f>
        <v>2.2418222861335314E-5</v>
      </c>
      <c r="O68" s="340">
        <f t="shared" si="14"/>
        <v>3.0208029246268109</v>
      </c>
      <c r="P68" s="332">
        <f t="shared" si="7"/>
        <v>0.24745546562500823</v>
      </c>
      <c r="Q68" s="342">
        <f>SQRT(((1-P68)/$J$79)^2*SUMSQ(K$8:K68)+(P68/$J$79)^2*SUMSQ(K69:K$78))</f>
        <v>5.4860655304034027E-3</v>
      </c>
      <c r="R68" s="340">
        <f t="shared" si="15"/>
        <v>2.2169910519240403</v>
      </c>
      <c r="S68" s="343">
        <f t="shared" si="16"/>
        <v>4.1922582290284337E-9</v>
      </c>
      <c r="T68" s="344">
        <f t="shared" si="17"/>
        <v>1.3197949372239113E-11</v>
      </c>
      <c r="U68" s="344">
        <f>IF(P68&lt;=0.85, (1/(3*H68*$J$79))*SQRT( ((1-P68)*(1/SQRT(1-PI()*P68/3)-1) + (1-P67)*(1-1/SQRT(1-PI()*P67/3)))^2*SUMSQ(K$8:K67) + ( (1-P68)*(1/SQRT(1-PI()*P68/3)-1) -P67*(1-1/SQRT(1-PI()*P67/3)) )^2*K68^2 + ( P68*(1-1/SQRT(1-PI()*P68/3)) - P67*(1-1/SQRT(1-PI()*P67/3)) )^2*SUMSQ(K$78:K79) ), (1/(PI()^2*H68*$J$79))*SQRT((1+P67/(1-P67))^2*K68^2+(P67/(1-P67)-P68/(1-P68))^2*SUMSQ(K$78:K79)) )</f>
        <v>3.0573713045710358E-10</v>
      </c>
      <c r="V68" s="345">
        <f t="shared" si="18"/>
        <v>3.0602186001620236E-10</v>
      </c>
      <c r="W68" s="340">
        <f t="shared" si="19"/>
        <v>7.2996901263671363</v>
      </c>
      <c r="X68" s="345">
        <f t="shared" si="20"/>
        <v>6.1204372003240471E-10</v>
      </c>
      <c r="Y68" s="338">
        <f t="shared" si="8"/>
        <v>-19.290026291388727</v>
      </c>
      <c r="Z68" s="346">
        <f t="shared" si="21"/>
        <v>7.2996901263671365E-2</v>
      </c>
      <c r="AA68" s="346">
        <f t="shared" si="22"/>
        <v>0.37841784226213293</v>
      </c>
      <c r="AB68" s="346">
        <f t="shared" si="9"/>
        <v>0.14599380252734273</v>
      </c>
      <c r="AC68" s="336">
        <f t="shared" si="2"/>
        <v>5.4100924755282776E-13</v>
      </c>
      <c r="AD68" s="337">
        <f t="shared" si="3"/>
        <v>4.3846391307709664E-14</v>
      </c>
      <c r="AE68" s="308">
        <f t="shared" si="10"/>
        <v>8.1045548677849926</v>
      </c>
      <c r="AF68" s="337">
        <f t="shared" si="11"/>
        <v>8.7692782615419328E-14</v>
      </c>
      <c r="AG68" s="338">
        <f t="shared" si="23"/>
        <v>-28.245340022766989</v>
      </c>
      <c r="AH68" s="339">
        <f t="shared" si="24"/>
        <v>8.1045548677849924E-2</v>
      </c>
      <c r="AI68" s="340">
        <f t="shared" si="25"/>
        <v>0.28693422919505884</v>
      </c>
      <c r="AJ68" s="341">
        <f t="shared" si="12"/>
        <v>0.16209109735569985</v>
      </c>
    </row>
    <row r="69" spans="1:36" x14ac:dyDescent="0.2">
      <c r="A69" s="309">
        <v>62</v>
      </c>
      <c r="B69" s="309">
        <f t="shared" si="13"/>
        <v>89.036583333333326</v>
      </c>
      <c r="C69" s="1">
        <v>527</v>
      </c>
      <c r="D69" s="347">
        <v>2</v>
      </c>
      <c r="E69" s="326">
        <f t="shared" si="4"/>
        <v>12.497656689370743</v>
      </c>
      <c r="F69" s="327">
        <f t="shared" si="26"/>
        <v>3.0471871131988761E-2</v>
      </c>
      <c r="G69" s="309">
        <f t="shared" si="5"/>
        <v>1.6470388888888889</v>
      </c>
      <c r="H69" s="1">
        <v>5929.34</v>
      </c>
      <c r="I69" s="324">
        <v>30</v>
      </c>
      <c r="J69" s="1">
        <v>3.0300000000000001E-3</v>
      </c>
      <c r="K69" s="122">
        <v>5.0000000000000002E-5</v>
      </c>
      <c r="L69" s="328">
        <f t="shared" si="6"/>
        <v>1.6501650165016499</v>
      </c>
      <c r="M69" s="329">
        <f t="shared" si="1"/>
        <v>8.1178617070014564E-4</v>
      </c>
      <c r="N69" s="342">
        <f>(1/$J$79)*SQRT(((1-J70/$J$79)*K69)^2+(J70/$J$79)^2*(SUMSQ(K$8:K68)+SUMSQ(K70:K$78)))</f>
        <v>2.3722523093640551E-5</v>
      </c>
      <c r="O69" s="340">
        <f t="shared" si="14"/>
        <v>2.9222625304371048</v>
      </c>
      <c r="P69" s="332">
        <f t="shared" si="7"/>
        <v>0.24826725179570838</v>
      </c>
      <c r="Q69" s="342">
        <f>SQRT(((1-P69)/$J$79)^2*SUMSQ(K$8:K69)+(P69/$J$79)^2*SUMSQ(K70:K$78))</f>
        <v>5.5040313237670361E-3</v>
      </c>
      <c r="R69" s="340">
        <f t="shared" si="15"/>
        <v>2.2169783908093272</v>
      </c>
      <c r="S69" s="343">
        <f t="shared" si="16"/>
        <v>7.3991130953206387E-9</v>
      </c>
      <c r="T69" s="344">
        <f t="shared" si="17"/>
        <v>3.7436441974927933E-11</v>
      </c>
      <c r="U69" s="344">
        <f>IF(P69&lt;=0.85, (1/(3*H69*$J$79))*SQRT( ((1-P69)*(1/SQRT(1-PI()*P69/3)-1) + (1-P68)*(1-1/SQRT(1-PI()*P68/3)))^2*SUMSQ(K$8:K68) + ( (1-P69)*(1/SQRT(1-PI()*P69/3)-1) -P68*(1-1/SQRT(1-PI()*P68/3)) )^2*K69^2 + ( P69*(1-1/SQRT(1-PI()*P69/3)) - P68*(1-1/SQRT(1-PI()*P68/3)) )^2*SUMSQ(K70:K$78) ), (1/(PI()^2*H69*$J$79))*SQRT((1+P68/(1-P68))^2*K69^2+(P68/(1-P68)-P69/(1-P69))^2*SUMSQ(K70:K$78)) )</f>
        <v>3.8950931217707243E-10</v>
      </c>
      <c r="V69" s="345">
        <f t="shared" si="18"/>
        <v>3.9130421855686427E-10</v>
      </c>
      <c r="W69" s="340">
        <f t="shared" si="19"/>
        <v>5.2885286860168907</v>
      </c>
      <c r="X69" s="345">
        <f t="shared" si="20"/>
        <v>7.8260843711372854E-10</v>
      </c>
      <c r="Y69" s="338">
        <f t="shared" si="8"/>
        <v>-18.721905695902809</v>
      </c>
      <c r="Z69" s="346">
        <f t="shared" si="21"/>
        <v>5.2885286860168905E-2</v>
      </c>
      <c r="AA69" s="346">
        <f t="shared" si="22"/>
        <v>0.28247811798209504</v>
      </c>
      <c r="AB69" s="346">
        <f t="shared" si="9"/>
        <v>0.10577057372033781</v>
      </c>
      <c r="AC69" s="336">
        <f t="shared" si="2"/>
        <v>9.5485258530589029E-13</v>
      </c>
      <c r="AD69" s="337">
        <f t="shared" si="3"/>
        <v>6.0666489181306984E-14</v>
      </c>
      <c r="AE69" s="308">
        <f t="shared" si="10"/>
        <v>6.3534926872373987</v>
      </c>
      <c r="AF69" s="337">
        <f t="shared" si="11"/>
        <v>1.2133297836261397E-13</v>
      </c>
      <c r="AG69" s="338">
        <f t="shared" si="23"/>
        <v>-27.67721942728107</v>
      </c>
      <c r="AH69" s="339">
        <f t="shared" si="24"/>
        <v>6.3534926872373984E-2</v>
      </c>
      <c r="AI69" s="340">
        <f t="shared" si="25"/>
        <v>0.22955675529221856</v>
      </c>
      <c r="AJ69" s="341">
        <f t="shared" si="12"/>
        <v>0.12706985374474797</v>
      </c>
    </row>
    <row r="70" spans="1:36" x14ac:dyDescent="0.2">
      <c r="A70" s="309">
        <v>63</v>
      </c>
      <c r="B70" s="309">
        <f t="shared" si="13"/>
        <v>90.682530555555545</v>
      </c>
      <c r="C70" s="1">
        <v>537</v>
      </c>
      <c r="D70" s="347">
        <v>2</v>
      </c>
      <c r="E70" s="326">
        <f t="shared" si="4"/>
        <v>12.343393198790348</v>
      </c>
      <c r="F70" s="327">
        <f t="shared" si="26"/>
        <v>2.9733320841869693E-2</v>
      </c>
      <c r="G70" s="309">
        <f t="shared" si="5"/>
        <v>1.6459472222222222</v>
      </c>
      <c r="H70" s="1">
        <v>5925.41</v>
      </c>
      <c r="I70" s="324">
        <v>30</v>
      </c>
      <c r="J70" s="1">
        <v>3.3E-3</v>
      </c>
      <c r="K70" s="122">
        <v>5.99999999999999E-5</v>
      </c>
      <c r="L70" s="328">
        <f t="shared" si="6"/>
        <v>1.8181818181818152</v>
      </c>
      <c r="M70" s="329">
        <f t="shared" si="1"/>
        <v>8.8412355224768324E-4</v>
      </c>
      <c r="N70" s="342">
        <f>(1/$J$79)*SQRT(((1-J71/$J$79)*K70)^2+(J71/$J$79)^2*(SUMSQ(K$8:K69)+SUMSQ(K71:K$78)))</f>
        <v>3.1570826508474451E-5</v>
      </c>
      <c r="O70" s="340">
        <f t="shared" si="14"/>
        <v>3.5708613833680598</v>
      </c>
      <c r="P70" s="332">
        <f t="shared" si="7"/>
        <v>0.24915137534795606</v>
      </c>
      <c r="Q70" s="342">
        <f>SQRT(((1-P70)/$J$79)^2*SUMSQ(K$8:K70)+(P70/$J$79)^2*SUMSQ(K71:K$78))</f>
        <v>5.5236009629602463E-3</v>
      </c>
      <c r="R70" s="340">
        <f t="shared" si="15"/>
        <v>2.2169658727535335</v>
      </c>
      <c r="S70" s="343">
        <f t="shared" si="16"/>
        <v>8.0984748762461686E-9</v>
      </c>
      <c r="T70" s="344">
        <f t="shared" si="17"/>
        <v>4.1002098806223536E-11</v>
      </c>
      <c r="U70" s="344">
        <f>IF(P70&lt;=0.85, (1/(3*H70*$J$79))*SQRT( ((1-P70)*(1/SQRT(1-PI()*P70/3)-1) + (1-P69)*(1-1/SQRT(1-PI()*P69/3)))^2*SUMSQ(K$8:K69) + ( (1-P70)*(1/SQRT(1-PI()*P70/3)-1) -P69*(1-1/SQRT(1-PI()*P69/3)) )^2*K70^2 + ( P70*(1-1/SQRT(1-PI()*P70/3)) - P69*(1-1/SQRT(1-PI()*P69/3)) )^2*SUMSQ(K71:K$78) ), (1/(PI()^2*H70*$J$79))*SQRT((1+P69/(1-P69))^2*K70^2+(P69/(1-P69)-P70/(1-P70))^2*SUMSQ(K71:K$78)) )</f>
        <v>4.309823362461478E-10</v>
      </c>
      <c r="V70" s="345">
        <f t="shared" si="18"/>
        <v>4.3292833848421487E-10</v>
      </c>
      <c r="W70" s="340">
        <f t="shared" si="19"/>
        <v>5.3458008464537858</v>
      </c>
      <c r="X70" s="345">
        <f t="shared" si="20"/>
        <v>8.6585667696842973E-10</v>
      </c>
      <c r="Y70" s="338">
        <f t="shared" si="8"/>
        <v>-18.631590079879409</v>
      </c>
      <c r="Z70" s="346">
        <f t="shared" si="21"/>
        <v>5.3458008464537861E-2</v>
      </c>
      <c r="AA70" s="346">
        <f t="shared" si="22"/>
        <v>0.28692134291999122</v>
      </c>
      <c r="AB70" s="346">
        <f t="shared" si="9"/>
        <v>0.10691601692907572</v>
      </c>
      <c r="AC70" s="336">
        <f t="shared" si="2"/>
        <v>1.0451049433896175E-12</v>
      </c>
      <c r="AD70" s="337">
        <f t="shared" si="3"/>
        <v>6.6899713895777526E-14</v>
      </c>
      <c r="AE70" s="308">
        <f t="shared" si="10"/>
        <v>6.4012436568140085</v>
      </c>
      <c r="AF70" s="337">
        <f t="shared" si="11"/>
        <v>1.3379942779155505E-13</v>
      </c>
      <c r="AG70" s="338">
        <f t="shared" si="23"/>
        <v>-27.58690381125767</v>
      </c>
      <c r="AH70" s="339">
        <f t="shared" si="24"/>
        <v>6.4012436568140083E-2</v>
      </c>
      <c r="AI70" s="340">
        <f t="shared" si="25"/>
        <v>0.23203922051599668</v>
      </c>
      <c r="AJ70" s="341">
        <f t="shared" si="12"/>
        <v>0.12802487313628017</v>
      </c>
    </row>
    <row r="71" spans="1:36" x14ac:dyDescent="0.2">
      <c r="A71" s="309">
        <v>64</v>
      </c>
      <c r="B71" s="309">
        <f t="shared" si="13"/>
        <v>92.326791666666651</v>
      </c>
      <c r="C71" s="1">
        <v>547</v>
      </c>
      <c r="D71" s="347">
        <v>2</v>
      </c>
      <c r="E71" s="326">
        <f t="shared" si="4"/>
        <v>12.192891544229715</v>
      </c>
      <c r="F71" s="327">
        <f t="shared" si="26"/>
        <v>2.9021299235754194E-2</v>
      </c>
      <c r="G71" s="309">
        <f t="shared" si="5"/>
        <v>1.6442611111111112</v>
      </c>
      <c r="H71" s="1">
        <v>5919.34</v>
      </c>
      <c r="I71" s="324">
        <v>30</v>
      </c>
      <c r="J71" s="1">
        <v>4.5799999999999999E-3</v>
      </c>
      <c r="K71" s="122">
        <v>9.0000000000000006E-5</v>
      </c>
      <c r="L71" s="328">
        <f t="shared" si="6"/>
        <v>1.9650655021834063</v>
      </c>
      <c r="M71" s="329">
        <f t="shared" si="1"/>
        <v>1.2270563240286028E-3</v>
      </c>
      <c r="N71" s="342">
        <f>(1/$J$79)*SQRT(((1-J72/$J$79)*K71)^2+(J72/$J$79)^2*(SUMSQ(K$8:K70)+SUMSQ(K72:K$78)))</f>
        <v>4.4470531361284453E-5</v>
      </c>
      <c r="O71" s="340">
        <f t="shared" si="14"/>
        <v>3.6241638212075946</v>
      </c>
      <c r="P71" s="332">
        <f t="shared" si="7"/>
        <v>0.25037843167198465</v>
      </c>
      <c r="Q71" s="342">
        <f>SQRT(((1-P71)/$J$79)^2*SUMSQ(K$8:K71)+(P71/$J$79)^2*SUMSQ(K72:K$78))</f>
        <v>5.5507713281640024E-3</v>
      </c>
      <c r="R71" s="340">
        <f t="shared" si="15"/>
        <v>2.216952670841851</v>
      </c>
      <c r="S71" s="343">
        <f t="shared" si="16"/>
        <v>1.1311348006386256E-8</v>
      </c>
      <c r="T71" s="344">
        <f t="shared" si="17"/>
        <v>5.732741153432435E-11</v>
      </c>
      <c r="U71" s="344">
        <f>IF(P71&lt;=0.85, (1/(3*H71*$J$79))*SQRT( ((1-P71)*(1/SQRT(1-PI()*P71/3)-1) + (1-P70)*(1-1/SQRT(1-PI()*P70/3)))^2*SUMSQ(K$8:K70) + ( (1-P71)*(1/SQRT(1-PI()*P71/3)-1) -P70*(1-1/SQRT(1-PI()*P70/3)) )^2*K71^2 + ( P71*(1-1/SQRT(1-PI()*P71/3)) - P70*(1-1/SQRT(1-PI()*P70/3)) )^2*SUMSQ(K$78:K98) ), (1/(PI()^2*H71*$J$79))*SQRT((1+P70/(1-P70))^2*K71^2+(P70/(1-P70)-P71/(1-P71))^2*SUMSQ(K$78:K98)) )</f>
        <v>8.3084954702245693E-10</v>
      </c>
      <c r="V71" s="345">
        <f t="shared" si="18"/>
        <v>8.328249527365565E-10</v>
      </c>
      <c r="W71" s="340">
        <f t="shared" si="19"/>
        <v>7.3627383072853307</v>
      </c>
      <c r="X71" s="345">
        <f t="shared" si="20"/>
        <v>1.665649905473113E-9</v>
      </c>
      <c r="Y71" s="338">
        <f t="shared" si="8"/>
        <v>-18.297459366795383</v>
      </c>
      <c r="Z71" s="346">
        <f t="shared" si="21"/>
        <v>7.3627383072853311E-2</v>
      </c>
      <c r="AA71" s="346">
        <f t="shared" si="22"/>
        <v>0.40239129158262155</v>
      </c>
      <c r="AB71" s="346">
        <f t="shared" si="9"/>
        <v>0.14725476614570662</v>
      </c>
      <c r="AC71" s="336">
        <f t="shared" si="2"/>
        <v>1.4597249356849436E-12</v>
      </c>
      <c r="AD71" s="337">
        <f t="shared" si="3"/>
        <v>1.1913381122587763E-13</v>
      </c>
      <c r="AE71" s="308">
        <f t="shared" si="10"/>
        <v>8.1613876911664001</v>
      </c>
      <c r="AF71" s="337">
        <f t="shared" si="11"/>
        <v>2.3826762245175526E-13</v>
      </c>
      <c r="AG71" s="338">
        <f t="shared" si="23"/>
        <v>-27.252773098173645</v>
      </c>
      <c r="AH71" s="339">
        <f t="shared" si="24"/>
        <v>8.1613876911663996E-2</v>
      </c>
      <c r="AI71" s="340">
        <f t="shared" si="25"/>
        <v>0.29946999014618952</v>
      </c>
      <c r="AJ71" s="341">
        <f t="shared" si="12"/>
        <v>0.16322775382332799</v>
      </c>
    </row>
    <row r="72" spans="1:36" x14ac:dyDescent="0.2">
      <c r="A72" s="309">
        <v>65</v>
      </c>
      <c r="B72" s="309">
        <f t="shared" si="13"/>
        <v>93.972733333333323</v>
      </c>
      <c r="C72" s="1">
        <v>557</v>
      </c>
      <c r="D72" s="347">
        <v>2</v>
      </c>
      <c r="E72" s="326">
        <f t="shared" si="4"/>
        <v>12.046015780280673</v>
      </c>
      <c r="F72" s="327">
        <f t="shared" ref="F72" si="27">SQRT((((-1)*10^4/(C97+273.15)^2)*D72)^2)</f>
        <v>0.26805726735251134</v>
      </c>
      <c r="G72" s="309">
        <f t="shared" si="5"/>
        <v>1.6459416666666666</v>
      </c>
      <c r="H72" s="1">
        <v>5925.39</v>
      </c>
      <c r="I72" s="324">
        <v>30</v>
      </c>
      <c r="J72" s="1">
        <v>6.3E-3</v>
      </c>
      <c r="K72" s="122">
        <v>9.0000000000000006E-5</v>
      </c>
      <c r="L72" s="328">
        <f t="shared" si="6"/>
        <v>1.4285714285714286</v>
      </c>
      <c r="M72" s="329">
        <f t="shared" ref="M72:M73" si="28">J72/$J$79</f>
        <v>1.6878722361092135E-3</v>
      </c>
      <c r="N72" s="342">
        <f>(1/$J$79)*SQRT(((1-J73/$J$79)*K72)^2+(J73/$J$79)^2*(SUMSQ(K$8:K71)+SUMSQ(K73:K$78)))</f>
        <v>5.0133603596081688E-5</v>
      </c>
      <c r="O72" s="340">
        <f t="shared" si="14"/>
        <v>2.9702250279112832</v>
      </c>
      <c r="P72" s="332">
        <f t="shared" si="7"/>
        <v>0.25206630390809387</v>
      </c>
      <c r="Q72" s="342">
        <f>SQRT(((1-P72)/$J$79)^2*SUMSQ(K$8:K72)+(P72/$J$79)^2*SUMSQ(K73:K$78))</f>
        <v>5.5881355164150706E-3</v>
      </c>
      <c r="R72" s="340">
        <f t="shared" si="15"/>
        <v>2.2169307954991737</v>
      </c>
      <c r="S72" s="343">
        <f t="shared" si="16"/>
        <v>1.5657765718812853E-8</v>
      </c>
      <c r="T72" s="344">
        <f t="shared" si="17"/>
        <v>7.9274608348882525E-11</v>
      </c>
      <c r="U72" s="344">
        <f>IF(P72&lt;=0.85, (1/(3*H72*$J$79))*SQRT( ((1-P72)*(1/SQRT(1-PI()*P72/3)-1) + (1-P71)*(1-1/SQRT(1-PI()*P71/3)))^2*SUMSQ(K$8:K71) + ( (1-P72)*(1/SQRT(1-PI()*P72/3)-1) -P71*(1-1/SQRT(1-PI()*P71/3)) )^2*K72^2 + ( P72*(1-1/SQRT(1-PI()*P72/3)) - P71*(1-1/SQRT(1-PI()*P71/3)) )^2*SUMSQ(K73:K$78) ), (1/(PI()^2*H72*$J$79))*SQRT((1+P71/(1-P71))^2*K72^2+(P71/(1-P71)-P72/(1-P72))^2*SUMSQ(K73:K$78)) )</f>
        <v>8.1559962159776462E-10</v>
      </c>
      <c r="V72" s="345">
        <f t="shared" si="18"/>
        <v>8.1944322944258039E-10</v>
      </c>
      <c r="W72" s="340">
        <f t="shared" si="19"/>
        <v>5.233462067056073</v>
      </c>
      <c r="X72" s="345">
        <f t="shared" si="20"/>
        <v>1.6388864588851608E-9</v>
      </c>
      <c r="Y72" s="338">
        <f t="shared" si="8"/>
        <v>-17.972298830968025</v>
      </c>
      <c r="Z72" s="346">
        <f t="shared" si="21"/>
        <v>5.233462067056073E-2</v>
      </c>
      <c r="AA72" s="346">
        <f t="shared" si="22"/>
        <v>0.29119602986114984</v>
      </c>
      <c r="AB72" s="346">
        <f t="shared" si="9"/>
        <v>0.10466924134112146</v>
      </c>
      <c r="AC72" s="336">
        <f t="shared" ref="AC72:AC77" si="29">S72*($AC$3^2)*10^(-8)</f>
        <v>2.0206284029065111E-12</v>
      </c>
      <c r="AD72" s="337">
        <f t="shared" ref="AD72:AD77" si="30">AC72*SQRT((V72/S72)^2+(2*$AD$3/$AC$3)^2)</f>
        <v>1.2745578574995773E-13</v>
      </c>
      <c r="AE72" s="308">
        <f t="shared" si="10"/>
        <v>6.3077300886507812</v>
      </c>
      <c r="AF72" s="337">
        <f t="shared" si="11"/>
        <v>2.5491157149991547E-13</v>
      </c>
      <c r="AG72" s="338">
        <f t="shared" si="23"/>
        <v>-26.927612562346287</v>
      </c>
      <c r="AH72" s="339">
        <f t="shared" si="24"/>
        <v>6.3077300886507814E-2</v>
      </c>
      <c r="AI72" s="340">
        <f t="shared" si="25"/>
        <v>0.2342476546721812</v>
      </c>
      <c r="AJ72" s="341">
        <f t="shared" si="12"/>
        <v>0.12615460177301563</v>
      </c>
    </row>
    <row r="73" spans="1:36" x14ac:dyDescent="0.2">
      <c r="A73" s="309">
        <v>66</v>
      </c>
      <c r="B73" s="309">
        <f t="shared" si="13"/>
        <v>95.618105555555545</v>
      </c>
      <c r="C73" s="1">
        <v>567</v>
      </c>
      <c r="D73" s="347">
        <v>2</v>
      </c>
      <c r="E73" s="326">
        <f t="shared" ref="E73:E77" si="31">10000/(C73+273.15)</f>
        <v>11.902636433970125</v>
      </c>
      <c r="F73" s="327">
        <f t="shared" ref="F73:F77" si="32">SQRT((((-1)*10^4/(C74+273.15)^2)*D73)^2)</f>
        <v>2.7672544487238982E-2</v>
      </c>
      <c r="G73" s="309">
        <f t="shared" ref="G73:G77" si="33">H73/60/60</f>
        <v>1.6453722222222222</v>
      </c>
      <c r="H73" s="1">
        <v>5923.34</v>
      </c>
      <c r="I73" s="324">
        <v>30</v>
      </c>
      <c r="J73" s="1">
        <v>7.4099999999999904E-3</v>
      </c>
      <c r="K73" s="1">
        <v>1.19999999999999E-4</v>
      </c>
      <c r="L73" s="328">
        <f t="shared" ref="L73:L77" si="34">100*(K73/J73)</f>
        <v>1.6194331983805554</v>
      </c>
      <c r="M73" s="329">
        <f t="shared" si="28"/>
        <v>1.9852592491379772E-3</v>
      </c>
      <c r="N73" s="342">
        <f>(1/$J$79)*SQRT(((1-J74/$J$79)*K73)^2+(J74/$J$79)^2*(SUMSQ(K$8:K72)+SUMSQ(K74:K$78)))</f>
        <v>6.4094603106435466E-5</v>
      </c>
      <c r="O73" s="340">
        <f t="shared" si="14"/>
        <v>3.2285256010904413</v>
      </c>
      <c r="P73" s="332">
        <f t="shared" ref="P73:P77" si="35">M73+P72</f>
        <v>0.25405156315723187</v>
      </c>
      <c r="Q73" s="342">
        <f>SQRT(((1-P73)/$J$79)^2*SUMSQ(K$8:K73)+(P73/$J$79)^2*SUMSQ(K74:K$78))</f>
        <v>5.6320982235462782E-3</v>
      </c>
      <c r="R73" s="340">
        <f t="shared" si="15"/>
        <v>2.2169114622060353</v>
      </c>
      <c r="S73" s="343">
        <f t="shared" si="16"/>
        <v>1.8593056681762153E-8</v>
      </c>
      <c r="T73" s="344">
        <f t="shared" si="17"/>
        <v>9.4168442205388366E-11</v>
      </c>
      <c r="U73" s="344">
        <f>IF(P73&lt;=0.85, (1/(3*H73*$J$79))*SQRT( ((1-P73)*(1/SQRT(1-PI()*P73/3)-1) + (1-P72)*(1-1/SQRT(1-PI()*P72/3)))^2*SUMSQ(K$8:K72) + ( (1-P73)*(1/SQRT(1-PI()*P73/3)-1) -P72*(1-1/SQRT(1-PI()*P72/3)) )^2*K73^2 + ( P73*(1-1/SQRT(1-PI()*P73/3)) - P72*(1-1/SQRT(1-PI()*P72/3)) )^2*SUMSQ(K74:K$78) ), (1/(PI()^2*H73*$J$79))*SQRT((1+P72/(1-P72))^2*K73^2+(P72/(1-P72)-P73/(1-P73))^2*SUMSQ(K74:K$78)) )</f>
        <v>9.7982845010211156E-10</v>
      </c>
      <c r="V73" s="345">
        <f t="shared" si="18"/>
        <v>9.8434317549160452E-10</v>
      </c>
      <c r="W73" s="340">
        <f t="shared" si="19"/>
        <v>5.2941438965070349</v>
      </c>
      <c r="X73" s="345">
        <f t="shared" si="20"/>
        <v>1.968686350983209E-9</v>
      </c>
      <c r="Y73" s="338">
        <f t="shared" ref="Y73:Y77" si="36">LN(S73)</f>
        <v>-17.80047762259926</v>
      </c>
      <c r="Z73" s="346">
        <f t="shared" si="21"/>
        <v>5.294143896507035E-2</v>
      </c>
      <c r="AA73" s="346">
        <f t="shared" si="22"/>
        <v>0.29741583393165011</v>
      </c>
      <c r="AB73" s="346">
        <f t="shared" ref="AB73:AB77" si="37">2*Z73</f>
        <v>0.1058828779301407</v>
      </c>
      <c r="AC73" s="336">
        <f t="shared" si="29"/>
        <v>2.399426527558733E-12</v>
      </c>
      <c r="AD73" s="337">
        <f t="shared" si="30"/>
        <v>1.5255955634612302E-13</v>
      </c>
      <c r="AE73" s="308">
        <f t="shared" ref="AE73:AE77" si="38">100*AD73/AC73</f>
        <v>6.3581674451746126</v>
      </c>
      <c r="AF73" s="337">
        <f t="shared" ref="AF73:AF77" si="39">2*AD73</f>
        <v>3.0511911269224604E-13</v>
      </c>
      <c r="AG73" s="338">
        <f t="shared" si="23"/>
        <v>-26.755791353977525</v>
      </c>
      <c r="AH73" s="339">
        <f t="shared" si="24"/>
        <v>6.3581674451746131E-2</v>
      </c>
      <c r="AI73" s="340">
        <f t="shared" si="25"/>
        <v>0.23763705438783092</v>
      </c>
      <c r="AJ73" s="341">
        <f t="shared" ref="AJ73:AJ77" si="40">2*AH73</f>
        <v>0.12716334890349226</v>
      </c>
    </row>
    <row r="74" spans="1:36" x14ac:dyDescent="0.2">
      <c r="A74" s="309">
        <v>67</v>
      </c>
      <c r="B74" s="309">
        <f t="shared" ref="B74:B77" si="41">B73+G74</f>
        <v>97.265147222222211</v>
      </c>
      <c r="C74" s="1">
        <v>576.99</v>
      </c>
      <c r="D74" s="347">
        <v>2</v>
      </c>
      <c r="E74" s="326">
        <f t="shared" si="31"/>
        <v>11.762768485190675</v>
      </c>
      <c r="F74" s="327">
        <f t="shared" si="32"/>
        <v>2.703284202514419E-2</v>
      </c>
      <c r="G74" s="309">
        <f t="shared" si="33"/>
        <v>1.6470416666666667</v>
      </c>
      <c r="H74" s="1">
        <v>5929.35</v>
      </c>
      <c r="I74" s="324">
        <v>30</v>
      </c>
      <c r="J74" s="1">
        <v>9.3500000000000007E-3</v>
      </c>
      <c r="K74" s="1">
        <v>1.2999999999999999E-4</v>
      </c>
      <c r="L74" s="328">
        <f t="shared" si="34"/>
        <v>1.3903743315508019</v>
      </c>
      <c r="M74" s="329">
        <f>J74/$J$79</f>
        <v>2.5050167313684364E-3</v>
      </c>
      <c r="N74" s="342">
        <f>(1/$J$79)*SQRT(((1-J75/$J$79)*K74)^2+(J75/$J$79)^2*(SUMSQ(K$8:K73)+SUMSQ(K75:K$78)))</f>
        <v>5.4857433856884853E-5</v>
      </c>
      <c r="O74" s="340">
        <f t="shared" ref="O74:O77" si="42">100*(N74/M74)</f>
        <v>2.1899028924616171</v>
      </c>
      <c r="P74" s="332">
        <f t="shared" si="35"/>
        <v>0.25655657988860031</v>
      </c>
      <c r="Q74" s="342">
        <f>SQRT(((1-P74)/$J$79)^2*SUMSQ(K$8:K74)+(P74/$J$79)^2*SUMSQ(K75:K$78))</f>
        <v>5.6875661940492149E-3</v>
      </c>
      <c r="R74" s="340">
        <f t="shared" ref="R74:R77" si="43">100*(Q74/P74)</f>
        <v>2.2168857242011955</v>
      </c>
      <c r="S74" s="343">
        <f t="shared" ref="S74:S77" si="44">IF(P74&lt;=0.85, (((-1)*PI()^2*(P74-P73)/3-2*PI()*(SQRT(1-PI()*P74/3)-SQRT(1-PI()*P73/3)))/PI()^2/H74), ((-1)*LN((1-P74)/(1-P73))/PI()^2/H74 ))</f>
        <v>2.3700472656269172E-8</v>
      </c>
      <c r="T74" s="344">
        <f t="shared" ref="T74:T77" si="45">IF(P74&lt;=0.85, ABS(((-1)*(P74-P73)/3-2*(SQRT(1-PI()*P74/3)-SQRT(1-PI()*P73/3))/PI())*(-1)*I74/H74^2), ABS((-1)*LN((1-P74)/(1-P73))*(-1)*I74/PI()^2/H74^2))</f>
        <v>1.1991435480922446E-10</v>
      </c>
      <c r="U74" s="344">
        <f>IF(P74&lt;=0.85, (1/(3*H74*$J$79))*SQRT( ((1-P74)*(1/SQRT(1-PI()*P74/3)-1) + (1-P73)*(1-1/SQRT(1-PI()*P73/3)))^2*SUMSQ(K$8:K73) + ( (1-P74)*(1/SQRT(1-PI()*P74/3)-1) -P73*(1-1/SQRT(1-PI()*P73/3)) )^2*K74^2 + ( P74*(1-1/SQRT(1-PI()*P74/3)) - P73*(1-1/SQRT(1-PI()*P73/3)) )^2*SUMSQ(K$78:K101) ), (1/(PI()^2*H74*$J$79))*SQRT((1+P73/(1-P73))^2*K74^2+(P73/(1-P73)-P74/(1-P74))^2*SUMSQ(K$78:K101)) )</f>
        <v>1.7150436443374231E-9</v>
      </c>
      <c r="V74" s="345">
        <f t="shared" ref="V74:V77" si="46">SQRT(T74^2+U74^2)</f>
        <v>1.7192306868106739E-9</v>
      </c>
      <c r="W74" s="340">
        <f t="shared" ref="W74:W77" si="47">100*(V74/S74)</f>
        <v>7.2539932504506774</v>
      </c>
      <c r="X74" s="345">
        <f t="shared" ref="X74:X77" si="48">V74*2</f>
        <v>3.4384613736213477E-9</v>
      </c>
      <c r="Y74" s="338">
        <f t="shared" si="36"/>
        <v>-17.557770845701693</v>
      </c>
      <c r="Z74" s="346">
        <f t="shared" ref="Z74:Z77" si="49">V74/S74</f>
        <v>7.2539932504506771E-2</v>
      </c>
      <c r="AA74" s="346">
        <f t="shared" ref="AA74:AA77" si="50">ABS(100*(Z74/Y74))</f>
        <v>0.41315001284610808</v>
      </c>
      <c r="AB74" s="346">
        <f t="shared" si="37"/>
        <v>0.14507986500901354</v>
      </c>
      <c r="AC74" s="336">
        <f t="shared" si="29"/>
        <v>3.0585365161024742E-12</v>
      </c>
      <c r="AD74" s="337">
        <f t="shared" si="30"/>
        <v>2.4662266343920289E-13</v>
      </c>
      <c r="AE74" s="308">
        <f t="shared" si="38"/>
        <v>8.0634205980799205</v>
      </c>
      <c r="AF74" s="337">
        <f t="shared" si="39"/>
        <v>4.9324532687840577E-13</v>
      </c>
      <c r="AG74" s="338">
        <f t="shared" ref="AG74:AG77" si="51">LN(AC74)</f>
        <v>-26.513084577079958</v>
      </c>
      <c r="AH74" s="339">
        <f t="shared" ref="AH74:AH77" si="52">AD74/AC74</f>
        <v>8.0634205980799206E-2</v>
      </c>
      <c r="AI74" s="340">
        <f t="shared" ref="AI74:AI77" si="53">ABS(100*(AH74/AG74))</f>
        <v>0.30412985613339721</v>
      </c>
      <c r="AJ74" s="341">
        <f t="shared" si="40"/>
        <v>0.16126841196159841</v>
      </c>
    </row>
    <row r="75" spans="1:36" x14ac:dyDescent="0.2">
      <c r="A75" s="309">
        <v>68</v>
      </c>
      <c r="B75" s="309">
        <f t="shared" si="41"/>
        <v>98.411641666666654</v>
      </c>
      <c r="C75" s="1">
        <v>586.99</v>
      </c>
      <c r="D75" s="347">
        <v>2</v>
      </c>
      <c r="E75" s="326">
        <f t="shared" si="31"/>
        <v>11.626014369753761</v>
      </c>
      <c r="F75" s="327">
        <f t="shared" si="32"/>
        <v>2.6415067739151032E-2</v>
      </c>
      <c r="G75" s="309">
        <f t="shared" si="33"/>
        <v>1.1464944444444443</v>
      </c>
      <c r="H75" s="1">
        <v>4127.38</v>
      </c>
      <c r="I75" s="324">
        <v>30</v>
      </c>
      <c r="J75" s="1">
        <v>7.1500000000000001E-3</v>
      </c>
      <c r="K75" s="1">
        <v>1.1E-4</v>
      </c>
      <c r="L75" s="328">
        <f t="shared" si="34"/>
        <v>1.5384615384615385</v>
      </c>
      <c r="M75" s="329">
        <f>J75/$J$79</f>
        <v>1.9156010298699805E-3</v>
      </c>
      <c r="N75" s="342">
        <f>(1/$J$79)*SQRT(((1-J78/$J$79)*K75)^2+(J78/$J$79)^2*(SUMSQ(K$8:K74)+SUMSQ(K78:K$78)))</f>
        <v>1.6357560547819498E-2</v>
      </c>
      <c r="O75" s="340">
        <f t="shared" si="42"/>
        <v>853.91270378100353</v>
      </c>
      <c r="P75" s="332">
        <f t="shared" si="35"/>
        <v>0.2584721809184703</v>
      </c>
      <c r="Q75" s="342">
        <f>SQRT(((1-P75)/$J$79)^2*SUMSQ(K$8:K75)+(P75/$J$79)^2*SUMSQ(K78:K$78))</f>
        <v>5.7299622370463278E-3</v>
      </c>
      <c r="R75" s="340">
        <f t="shared" si="43"/>
        <v>2.2168583933037365</v>
      </c>
      <c r="S75" s="343">
        <f t="shared" si="44"/>
        <v>2.6322745267428284E-8</v>
      </c>
      <c r="T75" s="344">
        <f t="shared" si="45"/>
        <v>1.9132775708145306E-10</v>
      </c>
      <c r="U75" s="344">
        <f>IF(P75&lt;=0.85, (1/(3*H75*$J$79))*SQRT( ((1-P75)*(1/SQRT(1-PI()*P75/3)-1) + (1-P74)*(1-1/SQRT(1-PI()*P74/3)))^2*SUMSQ(K$8:K74) + ( (1-P75)*(1/SQRT(1-PI()*P75/3)-1) -P74*(1-1/SQRT(1-PI()*P74/3)) )^2*K75^2 + ( P75*(1-1/SQRT(1-PI()*P75/3)) - P74*(1-1/SQRT(1-PI()*P74/3)) )^2*SUMSQ(K78:K$93) ), (1/(PI()^2*H75*$J$79))*SQRT((1+P74/(1-P74))^2*K75^2+(P74/(1-P74)-P75/(1-P75))^2*SUMSQ(K78:K$93)) )</f>
        <v>1.9151521542551749E-9</v>
      </c>
      <c r="V75" s="345">
        <f t="shared" si="46"/>
        <v>1.9246854508147705E-9</v>
      </c>
      <c r="W75" s="340">
        <f t="shared" si="47"/>
        <v>7.311872037892539</v>
      </c>
      <c r="X75" s="345">
        <f t="shared" si="48"/>
        <v>3.849370901629541E-9</v>
      </c>
      <c r="Y75" s="338">
        <f t="shared" si="36"/>
        <v>-17.452832432454805</v>
      </c>
      <c r="Z75" s="346">
        <f t="shared" si="49"/>
        <v>7.3118720378925389E-2</v>
      </c>
      <c r="AA75" s="346">
        <f t="shared" si="50"/>
        <v>0.41895045209370047</v>
      </c>
      <c r="AB75" s="346">
        <f t="shared" si="37"/>
        <v>0.14623744075785078</v>
      </c>
      <c r="AC75" s="336">
        <f t="shared" si="29"/>
        <v>3.3969397476635134E-12</v>
      </c>
      <c r="AD75" s="337">
        <f t="shared" si="30"/>
        <v>2.7567962073341606E-13</v>
      </c>
      <c r="AE75" s="308">
        <f t="shared" si="38"/>
        <v>8.1155287173708128</v>
      </c>
      <c r="AF75" s="337">
        <f t="shared" si="39"/>
        <v>5.5135924146683212E-13</v>
      </c>
      <c r="AG75" s="338">
        <f t="shared" si="51"/>
        <v>-26.408146163833067</v>
      </c>
      <c r="AH75" s="339">
        <f t="shared" si="52"/>
        <v>8.1155287173708124E-2</v>
      </c>
      <c r="AI75" s="340">
        <f t="shared" si="53"/>
        <v>0.30731156465974613</v>
      </c>
      <c r="AJ75" s="341">
        <f t="shared" si="40"/>
        <v>0.16231057434741625</v>
      </c>
    </row>
    <row r="76" spans="1:36" x14ac:dyDescent="0.2">
      <c r="A76" s="309">
        <v>69</v>
      </c>
      <c r="B76" s="309">
        <f t="shared" si="41"/>
        <v>99.557569444444425</v>
      </c>
      <c r="C76" s="1">
        <v>596.99</v>
      </c>
      <c r="D76" s="347">
        <v>3</v>
      </c>
      <c r="E76" s="326">
        <f t="shared" si="31"/>
        <v>11.49240352127244</v>
      </c>
      <c r="F76" s="327">
        <f t="shared" si="32"/>
        <v>3.8727346103904978E-2</v>
      </c>
      <c r="G76" s="309">
        <f t="shared" si="33"/>
        <v>1.1459277777777779</v>
      </c>
      <c r="H76" s="1">
        <v>4125.34</v>
      </c>
      <c r="J76" s="1">
        <v>9.2800000000000001E-3</v>
      </c>
      <c r="K76" s="1">
        <v>1.6000000000000001E-4</v>
      </c>
      <c r="L76" s="328">
        <f t="shared" si="34"/>
        <v>1.7241379310344827</v>
      </c>
      <c r="M76" s="329">
        <f>J76/$J$79</f>
        <v>2.486262595411667E-3</v>
      </c>
      <c r="N76" s="342">
        <f>(1/$J$79)*SQRT(((1-J77/$J$79)*K76)^2+(J77/$J$79)^2*(SUMSQ(K$8:K75)+SUMSQ(K77:K$78)))</f>
        <v>8.1083318435569657E-5</v>
      </c>
      <c r="O76" s="340">
        <f t="shared" si="42"/>
        <v>3.261253199288233</v>
      </c>
      <c r="P76" s="332">
        <f t="shared" si="35"/>
        <v>0.26095844351388198</v>
      </c>
      <c r="Q76" s="342">
        <f>SQRT(((1-P76)/$J$79)^2*SUMSQ(K$8:K76)+(P76/$J$79)^2*SUMSQ(K77:K$78))</f>
        <v>5.7850580198068368E-3</v>
      </c>
      <c r="R76" s="340">
        <f t="shared" si="43"/>
        <v>2.2168502930617358</v>
      </c>
      <c r="S76" s="343">
        <f t="shared" si="44"/>
        <v>3.4553088933737165E-8</v>
      </c>
      <c r="T76" s="344">
        <f t="shared" si="45"/>
        <v>0</v>
      </c>
      <c r="U76" s="344">
        <f>IF(P76&lt;=0.85, (1/(3*H76*$J$79))*SQRT( ((1-P76)*(1/SQRT(1-PI()*P76/3)-1) + (1-P75)*(1-1/SQRT(1-PI()*P75/3)))^2*SUMSQ(K$8:K75) + ( (1-P76)*(1/SQRT(1-PI()*P76/3)-1) -P75*(1-1/SQRT(1-PI()*P75/3)) )^2*K76^2 + ( P76*(1-1/SQRT(1-PI()*P76/3)) - P75*(1-1/SQRT(1-PI()*P75/3)) )^2*SUMSQ(K$78:K103) ), (1/(PI()^2*H76*$J$79))*SQRT((1+P75/(1-P75))^2*K76^2+(P75/(1-P75)-P76/(1-P76))^2*SUMSQ(K$78:K103)) )</f>
        <v>2.5315810222407901E-9</v>
      </c>
      <c r="V76" s="345">
        <f t="shared" si="46"/>
        <v>2.5315810222407901E-9</v>
      </c>
      <c r="W76" s="340">
        <f t="shared" si="47"/>
        <v>7.3266416993734786</v>
      </c>
      <c r="X76" s="345">
        <f t="shared" si="48"/>
        <v>5.0631620444815803E-9</v>
      </c>
      <c r="Y76" s="338">
        <f t="shared" si="36"/>
        <v>-17.180768885989963</v>
      </c>
      <c r="Z76" s="346">
        <f t="shared" si="49"/>
        <v>7.326641699373479E-2</v>
      </c>
      <c r="AA76" s="346">
        <f t="shared" si="50"/>
        <v>0.42644434297396205</v>
      </c>
      <c r="AB76" s="346">
        <f t="shared" si="37"/>
        <v>0.14653283398746958</v>
      </c>
      <c r="AC76" s="336">
        <f t="shared" si="29"/>
        <v>4.4590623056632071E-12</v>
      </c>
      <c r="AD76" s="337">
        <f t="shared" si="30"/>
        <v>3.6246996492791323E-13</v>
      </c>
      <c r="AE76" s="308">
        <f t="shared" si="38"/>
        <v>8.1288383090669143</v>
      </c>
      <c r="AF76" s="337">
        <f t="shared" si="39"/>
        <v>7.2493992985582646E-13</v>
      </c>
      <c r="AG76" s="338">
        <f t="shared" si="51"/>
        <v>-26.136082617368224</v>
      </c>
      <c r="AH76" s="339">
        <f t="shared" si="52"/>
        <v>8.1288383090669145E-2</v>
      </c>
      <c r="AI76" s="340">
        <f t="shared" si="53"/>
        <v>0.31101976635416106</v>
      </c>
      <c r="AJ76" s="341">
        <f t="shared" si="40"/>
        <v>0.16257676618133829</v>
      </c>
    </row>
    <row r="77" spans="1:36" x14ac:dyDescent="0.2">
      <c r="A77" s="309">
        <v>70</v>
      </c>
      <c r="B77" s="309">
        <f t="shared" si="41"/>
        <v>100.7034972222222</v>
      </c>
      <c r="C77" s="1">
        <v>606.99</v>
      </c>
      <c r="D77" s="347">
        <v>4</v>
      </c>
      <c r="E77" s="326">
        <f t="shared" si="31"/>
        <v>11.361828799963643</v>
      </c>
      <c r="F77" s="327">
        <f t="shared" si="32"/>
        <v>0.53611453470502268</v>
      </c>
      <c r="G77" s="309">
        <f t="shared" si="33"/>
        <v>1.1459277777777779</v>
      </c>
      <c r="H77" s="1">
        <v>4125.34</v>
      </c>
      <c r="J77" s="1">
        <v>1.16099999999999E-2</v>
      </c>
      <c r="K77" s="1">
        <v>1.2999999999999999E-4</v>
      </c>
      <c r="L77" s="328">
        <f t="shared" si="34"/>
        <v>1.1197243755383386</v>
      </c>
      <c r="M77" s="329">
        <f>J77/$J$79</f>
        <v>3.1105074065440955E-3</v>
      </c>
      <c r="N77" s="342">
        <f>(1/$J$79)*SQRT(((1-J80/$J$79)*K77)^2+(J80/$J$79)^2*(SUMSQ(K$8:K76)+SUMSQ(K$78:K80)))</f>
        <v>3.4829109633999641E-5</v>
      </c>
      <c r="O77" s="340">
        <f t="shared" si="42"/>
        <v>1.1197243755383386</v>
      </c>
      <c r="P77" s="332">
        <f t="shared" si="35"/>
        <v>0.26406895092042609</v>
      </c>
      <c r="Q77" s="342">
        <f>SQRT(((1-P77)/$J$79)^2*SUMSQ(K$8:K77)+(P77/$J$79)^2*SUMSQ(K$78:K80))</f>
        <v>8.275953890735455E-3</v>
      </c>
      <c r="R77" s="340">
        <f t="shared" si="43"/>
        <v>3.1340124849548525</v>
      </c>
      <c r="S77" s="343">
        <f t="shared" si="44"/>
        <v>4.3823296262732696E-8</v>
      </c>
      <c r="T77" s="344">
        <f t="shared" si="45"/>
        <v>0</v>
      </c>
      <c r="U77" s="344">
        <f>IF(P77&lt;=0.85, (1/(3*H77*$J$79))*SQRT( ((1-P77)*(1/SQRT(1-PI()*P77/3)-1) + (1-P76)*(1-1/SQRT(1-PI()*P76/3)))^2*SUMSQ(K$8:K76) + ( (1-P77)*(1/SQRT(1-PI()*P77/3)-1) -P76*(1-1/SQRT(1-PI()*P76/3)) )^2*K77^2 + ( P77*(1-1/SQRT(1-PI()*P77/3)) - P76*(1-1/SQRT(1-PI()*P76/3)) )^2*SUMSQ(K80:K$93) ), (1/(PI()^2*H77*$J$79))*SQRT((1+P76/(1-P76))^2*K77^2+(P76/(1-P76)-P77/(1-P77))^2*SUMSQ(K80:K$93)) )</f>
        <v>4.9218051854343512E-10</v>
      </c>
      <c r="V77" s="345">
        <f t="shared" si="46"/>
        <v>4.9218051854343512E-10</v>
      </c>
      <c r="W77" s="340">
        <f t="shared" si="47"/>
        <v>1.1231024603733086</v>
      </c>
      <c r="X77" s="345">
        <f t="shared" si="48"/>
        <v>9.8436103708687025E-10</v>
      </c>
      <c r="Y77" s="338">
        <f t="shared" si="36"/>
        <v>-16.943100282816474</v>
      </c>
      <c r="Z77" s="346">
        <f t="shared" si="49"/>
        <v>1.1231024603733087E-2</v>
      </c>
      <c r="AA77" s="346">
        <f t="shared" si="50"/>
        <v>6.628671504189515E-2</v>
      </c>
      <c r="AB77" s="346">
        <f t="shared" si="37"/>
        <v>2.2462049207466174E-2</v>
      </c>
      <c r="AC77" s="336">
        <f t="shared" si="29"/>
        <v>5.6553788533871489E-12</v>
      </c>
      <c r="AD77" s="337">
        <f t="shared" si="30"/>
        <v>2.0901726938336008E-13</v>
      </c>
      <c r="AE77" s="308">
        <f t="shared" si="38"/>
        <v>3.6959021632684141</v>
      </c>
      <c r="AF77" s="337">
        <f t="shared" si="39"/>
        <v>4.1803453876672016E-13</v>
      </c>
      <c r="AG77" s="338">
        <f t="shared" si="51"/>
        <v>-25.898414014194739</v>
      </c>
      <c r="AH77" s="339">
        <f t="shared" si="52"/>
        <v>3.6959021632684143E-2</v>
      </c>
      <c r="AI77" s="340">
        <f t="shared" si="53"/>
        <v>0.14270766392269102</v>
      </c>
      <c r="AJ77" s="341">
        <f t="shared" si="40"/>
        <v>7.3918043265368286E-2</v>
      </c>
    </row>
    <row r="78" spans="1:36" x14ac:dyDescent="0.2">
      <c r="J78" s="338">
        <v>2.7559999999999998</v>
      </c>
      <c r="K78" s="346">
        <f>IF(J78&lt;0.06,J78*0.1,IF(J78&lt;0.2,J78*0.06,J78*0.03))</f>
        <v>8.267999999999999E-2</v>
      </c>
      <c r="L78" s="328">
        <f>100*(K78/J78)</f>
        <v>3</v>
      </c>
    </row>
    <row r="79" spans="1:36" x14ac:dyDescent="0.2">
      <c r="J79" s="120">
        <f>SUM(J9:J78)</f>
        <v>3.7325099999999996</v>
      </c>
      <c r="K79" s="346">
        <f>SQRT(SUMSQ(K8:K78))</f>
        <v>8.2688091645653536E-2</v>
      </c>
      <c r="L79" s="328">
        <f>100*(K79/J79)</f>
        <v>2.215348161040521</v>
      </c>
    </row>
    <row r="90" spans="1:36" x14ac:dyDescent="0.2">
      <c r="A90" s="309"/>
      <c r="B90" s="309"/>
      <c r="D90" s="347"/>
      <c r="E90" s="326"/>
      <c r="F90" s="327"/>
      <c r="G90" s="309"/>
      <c r="I90" s="324"/>
      <c r="M90" s="329"/>
      <c r="N90" s="342"/>
      <c r="O90" s="340"/>
      <c r="P90" s="332"/>
      <c r="Q90" s="342"/>
      <c r="R90" s="340"/>
      <c r="S90" s="343"/>
      <c r="T90" s="344"/>
      <c r="U90" s="344"/>
      <c r="V90" s="345"/>
      <c r="W90" s="340"/>
      <c r="X90" s="345"/>
      <c r="Y90" s="338"/>
      <c r="Z90" s="346"/>
      <c r="AA90" s="346"/>
      <c r="AB90" s="346"/>
      <c r="AC90" s="336"/>
      <c r="AD90" s="337"/>
      <c r="AE90" s="308"/>
      <c r="AF90" s="337"/>
      <c r="AG90" s="338"/>
      <c r="AH90" s="339"/>
      <c r="AI90" s="340"/>
      <c r="AJ90" s="341"/>
    </row>
    <row r="91" spans="1:36" x14ac:dyDescent="0.2">
      <c r="A91" s="309"/>
      <c r="B91" s="309"/>
      <c r="D91" s="347"/>
      <c r="E91" s="326"/>
      <c r="F91" s="327"/>
      <c r="G91" s="309"/>
      <c r="I91" s="324"/>
      <c r="M91" s="329"/>
      <c r="N91" s="342"/>
      <c r="O91" s="340"/>
      <c r="P91" s="332"/>
      <c r="Q91" s="342"/>
      <c r="R91" s="340"/>
      <c r="S91" s="343"/>
      <c r="T91" s="344"/>
      <c r="U91" s="344"/>
      <c r="V91" s="345"/>
      <c r="W91" s="340"/>
      <c r="X91" s="345"/>
      <c r="Y91" s="338"/>
      <c r="Z91" s="346"/>
      <c r="AA91" s="346"/>
      <c r="AB91" s="346"/>
      <c r="AC91" s="336"/>
      <c r="AD91" s="337"/>
      <c r="AE91" s="308"/>
      <c r="AF91" s="337"/>
      <c r="AG91" s="338"/>
      <c r="AH91" s="339"/>
      <c r="AI91" s="340"/>
      <c r="AJ91" s="341"/>
    </row>
    <row r="92" spans="1:36" x14ac:dyDescent="0.2">
      <c r="I92" s="302"/>
      <c r="L92" s="328"/>
      <c r="S92" s="343"/>
      <c r="T92" s="344"/>
      <c r="U92" s="344"/>
      <c r="V92" s="345"/>
      <c r="W92" s="340"/>
      <c r="X92" s="345"/>
      <c r="Y92" s="338"/>
      <c r="Z92" s="346"/>
      <c r="AA92" s="346"/>
      <c r="AB92" s="346"/>
      <c r="AC92" s="336"/>
      <c r="AD92" s="337"/>
      <c r="AE92" s="308"/>
      <c r="AF92" s="337"/>
      <c r="AG92" s="338"/>
      <c r="AH92" s="339"/>
      <c r="AI92" s="340"/>
      <c r="AJ92" s="341"/>
    </row>
    <row r="93" spans="1:36" x14ac:dyDescent="0.2">
      <c r="I93" s="348"/>
      <c r="L93" s="32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50AA-A459-DB4A-B404-9D77CECF316D}">
  <dimension ref="A1:AM99"/>
  <sheetViews>
    <sheetView topLeftCell="C52" zoomScale="89" zoomScaleNormal="100" workbookViewId="0">
      <selection activeCell="K5" sqref="K5:L6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32" width="8.83203125" style="1"/>
    <col min="33" max="33" width="12.6640625" style="1" customWidth="1"/>
    <col min="34" max="35" width="8.83203125" style="1"/>
    <col min="36" max="36" width="10.1640625" style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621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1.0305111111111112</v>
      </c>
      <c r="C8" s="1">
        <v>300</v>
      </c>
      <c r="D8" s="1">
        <v>0.05</v>
      </c>
      <c r="E8" s="326">
        <f>10000/(C8+273.15)</f>
        <v>17.447439588240428</v>
      </c>
      <c r="F8" s="327">
        <f t="shared" ref="F8:F71" si="0">SQRT((((-1)*10^4/(C9+273.15)^2)*D8)^2)</f>
        <v>1.4703622336994463E-3</v>
      </c>
      <c r="G8" s="309">
        <f>H8/60/60</f>
        <v>1.0305111111111112</v>
      </c>
      <c r="H8" s="1">
        <v>3709.84</v>
      </c>
      <c r="I8" s="324">
        <v>30</v>
      </c>
      <c r="J8" s="1">
        <v>8.7899999999999992E-3</v>
      </c>
      <c r="K8" s="1">
        <v>1E-4</v>
      </c>
      <c r="L8" s="328">
        <f>100*(K8/J8)</f>
        <v>1.137656427758817</v>
      </c>
      <c r="M8" s="329">
        <f t="shared" ref="M8:M71" si="1">J8/$J$78</f>
        <v>5.3418511246146295E-4</v>
      </c>
      <c r="N8" s="330">
        <f>(1/$J$78)*SQRT(((1-J9/$J$78)*K8)^2+(J9/$J$78)^2*SUMSQ(K9:K$77))</f>
        <v>1.2246900514257786E-5</v>
      </c>
      <c r="O8" s="331">
        <f>100*(N8/M8)</f>
        <v>2.2926323157576389</v>
      </c>
      <c r="P8" s="332">
        <f>M8+P7</f>
        <v>5.3418511246146295E-4</v>
      </c>
      <c r="Q8" s="330">
        <f>SQRT(((1-P8)/$J$78)^2*SUMSQ(K$8:K8)+(P8/$J$78)^2*SUMSQ(K9:K$77))</f>
        <v>1.4635368591750022E-5</v>
      </c>
      <c r="R8" s="331">
        <f>100*(Q8/P8)</f>
        <v>2.7397559853946407</v>
      </c>
      <c r="S8" s="333">
        <f>IF(P8&lt;=0.85, ((2*PI()-PI()^2*P8/3-2*PI()*SQRT(1-PI()*P8/3))/PI()^2/H8), ((-1)*LN((1-P8)*PI()^2/6)/PI()^2/H8 ))</f>
        <v>6.7142460186586417E-12</v>
      </c>
      <c r="T8" s="333">
        <f>IF(P8&lt;=0.85, ABS((2/PI()-P8/3-2*SQRT(1-PI()*P8/3)/PI())*(-1)*I8/H8^2), ABS((-1)*LN((1-P8)*PI()^2/6)*(-1)*I8/PI()^2/H8^2))</f>
        <v>5.4295436147648395E-14</v>
      </c>
      <c r="U8" s="333">
        <f>IF(P8&lt;=0.85, ((1/(3*H8*$J$78))*((1/SQRT(1-PI()*P8/3))-1)*SQRT(((1-P8)*K8)^2+(-P8)^2*SUMSQ(K9:K$77))),  (1/(PI()^2*H8*$J$78))*SQRT(K8^2+(P8/(1-P8))^2*SUMSQ(K9:K$77)))</f>
        <v>3.6795938729283455E-13</v>
      </c>
      <c r="V8" s="334">
        <f>SQRT(T8^2+U8^2)</f>
        <v>3.7194368536564989E-13</v>
      </c>
      <c r="W8" s="331">
        <f>100*(V8/S8)</f>
        <v>5.5396195541842248</v>
      </c>
      <c r="X8" s="334">
        <f>V8*2</f>
        <v>7.4388737073129979E-13</v>
      </c>
      <c r="Y8" s="335">
        <f>LN(S8)</f>
        <v>-25.726789575405949</v>
      </c>
      <c r="Z8" s="335">
        <f>V8/S8</f>
        <v>5.5396195541842247E-2</v>
      </c>
      <c r="AA8" s="335">
        <f>ABS(100*(Z8/Y8))</f>
        <v>0.21532494514900288</v>
      </c>
      <c r="AB8" s="335">
        <f>2*Z8</f>
        <v>0.11079239108368449</v>
      </c>
      <c r="AC8" s="336">
        <f t="shared" ref="AC8:AC71" si="2">S8*($AC$3^2)*10^(-8)</f>
        <v>8.6647076300949027E-16</v>
      </c>
      <c r="AD8" s="337">
        <f t="shared" ref="AD8:AD71" si="3">AC8*SQRT((V8/S8)^2+(2*$AD$3/$AC$3)^2)</f>
        <v>5.6874891706427815E-17</v>
      </c>
      <c r="AE8" s="308">
        <f>100*AD8/AC8</f>
        <v>6.5639712422477752</v>
      </c>
      <c r="AF8" s="337">
        <f>2*AD8</f>
        <v>1.1374978341285563E-16</v>
      </c>
      <c r="AG8" s="338">
        <f>LN(AC8)</f>
        <v>-34.682103306784214</v>
      </c>
      <c r="AH8" s="339">
        <f>AD8/AC8</f>
        <v>6.563971242247775E-2</v>
      </c>
      <c r="AI8" s="340">
        <f>ABS(100*(AH8/AG8))</f>
        <v>0.189261048679357</v>
      </c>
      <c r="AJ8" s="341">
        <f>2*AH8</f>
        <v>0.1312794248449555</v>
      </c>
    </row>
    <row r="9" spans="1:39" x14ac:dyDescent="0.2">
      <c r="A9" s="309">
        <v>2</v>
      </c>
      <c r="B9" s="309">
        <f>G9+B8</f>
        <v>2.0460166666666666</v>
      </c>
      <c r="C9" s="1">
        <v>309.99</v>
      </c>
      <c r="D9" s="1">
        <v>0.17</v>
      </c>
      <c r="E9" s="326">
        <f t="shared" ref="E9:E72" si="4">10000/(C9+273.15)</f>
        <v>17.148540659189905</v>
      </c>
      <c r="F9" s="327">
        <f t="shared" si="0"/>
        <v>4.8320842261068472E-3</v>
      </c>
      <c r="G9" s="309">
        <f t="shared" ref="G9:G72" si="5">H9/60/60</f>
        <v>1.0155055555555557</v>
      </c>
      <c r="H9" s="1">
        <v>3655.82</v>
      </c>
      <c r="I9" s="324">
        <v>30</v>
      </c>
      <c r="J9" s="1">
        <v>7.0200000000000002E-3</v>
      </c>
      <c r="K9" s="1">
        <v>1.19999999999999E-4</v>
      </c>
      <c r="L9" s="328">
        <f t="shared" ref="L9:L72" si="6">100*(K9/J9)</f>
        <v>1.7094017094016949</v>
      </c>
      <c r="M9" s="329">
        <f t="shared" si="1"/>
        <v>4.266188270170046E-4</v>
      </c>
      <c r="N9" s="342">
        <f>(1/$J$78)*SQRT(((1-J10/$J$78)*K9)^2+(J10/$J$78)^2*(SUMSQ(K$8:K8)+SUMSQ(K10:K$77)))</f>
        <v>1.5942503528052808E-5</v>
      </c>
      <c r="O9" s="340">
        <f>100*(N9/M9)</f>
        <v>3.7369432660826654</v>
      </c>
      <c r="P9" s="332">
        <f t="shared" ref="P9:P72" si="7">M9+P8</f>
        <v>9.6080393947846755E-4</v>
      </c>
      <c r="Q9" s="342">
        <f>SQRT(((1-P9)/$J$78)^2*SUMSQ(K$8:K9)+(P9/$J$78)^2*SUMSQ(K10:K$77))</f>
        <v>2.5759006790753505E-5</v>
      </c>
      <c r="R9" s="340">
        <f>100*(Q9/P9)</f>
        <v>2.6809847183532272</v>
      </c>
      <c r="S9" s="343">
        <f>IF(P9&lt;=0.85, (((-1)*PI()^2*(P9-P8)/3-2*PI()*(SQRT(1-PI()*P9/3)-SQRT(1-PI()*P8/3)))/PI()^2/H9), ((-1)*LN((1-P9)/(1-P8))/PI()^2/H9 ))</f>
        <v>1.5233601301322846E-11</v>
      </c>
      <c r="T9" s="344">
        <f>IF(P9&lt;=0.85, ABS(((-1)*(P9-P8)/3-2*(SQRT(1-PI()*P9/3)-SQRT(1-PI()*P8/3))/PI())*(-1)*I9/H9^2), ABS((-1)*LN((1-P9)/(1-P8))*(-1)*I9/PI()^2/H9^2))</f>
        <v>1.2500835354028175E-13</v>
      </c>
      <c r="U9" s="344">
        <f>IF(P9&lt;=0.85, (1/(3*H9*$J$78))*SQRT( ((1-P9)*(1/SQRT(1-PI()*P9/3)-1) + (1-P8)*(1-1/SQRT(1-PI()*P8/3)))^2*SUMSQ(K$8:K8) + ( (1-P9)*(1/SQRT(1-PI()*P9/3)-1) -P8*(1-1/SQRT(1-PI()*P8/3)) )^2*K9^2 + ( P9*(1-1/SQRT(1-PI()*P9/3)) - P8*(1-1/SQRT(1-PI()*P8/3)) )^2*SUMSQ(K10:K$77) ), (1/(PI()^2*H9*$J$78))*SQRT((1+P8/(1-P8))^2*K9^2+(P8/(1-P8)-P9/(1-P9))^2*SUMSQ(K10:K$77)) )</f>
        <v>8.3924651708944663E-13</v>
      </c>
      <c r="V9" s="345">
        <f>SQRT(T9^2+U9^2)</f>
        <v>8.4850563044780029E-13</v>
      </c>
      <c r="W9" s="340">
        <f>100*(V9/S9)</f>
        <v>5.5699608625973314</v>
      </c>
      <c r="X9" s="345">
        <f>V9*2</f>
        <v>1.6970112608956006E-12</v>
      </c>
      <c r="Y9" s="338">
        <f t="shared" ref="Y9:Y72" si="8">LN(S9)</f>
        <v>-24.907517515954751</v>
      </c>
      <c r="Z9" s="346">
        <f>V9/S9</f>
        <v>5.5699608625973313E-2</v>
      </c>
      <c r="AA9" s="346">
        <f>ABS(100*(Z9/Y9))</f>
        <v>0.22362569288687395</v>
      </c>
      <c r="AB9" s="346">
        <f t="shared" ref="AB9:AB72" si="9">2*Z9</f>
        <v>0.11139921725194663</v>
      </c>
      <c r="AC9" s="336">
        <f t="shared" si="2"/>
        <v>1.9658901544951926E-15</v>
      </c>
      <c r="AD9" s="337">
        <f t="shared" si="3"/>
        <v>1.2954425214704877E-16</v>
      </c>
      <c r="AE9" s="308">
        <f t="shared" ref="AE9:AE72" si="10">100*AD9/AC9</f>
        <v>6.589597686871449</v>
      </c>
      <c r="AF9" s="337">
        <f t="shared" ref="AF9:AF72" si="11">2*AD9</f>
        <v>2.5908850429409754E-16</v>
      </c>
      <c r="AG9" s="338">
        <f>LN(AC9)</f>
        <v>-33.862831247333013</v>
      </c>
      <c r="AH9" s="339">
        <f>AD9/AC9</f>
        <v>6.5895976868714498E-2</v>
      </c>
      <c r="AI9" s="340">
        <f>ABS(100*(AH9/AG9))</f>
        <v>0.19459677304420425</v>
      </c>
      <c r="AJ9" s="341">
        <f t="shared" ref="AJ9:AJ72" si="12">2*AH9</f>
        <v>0.131791953737429</v>
      </c>
    </row>
    <row r="10" spans="1:39" x14ac:dyDescent="0.2">
      <c r="A10" s="309">
        <v>3</v>
      </c>
      <c r="B10" s="309">
        <f t="shared" ref="B10:B73" si="13">G10+B9</f>
        <v>3.0609611111111112</v>
      </c>
      <c r="C10" s="1">
        <v>319.99</v>
      </c>
      <c r="D10" s="1">
        <v>0.16</v>
      </c>
      <c r="E10" s="326">
        <f t="shared" si="4"/>
        <v>16.85942610513538</v>
      </c>
      <c r="F10" s="327">
        <f t="shared" si="0"/>
        <v>4.3978510583569724E-3</v>
      </c>
      <c r="G10" s="309">
        <f t="shared" si="5"/>
        <v>1.0149444444444444</v>
      </c>
      <c r="H10" s="1">
        <v>3653.8</v>
      </c>
      <c r="I10" s="324">
        <v>30</v>
      </c>
      <c r="J10" s="1">
        <v>9.3600000000000003E-3</v>
      </c>
      <c r="K10" s="1">
        <v>1.3999999999999999E-4</v>
      </c>
      <c r="L10" s="328">
        <f t="shared" si="6"/>
        <v>1.4957264957264955</v>
      </c>
      <c r="M10" s="329">
        <f t="shared" si="1"/>
        <v>5.6882510268933947E-4</v>
      </c>
      <c r="N10" s="342">
        <f>(1/$J$78)*SQRT(((1-J11/$J$78)*K10)^2+(J11/$J$78)^2*(SUMSQ(K$8:K9)+SUMSQ(K11:K$77)))</f>
        <v>2.1380068799894813E-5</v>
      </c>
      <c r="O10" s="340">
        <f t="shared" ref="O10:O73" si="14">100*(N10/M10)</f>
        <v>3.7586366527799697</v>
      </c>
      <c r="P10" s="332">
        <f t="shared" si="7"/>
        <v>1.529629042167807E-3</v>
      </c>
      <c r="Q10" s="342">
        <f>SQRT(((1-P10)/$J$78)^2*SUMSQ(K$8:K10)+(P10/$J$78)^2*SUMSQ(K11:K$77))</f>
        <v>4.0196896658578705E-5</v>
      </c>
      <c r="R10" s="340">
        <f t="shared" ref="R10:R73" si="15">100*(Q10/P10)</f>
        <v>2.6278852944378737</v>
      </c>
      <c r="S10" s="343">
        <f t="shared" ref="S10:S73" si="16">IF(P10&lt;=0.85, (((-1)*PI()^2*(P10-P9)/3-2*PI()*(SQRT(1-PI()*P10/3)-SQRT(1-PI()*P9/3)))/PI()^2/H10), ((-1)*LN((1-P10)/(1-P9))/PI()^2/H10 ))</f>
        <v>3.3867926325878581E-11</v>
      </c>
      <c r="T10" s="344">
        <f t="shared" ref="T10:T73" si="17">IF(P10&lt;=0.85, ABS(((-1)*(P10-P9)/3-2*(SQRT(1-PI()*P10/3)-SQRT(1-PI()*P9/3))/PI())*(-1)*I10/H10^2), ABS((-1)*LN((1-P10)/(1-P9))*(-1)*I10/PI()^2/H10^2))</f>
        <v>2.7807701291161303E-13</v>
      </c>
      <c r="U10" s="344">
        <f>IF(P10&lt;=0.85, (1/(3*H10*$J$78))*SQRT( ((1-P10)*(1/SQRT(1-PI()*P10/3)-1) + (1-P9)*(1-1/SQRT(1-PI()*P9/3)))^2*SUMSQ(K$8:K9) + ( (1-P10)*(1/SQRT(1-PI()*P10/3)-1) -P9*(1-1/SQRT(1-PI()*P9/3)) )^2*K10^2 + ( P10*(1-1/SQRT(1-PI()*P10/3)) - P9*(1-1/SQRT(1-PI()*P9/3)) )^2*SUMSQ(K11:K$77) ), (1/(PI()^2*H10*$J$78))*SQRT((1+P9/(1-P9))^2*K10^2+(P9/(1-P9)-P10/(1-P10))^2*SUMSQ(K11:K$77)) )</f>
        <v>1.8184493897433536E-12</v>
      </c>
      <c r="V10" s="345">
        <f t="shared" ref="V10:V73" si="18">SQRT(T10^2+U10^2)</f>
        <v>1.8395882713715646E-12</v>
      </c>
      <c r="W10" s="340">
        <f t="shared" ref="W10:W73" si="19">100*(V10/S10)</f>
        <v>5.4316531035026188</v>
      </c>
      <c r="X10" s="345">
        <f t="shared" ref="X10:X73" si="20">V10*2</f>
        <v>3.6791765427431292E-12</v>
      </c>
      <c r="Y10" s="338">
        <f t="shared" si="8"/>
        <v>-24.108552675482212</v>
      </c>
      <c r="Z10" s="346">
        <f t="shared" ref="Z10:Z73" si="21">V10/S10</f>
        <v>5.4316531035026192E-2</v>
      </c>
      <c r="AA10" s="346">
        <f t="shared" ref="AA10:AA73" si="22">ABS(100*(Z10/Y10))</f>
        <v>0.22529984178712115</v>
      </c>
      <c r="AB10" s="346">
        <f t="shared" si="9"/>
        <v>0.10863306207005238</v>
      </c>
      <c r="AC10" s="336">
        <f t="shared" si="2"/>
        <v>4.3706423451841003E-15</v>
      </c>
      <c r="AD10" s="337">
        <f t="shared" si="3"/>
        <v>2.8291660834298405E-16</v>
      </c>
      <c r="AE10" s="308">
        <f t="shared" si="10"/>
        <v>6.4731127829464858</v>
      </c>
      <c r="AF10" s="337">
        <f t="shared" si="11"/>
        <v>5.658332166859681E-16</v>
      </c>
      <c r="AG10" s="338">
        <f t="shared" ref="AG10:AG73" si="23">LN(AC10)</f>
        <v>-33.063866406860477</v>
      </c>
      <c r="AH10" s="339">
        <f t="shared" ref="AH10:AH73" si="24">AD10/AC10</f>
        <v>6.4731127829464857E-2</v>
      </c>
      <c r="AI10" s="340">
        <f t="shared" ref="AI10:AI73" si="25">ABS(100*(AH10/AG10))</f>
        <v>0.19577603850962116</v>
      </c>
      <c r="AJ10" s="341">
        <f t="shared" si="12"/>
        <v>0.12946225565892971</v>
      </c>
    </row>
    <row r="11" spans="1:39" x14ac:dyDescent="0.2">
      <c r="A11" s="309">
        <v>4</v>
      </c>
      <c r="B11" s="309">
        <f t="shared" si="13"/>
        <v>4.074786111111111</v>
      </c>
      <c r="C11" s="1">
        <v>330.02</v>
      </c>
      <c r="D11" s="1">
        <v>0.23</v>
      </c>
      <c r="E11" s="326">
        <f t="shared" si="4"/>
        <v>16.579073892932342</v>
      </c>
      <c r="F11" s="327">
        <f t="shared" si="0"/>
        <v>6.1169891282387848E-3</v>
      </c>
      <c r="G11" s="309">
        <f t="shared" si="5"/>
        <v>1.013825</v>
      </c>
      <c r="H11" s="1">
        <v>3649.77</v>
      </c>
      <c r="I11" s="324">
        <v>30</v>
      </c>
      <c r="J11" s="1">
        <v>1.295E-2</v>
      </c>
      <c r="K11" s="1">
        <v>1.4999999999999999E-4</v>
      </c>
      <c r="L11" s="328">
        <f t="shared" si="6"/>
        <v>1.1583011583011582</v>
      </c>
      <c r="M11" s="329">
        <f t="shared" si="1"/>
        <v>7.869962692122806E-4</v>
      </c>
      <c r="N11" s="342">
        <f>(1/$J$78)*SQRT(((1-J12/$J$78)*K11)^2+(J12/$J$78)^2*(SUMSQ(K$8:K10)+SUMSQ(K12:K$77)))</f>
        <v>2.772945521611454E-5</v>
      </c>
      <c r="O11" s="340">
        <f t="shared" si="14"/>
        <v>3.5234544687066274</v>
      </c>
      <c r="P11" s="332">
        <f t="shared" si="7"/>
        <v>2.3166253113800876E-3</v>
      </c>
      <c r="Q11" s="342">
        <f>SQRT(((1-P11)/$J$78)^2*SUMSQ(K$8:K11)+(P11/$J$78)^2*SUMSQ(K12:K$77))</f>
        <v>5.9825002245371834E-5</v>
      </c>
      <c r="R11" s="340">
        <f t="shared" si="15"/>
        <v>2.5824202969504881</v>
      </c>
      <c r="S11" s="343">
        <f t="shared" si="16"/>
        <v>7.248669680464089E-11</v>
      </c>
      <c r="T11" s="344">
        <f t="shared" si="17"/>
        <v>5.9581861436184359E-13</v>
      </c>
      <c r="U11" s="344">
        <f>IF(P11&lt;=0.85, (1/(3*H11*$J$78))*SQRT( ((1-P11)*(1/SQRT(1-PI()*P11/3)-1) + (1-P10)*(1-1/SQRT(1-PI()*P10/3)))^2*SUMSQ(K$8:K10) + ( (1-P11)*(1/SQRT(1-PI()*P11/3)-1) -P10*(1-1/SQRT(1-PI()*P10/3)) )^2*K11^2 + ( P11*(1-1/SQRT(1-PI()*P11/3)) - P10*(1-1/SQRT(1-PI()*P10/3)) )^2*SUMSQ(K12:K$77) ), (1/(PI()^2*H11*$J$78))*SQRT((1+P10/(1-P10))^2*K11^2+(P10/(1-P10)-P11/(1-P11))^2*SUMSQ(K12:K$77)) )</f>
        <v>3.785436834298859E-12</v>
      </c>
      <c r="V11" s="345">
        <f t="shared" si="18"/>
        <v>3.8320401678070438E-12</v>
      </c>
      <c r="W11" s="340">
        <f t="shared" si="19"/>
        <v>5.2865426853906534</v>
      </c>
      <c r="X11" s="345">
        <f t="shared" si="20"/>
        <v>7.6640803356140876E-12</v>
      </c>
      <c r="Y11" s="338">
        <f t="shared" si="8"/>
        <v>-23.34761806325448</v>
      </c>
      <c r="Z11" s="346">
        <f t="shared" si="21"/>
        <v>5.2865426853906536E-2</v>
      </c>
      <c r="AA11" s="346">
        <f t="shared" si="22"/>
        <v>0.22642749556156436</v>
      </c>
      <c r="AB11" s="346">
        <f t="shared" si="9"/>
        <v>0.10573085370781307</v>
      </c>
      <c r="AC11" s="336">
        <f t="shared" si="2"/>
        <v>9.3543792279601853E-15</v>
      </c>
      <c r="AD11" s="337">
        <f t="shared" si="3"/>
        <v>5.941751709417389E-16</v>
      </c>
      <c r="AE11" s="308">
        <f t="shared" si="10"/>
        <v>6.3518396727572553</v>
      </c>
      <c r="AF11" s="337">
        <f t="shared" si="11"/>
        <v>1.1883503418834778E-15</v>
      </c>
      <c r="AG11" s="338">
        <f t="shared" si="23"/>
        <v>-32.302931794632741</v>
      </c>
      <c r="AH11" s="339">
        <f t="shared" si="24"/>
        <v>6.3518396727572549E-2</v>
      </c>
      <c r="AI11" s="340">
        <f t="shared" si="25"/>
        <v>0.19663353509642234</v>
      </c>
      <c r="AJ11" s="341">
        <f t="shared" si="12"/>
        <v>0.1270367934551451</v>
      </c>
    </row>
    <row r="12" spans="1:39" x14ac:dyDescent="0.2">
      <c r="A12" s="309">
        <v>5</v>
      </c>
      <c r="B12" s="309">
        <f t="shared" si="13"/>
        <v>5.0914111111111104</v>
      </c>
      <c r="C12" s="1">
        <v>340.04</v>
      </c>
      <c r="D12" s="1">
        <v>0.35</v>
      </c>
      <c r="E12" s="326">
        <f t="shared" si="4"/>
        <v>16.308158971933658</v>
      </c>
      <c r="F12" s="327">
        <f t="shared" si="0"/>
        <v>8.7302641705676379E-3</v>
      </c>
      <c r="G12" s="309">
        <f t="shared" si="5"/>
        <v>1.0166249999999999</v>
      </c>
      <c r="H12" s="1">
        <v>3659.85</v>
      </c>
      <c r="I12" s="324">
        <v>30</v>
      </c>
      <c r="J12" s="1">
        <v>1.729E-2</v>
      </c>
      <c r="K12" s="1">
        <v>1.4999999999999999E-4</v>
      </c>
      <c r="L12" s="328">
        <f t="shared" si="6"/>
        <v>0.86755349913244639</v>
      </c>
      <c r="M12" s="329">
        <f t="shared" si="1"/>
        <v>1.0507463702455855E-3</v>
      </c>
      <c r="N12" s="342">
        <f>(1/$J$78)*SQRT(((1-J13/$J$78)*K12)^2+(J13/$J$78)^2*(SUMSQ(K$8:K11)+SUMSQ(K13:K$77)))</f>
        <v>5.510832958158027E-5</v>
      </c>
      <c r="O12" s="340">
        <f t="shared" si="14"/>
        <v>5.2446842684500625</v>
      </c>
      <c r="P12" s="332">
        <f t="shared" si="7"/>
        <v>3.3673716816256731E-3</v>
      </c>
      <c r="Q12" s="342">
        <f>SQRT(((1-P12)/$J$78)^2*SUMSQ(K$8:K12)+(P12/$J$78)^2*SUMSQ(K13:K$77))</f>
        <v>8.5860108313424874E-5</v>
      </c>
      <c r="R12" s="340">
        <f t="shared" si="15"/>
        <v>2.5497662993938941</v>
      </c>
      <c r="S12" s="343">
        <f t="shared" si="16"/>
        <v>1.4273077947414851E-10</v>
      </c>
      <c r="T12" s="344">
        <f t="shared" si="17"/>
        <v>1.1699723716067957E-12</v>
      </c>
      <c r="U12" s="344">
        <f>IF(P12&lt;=0.85, (1/(3*H12*$J$78))*SQRT( ((1-P12)*(1/SQRT(1-PI()*P12/3)-1) + (1-P11)*(1-1/SQRT(1-PI()*P11/3)))^2*SUMSQ(K$8:K11) + ( (1-P12)*(1/SQRT(1-PI()*P12/3)-1) -P11*(1-1/SQRT(1-PI()*P11/3)) )^2*K12^2 + ( P12*(1-1/SQRT(1-PI()*P12/3)) - P11*(1-1/SQRT(1-PI()*P11/3)) )^2*SUMSQ(K13:K$77) ), (1/(PI()^2*H12*$J$78))*SQRT((1+P11/(1-P11))^2*K12^2+(P11/(1-P11)-P12/(1-P12))^2*SUMSQ(K13:K$77)) )</f>
        <v>7.3149338803631717E-12</v>
      </c>
      <c r="V12" s="345">
        <f t="shared" si="18"/>
        <v>7.4079074659723057E-12</v>
      </c>
      <c r="W12" s="340">
        <f t="shared" si="19"/>
        <v>5.1901261194429553</v>
      </c>
      <c r="X12" s="345">
        <f t="shared" si="20"/>
        <v>1.4815814931944611E-11</v>
      </c>
      <c r="Y12" s="338">
        <f t="shared" si="8"/>
        <v>-22.670060921122293</v>
      </c>
      <c r="Z12" s="346">
        <f t="shared" si="21"/>
        <v>5.1901261194429553E-2</v>
      </c>
      <c r="AA12" s="346">
        <f t="shared" si="22"/>
        <v>0.22894186908016548</v>
      </c>
      <c r="AB12" s="346">
        <f t="shared" si="9"/>
        <v>0.10380252238885911</v>
      </c>
      <c r="AC12" s="336">
        <f t="shared" si="2"/>
        <v>1.8419349998827073E-14</v>
      </c>
      <c r="AD12" s="337">
        <f t="shared" si="3"/>
        <v>1.1552287221360019E-15</v>
      </c>
      <c r="AE12" s="308">
        <f t="shared" si="10"/>
        <v>6.2718213303377466</v>
      </c>
      <c r="AF12" s="337">
        <f t="shared" si="11"/>
        <v>2.3104574442720038E-15</v>
      </c>
      <c r="AG12" s="338">
        <f t="shared" si="23"/>
        <v>-31.625374652500557</v>
      </c>
      <c r="AH12" s="339">
        <f t="shared" si="24"/>
        <v>6.2718213303377471E-2</v>
      </c>
      <c r="AI12" s="340">
        <f t="shared" si="25"/>
        <v>0.19831611164302354</v>
      </c>
      <c r="AJ12" s="341">
        <f t="shared" si="12"/>
        <v>0.12543642660675494</v>
      </c>
    </row>
    <row r="13" spans="1:39" x14ac:dyDescent="0.2">
      <c r="A13" s="309">
        <v>6</v>
      </c>
      <c r="B13" s="309">
        <f t="shared" si="13"/>
        <v>6.1080333333333332</v>
      </c>
      <c r="C13" s="1">
        <v>360.02</v>
      </c>
      <c r="D13" s="1">
        <v>0.26</v>
      </c>
      <c r="E13" s="326">
        <f t="shared" si="4"/>
        <v>15.793546756795175</v>
      </c>
      <c r="F13" s="327">
        <f t="shared" si="0"/>
        <v>6.2852389035346684E-3</v>
      </c>
      <c r="G13" s="309">
        <f t="shared" si="5"/>
        <v>1.0166222222222223</v>
      </c>
      <c r="H13" s="1">
        <v>3659.84</v>
      </c>
      <c r="I13" s="324">
        <v>30</v>
      </c>
      <c r="J13" s="1">
        <v>3.5880000000000002E-2</v>
      </c>
      <c r="K13" s="1">
        <v>2.5000000000000001E-4</v>
      </c>
      <c r="L13" s="328">
        <f t="shared" si="6"/>
        <v>0.69676700111482726</v>
      </c>
      <c r="M13" s="329">
        <f t="shared" si="1"/>
        <v>2.1804962269758015E-3</v>
      </c>
      <c r="N13" s="342">
        <f>(1/$J$78)*SQRT(((1-J14/$J$78)*K13)^2+(J14/$J$78)^2*(SUMSQ(K$8:K12)+SUMSQ(K14:K$77)))</f>
        <v>6.5476838301041371E-5</v>
      </c>
      <c r="O13" s="340">
        <f t="shared" si="14"/>
        <v>3.0028411648229838</v>
      </c>
      <c r="P13" s="332">
        <f t="shared" si="7"/>
        <v>5.547867908601475E-3</v>
      </c>
      <c r="Q13" s="342">
        <f>SQRT(((1-P13)/$J$78)^2*SUMSQ(K$8:K13)+(P13/$J$78)^2*SUMSQ(K14:K$77))</f>
        <v>1.4027611281693607E-4</v>
      </c>
      <c r="R13" s="340">
        <f t="shared" si="15"/>
        <v>2.528468866381091</v>
      </c>
      <c r="S13" s="343">
        <f t="shared" si="16"/>
        <v>4.6518738369965239E-10</v>
      </c>
      <c r="T13" s="344">
        <f t="shared" si="17"/>
        <v>3.8131780381082199E-12</v>
      </c>
      <c r="U13" s="344">
        <f>IF(P13&lt;=0.85, (1/(3*H13*$J$78))*SQRT( ((1-P13)*(1/SQRT(1-PI()*P13/3)-1) + (1-P12)*(1-1/SQRT(1-PI()*P12/3)))^2*SUMSQ(K$8:K12) + ( (1-P13)*(1/SQRT(1-PI()*P13/3)-1) -P12*(1-1/SQRT(1-PI()*P12/3)) )^2*K13^2 + ( P13*(1-1/SQRT(1-PI()*P13/3)) - P12*(1-1/SQRT(1-PI()*P12/3)) )^2*SUMSQ(K14:K$77) ), (1/(PI()^2*H13*$J$78))*SQRT((1+P12/(1-P12))^2*K13^2+(P12/(1-P12)-P13/(1-P13))^2*SUMSQ(K14:K$77)) )</f>
        <v>2.3653428153027691E-11</v>
      </c>
      <c r="V13" s="345">
        <f t="shared" si="18"/>
        <v>2.3958818629906483E-11</v>
      </c>
      <c r="W13" s="340">
        <f t="shared" si="19"/>
        <v>5.1503586445877181</v>
      </c>
      <c r="X13" s="345">
        <f t="shared" si="20"/>
        <v>4.7917637259812965E-11</v>
      </c>
      <c r="Y13" s="338">
        <f t="shared" si="8"/>
        <v>-21.488580815815915</v>
      </c>
      <c r="Z13" s="346">
        <f t="shared" si="21"/>
        <v>5.1503586445877179E-2</v>
      </c>
      <c r="AA13" s="346">
        <f t="shared" si="22"/>
        <v>0.23967886426436211</v>
      </c>
      <c r="AB13" s="346">
        <f t="shared" si="9"/>
        <v>0.10300717289175436</v>
      </c>
      <c r="AC13" s="336">
        <f t="shared" si="2"/>
        <v>6.0032245791486667E-14</v>
      </c>
      <c r="AD13" s="337">
        <f t="shared" si="3"/>
        <v>3.7453832772222964E-15</v>
      </c>
      <c r="AE13" s="308">
        <f t="shared" si="10"/>
        <v>6.2389524627003698</v>
      </c>
      <c r="AF13" s="337">
        <f t="shared" si="11"/>
        <v>7.4907665544445929E-15</v>
      </c>
      <c r="AG13" s="338">
        <f t="shared" si="23"/>
        <v>-30.44389454719418</v>
      </c>
      <c r="AH13" s="339">
        <f t="shared" si="24"/>
        <v>6.2389524627003694E-2</v>
      </c>
      <c r="AI13" s="340">
        <f t="shared" si="25"/>
        <v>0.20493279705159714</v>
      </c>
      <c r="AJ13" s="341">
        <f t="shared" si="12"/>
        <v>0.12477904925400739</v>
      </c>
    </row>
    <row r="14" spans="1:39" x14ac:dyDescent="0.2">
      <c r="A14" s="309">
        <v>7</v>
      </c>
      <c r="B14" s="309">
        <f t="shared" si="13"/>
        <v>7.1246499999999999</v>
      </c>
      <c r="C14" s="1">
        <v>370.02</v>
      </c>
      <c r="D14" s="1">
        <v>0.31</v>
      </c>
      <c r="E14" s="326">
        <f t="shared" si="4"/>
        <v>15.547988867639972</v>
      </c>
      <c r="F14" s="327">
        <f t="shared" si="0"/>
        <v>7.2664540751607738E-3</v>
      </c>
      <c r="G14" s="309">
        <f t="shared" si="5"/>
        <v>1.0166166666666667</v>
      </c>
      <c r="H14" s="1">
        <v>3659.82</v>
      </c>
      <c r="I14" s="324">
        <v>30</v>
      </c>
      <c r="J14" s="1">
        <v>4.2049999999999997E-2</v>
      </c>
      <c r="K14" s="1">
        <v>2.39999999999999E-4</v>
      </c>
      <c r="L14" s="328">
        <f t="shared" si="6"/>
        <v>0.57074910820451608</v>
      </c>
      <c r="M14" s="329">
        <f t="shared" si="1"/>
        <v>2.5554589282143934E-3</v>
      </c>
      <c r="N14" s="342">
        <f>(1/$J$78)*SQRT(((1-J15/$J$78)*K14)^2+(J15/$J$78)^2*(SUMSQ(K$8:K13)+SUMSQ(K15:K$77)))</f>
        <v>7.7452456746694221E-5</v>
      </c>
      <c r="O14" s="340">
        <f t="shared" si="14"/>
        <v>3.030862906523546</v>
      </c>
      <c r="P14" s="332">
        <f t="shared" si="7"/>
        <v>8.1033268368158676E-3</v>
      </c>
      <c r="Q14" s="342">
        <f>SQRT(((1-P14)/$J$78)^2*SUMSQ(K$8:K14)+(P14/$J$78)^2*SUMSQ(K15:K$77))</f>
        <v>2.038608359588837E-4</v>
      </c>
      <c r="R14" s="340">
        <f t="shared" si="15"/>
        <v>2.5157671665504369</v>
      </c>
      <c r="S14" s="343">
        <f t="shared" si="16"/>
        <v>8.3635485856243645E-10</v>
      </c>
      <c r="T14" s="344">
        <f t="shared" si="17"/>
        <v>6.8557048589474478E-12</v>
      </c>
      <c r="U14" s="344">
        <f>IF(P14&lt;=0.85, (1/(3*H14*$J$78))*SQRT( ((1-P14)*(1/SQRT(1-PI()*P14/3)-1) + (1-P13)*(1-1/SQRT(1-PI()*P13/3)))^2*SUMSQ(K$8:K13) + ( (1-P14)*(1/SQRT(1-PI()*P14/3)-1) -P13*(1-1/SQRT(1-PI()*P13/3)) )^2*K14^2 + ( P14*(1-1/SQRT(1-PI()*P14/3)) - P13*(1-1/SQRT(1-PI()*P13/3)) )^2*SUMSQ(K15:K$77) ), (1/(PI()^2*H14*$J$78))*SQRT((1+P13/(1-P13))^2*K14^2+(P13/(1-P13)-P14/(1-P14))^2*SUMSQ(K15:K$77)) )</f>
        <v>4.2286435472032976E-11</v>
      </c>
      <c r="V14" s="345">
        <f t="shared" si="18"/>
        <v>4.2838572735834748E-11</v>
      </c>
      <c r="W14" s="340">
        <f t="shared" si="19"/>
        <v>5.1220570188911889</v>
      </c>
      <c r="X14" s="345">
        <f t="shared" si="20"/>
        <v>8.5677145471669496E-11</v>
      </c>
      <c r="Y14" s="338">
        <f t="shared" si="8"/>
        <v>-20.901968120941948</v>
      </c>
      <c r="Z14" s="346">
        <f t="shared" si="21"/>
        <v>5.1220570188911886E-2</v>
      </c>
      <c r="AA14" s="346">
        <f t="shared" si="22"/>
        <v>0.24505142239497221</v>
      </c>
      <c r="AB14" s="346">
        <f t="shared" si="9"/>
        <v>0.10244114037782377</v>
      </c>
      <c r="AC14" s="336">
        <f t="shared" si="2"/>
        <v>1.0793125995553901E-13</v>
      </c>
      <c r="AD14" s="337">
        <f t="shared" si="3"/>
        <v>6.7085856743755231E-15</v>
      </c>
      <c r="AE14" s="308">
        <f t="shared" si="10"/>
        <v>6.2156095251172321</v>
      </c>
      <c r="AF14" s="337">
        <f t="shared" si="11"/>
        <v>1.3417171348751046E-14</v>
      </c>
      <c r="AG14" s="338">
        <f t="shared" si="23"/>
        <v>-29.857281852320213</v>
      </c>
      <c r="AH14" s="339">
        <f t="shared" si="24"/>
        <v>6.2156095251172321E-2</v>
      </c>
      <c r="AI14" s="340">
        <f t="shared" si="25"/>
        <v>0.20817734031720694</v>
      </c>
      <c r="AJ14" s="341">
        <f t="shared" si="12"/>
        <v>0.12431219050234464</v>
      </c>
    </row>
    <row r="15" spans="1:39" x14ac:dyDescent="0.2">
      <c r="A15" s="309">
        <v>8</v>
      </c>
      <c r="B15" s="309">
        <f t="shared" si="13"/>
        <v>8.1412722222222218</v>
      </c>
      <c r="C15" s="1">
        <v>380.01</v>
      </c>
      <c r="D15" s="1">
        <v>0.27</v>
      </c>
      <c r="E15" s="326">
        <f t="shared" si="4"/>
        <v>15.31018433461939</v>
      </c>
      <c r="F15" s="327">
        <f t="shared" si="0"/>
        <v>6.1390465057247151E-3</v>
      </c>
      <c r="G15" s="309">
        <f t="shared" si="5"/>
        <v>1.0166222222222223</v>
      </c>
      <c r="H15" s="1">
        <v>3659.84</v>
      </c>
      <c r="I15" s="324">
        <v>30</v>
      </c>
      <c r="J15" s="1">
        <v>5.0220000000000001E-2</v>
      </c>
      <c r="K15" s="1">
        <v>3.5E-4</v>
      </c>
      <c r="L15" s="328">
        <f t="shared" si="6"/>
        <v>0.69693349263241733</v>
      </c>
      <c r="M15" s="329">
        <f t="shared" si="1"/>
        <v>3.0519654548139563E-3</v>
      </c>
      <c r="N15" s="342">
        <f>(1/$J$78)*SQRT(((1-J16/$J$78)*K15)^2+(J16/$J$78)^2*(SUMSQ(K$8:K14)+SUMSQ(K16:K$77)))</f>
        <v>9.1588855641845819E-5</v>
      </c>
      <c r="O15" s="340">
        <f t="shared" si="14"/>
        <v>3.0009794343307519</v>
      </c>
      <c r="P15" s="332">
        <f t="shared" si="7"/>
        <v>1.1155292291629823E-2</v>
      </c>
      <c r="Q15" s="342">
        <f>SQRT(((1-P15)/$J$78)^2*SUMSQ(K$8:K15)+(P15/$J$78)^2*SUMSQ(K16:K$77))</f>
        <v>2.8020891043035795E-4</v>
      </c>
      <c r="R15" s="340">
        <f t="shared" si="15"/>
        <v>2.511892141460137</v>
      </c>
      <c r="S15" s="343">
        <f t="shared" si="16"/>
        <v>1.41227020115471E-9</v>
      </c>
      <c r="T15" s="344">
        <f t="shared" si="17"/>
        <v>1.1576491331490555E-11</v>
      </c>
      <c r="U15" s="344">
        <f>IF(P15&lt;=0.85, (1/(3*H15*$J$78))*SQRT( ((1-P15)*(1/SQRT(1-PI()*P15/3)-1) + (1-P14)*(1-1/SQRT(1-PI()*P14/3)))^2*SUMSQ(K$8:K14) + ( (1-P15)*(1/SQRT(1-PI()*P15/3)-1) -P14*(1-1/SQRT(1-PI()*P14/3)) )^2*K15^2 + ( P15*(1-1/SQRT(1-PI()*P15/3)) - P14*(1-1/SQRT(1-PI()*P14/3)) )^2*SUMSQ(K16:K$77) ), (1/(PI()^2*H15*$J$78))*SQRT((1+P14/(1-P14))^2*K15^2+(P14/(1-P14)-P15/(1-P15))^2*SUMSQ(K16:K$77)) )</f>
        <v>7.169689650089838E-11</v>
      </c>
      <c r="V15" s="345">
        <f t="shared" si="18"/>
        <v>7.2625478445299137E-11</v>
      </c>
      <c r="W15" s="340">
        <f t="shared" si="19"/>
        <v>5.1424634171222046</v>
      </c>
      <c r="X15" s="345">
        <f t="shared" si="20"/>
        <v>1.4525095689059827E-10</v>
      </c>
      <c r="Y15" s="338">
        <f t="shared" si="8"/>
        <v>-20.378067355591309</v>
      </c>
      <c r="Z15" s="346">
        <f t="shared" si="21"/>
        <v>5.1424634171222047E-2</v>
      </c>
      <c r="AA15" s="346">
        <f t="shared" si="22"/>
        <v>0.25235285208296371</v>
      </c>
      <c r="AB15" s="346">
        <f t="shared" si="9"/>
        <v>0.10284926834244409</v>
      </c>
      <c r="AC15" s="336">
        <f t="shared" si="2"/>
        <v>1.8225290455093487E-13</v>
      </c>
      <c r="AD15" s="337">
        <f t="shared" si="3"/>
        <v>1.1358796389659389E-14</v>
      </c>
      <c r="AE15" s="308">
        <f t="shared" si="10"/>
        <v>6.2324364144687232</v>
      </c>
      <c r="AF15" s="337">
        <f t="shared" si="11"/>
        <v>2.2717592779318779E-14</v>
      </c>
      <c r="AG15" s="338">
        <f t="shared" si="23"/>
        <v>-29.333381086969574</v>
      </c>
      <c r="AH15" s="339">
        <f t="shared" si="24"/>
        <v>6.2324364144687235E-2</v>
      </c>
      <c r="AI15" s="340">
        <f t="shared" si="25"/>
        <v>0.21246907732833045</v>
      </c>
      <c r="AJ15" s="341">
        <f t="shared" si="12"/>
        <v>0.12464872828937447</v>
      </c>
    </row>
    <row r="16" spans="1:39" x14ac:dyDescent="0.2">
      <c r="A16" s="309">
        <v>9</v>
      </c>
      <c r="B16" s="309">
        <f t="shared" si="13"/>
        <v>9.1601055555555551</v>
      </c>
      <c r="C16" s="1">
        <v>390.03</v>
      </c>
      <c r="D16" s="1">
        <v>0.22</v>
      </c>
      <c r="E16" s="326">
        <f t="shared" si="4"/>
        <v>15.078862450616727</v>
      </c>
      <c r="F16" s="327">
        <f t="shared" si="0"/>
        <v>4.8546762334728943E-3</v>
      </c>
      <c r="G16" s="309">
        <f t="shared" si="5"/>
        <v>1.0188333333333335</v>
      </c>
      <c r="H16" s="1">
        <v>3667.8</v>
      </c>
      <c r="I16" s="324">
        <v>30</v>
      </c>
      <c r="J16" s="1">
        <v>5.8819999999999997E-2</v>
      </c>
      <c r="K16" s="1">
        <v>3.2000000000000003E-4</v>
      </c>
      <c r="L16" s="328">
        <f t="shared" si="6"/>
        <v>0.54403264195851764</v>
      </c>
      <c r="M16" s="329">
        <f t="shared" si="1"/>
        <v>3.5746039038661269E-3</v>
      </c>
      <c r="N16" s="342">
        <f>(1/$J$78)*SQRT(((1-J17/$J$78)*K16)^2+(J17/$J$78)^2*(SUMSQ(K$8:K15)+SUMSQ(K17:K$77)))</f>
        <v>1.0331084917976596E-4</v>
      </c>
      <c r="O16" s="340">
        <f t="shared" si="14"/>
        <v>2.8901341787275983</v>
      </c>
      <c r="P16" s="332">
        <f t="shared" si="7"/>
        <v>1.472989619549595E-2</v>
      </c>
      <c r="Q16" s="342">
        <f>SQRT(((1-P16)/$J$78)^2*SUMSQ(K$8:K16)+(P16/$J$78)^2*SUMSQ(K17:K$77))</f>
        <v>3.6927946419490037E-4</v>
      </c>
      <c r="R16" s="340">
        <f t="shared" si="15"/>
        <v>2.507006561986616</v>
      </c>
      <c r="S16" s="343">
        <f t="shared" si="16"/>
        <v>2.224293167869396E-9</v>
      </c>
      <c r="T16" s="344">
        <f t="shared" si="17"/>
        <v>1.8193138948710408E-11</v>
      </c>
      <c r="U16" s="344">
        <f>IF(P16&lt;=0.85, (1/(3*H16*$J$78))*SQRT( ((1-P16)*(1/SQRT(1-PI()*P16/3)-1) + (1-P15)*(1-1/SQRT(1-PI()*P15/3)))^2*SUMSQ(K$8:K15) + ( (1-P16)*(1/SQRT(1-PI()*P16/3)-1) -P15*(1-1/SQRT(1-PI()*P15/3)) )^2*K16^2 + ( P16*(1-1/SQRT(1-PI()*P16/3)) - P15*(1-1/SQRT(1-PI()*P15/3)) )^2*SUMSQ(K17:K$77) ), (1/(PI()^2*H16*$J$78))*SQRT((1+P15/(1-P15))^2*K16^2+(P15/(1-P15)-P16/(1-P16))^2*SUMSQ(K17:K$77)) )</f>
        <v>1.1245782263235504E-10</v>
      </c>
      <c r="V16" s="345">
        <f t="shared" si="18"/>
        <v>1.1391993757028358E-10</v>
      </c>
      <c r="W16" s="340">
        <f t="shared" si="19"/>
        <v>5.1216242182412097</v>
      </c>
      <c r="X16" s="345">
        <f t="shared" si="20"/>
        <v>2.2783987514056717E-10</v>
      </c>
      <c r="Y16" s="338">
        <f t="shared" si="8"/>
        <v>-19.923826649160418</v>
      </c>
      <c r="Z16" s="346">
        <f t="shared" si="21"/>
        <v>5.1216242182412094E-2</v>
      </c>
      <c r="AA16" s="346">
        <f t="shared" si="22"/>
        <v>0.25706026801116705</v>
      </c>
      <c r="AB16" s="346">
        <f t="shared" si="9"/>
        <v>0.10243248436482419</v>
      </c>
      <c r="AC16" s="336">
        <f t="shared" si="2"/>
        <v>2.8704414359627837E-13</v>
      </c>
      <c r="AD16" s="337">
        <f t="shared" si="3"/>
        <v>1.7840519386609702E-14</v>
      </c>
      <c r="AE16" s="308">
        <f t="shared" si="10"/>
        <v>6.215252874729269</v>
      </c>
      <c r="AF16" s="337">
        <f t="shared" si="11"/>
        <v>3.5681038773219404E-14</v>
      </c>
      <c r="AG16" s="338">
        <f t="shared" si="23"/>
        <v>-28.879140380538683</v>
      </c>
      <c r="AH16" s="339">
        <f t="shared" si="24"/>
        <v>6.2152528747292692E-2</v>
      </c>
      <c r="AI16" s="340">
        <f t="shared" si="25"/>
        <v>0.21521599302580544</v>
      </c>
      <c r="AJ16" s="341">
        <f t="shared" si="12"/>
        <v>0.12430505749458538</v>
      </c>
    </row>
    <row r="17" spans="1:39" x14ac:dyDescent="0.2">
      <c r="A17" s="309">
        <v>10</v>
      </c>
      <c r="B17" s="309">
        <f t="shared" si="13"/>
        <v>10.177838888888889</v>
      </c>
      <c r="C17" s="1">
        <v>400.03</v>
      </c>
      <c r="D17" s="1">
        <v>0.25</v>
      </c>
      <c r="E17" s="326">
        <f t="shared" si="4"/>
        <v>14.854867940224013</v>
      </c>
      <c r="F17" s="327">
        <f t="shared" si="0"/>
        <v>5.3566731656739548E-3</v>
      </c>
      <c r="G17" s="309">
        <f t="shared" si="5"/>
        <v>1.0177333333333334</v>
      </c>
      <c r="H17" s="1">
        <v>3663.84</v>
      </c>
      <c r="I17" s="324">
        <v>30</v>
      </c>
      <c r="J17" s="1">
        <v>6.6989999999999994E-2</v>
      </c>
      <c r="K17" s="1">
        <v>2.9999999999999997E-4</v>
      </c>
      <c r="L17" s="328">
        <f t="shared" si="6"/>
        <v>0.44782803403493054</v>
      </c>
      <c r="M17" s="329">
        <f t="shared" si="1"/>
        <v>4.0711104304656884E-3</v>
      </c>
      <c r="N17" s="342">
        <f>(1/$J$78)*SQRT(((1-J18/$J$78)*K17)^2+(J18/$J$78)^2*(SUMSQ(K$8:K16)+SUMSQ(K18:K$77)))</f>
        <v>8.5496627446641352E-5</v>
      </c>
      <c r="O17" s="340">
        <f t="shared" si="14"/>
        <v>2.1000812654659802</v>
      </c>
      <c r="P17" s="332">
        <f t="shared" si="7"/>
        <v>1.8801006625961639E-2</v>
      </c>
      <c r="Q17" s="342">
        <f>SQRT(((1-P17)/$J$78)^2*SUMSQ(K$8:K17)+(P17/$J$78)^2*SUMSQ(K18:K$77))</f>
        <v>4.7062917850586972E-4</v>
      </c>
      <c r="R17" s="340">
        <f t="shared" si="15"/>
        <v>2.5032126623262538</v>
      </c>
      <c r="S17" s="343">
        <f t="shared" si="16"/>
        <v>3.2950584265923491E-9</v>
      </c>
      <c r="T17" s="344">
        <f t="shared" si="17"/>
        <v>2.6980368356088567E-11</v>
      </c>
      <c r="U17" s="344">
        <f>IF(P17&lt;=0.85, (1/(3*H17*$J$78))*SQRT( ((1-P17)*(1/SQRT(1-PI()*P17/3)-1) + (1-P16)*(1-1/SQRT(1-PI()*P16/3)))^2*SUMSQ(K$8:K16) + ( (1-P17)*(1/SQRT(1-PI()*P17/3)-1) -P16*(1-1/SQRT(1-PI()*P16/3)) )^2*K17^2 + ( P17*(1-1/SQRT(1-PI()*P17/3)) - P16*(1-1/SQRT(1-PI()*P16/3)) )^2*SUMSQ(K18:K$77) ), (1/(PI()^2*H17*$J$78))*SQRT((1+P16/(1-P16))^2*K17^2+(P16/(1-P16)-P17/(1-P17))^2*SUMSQ(K18:K$77)) )</f>
        <v>1.6636925555175261E-10</v>
      </c>
      <c r="V17" s="345">
        <f t="shared" si="18"/>
        <v>1.6854278231201298E-10</v>
      </c>
      <c r="W17" s="340">
        <f t="shared" si="19"/>
        <v>5.1150165032525656</v>
      </c>
      <c r="X17" s="345">
        <f t="shared" si="20"/>
        <v>3.3708556462402595E-10</v>
      </c>
      <c r="Y17" s="338">
        <f t="shared" si="8"/>
        <v>-19.530841937254657</v>
      </c>
      <c r="Z17" s="346">
        <f t="shared" si="21"/>
        <v>5.1150165032525653E-2</v>
      </c>
      <c r="AA17" s="346">
        <f t="shared" si="22"/>
        <v>0.26189431667540058</v>
      </c>
      <c r="AB17" s="346">
        <f t="shared" si="9"/>
        <v>0.10230033006505131</v>
      </c>
      <c r="AC17" s="336">
        <f t="shared" si="2"/>
        <v>4.2522597192837197E-13</v>
      </c>
      <c r="AD17" s="337">
        <f t="shared" si="3"/>
        <v>2.6405720564220666E-14</v>
      </c>
      <c r="AE17" s="308">
        <f t="shared" si="10"/>
        <v>6.2098089739139049</v>
      </c>
      <c r="AF17" s="337">
        <f t="shared" si="11"/>
        <v>5.2811441128441333E-14</v>
      </c>
      <c r="AG17" s="338">
        <f t="shared" si="23"/>
        <v>-28.486155668632922</v>
      </c>
      <c r="AH17" s="339">
        <f t="shared" si="24"/>
        <v>6.2098089739139051E-2</v>
      </c>
      <c r="AI17" s="340">
        <f t="shared" si="25"/>
        <v>0.21799392821375815</v>
      </c>
      <c r="AJ17" s="341">
        <f t="shared" si="12"/>
        <v>0.1241961794782781</v>
      </c>
      <c r="AM17" s="322"/>
    </row>
    <row r="18" spans="1:39" x14ac:dyDescent="0.2">
      <c r="A18" s="309">
        <v>11</v>
      </c>
      <c r="B18" s="309">
        <f t="shared" si="13"/>
        <v>10.887791666666667</v>
      </c>
      <c r="C18" s="1">
        <v>410.01</v>
      </c>
      <c r="D18" s="1">
        <v>0.49</v>
      </c>
      <c r="E18" s="326">
        <f t="shared" si="4"/>
        <v>14.637859359447274</v>
      </c>
      <c r="F18" s="327">
        <f t="shared" si="0"/>
        <v>1.0198036526698283E-2</v>
      </c>
      <c r="G18" s="309">
        <f t="shared" si="5"/>
        <v>0.70995277777777777</v>
      </c>
      <c r="H18" s="1">
        <v>2555.83</v>
      </c>
      <c r="I18" s="324">
        <v>30</v>
      </c>
      <c r="J18" s="1">
        <v>5.5149999999999998E-2</v>
      </c>
      <c r="K18" s="1">
        <v>3.6999999999999999E-4</v>
      </c>
      <c r="L18" s="328">
        <f t="shared" si="6"/>
        <v>0.67089755213055302</v>
      </c>
      <c r="M18" s="329">
        <f t="shared" si="1"/>
        <v>3.3515709843287469E-3</v>
      </c>
      <c r="N18" s="342">
        <f>(1/$J$78)*SQRT(((1-J19/$J$78)*K18)^2+(J19/$J$78)^2*(SUMSQ(K$8:K17)+SUMSQ(K19:K$77)))</f>
        <v>1.3859093452473013E-4</v>
      </c>
      <c r="O18" s="340">
        <f t="shared" si="14"/>
        <v>4.1351036625138686</v>
      </c>
      <c r="P18" s="332">
        <f t="shared" si="7"/>
        <v>2.2152577610290387E-2</v>
      </c>
      <c r="Q18" s="342">
        <f>SQRT(((1-P18)/$J$78)^2*SUMSQ(K$8:K18)+(P18/$J$78)^2*SUMSQ(K19:K$77))</f>
        <v>5.5429796742976426E-4</v>
      </c>
      <c r="R18" s="340">
        <f t="shared" si="15"/>
        <v>2.5021827129149972</v>
      </c>
      <c r="S18" s="343">
        <f t="shared" si="16"/>
        <v>4.7634987135214842E-9</v>
      </c>
      <c r="T18" s="344">
        <f t="shared" si="17"/>
        <v>5.591332811870993E-11</v>
      </c>
      <c r="U18" s="344">
        <f>IF(P18&lt;=0.85, (1/(3*H18*$J$78))*SQRT( ((1-P18)*(1/SQRT(1-PI()*P18/3)-1) + (1-P17)*(1-1/SQRT(1-PI()*P17/3)))^2*SUMSQ(K$8:K17) + ( (1-P18)*(1/SQRT(1-PI()*P18/3)-1) -P17*(1-1/SQRT(1-PI()*P17/3)) )^2*K18^2 + ( P18*(1-1/SQRT(1-PI()*P18/3)) - P17*(1-1/SQRT(1-PI()*P17/3)) )^2*SUMSQ(K19:K$77) ), (1/(PI()^2*H18*$J$78))*SQRT((1+P17/(1-P17))^2*K18^2+(P17/(1-P17)-P18/(1-P18))^2*SUMSQ(K19:K$77)) )</f>
        <v>2.4209300199386175E-10</v>
      </c>
      <c r="V18" s="345">
        <f t="shared" si="18"/>
        <v>2.4846593705317127E-10</v>
      </c>
      <c r="W18" s="340">
        <f t="shared" si="19"/>
        <v>5.2160387143148679</v>
      </c>
      <c r="X18" s="345">
        <f t="shared" si="20"/>
        <v>4.9693187410634254E-10</v>
      </c>
      <c r="Y18" s="338">
        <f t="shared" si="8"/>
        <v>-19.162283414851764</v>
      </c>
      <c r="Z18" s="346">
        <f t="shared" si="21"/>
        <v>5.2160387143148676E-2</v>
      </c>
      <c r="AA18" s="346">
        <f t="shared" si="22"/>
        <v>0.2722034008886523</v>
      </c>
      <c r="AB18" s="346">
        <f t="shared" si="9"/>
        <v>0.10432077428629735</v>
      </c>
      <c r="AC18" s="336">
        <f t="shared" si="2"/>
        <v>6.1472760358046206E-13</v>
      </c>
      <c r="AD18" s="337">
        <f t="shared" si="3"/>
        <v>3.8686539281653442E-14</v>
      </c>
      <c r="AE18" s="308">
        <f t="shared" si="10"/>
        <v>6.2932816187730767</v>
      </c>
      <c r="AF18" s="337">
        <f t="shared" si="11"/>
        <v>7.7373078563306883E-14</v>
      </c>
      <c r="AG18" s="338">
        <f t="shared" si="23"/>
        <v>-28.117597146230029</v>
      </c>
      <c r="AH18" s="339">
        <f t="shared" si="24"/>
        <v>6.2932816187730764E-2</v>
      </c>
      <c r="AI18" s="340">
        <f t="shared" si="25"/>
        <v>0.22382003647195975</v>
      </c>
      <c r="AJ18" s="341">
        <f t="shared" si="12"/>
        <v>0.12586563237546153</v>
      </c>
    </row>
    <row r="19" spans="1:39" x14ac:dyDescent="0.2">
      <c r="A19" s="309">
        <v>12</v>
      </c>
      <c r="B19" s="309">
        <f t="shared" si="13"/>
        <v>11.904397222222222</v>
      </c>
      <c r="C19" s="1">
        <v>420.02</v>
      </c>
      <c r="D19" s="1">
        <v>0.32</v>
      </c>
      <c r="E19" s="326">
        <f t="shared" si="4"/>
        <v>14.426475467778468</v>
      </c>
      <c r="F19" s="327">
        <f t="shared" si="0"/>
        <v>6.4720470137520428E-3</v>
      </c>
      <c r="G19" s="309">
        <f t="shared" si="5"/>
        <v>1.0166055555555558</v>
      </c>
      <c r="H19" s="1">
        <v>3659.78</v>
      </c>
      <c r="I19" s="324">
        <v>30</v>
      </c>
      <c r="J19" s="1">
        <v>9.0289999999999995E-2</v>
      </c>
      <c r="K19" s="1">
        <v>4.0999999999999999E-4</v>
      </c>
      <c r="L19" s="328">
        <f t="shared" si="6"/>
        <v>0.45409236903311556</v>
      </c>
      <c r="M19" s="329">
        <f t="shared" si="1"/>
        <v>5.4870959959209889E-3</v>
      </c>
      <c r="N19" s="342">
        <f>(1/$J$78)*SQRT(((1-J20/$J$78)*K19)^2+(J20/$J$78)^2*(SUMSQ(K$8:K18)+SUMSQ(K20:K$77)))</f>
        <v>1.4528016035484354E-4</v>
      </c>
      <c r="O19" s="340">
        <f t="shared" si="14"/>
        <v>2.6476693767129693</v>
      </c>
      <c r="P19" s="332">
        <f t="shared" si="7"/>
        <v>2.7639673606211376E-2</v>
      </c>
      <c r="Q19" s="342">
        <f>SQRT(((1-P19)/$J$78)^2*SUMSQ(K$8:K19)+(P19/$J$78)^2*SUMSQ(K20:K$77))</f>
        <v>6.9106065802250418E-4</v>
      </c>
      <c r="R19" s="340">
        <f t="shared" si="15"/>
        <v>2.5002489821992846</v>
      </c>
      <c r="S19" s="343">
        <f t="shared" si="16"/>
        <v>6.6455024687393646E-9</v>
      </c>
      <c r="T19" s="344">
        <f t="shared" si="17"/>
        <v>5.447460614085564E-11</v>
      </c>
      <c r="U19" s="344">
        <f>IF(P19&lt;=0.85, (1/(3*H19*$J$78))*SQRT( ((1-P19)*(1/SQRT(1-PI()*P19/3)-1) + (1-P18)*(1-1/SQRT(1-PI()*P18/3)))^2*SUMSQ(K$8:K18) + ( (1-P19)*(1/SQRT(1-PI()*P19/3)-1) -P18*(1-1/SQRT(1-PI()*P18/3)) )^2*K19^2 + ( P19*(1-1/SQRT(1-PI()*P19/3)) - P18*(1-1/SQRT(1-PI()*P18/3)) )^2*SUMSQ(K20:K$77) ), (1/(PI()^2*H19*$J$78))*SQRT((1+P18/(1-P18))^2*K19^2+(P18/(1-P18)-P19/(1-P19))^2*SUMSQ(K20:K$77)) )</f>
        <v>3.3652211812063477E-10</v>
      </c>
      <c r="V19" s="345">
        <f t="shared" si="18"/>
        <v>3.4090265281836658E-10</v>
      </c>
      <c r="W19" s="340">
        <f t="shared" si="19"/>
        <v>5.1298250872974993</v>
      </c>
      <c r="X19" s="345">
        <f t="shared" si="20"/>
        <v>6.8180530563673315E-10</v>
      </c>
      <c r="Y19" s="338">
        <f t="shared" si="8"/>
        <v>-18.829325531576842</v>
      </c>
      <c r="Z19" s="346">
        <f t="shared" si="21"/>
        <v>5.1298250872974994E-2</v>
      </c>
      <c r="AA19" s="346">
        <f t="shared" si="22"/>
        <v>0.27243806894170297</v>
      </c>
      <c r="AB19" s="346">
        <f t="shared" si="9"/>
        <v>0.10259650174594999</v>
      </c>
      <c r="AC19" s="336">
        <f t="shared" si="2"/>
        <v>8.575994353898275E-13</v>
      </c>
      <c r="AD19" s="337">
        <f t="shared" si="3"/>
        <v>5.3359943752913861E-14</v>
      </c>
      <c r="AE19" s="308">
        <f t="shared" si="10"/>
        <v>6.2220124630397811</v>
      </c>
      <c r="AF19" s="337">
        <f t="shared" si="11"/>
        <v>1.0671988750582772E-13</v>
      </c>
      <c r="AG19" s="338">
        <f t="shared" si="23"/>
        <v>-27.784639262955107</v>
      </c>
      <c r="AH19" s="339">
        <f t="shared" si="24"/>
        <v>6.2220124630397812E-2</v>
      </c>
      <c r="AI19" s="340">
        <f t="shared" si="25"/>
        <v>0.22393713318191283</v>
      </c>
      <c r="AJ19" s="341">
        <f t="shared" si="12"/>
        <v>0.12444024926079562</v>
      </c>
    </row>
    <row r="20" spans="1:39" x14ac:dyDescent="0.2">
      <c r="A20" s="309">
        <v>13</v>
      </c>
      <c r="B20" s="309">
        <f t="shared" si="13"/>
        <v>12.921563888888889</v>
      </c>
      <c r="C20" s="1">
        <v>430.01</v>
      </c>
      <c r="D20" s="1">
        <v>0.37</v>
      </c>
      <c r="E20" s="326">
        <f t="shared" si="4"/>
        <v>14.221514306843392</v>
      </c>
      <c r="F20" s="327">
        <f t="shared" si="0"/>
        <v>7.2749124548045878E-3</v>
      </c>
      <c r="G20" s="309">
        <f t="shared" si="5"/>
        <v>1.0171666666666668</v>
      </c>
      <c r="H20" s="1">
        <v>3661.8</v>
      </c>
      <c r="I20" s="324">
        <v>30</v>
      </c>
      <c r="J20" s="1">
        <v>9.4500000000000001E-2</v>
      </c>
      <c r="K20" s="1">
        <v>2.5000000000000001E-4</v>
      </c>
      <c r="L20" s="328">
        <f t="shared" si="6"/>
        <v>0.26455026455026454</v>
      </c>
      <c r="M20" s="329">
        <f t="shared" si="1"/>
        <v>5.7429457483058315E-3</v>
      </c>
      <c r="N20" s="342">
        <f>(1/$J$78)*SQRT(((1-J21/$J$78)*K20)^2+(J21/$J$78)^2*(SUMSQ(K$8:K19)+SUMSQ(K21:K$77)))</f>
        <v>1.511647106084445E-4</v>
      </c>
      <c r="O20" s="340">
        <f t="shared" si="14"/>
        <v>2.6321807175879743</v>
      </c>
      <c r="P20" s="332">
        <f t="shared" si="7"/>
        <v>3.338261935451721E-2</v>
      </c>
      <c r="Q20" s="342">
        <f>SQRT(((1-P20)/$J$78)^2*SUMSQ(K$8:K20)+(P20/$J$78)^2*SUMSQ(K21:K$77))</f>
        <v>8.3396144263626036E-4</v>
      </c>
      <c r="R20" s="340">
        <f t="shared" si="15"/>
        <v>2.4981905517351555</v>
      </c>
      <c r="S20" s="343">
        <f t="shared" si="16"/>
        <v>8.5579798664306878E-9</v>
      </c>
      <c r="T20" s="344">
        <f t="shared" si="17"/>
        <v>7.0112894203102342E-11</v>
      </c>
      <c r="U20" s="344">
        <f>IF(P20&lt;=0.85, (1/(3*H20*$J$78))*SQRT( ((1-P20)*(1/SQRT(1-PI()*P20/3)-1) + (1-P19)*(1-1/SQRT(1-PI()*P19/3)))^2*SUMSQ(K$8:K19) + ( (1-P20)*(1/SQRT(1-PI()*P20/3)-1) -P19*(1-1/SQRT(1-PI()*P19/3)) )^2*K20^2 + ( P20*(1-1/SQRT(1-PI()*P20/3)) - P19*(1-1/SQRT(1-PI()*P19/3)) )^2*SUMSQ(K21:K$77) ), (1/(PI()^2*H20*$J$78))*SQRT((1+P19/(1-P19))^2*K20^2+(P19/(1-P19)-P20/(1-P20))^2*SUMSQ(K21:K$77)) )</f>
        <v>4.3288169648358204E-10</v>
      </c>
      <c r="V20" s="345">
        <f t="shared" si="18"/>
        <v>4.3852295388501552E-10</v>
      </c>
      <c r="W20" s="340">
        <f t="shared" si="19"/>
        <v>5.1241409857150328</v>
      </c>
      <c r="X20" s="345">
        <f t="shared" si="20"/>
        <v>8.7704590777003105E-10</v>
      </c>
      <c r="Y20" s="338">
        <f t="shared" si="8"/>
        <v>-18.576401671556717</v>
      </c>
      <c r="Z20" s="346">
        <f t="shared" si="21"/>
        <v>5.1241409857150332E-2</v>
      </c>
      <c r="AA20" s="346">
        <f t="shared" si="22"/>
        <v>0.27584141839271642</v>
      </c>
      <c r="AB20" s="346">
        <f t="shared" si="9"/>
        <v>0.10248281971430066</v>
      </c>
      <c r="AC20" s="336">
        <f t="shared" si="2"/>
        <v>1.1044038785709337E-12</v>
      </c>
      <c r="AD20" s="337">
        <f t="shared" si="3"/>
        <v>6.8664400070045494E-14</v>
      </c>
      <c r="AE20" s="308">
        <f t="shared" si="10"/>
        <v>6.2173269582224959</v>
      </c>
      <c r="AF20" s="337">
        <f t="shared" si="11"/>
        <v>1.3732880014009099E-13</v>
      </c>
      <c r="AG20" s="338">
        <f t="shared" si="23"/>
        <v>-27.531715402934982</v>
      </c>
      <c r="AH20" s="339">
        <f t="shared" si="24"/>
        <v>6.2173269582224952E-2</v>
      </c>
      <c r="AI20" s="340">
        <f t="shared" si="25"/>
        <v>0.22582417648991482</v>
      </c>
      <c r="AJ20" s="341">
        <f t="shared" si="12"/>
        <v>0.1243465391644499</v>
      </c>
    </row>
    <row r="21" spans="1:39" x14ac:dyDescent="0.2">
      <c r="A21" s="309">
        <v>14</v>
      </c>
      <c r="B21" s="309">
        <f t="shared" si="13"/>
        <v>13.9415</v>
      </c>
      <c r="C21" s="1">
        <v>440.01</v>
      </c>
      <c r="D21" s="1">
        <v>0.34</v>
      </c>
      <c r="E21" s="326">
        <f t="shared" si="4"/>
        <v>14.022098827752538</v>
      </c>
      <c r="F21" s="327">
        <f t="shared" si="0"/>
        <v>6.5010888738765756E-3</v>
      </c>
      <c r="G21" s="309">
        <f t="shared" si="5"/>
        <v>1.0199361111111112</v>
      </c>
      <c r="H21" s="1">
        <v>3671.77</v>
      </c>
      <c r="I21" s="324">
        <v>30</v>
      </c>
      <c r="J21" s="1">
        <v>9.9290000000000003E-2</v>
      </c>
      <c r="K21" s="1">
        <v>3.8999999999999999E-4</v>
      </c>
      <c r="L21" s="328">
        <f t="shared" si="6"/>
        <v>0.39278880048343229</v>
      </c>
      <c r="M21" s="329">
        <f t="shared" si="1"/>
        <v>6.0340432100453546E-3</v>
      </c>
      <c r="N21" s="342">
        <f>(1/$J$78)*SQRT(((1-J22/$J$78)*K21)^2+(J22/$J$78)^2*(SUMSQ(K$8:K20)+SUMSQ(K22:K$77)))</f>
        <v>1.5676286466931479E-4</v>
      </c>
      <c r="O21" s="340">
        <f t="shared" si="14"/>
        <v>2.5979738495796498</v>
      </c>
      <c r="P21" s="332">
        <f t="shared" si="7"/>
        <v>3.9416662564562562E-2</v>
      </c>
      <c r="Q21" s="342">
        <f>SQRT(((1-P21)/$J$78)^2*SUMSQ(K$8:K21)+(P21/$J$78)^2*SUMSQ(K22:K$77))</f>
        <v>9.843308376484821E-4</v>
      </c>
      <c r="R21" s="340">
        <f t="shared" si="15"/>
        <v>2.4972455139655634</v>
      </c>
      <c r="S21" s="343">
        <f t="shared" si="16"/>
        <v>1.0749193274149125E-8</v>
      </c>
      <c r="T21" s="344">
        <f t="shared" si="17"/>
        <v>8.7825707553706255E-11</v>
      </c>
      <c r="U21" s="344">
        <f>IF(P21&lt;=0.85, (1/(3*H21*$J$78))*SQRT( ((1-P21)*(1/SQRT(1-PI()*P21/3)-1) + (1-P20)*(1-1/SQRT(1-PI()*P20/3)))^2*SUMSQ(K$8:K20) + ( (1-P21)*(1/SQRT(1-PI()*P21/3)-1) -P20*(1-1/SQRT(1-PI()*P20/3)) )^2*K21^2 + ( P21*(1-1/SQRT(1-PI()*P21/3)) - P20*(1-1/SQRT(1-PI()*P20/3)) )^2*SUMSQ(K22:K$77) ), (1/(PI()^2*H21*$J$78))*SQRT((1+P20/(1-P20))^2*K21^2+(P20/(1-P20)-P21/(1-P21))^2*SUMSQ(K22:K$77)) )</f>
        <v>5.4596382759912083E-10</v>
      </c>
      <c r="V21" s="345">
        <f t="shared" si="18"/>
        <v>5.529826904650739E-10</v>
      </c>
      <c r="W21" s="340">
        <f t="shared" si="19"/>
        <v>5.1444110861319166</v>
      </c>
      <c r="X21" s="345">
        <f t="shared" si="20"/>
        <v>1.1059653809301478E-9</v>
      </c>
      <c r="Y21" s="338">
        <f t="shared" si="8"/>
        <v>-18.3484351294539</v>
      </c>
      <c r="Z21" s="346">
        <f t="shared" si="21"/>
        <v>5.1444110861319163E-2</v>
      </c>
      <c r="AA21" s="346">
        <f t="shared" si="22"/>
        <v>0.28037328795815558</v>
      </c>
      <c r="AB21" s="346">
        <f t="shared" si="9"/>
        <v>0.10288822172263833</v>
      </c>
      <c r="AC21" s="336">
        <f t="shared" si="2"/>
        <v>1.3871790923516349E-12</v>
      </c>
      <c r="AD21" s="337">
        <f t="shared" si="3"/>
        <v>8.6477348849155045E-14</v>
      </c>
      <c r="AE21" s="308">
        <f t="shared" si="10"/>
        <v>6.2340435583233242</v>
      </c>
      <c r="AF21" s="337">
        <f t="shared" si="11"/>
        <v>1.7295469769831009E-13</v>
      </c>
      <c r="AG21" s="338">
        <f t="shared" si="23"/>
        <v>-27.303748860832162</v>
      </c>
      <c r="AH21" s="339">
        <f t="shared" si="24"/>
        <v>6.2340435583233239E-2</v>
      </c>
      <c r="AI21" s="340">
        <f t="shared" si="25"/>
        <v>0.22832189052493806</v>
      </c>
      <c r="AJ21" s="341">
        <f t="shared" si="12"/>
        <v>0.12468087116646648</v>
      </c>
    </row>
    <row r="22" spans="1:39" x14ac:dyDescent="0.2">
      <c r="A22" s="309">
        <v>15</v>
      </c>
      <c r="B22" s="309">
        <f t="shared" si="13"/>
        <v>14.960763888888888</v>
      </c>
      <c r="C22" s="1">
        <v>450.03</v>
      </c>
      <c r="D22" s="1">
        <v>0.19</v>
      </c>
      <c r="E22" s="326">
        <f t="shared" si="4"/>
        <v>13.827816034735475</v>
      </c>
      <c r="F22" s="327">
        <f t="shared" si="0"/>
        <v>3.5345357753102193E-3</v>
      </c>
      <c r="G22" s="309">
        <f t="shared" si="5"/>
        <v>1.019263888888889</v>
      </c>
      <c r="H22" s="1">
        <v>3669.35</v>
      </c>
      <c r="I22" s="324">
        <v>30</v>
      </c>
      <c r="J22" s="1">
        <v>0.10231</v>
      </c>
      <c r="K22" s="1">
        <v>4.7999999999999898E-4</v>
      </c>
      <c r="L22" s="328">
        <f t="shared" si="6"/>
        <v>0.46916234972143389</v>
      </c>
      <c r="M22" s="329">
        <f t="shared" si="1"/>
        <v>6.2175743863404189E-3</v>
      </c>
      <c r="N22" s="342">
        <f>(1/$J$78)*SQRT(((1-J23/$J$78)*K22)^2+(J23/$J$78)^2*(SUMSQ(K$8:K21)+SUMSQ(K23:K$77)))</f>
        <v>1.5878776774195624E-4</v>
      </c>
      <c r="O22" s="340">
        <f t="shared" si="14"/>
        <v>2.5538539288054518</v>
      </c>
      <c r="P22" s="332">
        <f t="shared" si="7"/>
        <v>4.5634236950902983E-2</v>
      </c>
      <c r="Q22" s="342">
        <f>SQRT(((1-P22)/$J$78)^2*SUMSQ(K$8:K22)+(P22/$J$78)^2*SUMSQ(K23:K$77))</f>
        <v>1.1393869582438415E-3</v>
      </c>
      <c r="R22" s="340">
        <f t="shared" si="15"/>
        <v>2.4967810012243361</v>
      </c>
      <c r="S22" s="343">
        <f t="shared" si="16"/>
        <v>1.3013557399020662E-8</v>
      </c>
      <c r="T22" s="344">
        <f t="shared" si="17"/>
        <v>1.0639669749972696E-10</v>
      </c>
      <c r="U22" s="344">
        <f>IF(P22&lt;=0.85, (1/(3*H22*$J$78))*SQRT( ((1-P22)*(1/SQRT(1-PI()*P22/3)-1) + (1-P21)*(1-1/SQRT(1-PI()*P21/3)))^2*SUMSQ(K$8:K21) + ( (1-P22)*(1/SQRT(1-PI()*P22/3)-1) -P21*(1-1/SQRT(1-PI()*P21/3)) )^2*K22^2 + ( P22*(1-1/SQRT(1-PI()*P22/3)) - P21*(1-1/SQRT(1-PI()*P21/3)) )^2*SUMSQ(K23:K$77) ), (1/(PI()^2*H22*$J$78))*SQRT((1+P21/(1-P21))^2*K22^2+(P21/(1-P21)-P22/(1-P22))^2*SUMSQ(K23:K$77)) )</f>
        <v>6.6351358387913239E-10</v>
      </c>
      <c r="V22" s="345">
        <f t="shared" si="18"/>
        <v>6.7198998000787102E-10</v>
      </c>
      <c r="W22" s="340">
        <f t="shared" si="19"/>
        <v>5.1637685177339883</v>
      </c>
      <c r="X22" s="345">
        <f t="shared" si="20"/>
        <v>1.343979960015742E-9</v>
      </c>
      <c r="Y22" s="338">
        <f t="shared" si="8"/>
        <v>-18.157274146055411</v>
      </c>
      <c r="Z22" s="346">
        <f t="shared" si="21"/>
        <v>5.1637685177339882E-2</v>
      </c>
      <c r="AA22" s="346">
        <f t="shared" si="22"/>
        <v>0.28439117436885725</v>
      </c>
      <c r="AB22" s="346">
        <f t="shared" si="9"/>
        <v>0.10327537035467976</v>
      </c>
      <c r="AC22" s="336">
        <f t="shared" si="2"/>
        <v>1.6793943769206567E-12</v>
      </c>
      <c r="AD22" s="337">
        <f t="shared" si="3"/>
        <v>1.0496260396625102E-13</v>
      </c>
      <c r="AE22" s="308">
        <f t="shared" si="10"/>
        <v>6.2500271174368711</v>
      </c>
      <c r="AF22" s="337">
        <f t="shared" si="11"/>
        <v>2.0992520793250203E-13</v>
      </c>
      <c r="AG22" s="338">
        <f t="shared" si="23"/>
        <v>-27.112587877433675</v>
      </c>
      <c r="AH22" s="339">
        <f t="shared" si="24"/>
        <v>6.250027117436871E-2</v>
      </c>
      <c r="AI22" s="340">
        <f t="shared" si="25"/>
        <v>0.23052123042223086</v>
      </c>
      <c r="AJ22" s="341">
        <f t="shared" si="12"/>
        <v>0.12500054234873742</v>
      </c>
    </row>
    <row r="23" spans="1:39" x14ac:dyDescent="0.2">
      <c r="A23" s="309">
        <v>16</v>
      </c>
      <c r="B23" s="309">
        <f t="shared" si="13"/>
        <v>15.979480555555554</v>
      </c>
      <c r="C23" s="1">
        <v>460.03</v>
      </c>
      <c r="D23" s="1">
        <v>0.23</v>
      </c>
      <c r="E23" s="326">
        <f t="shared" si="4"/>
        <v>13.639215472326033</v>
      </c>
      <c r="F23" s="327">
        <f t="shared" si="0"/>
        <v>4.1645030443762986E-3</v>
      </c>
      <c r="G23" s="309">
        <f t="shared" si="5"/>
        <v>1.0187166666666667</v>
      </c>
      <c r="H23" s="1">
        <v>3667.38</v>
      </c>
      <c r="I23" s="324">
        <v>30</v>
      </c>
      <c r="J23" s="1">
        <v>0.103059999999999</v>
      </c>
      <c r="K23" s="1">
        <v>7.0999999999999904E-4</v>
      </c>
      <c r="L23" s="328">
        <f t="shared" si="6"/>
        <v>0.68891907626625837</v>
      </c>
      <c r="M23" s="329">
        <f t="shared" si="1"/>
        <v>6.2631533208507215E-3</v>
      </c>
      <c r="N23" s="342">
        <f>(1/$J$78)*SQRT(((1-J24/$J$78)*K23)^2+(J24/$J$78)^2*(SUMSQ(K$8:K22)+SUMSQ(K24:K$77)))</f>
        <v>1.5720437354627676E-4</v>
      </c>
      <c r="O23" s="340">
        <f t="shared" si="14"/>
        <v>2.5099876291216798</v>
      </c>
      <c r="P23" s="332">
        <f t="shared" si="7"/>
        <v>5.1897390271753704E-2</v>
      </c>
      <c r="Q23" s="342">
        <f>SQRT(((1-P23)/$J$78)^2*SUMSQ(K$8:K23)+(P23/$J$78)^2*SUMSQ(K24:K$77))</f>
        <v>1.2959013020264424E-3</v>
      </c>
      <c r="R23" s="340">
        <f t="shared" si="15"/>
        <v>2.4970452179591875</v>
      </c>
      <c r="S23" s="343">
        <f t="shared" si="16"/>
        <v>1.5117891916381098E-8</v>
      </c>
      <c r="T23" s="344">
        <f t="shared" si="17"/>
        <v>1.2366778394696817E-10</v>
      </c>
      <c r="U23" s="344">
        <f>IF(P23&lt;=0.85, (1/(3*H23*$J$78))*SQRT( ((1-P23)*(1/SQRT(1-PI()*P23/3)-1) + (1-P22)*(1-1/SQRT(1-PI()*P22/3)))^2*SUMSQ(K$8:K22) + ( (1-P23)*(1/SQRT(1-PI()*P23/3)-1) -P22*(1-1/SQRT(1-PI()*P22/3)) )^2*K23^2 + ( P23*(1-1/SQRT(1-PI()*P23/3)) - P22*(1-1/SQRT(1-PI()*P22/3)) )^2*SUMSQ(K24:K$77) ), (1/(PI()^2*H23*$J$78))*SQRT((1+P22/(1-P22))^2*K23^2+(P22/(1-P22)-P23/(1-P23))^2*SUMSQ(K24:K$77)) )</f>
        <v>7.7689689559212152E-10</v>
      </c>
      <c r="V23" s="345">
        <f t="shared" si="18"/>
        <v>7.8667814712691092E-10</v>
      </c>
      <c r="W23" s="340">
        <f t="shared" si="19"/>
        <v>5.2036233059352694</v>
      </c>
      <c r="X23" s="345">
        <f t="shared" si="20"/>
        <v>1.5733562942538218E-9</v>
      </c>
      <c r="Y23" s="338">
        <f t="shared" si="8"/>
        <v>-18.007386899435154</v>
      </c>
      <c r="Z23" s="346">
        <f t="shared" si="21"/>
        <v>5.2036233059352691E-2</v>
      </c>
      <c r="AA23" s="346">
        <f t="shared" si="22"/>
        <v>0.28897159454593013</v>
      </c>
      <c r="AB23" s="346">
        <f t="shared" si="9"/>
        <v>0.10407246611870538</v>
      </c>
      <c r="AC23" s="336">
        <f t="shared" si="2"/>
        <v>1.950957904652214E-12</v>
      </c>
      <c r="AD23" s="337">
        <f t="shared" si="3"/>
        <v>1.225785922653286E-13</v>
      </c>
      <c r="AE23" s="308">
        <f t="shared" si="10"/>
        <v>6.2829952390582191</v>
      </c>
      <c r="AF23" s="337">
        <f t="shared" si="11"/>
        <v>2.451571845306572E-13</v>
      </c>
      <c r="AG23" s="338">
        <f t="shared" si="23"/>
        <v>-26.962700630813419</v>
      </c>
      <c r="AH23" s="339">
        <f t="shared" si="24"/>
        <v>6.28299523905822E-2</v>
      </c>
      <c r="AI23" s="340">
        <f t="shared" si="25"/>
        <v>0.23302544226144428</v>
      </c>
      <c r="AJ23" s="341">
        <f t="shared" si="12"/>
        <v>0.1256599047811644</v>
      </c>
    </row>
    <row r="24" spans="1:39" x14ac:dyDescent="0.2">
      <c r="A24" s="309">
        <v>17</v>
      </c>
      <c r="B24" s="309">
        <f t="shared" si="13"/>
        <v>16.997074999999999</v>
      </c>
      <c r="C24" s="1">
        <v>470.01</v>
      </c>
      <c r="D24" s="1">
        <v>0.47</v>
      </c>
      <c r="E24" s="326">
        <f t="shared" si="4"/>
        <v>13.456052532429087</v>
      </c>
      <c r="F24" s="327">
        <f t="shared" si="0"/>
        <v>8.2853685576326375E-3</v>
      </c>
      <c r="G24" s="309">
        <f t="shared" si="5"/>
        <v>1.0175944444444445</v>
      </c>
      <c r="H24" s="1">
        <v>3663.34</v>
      </c>
      <c r="I24" s="324">
        <v>30</v>
      </c>
      <c r="J24" s="1">
        <v>9.9839999999999998E-2</v>
      </c>
      <c r="K24" s="1">
        <v>3.6000000000000002E-4</v>
      </c>
      <c r="L24" s="328">
        <f t="shared" si="6"/>
        <v>0.36057692307692307</v>
      </c>
      <c r="M24" s="329">
        <f t="shared" si="1"/>
        <v>6.067467762019621E-3</v>
      </c>
      <c r="N24" s="342">
        <f>(1/$J$78)*SQRT(((1-J25/$J$78)*K24)^2+(J25/$J$78)^2*(SUMSQ(K$8:K23)+SUMSQ(K25:K$77)))</f>
        <v>1.4803092708096099E-4</v>
      </c>
      <c r="O24" s="340">
        <f t="shared" si="14"/>
        <v>2.43974806108714</v>
      </c>
      <c r="P24" s="332">
        <f t="shared" si="7"/>
        <v>5.7964858033773325E-2</v>
      </c>
      <c r="Q24" s="342">
        <f>SQRT(((1-P24)/$J$78)^2*SUMSQ(K$8:K24)+(P24/$J$78)^2*SUMSQ(K25:K$77))</f>
        <v>1.4470241442080963E-3</v>
      </c>
      <c r="R24" s="340">
        <f t="shared" si="15"/>
        <v>2.4963817617995114</v>
      </c>
      <c r="S24" s="343">
        <f t="shared" si="16"/>
        <v>1.659956807240897E-8</v>
      </c>
      <c r="T24" s="344">
        <f t="shared" si="17"/>
        <v>1.3593798068764232E-10</v>
      </c>
      <c r="U24" s="344">
        <f>IF(P24&lt;=0.85, (1/(3*H24*$J$78))*SQRT( ((1-P24)*(1/SQRT(1-PI()*P24/3)-1) + (1-P23)*(1-1/SQRT(1-PI()*P23/3)))^2*SUMSQ(K$8:K23) + ( (1-P24)*(1/SQRT(1-PI()*P24/3)-1) -P23*(1-1/SQRT(1-PI()*P23/3)) )^2*K24^2 + ( P24*(1-1/SQRT(1-PI()*P24/3)) - P23*(1-1/SQRT(1-PI()*P23/3)) )^2*SUMSQ(K25:K$77) ), (1/(PI()^2*H24*$J$78))*SQRT((1+P23/(1-P23))^2*K24^2+(P23/(1-P23)-P24/(1-P24))^2*SUMSQ(K25:K$77)) )</f>
        <v>8.4902573216373824E-10</v>
      </c>
      <c r="V24" s="345">
        <f t="shared" si="18"/>
        <v>8.598394201649547E-10</v>
      </c>
      <c r="W24" s="340">
        <f t="shared" si="19"/>
        <v>5.1798903225327884</v>
      </c>
      <c r="X24" s="345">
        <f t="shared" si="20"/>
        <v>1.7196788403299094E-9</v>
      </c>
      <c r="Y24" s="338">
        <f t="shared" si="8"/>
        <v>-17.913889161656833</v>
      </c>
      <c r="Z24" s="346">
        <f t="shared" si="21"/>
        <v>5.1798903225327882E-2</v>
      </c>
      <c r="AA24" s="346">
        <f t="shared" si="22"/>
        <v>0.28915498336452283</v>
      </c>
      <c r="AB24" s="346">
        <f t="shared" si="9"/>
        <v>0.10359780645065576</v>
      </c>
      <c r="AC24" s="336">
        <f t="shared" si="2"/>
        <v>2.1421676199171486E-12</v>
      </c>
      <c r="AD24" s="337">
        <f t="shared" si="3"/>
        <v>1.3417153119897597E-13</v>
      </c>
      <c r="AE24" s="308">
        <f t="shared" si="10"/>
        <v>6.2633535280570269</v>
      </c>
      <c r="AF24" s="337">
        <f t="shared" si="11"/>
        <v>2.6834306239795194E-13</v>
      </c>
      <c r="AG24" s="338">
        <f t="shared" si="23"/>
        <v>-26.869202893035094</v>
      </c>
      <c r="AH24" s="339">
        <f t="shared" si="24"/>
        <v>6.2633535280570266E-2</v>
      </c>
      <c r="AI24" s="340">
        <f t="shared" si="25"/>
        <v>0.23310529727997936</v>
      </c>
      <c r="AJ24" s="341">
        <f t="shared" si="12"/>
        <v>0.12526707056114053</v>
      </c>
    </row>
    <row r="25" spans="1:39" x14ac:dyDescent="0.2">
      <c r="A25" s="309">
        <v>18</v>
      </c>
      <c r="B25" s="309">
        <f t="shared" si="13"/>
        <v>18.01744722222222</v>
      </c>
      <c r="C25" s="1">
        <v>480.02</v>
      </c>
      <c r="D25" s="1">
        <v>0.31</v>
      </c>
      <c r="E25" s="326">
        <f t="shared" si="4"/>
        <v>13.277214971387602</v>
      </c>
      <c r="F25" s="327">
        <f t="shared" si="0"/>
        <v>5.3225422038617734E-3</v>
      </c>
      <c r="G25" s="309">
        <f t="shared" si="5"/>
        <v>1.0203722222222222</v>
      </c>
      <c r="H25" s="1">
        <v>3673.34</v>
      </c>
      <c r="I25" s="324">
        <v>30</v>
      </c>
      <c r="J25" s="1">
        <v>9.6659999999999996E-2</v>
      </c>
      <c r="K25" s="1">
        <v>4.7999999999999898E-4</v>
      </c>
      <c r="L25" s="328">
        <f t="shared" si="6"/>
        <v>0.49658597144630562</v>
      </c>
      <c r="M25" s="329">
        <f t="shared" si="1"/>
        <v>5.8742130796956785E-3</v>
      </c>
      <c r="N25" s="342">
        <f>(1/$J$78)*SQRT(((1-J26/$J$78)*K25)^2+(J26/$J$78)^2*(SUMSQ(K$8:K24)+SUMSQ(K26:K$77)))</f>
        <v>1.4264859847654845E-4</v>
      </c>
      <c r="O25" s="340">
        <f t="shared" si="14"/>
        <v>2.4283865181808926</v>
      </c>
      <c r="P25" s="332">
        <f t="shared" si="7"/>
        <v>6.3839071113469009E-2</v>
      </c>
      <c r="Q25" s="342">
        <f>SQRT(((1-P25)/$J$78)^2*SUMSQ(K$8:K25)+(P25/$J$78)^2*SUMSQ(K26:K$77))</f>
        <v>1.5934576711222504E-3</v>
      </c>
      <c r="R25" s="340">
        <f t="shared" si="15"/>
        <v>2.4960539734201372</v>
      </c>
      <c r="S25" s="343">
        <f t="shared" si="16"/>
        <v>1.7857542110827581E-8</v>
      </c>
      <c r="T25" s="344">
        <f t="shared" si="17"/>
        <v>1.458417307749429E-10</v>
      </c>
      <c r="U25" s="344">
        <f>IF(P25&lt;=0.85, (1/(3*H25*$J$78))*SQRT( ((1-P25)*(1/SQRT(1-PI()*P25/3)-1) + (1-P24)*(1-1/SQRT(1-PI()*P24/3)))^2*SUMSQ(K$8:K24) + ( (1-P25)*(1/SQRT(1-PI()*P25/3)-1) -P24*(1-1/SQRT(1-PI()*P24/3)) )^2*K25^2 + ( P25*(1-1/SQRT(1-PI()*P25/3)) - P24*(1-1/SQRT(1-PI()*P24/3)) )^2*SUMSQ(K26:K$77) ), (1/(PI()^2*H25*$J$78))*SQRT((1+P24/(1-P24))^2*K25^2+(P24/(1-P24)-P25/(1-P25))^2*SUMSQ(K26:K$77)) )</f>
        <v>9.1780790555123619E-10</v>
      </c>
      <c r="V25" s="345">
        <f t="shared" si="18"/>
        <v>9.293229588941499E-10</v>
      </c>
      <c r="W25" s="340">
        <f t="shared" si="19"/>
        <v>5.2040922156396459</v>
      </c>
      <c r="X25" s="345">
        <f t="shared" si="20"/>
        <v>1.8586459177882998E-9</v>
      </c>
      <c r="Y25" s="338">
        <f t="shared" si="8"/>
        <v>-17.84083989074302</v>
      </c>
      <c r="Z25" s="346">
        <f t="shared" si="21"/>
        <v>5.2040922156396462E-2</v>
      </c>
      <c r="AA25" s="346">
        <f t="shared" si="22"/>
        <v>0.29169547215878922</v>
      </c>
      <c r="AB25" s="346">
        <f t="shared" si="9"/>
        <v>0.10408184431279292</v>
      </c>
      <c r="AC25" s="336">
        <f t="shared" si="2"/>
        <v>2.3045086663854546E-12</v>
      </c>
      <c r="AD25" s="337">
        <f t="shared" si="3"/>
        <v>1.4480111958239758E-13</v>
      </c>
      <c r="AE25" s="308">
        <f t="shared" si="10"/>
        <v>6.283383599052085</v>
      </c>
      <c r="AF25" s="337">
        <f t="shared" si="11"/>
        <v>2.8960223916479517E-13</v>
      </c>
      <c r="AG25" s="338">
        <f t="shared" si="23"/>
        <v>-26.796153622121285</v>
      </c>
      <c r="AH25" s="339">
        <f t="shared" si="24"/>
        <v>6.283383599052085E-2</v>
      </c>
      <c r="AI25" s="340">
        <f t="shared" si="25"/>
        <v>0.2344882660272892</v>
      </c>
      <c r="AJ25" s="341">
        <f t="shared" si="12"/>
        <v>0.1256676719810417</v>
      </c>
    </row>
    <row r="26" spans="1:39" x14ac:dyDescent="0.2">
      <c r="A26" s="309">
        <v>19</v>
      </c>
      <c r="B26" s="309">
        <f t="shared" si="13"/>
        <v>19.03616111111111</v>
      </c>
      <c r="C26" s="1">
        <v>490.02</v>
      </c>
      <c r="D26" s="1">
        <v>0.17</v>
      </c>
      <c r="E26" s="326">
        <f t="shared" si="4"/>
        <v>13.103240431358676</v>
      </c>
      <c r="F26" s="327">
        <f t="shared" si="0"/>
        <v>2.8437992306656226E-3</v>
      </c>
      <c r="G26" s="309">
        <f t="shared" si="5"/>
        <v>1.0187138888888889</v>
      </c>
      <c r="H26" s="1">
        <v>3667.37</v>
      </c>
      <c r="I26" s="324">
        <v>30</v>
      </c>
      <c r="J26" s="1">
        <v>9.2200000000000004E-2</v>
      </c>
      <c r="K26" s="1">
        <v>3.8999999999999999E-4</v>
      </c>
      <c r="L26" s="328">
        <f t="shared" si="6"/>
        <v>0.42299349240780915</v>
      </c>
      <c r="M26" s="329">
        <f t="shared" si="1"/>
        <v>5.6031703491407157E-3</v>
      </c>
      <c r="N26" s="342">
        <f>(1/$J$78)*SQRT(((1-J27/$J$78)*K26)^2+(J27/$J$78)^2*(SUMSQ(K$8:K25)+SUMSQ(K27:K$77)))</f>
        <v>1.3325704323270413E-4</v>
      </c>
      <c r="O26" s="340">
        <f t="shared" si="14"/>
        <v>2.3782436536690343</v>
      </c>
      <c r="P26" s="332">
        <f t="shared" si="7"/>
        <v>6.944224146260973E-2</v>
      </c>
      <c r="Q26" s="342">
        <f>SQRT(((1-P26)/$J$78)^2*SUMSQ(K$8:K26)+(P26/$J$78)^2*SUMSQ(K27:K$77))</f>
        <v>1.7330657093822845E-3</v>
      </c>
      <c r="R26" s="340">
        <f t="shared" si="15"/>
        <v>2.4956937922509761</v>
      </c>
      <c r="S26" s="343">
        <f t="shared" si="16"/>
        <v>1.8758699900692659E-8</v>
      </c>
      <c r="T26" s="344">
        <f t="shared" si="17"/>
        <v>1.5345083725415738E-10</v>
      </c>
      <c r="U26" s="344">
        <f>IF(P26&lt;=0.85, (1/(3*H26*$J$78))*SQRT( ((1-P26)*(1/SQRT(1-PI()*P26/3)-1) + (1-P25)*(1-1/SQRT(1-PI()*P25/3)))^2*SUMSQ(K$8:K25) + ( (1-P26)*(1/SQRT(1-PI()*P26/3)-1) -P25*(1-1/SQRT(1-PI()*P25/3)) )^2*K26^2 + ( P26*(1-1/SQRT(1-PI()*P26/3)) - P25*(1-1/SQRT(1-PI()*P25/3)) )^2*SUMSQ(K27:K$77) ), (1/(PI()^2*H26*$J$78))*SQRT((1+P25/(1-P25))^2*K26^2+(P25/(1-P25)-P26/(1-P26))^2*SUMSQ(K27:K$77)) )</f>
        <v>9.6510770004848714E-10</v>
      </c>
      <c r="V26" s="345">
        <f t="shared" si="18"/>
        <v>9.7723079778877333E-10</v>
      </c>
      <c r="W26" s="340">
        <f t="shared" si="19"/>
        <v>5.2094804168848041</v>
      </c>
      <c r="X26" s="345">
        <f t="shared" si="20"/>
        <v>1.9544615955775467E-9</v>
      </c>
      <c r="Y26" s="338">
        <f t="shared" si="8"/>
        <v>-17.791608197438638</v>
      </c>
      <c r="Z26" s="346">
        <f t="shared" si="21"/>
        <v>5.2094804168848041E-2</v>
      </c>
      <c r="AA26" s="346">
        <f t="shared" si="22"/>
        <v>0.29280548217303848</v>
      </c>
      <c r="AB26" s="346">
        <f t="shared" si="9"/>
        <v>0.10418960833769608</v>
      </c>
      <c r="AC26" s="336">
        <f t="shared" si="2"/>
        <v>2.4208027187044272E-12</v>
      </c>
      <c r="AD26" s="337">
        <f t="shared" si="3"/>
        <v>1.5221637109019673E-13</v>
      </c>
      <c r="AE26" s="308">
        <f t="shared" si="10"/>
        <v>6.2878469986046763</v>
      </c>
      <c r="AF26" s="337">
        <f t="shared" si="11"/>
        <v>3.0443274218039345E-13</v>
      </c>
      <c r="AG26" s="338">
        <f t="shared" si="23"/>
        <v>-26.746921928816903</v>
      </c>
      <c r="AH26" s="339">
        <f t="shared" si="24"/>
        <v>6.2878469986046764E-2</v>
      </c>
      <c r="AI26" s="340">
        <f t="shared" si="25"/>
        <v>0.23508675186396699</v>
      </c>
      <c r="AJ26" s="341">
        <f t="shared" si="12"/>
        <v>0.12575693997209353</v>
      </c>
    </row>
    <row r="27" spans="1:39" x14ac:dyDescent="0.2">
      <c r="A27" s="309">
        <v>20</v>
      </c>
      <c r="B27" s="309">
        <f t="shared" si="13"/>
        <v>20.055977777777777</v>
      </c>
      <c r="C27" s="1">
        <v>500.02</v>
      </c>
      <c r="D27" s="1">
        <v>0.18</v>
      </c>
      <c r="E27" s="326">
        <f t="shared" si="4"/>
        <v>12.933766183374937</v>
      </c>
      <c r="F27" s="327">
        <f t="shared" si="0"/>
        <v>2.934677747077482E-3</v>
      </c>
      <c r="G27" s="309">
        <f t="shared" si="5"/>
        <v>1.0198166666666666</v>
      </c>
      <c r="H27" s="1">
        <v>3671.34</v>
      </c>
      <c r="I27" s="324">
        <v>30</v>
      </c>
      <c r="J27" s="1">
        <v>8.6579999999999893E-2</v>
      </c>
      <c r="K27" s="1">
        <v>2.2000000000000001E-4</v>
      </c>
      <c r="L27" s="328">
        <f t="shared" si="6"/>
        <v>0.25410025410025439</v>
      </c>
      <c r="M27" s="329">
        <f t="shared" si="1"/>
        <v>5.2616321998763833E-3</v>
      </c>
      <c r="N27" s="342">
        <f>(1/$J$78)*SQRT(((1-J28/$J$78)*K27)^2+(J28/$J$78)^2*(SUMSQ(K$8:K26)+SUMSQ(K28:K$77)))</f>
        <v>1.3036573815940894E-4</v>
      </c>
      <c r="O27" s="340">
        <f t="shared" si="14"/>
        <v>2.4776672562265327</v>
      </c>
      <c r="P27" s="332">
        <f t="shared" si="7"/>
        <v>7.4703873662486112E-2</v>
      </c>
      <c r="Q27" s="342">
        <f>SQRT(((1-P27)/$J$78)^2*SUMSQ(K$8:K27)+(P27/$J$78)^2*SUMSQ(K28:K$77))</f>
        <v>1.8640895986738037E-3</v>
      </c>
      <c r="R27" s="340">
        <f t="shared" si="15"/>
        <v>2.4953051391897092</v>
      </c>
      <c r="S27" s="343">
        <f t="shared" si="16"/>
        <v>1.9117718367295382E-8</v>
      </c>
      <c r="T27" s="344">
        <f t="shared" si="17"/>
        <v>1.5621858804111425E-10</v>
      </c>
      <c r="U27" s="344">
        <f>IF(P27&lt;=0.85, (1/(3*H27*$J$78))*SQRT( ((1-P27)*(1/SQRT(1-PI()*P27/3)-1) + (1-P26)*(1-1/SQRT(1-PI()*P26/3)))^2*SUMSQ(K$8:K26) + ( (1-P27)*(1/SQRT(1-PI()*P27/3)-1) -P26*(1-1/SQRT(1-PI()*P26/3)) )^2*K27^2 + ( P27*(1-1/SQRT(1-PI()*P27/3)) - P26*(1-1/SQRT(1-PI()*P26/3)) )^2*SUMSQ(K28:K$77) ), (1/(PI()^2*H27*$J$78))*SQRT((1+P26/(1-P26))^2*K27^2+(P26/(1-P26)-P27/(1-P27))^2*SUMSQ(K28:K$77)) )</f>
        <v>9.835975529451642E-10</v>
      </c>
      <c r="V27" s="345">
        <f t="shared" si="18"/>
        <v>9.9592589754924751E-10</v>
      </c>
      <c r="W27" s="340">
        <f t="shared" si="19"/>
        <v>5.2094391099147828</v>
      </c>
      <c r="X27" s="345">
        <f t="shared" si="20"/>
        <v>1.991851795098495E-9</v>
      </c>
      <c r="Y27" s="338">
        <f t="shared" si="8"/>
        <v>-17.772650268698243</v>
      </c>
      <c r="Z27" s="346">
        <f t="shared" si="21"/>
        <v>5.2094391099147826E-2</v>
      </c>
      <c r="AA27" s="346">
        <f t="shared" si="22"/>
        <v>0.29311549100191392</v>
      </c>
      <c r="AB27" s="346">
        <f t="shared" si="9"/>
        <v>0.10418878219829565</v>
      </c>
      <c r="AC27" s="336">
        <f t="shared" si="2"/>
        <v>2.4671339082121223E-12</v>
      </c>
      <c r="AD27" s="337">
        <f t="shared" si="3"/>
        <v>1.5512876107734543E-13</v>
      </c>
      <c r="AE27" s="308">
        <f t="shared" si="10"/>
        <v>6.2878127758279572</v>
      </c>
      <c r="AF27" s="337">
        <f t="shared" si="11"/>
        <v>3.1025752215469086E-13</v>
      </c>
      <c r="AG27" s="338">
        <f t="shared" si="23"/>
        <v>-26.727964000076504</v>
      </c>
      <c r="AH27" s="339">
        <f t="shared" si="24"/>
        <v>6.2878127758279584E-2</v>
      </c>
      <c r="AI27" s="340">
        <f t="shared" si="25"/>
        <v>0.23525221658521994</v>
      </c>
      <c r="AJ27" s="341">
        <f t="shared" si="12"/>
        <v>0.12575625551655917</v>
      </c>
    </row>
    <row r="28" spans="1:39" x14ac:dyDescent="0.2">
      <c r="A28" s="309">
        <v>21</v>
      </c>
      <c r="B28" s="309">
        <f t="shared" si="13"/>
        <v>21.076902777777775</v>
      </c>
      <c r="C28" s="1">
        <v>510.02</v>
      </c>
      <c r="D28" s="1">
        <v>0.24</v>
      </c>
      <c r="E28" s="326">
        <f t="shared" si="4"/>
        <v>12.768619839881508</v>
      </c>
      <c r="F28" s="327">
        <f t="shared" si="0"/>
        <v>3.8148606851765511E-3</v>
      </c>
      <c r="G28" s="309">
        <f t="shared" si="5"/>
        <v>1.0209249999999999</v>
      </c>
      <c r="H28" s="1">
        <v>3675.33</v>
      </c>
      <c r="I28" s="324">
        <v>30</v>
      </c>
      <c r="J28" s="1">
        <v>8.5610000000000006E-2</v>
      </c>
      <c r="K28" s="1">
        <v>4.0000000000000002E-4</v>
      </c>
      <c r="L28" s="328">
        <f t="shared" si="6"/>
        <v>0.46723513608223338</v>
      </c>
      <c r="M28" s="329">
        <f t="shared" si="1"/>
        <v>5.2026834445763198E-3</v>
      </c>
      <c r="N28" s="342">
        <f>(1/$J$78)*SQRT(((1-J29/$J$78)*K28)^2+(J29/$J$78)^2*(SUMSQ(K$8:K27)+SUMSQ(K29:K$77)))</f>
        <v>1.2721894463116424E-4</v>
      </c>
      <c r="O28" s="340">
        <f t="shared" si="14"/>
        <v>2.4452562987238271</v>
      </c>
      <c r="P28" s="332">
        <f t="shared" si="7"/>
        <v>7.9906557107062431E-2</v>
      </c>
      <c r="Q28" s="342">
        <f>SQRT(((1-P28)/$J$78)^2*SUMSQ(K$8:K28)+(P28/$J$78)^2*SUMSQ(K29:K$77))</f>
        <v>1.9937488437100619E-3</v>
      </c>
      <c r="R28" s="340">
        <f t="shared" si="15"/>
        <v>2.4951004221577797</v>
      </c>
      <c r="S28" s="343">
        <f t="shared" si="16"/>
        <v>2.0343658444884121E-8</v>
      </c>
      <c r="T28" s="344">
        <f t="shared" si="17"/>
        <v>1.660557700523558E-10</v>
      </c>
      <c r="U28" s="344">
        <f>IF(P28&lt;=0.85, (1/(3*H28*$J$78))*SQRT( ((1-P28)*(1/SQRT(1-PI()*P28/3)-1) + (1-P27)*(1-1/SQRT(1-PI()*P27/3)))^2*SUMSQ(K$8:K27) + ( (1-P28)*(1/SQRT(1-PI()*P28/3)-1) -P27*(1-1/SQRT(1-PI()*P27/3)) )^2*K28^2 + ( P28*(1-1/SQRT(1-PI()*P28/3)) - P27*(1-1/SQRT(1-PI()*P27/3)) )^2*SUMSQ(K29:K$77) ), (1/(PI()^2*H28*$J$78))*SQRT((1+P27/(1-P27))^2*K28^2+(P27/(1-P27)-P28/(1-P28))^2*SUMSQ(K29:K$77)) )</f>
        <v>1.0522278342244815E-9</v>
      </c>
      <c r="V28" s="345">
        <f t="shared" si="18"/>
        <v>1.0652501743179506E-9</v>
      </c>
      <c r="W28" s="340">
        <f t="shared" si="19"/>
        <v>5.2362763423499779</v>
      </c>
      <c r="X28" s="345">
        <f t="shared" si="20"/>
        <v>2.1305003486359011E-9</v>
      </c>
      <c r="Y28" s="338">
        <f t="shared" si="8"/>
        <v>-17.710496597952776</v>
      </c>
      <c r="Z28" s="346">
        <f t="shared" si="21"/>
        <v>5.2362763423499777E-2</v>
      </c>
      <c r="AA28" s="346">
        <f t="shared" si="22"/>
        <v>0.29565948720801305</v>
      </c>
      <c r="AB28" s="346">
        <f t="shared" si="9"/>
        <v>0.10472552684699955</v>
      </c>
      <c r="AC28" s="336">
        <f t="shared" si="2"/>
        <v>2.6253409848489176E-12</v>
      </c>
      <c r="AD28" s="337">
        <f t="shared" si="3"/>
        <v>1.6566072946635436E-13</v>
      </c>
      <c r="AE28" s="308">
        <f t="shared" si="10"/>
        <v>6.3100652609469607</v>
      </c>
      <c r="AF28" s="337">
        <f t="shared" si="11"/>
        <v>3.3132145893270872E-13</v>
      </c>
      <c r="AG28" s="338">
        <f t="shared" si="23"/>
        <v>-26.665810329331041</v>
      </c>
      <c r="AH28" s="339">
        <f t="shared" si="24"/>
        <v>6.3100652609469607E-2</v>
      </c>
      <c r="AI28" s="340">
        <f t="shared" si="25"/>
        <v>0.23663504626394977</v>
      </c>
      <c r="AJ28" s="341">
        <f t="shared" si="12"/>
        <v>0.12620130521893921</v>
      </c>
    </row>
    <row r="29" spans="1:39" x14ac:dyDescent="0.2">
      <c r="A29" s="309">
        <v>22</v>
      </c>
      <c r="B29" s="309">
        <f t="shared" si="13"/>
        <v>22.09728333333333</v>
      </c>
      <c r="C29" s="1">
        <v>520.02</v>
      </c>
      <c r="D29" s="1">
        <v>0.23</v>
      </c>
      <c r="E29" s="326">
        <f t="shared" si="4"/>
        <v>12.607637706922855</v>
      </c>
      <c r="F29" s="327">
        <f t="shared" si="0"/>
        <v>3.5654379220782565E-3</v>
      </c>
      <c r="G29" s="309">
        <f t="shared" si="5"/>
        <v>1.0203805555555556</v>
      </c>
      <c r="H29" s="1">
        <v>3673.37</v>
      </c>
      <c r="I29" s="324">
        <v>30</v>
      </c>
      <c r="J29" s="1">
        <v>8.2449999999999996E-2</v>
      </c>
      <c r="K29" s="1">
        <v>4.2999999999999999E-4</v>
      </c>
      <c r="L29" s="328">
        <f t="shared" si="6"/>
        <v>0.52152819890842939</v>
      </c>
      <c r="M29" s="329">
        <f t="shared" si="1"/>
        <v>5.0106442005059867E-3</v>
      </c>
      <c r="N29" s="342">
        <f>(1/$J$78)*SQRT(((1-J30/$J$78)*K29)^2+(J30/$J$78)^2*(SUMSQ(K$8:K28)+SUMSQ(K30:K$77)))</f>
        <v>9.8045269801141498E-5</v>
      </c>
      <c r="O29" s="340">
        <f t="shared" si="14"/>
        <v>1.9567398098480162</v>
      </c>
      <c r="P29" s="332">
        <f t="shared" si="7"/>
        <v>8.4917201307568413E-2</v>
      </c>
      <c r="Q29" s="342">
        <f>SQRT(((1-P29)/$J$78)^2*SUMSQ(K$8:K29)+(P29/$J$78)^2*SUMSQ(K30:K$77))</f>
        <v>2.1186447488390652E-3</v>
      </c>
      <c r="R29" s="340">
        <f t="shared" si="15"/>
        <v>2.4949535738529303</v>
      </c>
      <c r="S29" s="343">
        <f t="shared" si="16"/>
        <v>2.0989084545421575E-8</v>
      </c>
      <c r="T29" s="344">
        <f t="shared" si="17"/>
        <v>1.7141549486238737E-10</v>
      </c>
      <c r="U29" s="344">
        <f>IF(P29&lt;=0.85, (1/(3*H29*$J$78))*SQRT( ((1-P29)*(1/SQRT(1-PI()*P29/3)-1) + (1-P28)*(1-1/SQRT(1-PI()*P28/3)))^2*SUMSQ(K$8:K28) + ( (1-P29)*(1/SQRT(1-PI()*P29/3)-1) -P28*(1-1/SQRT(1-PI()*P28/3)) )^2*K29^2 + ( P29*(1-1/SQRT(1-PI()*P29/3)) - P28*(1-1/SQRT(1-PI()*P28/3)) )^2*SUMSQ(K30:K$77) ), (1/(PI()^2*H29*$J$78))*SQRT((1+P28/(1-P28))^2*K29^2+(P28/(1-P28)-P29/(1-P29))^2*SUMSQ(K30:K$77)) )</f>
        <v>1.0891515909101335E-9</v>
      </c>
      <c r="V29" s="345">
        <f t="shared" si="18"/>
        <v>1.1025581435284908E-9</v>
      </c>
      <c r="W29" s="340">
        <f t="shared" si="19"/>
        <v>5.2530073007352565</v>
      </c>
      <c r="X29" s="345">
        <f t="shared" si="20"/>
        <v>2.2051162870569817E-9</v>
      </c>
      <c r="Y29" s="338">
        <f t="shared" si="8"/>
        <v>-17.679263317908642</v>
      </c>
      <c r="Z29" s="346">
        <f t="shared" si="21"/>
        <v>5.2530073007352567E-2</v>
      </c>
      <c r="AA29" s="346">
        <f t="shared" si="22"/>
        <v>0.29712817815288117</v>
      </c>
      <c r="AB29" s="346">
        <f t="shared" si="9"/>
        <v>0.10506014601470513</v>
      </c>
      <c r="AC29" s="336">
        <f t="shared" si="2"/>
        <v>2.7086329649528361E-12</v>
      </c>
      <c r="AD29" s="337">
        <f t="shared" si="3"/>
        <v>1.7129275663869663E-13</v>
      </c>
      <c r="AE29" s="308">
        <f t="shared" si="10"/>
        <v>6.3239559901641842</v>
      </c>
      <c r="AF29" s="337">
        <f t="shared" si="11"/>
        <v>3.4258551327739326E-13</v>
      </c>
      <c r="AG29" s="338">
        <f t="shared" si="23"/>
        <v>-26.634577049286904</v>
      </c>
      <c r="AH29" s="339">
        <f t="shared" si="24"/>
        <v>6.3239559901641845E-2</v>
      </c>
      <c r="AI29" s="340">
        <f t="shared" si="25"/>
        <v>0.23743406844650827</v>
      </c>
      <c r="AJ29" s="341">
        <f t="shared" si="12"/>
        <v>0.12647911980328369</v>
      </c>
    </row>
    <row r="30" spans="1:39" x14ac:dyDescent="0.2">
      <c r="A30" s="309">
        <v>23</v>
      </c>
      <c r="B30" s="309">
        <f t="shared" si="13"/>
        <v>22.810988888888886</v>
      </c>
      <c r="C30" s="1">
        <v>530.02</v>
      </c>
      <c r="D30" s="1">
        <v>0.45</v>
      </c>
      <c r="E30" s="326">
        <f t="shared" si="4"/>
        <v>12.450664242937361</v>
      </c>
      <c r="F30" s="327">
        <f t="shared" si="0"/>
        <v>6.8053398439049742E-3</v>
      </c>
      <c r="G30" s="309">
        <f t="shared" si="5"/>
        <v>0.71370555555555559</v>
      </c>
      <c r="H30" s="1">
        <v>2569.34</v>
      </c>
      <c r="I30" s="324">
        <v>30</v>
      </c>
      <c r="J30" s="1">
        <v>6.2399999999999997E-2</v>
      </c>
      <c r="K30" s="1">
        <v>3.1E-4</v>
      </c>
      <c r="L30" s="328">
        <f t="shared" si="6"/>
        <v>0.49679487179487186</v>
      </c>
      <c r="M30" s="329">
        <f t="shared" si="1"/>
        <v>3.7921673512622631E-3</v>
      </c>
      <c r="N30" s="342">
        <f>(1/$J$78)*SQRT(((1-J31/$J$78)*K30)^2+(J31/$J$78)^2*(SUMSQ(K$8:K29)+SUMSQ(K31:K$77)))</f>
        <v>1.0163565736703197E-4</v>
      </c>
      <c r="O30" s="340">
        <f t="shared" si="14"/>
        <v>2.6801469437576761</v>
      </c>
      <c r="P30" s="332">
        <f t="shared" si="7"/>
        <v>8.8709368658830681E-2</v>
      </c>
      <c r="Q30" s="342">
        <f>SQRT(((1-P30)/$J$78)^2*SUMSQ(K$8:K30)+(P30/$J$78)^2*SUMSQ(K31:K$77))</f>
        <v>2.2131368182638517E-3</v>
      </c>
      <c r="R30" s="340">
        <f t="shared" si="15"/>
        <v>2.4948174603467232</v>
      </c>
      <c r="S30" s="343">
        <f t="shared" si="16"/>
        <v>2.4013575901418868E-8</v>
      </c>
      <c r="T30" s="344">
        <f t="shared" si="17"/>
        <v>2.8038612135512128E-10</v>
      </c>
      <c r="U30" s="344">
        <f>IF(P30&lt;=0.85, (1/(3*H30*$J$78))*SQRT( ((1-P30)*(1/SQRT(1-PI()*P30/3)-1) + (1-P29)*(1-1/SQRT(1-PI()*P29/3)))^2*SUMSQ(K$8:K29) + ( (1-P30)*(1/SQRT(1-PI()*P30/3)-1) -P29*(1-1/SQRT(1-PI()*P29/3)) )^2*K30^2 + ( P30*(1-1/SQRT(1-PI()*P30/3)) - P29*(1-1/SQRT(1-PI()*P29/3)) )^2*SUMSQ(K31:K$77) ), (1/(PI()^2*H30*$J$78))*SQRT((1+P29/(1-P29))^2*K30^2+(P29/(1-P29)-P30/(1-P30))^2*SUMSQ(K31:K$77)) )</f>
        <v>1.2478333539094879E-9</v>
      </c>
      <c r="V30" s="345">
        <f t="shared" si="18"/>
        <v>1.2789466197529785E-9</v>
      </c>
      <c r="W30" s="340">
        <f t="shared" si="19"/>
        <v>5.3259315688897901</v>
      </c>
      <c r="X30" s="345">
        <f t="shared" si="20"/>
        <v>2.557893239505957E-9</v>
      </c>
      <c r="Y30" s="338">
        <f t="shared" si="8"/>
        <v>-17.544646503966103</v>
      </c>
      <c r="Z30" s="346">
        <f t="shared" si="21"/>
        <v>5.3259315688897906E-2</v>
      </c>
      <c r="AA30" s="346">
        <f t="shared" si="22"/>
        <v>0.30356448433918704</v>
      </c>
      <c r="AB30" s="346">
        <f t="shared" si="9"/>
        <v>0.10651863137779581</v>
      </c>
      <c r="AC30" s="336">
        <f t="shared" si="2"/>
        <v>3.0989423646477444E-12</v>
      </c>
      <c r="AD30" s="337">
        <f t="shared" si="3"/>
        <v>1.9785692732918149E-13</v>
      </c>
      <c r="AE30" s="308">
        <f t="shared" si="10"/>
        <v>6.3846597983332227</v>
      </c>
      <c r="AF30" s="337">
        <f t="shared" si="11"/>
        <v>3.9571385465836298E-13</v>
      </c>
      <c r="AG30" s="338">
        <f t="shared" si="23"/>
        <v>-26.499960235344368</v>
      </c>
      <c r="AH30" s="339">
        <f t="shared" si="24"/>
        <v>6.3846597983332226E-2</v>
      </c>
      <c r="AI30" s="340">
        <f t="shared" si="25"/>
        <v>0.24093091995729382</v>
      </c>
      <c r="AJ30" s="341">
        <f t="shared" si="12"/>
        <v>0.12769319596666445</v>
      </c>
    </row>
    <row r="31" spans="1:39" x14ac:dyDescent="0.2">
      <c r="A31" s="309">
        <v>24</v>
      </c>
      <c r="B31" s="309">
        <f t="shared" si="13"/>
        <v>23.52302222222222</v>
      </c>
      <c r="C31" s="1">
        <v>540.02</v>
      </c>
      <c r="D31" s="1">
        <v>0.48</v>
      </c>
      <c r="E31" s="326">
        <f t="shared" si="4"/>
        <v>12.297551557484905</v>
      </c>
      <c r="F31" s="327">
        <f t="shared" si="0"/>
        <v>7.0837327579061369E-3</v>
      </c>
      <c r="G31" s="309">
        <f t="shared" si="5"/>
        <v>0.71203333333333341</v>
      </c>
      <c r="H31" s="1">
        <v>2563.3200000000002</v>
      </c>
      <c r="I31" s="324">
        <v>30</v>
      </c>
      <c r="J31" s="1">
        <v>6.5939999999999999E-2</v>
      </c>
      <c r="K31" s="1">
        <v>2.9E-4</v>
      </c>
      <c r="L31" s="328">
        <f t="shared" si="6"/>
        <v>0.43979375189566272</v>
      </c>
      <c r="M31" s="329">
        <f t="shared" si="1"/>
        <v>4.0072999221511798E-3</v>
      </c>
      <c r="N31" s="342">
        <f>(1/$J$78)*SQRT(((1-J32/$J$78)*K31)^2+(J32/$J$78)^2*(SUMSQ(K$8:K30)+SUMSQ(K32:K$77)))</f>
        <v>1.0908040797135713E-4</v>
      </c>
      <c r="O31" s="340">
        <f t="shared" si="14"/>
        <v>2.7220425246533857</v>
      </c>
      <c r="P31" s="332">
        <f t="shared" si="7"/>
        <v>9.2716668580981862E-2</v>
      </c>
      <c r="Q31" s="342">
        <f>SQRT(((1-P31)/$J$78)^2*SUMSQ(K$8:K31)+(P31/$J$78)^2*SUMSQ(K32:K$77))</f>
        <v>2.312979900341398E-3</v>
      </c>
      <c r="R31" s="340">
        <f t="shared" si="15"/>
        <v>2.4946753757887272</v>
      </c>
      <c r="S31" s="343">
        <f t="shared" si="16"/>
        <v>2.6667258564972196E-8</v>
      </c>
      <c r="T31" s="344">
        <f t="shared" si="17"/>
        <v>3.1210217879514276E-10</v>
      </c>
      <c r="U31" s="344">
        <f>IF(P31&lt;=0.85, (1/(3*H31*$J$78))*SQRT( ((1-P31)*(1/SQRT(1-PI()*P31/3)-1) + (1-P30)*(1-1/SQRT(1-PI()*P30/3)))^2*SUMSQ(K$8:K30) + ( (1-P31)*(1/SQRT(1-PI()*P31/3)-1) -P30*(1-1/SQRT(1-PI()*P30/3)) )^2*K31^2 + ( P31*(1-1/SQRT(1-PI()*P31/3)) - P30*(1-1/SQRT(1-PI()*P30/3)) )^2*SUMSQ(K32:K$77) ), (1/(PI()^2*H31*$J$78))*SQRT((1+P30/(1-P30))^2*K31^2+(P30/(1-P30)-P31/(1-P31))^2*SUMSQ(K32:K$77)) )</f>
        <v>1.3867233346563662E-9</v>
      </c>
      <c r="V31" s="345">
        <f t="shared" si="18"/>
        <v>1.4214110513462134E-9</v>
      </c>
      <c r="W31" s="340">
        <f t="shared" si="19"/>
        <v>5.3301731330315887</v>
      </c>
      <c r="X31" s="345">
        <f t="shared" si="20"/>
        <v>2.8428221026924267E-9</v>
      </c>
      <c r="Y31" s="338">
        <f t="shared" si="8"/>
        <v>-17.439829295000514</v>
      </c>
      <c r="Z31" s="346">
        <f t="shared" si="21"/>
        <v>5.3301731330315891E-2</v>
      </c>
      <c r="AA31" s="346">
        <f t="shared" si="22"/>
        <v>0.30563218497554862</v>
      </c>
      <c r="AB31" s="346">
        <f t="shared" si="9"/>
        <v>0.10660346266063178</v>
      </c>
      <c r="AC31" s="336">
        <f t="shared" si="2"/>
        <v>3.4413990509062358E-12</v>
      </c>
      <c r="AD31" s="337">
        <f t="shared" si="3"/>
        <v>2.1984340043899304E-13</v>
      </c>
      <c r="AE31" s="308">
        <f t="shared" si="10"/>
        <v>6.3881984386873389</v>
      </c>
      <c r="AF31" s="337">
        <f t="shared" si="11"/>
        <v>4.3968680087798607E-13</v>
      </c>
      <c r="AG31" s="338">
        <f t="shared" si="23"/>
        <v>-26.395143026378776</v>
      </c>
      <c r="AH31" s="339">
        <f t="shared" si="24"/>
        <v>6.3881984386873383E-2</v>
      </c>
      <c r="AI31" s="340">
        <f t="shared" si="25"/>
        <v>0.24202173984445174</v>
      </c>
      <c r="AJ31" s="341">
        <f t="shared" si="12"/>
        <v>0.12776396877374677</v>
      </c>
    </row>
    <row r="32" spans="1:39" x14ac:dyDescent="0.2">
      <c r="A32" s="309">
        <v>25</v>
      </c>
      <c r="B32" s="309">
        <f t="shared" si="13"/>
        <v>24.236174999999999</v>
      </c>
      <c r="C32" s="1">
        <v>550.02</v>
      </c>
      <c r="D32" s="1">
        <v>0.56000000000000005</v>
      </c>
      <c r="E32" s="326">
        <f t="shared" si="4"/>
        <v>12.148158946511657</v>
      </c>
      <c r="F32" s="327">
        <f t="shared" si="0"/>
        <v>8.0673556709330331E-3</v>
      </c>
      <c r="G32" s="309">
        <f t="shared" si="5"/>
        <v>0.71315277777777775</v>
      </c>
      <c r="H32" s="1">
        <v>2567.35</v>
      </c>
      <c r="I32" s="324">
        <v>30</v>
      </c>
      <c r="J32" s="1">
        <v>7.1069999999999994E-2</v>
      </c>
      <c r="K32" s="1">
        <v>3.3E-4</v>
      </c>
      <c r="L32" s="328">
        <f t="shared" si="6"/>
        <v>0.46433094132545383</v>
      </c>
      <c r="M32" s="329">
        <f t="shared" si="1"/>
        <v>4.3190598342020678E-3</v>
      </c>
      <c r="N32" s="342">
        <f>(1/$J$78)*SQRT(((1-J33/$J$78)*K32)^2+(J33/$J$78)^2*(SUMSQ(K$8:K31)+SUMSQ(K33:K$77)))</f>
        <v>1.5851324099924304E-4</v>
      </c>
      <c r="O32" s="340">
        <f t="shared" si="14"/>
        <v>3.6700867106308066</v>
      </c>
      <c r="P32" s="332">
        <f t="shared" si="7"/>
        <v>9.7035728415183931E-2</v>
      </c>
      <c r="Q32" s="342">
        <f>SQRT(((1-P32)/$J$78)^2*SUMSQ(K$8:K32)+(P32/$J$78)^2*SUMSQ(K33:K$77))</f>
        <v>2.4206048532505187E-3</v>
      </c>
      <c r="R32" s="340">
        <f t="shared" si="15"/>
        <v>2.4945500928210151</v>
      </c>
      <c r="S32" s="343">
        <f t="shared" si="16"/>
        <v>3.0121830041078082E-8</v>
      </c>
      <c r="T32" s="344">
        <f t="shared" si="17"/>
        <v>3.519796292801298E-10</v>
      </c>
      <c r="U32" s="344">
        <f>IF(P32&lt;=0.85, (1/(3*H32*$J$78))*SQRT( ((1-P32)*(1/SQRT(1-PI()*P32/3)-1) + (1-P31)*(1-1/SQRT(1-PI()*P31/3)))^2*SUMSQ(K$8:K31) + ( (1-P32)*(1/SQRT(1-PI()*P32/3)-1) -P31*(1-1/SQRT(1-PI()*P31/3)) )^2*K32^2 + ( P32*(1-1/SQRT(1-PI()*P32/3)) - P31*(1-1/SQRT(1-PI()*P31/3)) )^2*SUMSQ(K33:K$77) ), (1/(PI()^2*H32*$J$78))*SQRT((1+P31/(1-P31))^2*K32^2+(P31/(1-P31)-P32/(1-P32))^2*SUMSQ(K33:K$77)) )</f>
        <v>1.5699594916795057E-9</v>
      </c>
      <c r="V32" s="345">
        <f t="shared" si="18"/>
        <v>1.6089320883563575E-9</v>
      </c>
      <c r="W32" s="340">
        <f t="shared" si="19"/>
        <v>5.3414154656679438</v>
      </c>
      <c r="X32" s="345">
        <f t="shared" si="20"/>
        <v>3.2178641767127151E-9</v>
      </c>
      <c r="Y32" s="338">
        <f t="shared" si="8"/>
        <v>-17.318015677524507</v>
      </c>
      <c r="Z32" s="346">
        <f t="shared" si="21"/>
        <v>5.3414154656679438E-2</v>
      </c>
      <c r="AA32" s="346">
        <f t="shared" si="22"/>
        <v>0.30843114852933678</v>
      </c>
      <c r="AB32" s="346">
        <f t="shared" si="9"/>
        <v>0.10682830931335888</v>
      </c>
      <c r="AC32" s="336">
        <f t="shared" si="2"/>
        <v>3.8872101180691102E-12</v>
      </c>
      <c r="AD32" s="337">
        <f t="shared" si="3"/>
        <v>2.4868744689898891E-13</v>
      </c>
      <c r="AE32" s="308">
        <f t="shared" si="10"/>
        <v>6.397581796337759</v>
      </c>
      <c r="AF32" s="337">
        <f t="shared" si="11"/>
        <v>4.9737489379797782E-13</v>
      </c>
      <c r="AG32" s="338">
        <f t="shared" si="23"/>
        <v>-26.273329408902768</v>
      </c>
      <c r="AH32" s="339">
        <f t="shared" si="24"/>
        <v>6.397581796337759E-2</v>
      </c>
      <c r="AI32" s="340">
        <f t="shared" si="25"/>
        <v>0.24350099284219098</v>
      </c>
      <c r="AJ32" s="341">
        <f t="shared" si="12"/>
        <v>0.12795163592675518</v>
      </c>
    </row>
    <row r="33" spans="1:36" x14ac:dyDescent="0.2">
      <c r="A33" s="309">
        <v>26</v>
      </c>
      <c r="B33" s="309">
        <f t="shared" si="13"/>
        <v>25.259333333333334</v>
      </c>
      <c r="C33" s="1">
        <v>560.01</v>
      </c>
      <c r="D33" s="1">
        <v>0.13</v>
      </c>
      <c r="E33" s="326">
        <f t="shared" si="4"/>
        <v>12.00249651927601</v>
      </c>
      <c r="F33" s="327">
        <f t="shared" si="0"/>
        <v>1.828662940491626E-3</v>
      </c>
      <c r="G33" s="309">
        <f t="shared" si="5"/>
        <v>1.0231583333333334</v>
      </c>
      <c r="H33" s="1">
        <v>3683.37</v>
      </c>
      <c r="I33" s="324">
        <v>30</v>
      </c>
      <c r="J33" s="1">
        <v>0.103809999999999</v>
      </c>
      <c r="K33" s="1">
        <v>7.5000000000000002E-4</v>
      </c>
      <c r="L33" s="328">
        <f t="shared" si="6"/>
        <v>0.72247375012041926</v>
      </c>
      <c r="M33" s="329">
        <f t="shared" si="1"/>
        <v>6.3087322553610856E-3</v>
      </c>
      <c r="N33" s="342">
        <f>(1/$J$78)*SQRT(((1-J34/$J$78)*K33)^2+(J34/$J$78)^2*(SUMSQ(K$8:K32)+SUMSQ(K34:K$77)))</f>
        <v>1.2270294627167149E-4</v>
      </c>
      <c r="O33" s="340">
        <f t="shared" si="14"/>
        <v>1.944969944910881</v>
      </c>
      <c r="P33" s="332">
        <f t="shared" si="7"/>
        <v>0.10334446067054502</v>
      </c>
      <c r="Q33" s="342">
        <f>SQRT(((1-P33)/$J$78)^2*SUMSQ(K$8:K33)+(P33/$J$78)^2*SUMSQ(K34:K$77))</f>
        <v>2.5780417240374876E-3</v>
      </c>
      <c r="R33" s="340">
        <f t="shared" si="15"/>
        <v>2.4946104583738706</v>
      </c>
      <c r="S33" s="343">
        <f t="shared" si="16"/>
        <v>3.2534870480965978E-8</v>
      </c>
      <c r="T33" s="344">
        <f t="shared" si="17"/>
        <v>2.6498725743788563E-10</v>
      </c>
      <c r="U33" s="344">
        <f>IF(P33&lt;=0.85, (1/(3*H33*$J$78))*SQRT( ((1-P33)*(1/SQRT(1-PI()*P33/3)-1) + (1-P32)*(1-1/SQRT(1-PI()*P32/3)))^2*SUMSQ(K$8:K32) + ( (1-P33)*(1/SQRT(1-PI()*P33/3)-1) -P32*(1-1/SQRT(1-PI()*P32/3)) )^2*K33^2 + ( P33*(1-1/SQRT(1-PI()*P33/3)) - P32*(1-1/SQRT(1-PI()*P32/3)) )^2*SUMSQ(K34:K$77) ), (1/(PI()^2*H33*$J$78))*SQRT((1+P32/(1-P32))^2*K33^2+(P32/(1-P32)-P33/(1-P33))^2*SUMSQ(K34:K$77)) )</f>
        <v>1.7098162429063601E-9</v>
      </c>
      <c r="V33" s="345">
        <f t="shared" si="18"/>
        <v>1.7302282598289953E-9</v>
      </c>
      <c r="W33" s="340">
        <f t="shared" si="19"/>
        <v>5.3180732987433847</v>
      </c>
      <c r="X33" s="345">
        <f t="shared" si="20"/>
        <v>3.4604565196579907E-9</v>
      </c>
      <c r="Y33" s="338">
        <f t="shared" si="8"/>
        <v>-17.240953384921298</v>
      </c>
      <c r="Z33" s="346">
        <f t="shared" si="21"/>
        <v>5.3180732987433851E-2</v>
      </c>
      <c r="AA33" s="346">
        <f t="shared" si="22"/>
        <v>0.308455871320579</v>
      </c>
      <c r="AB33" s="346">
        <f t="shared" si="9"/>
        <v>0.1063614659748677</v>
      </c>
      <c r="AC33" s="336">
        <f t="shared" si="2"/>
        <v>4.1986120216204672E-12</v>
      </c>
      <c r="AD33" s="337">
        <f t="shared" si="3"/>
        <v>2.67791928978867E-13</v>
      </c>
      <c r="AE33" s="308">
        <f t="shared" si="10"/>
        <v>6.3781060883904166</v>
      </c>
      <c r="AF33" s="337">
        <f t="shared" si="11"/>
        <v>5.3558385795773399E-13</v>
      </c>
      <c r="AG33" s="338">
        <f t="shared" si="23"/>
        <v>-26.196267116299559</v>
      </c>
      <c r="AH33" s="339">
        <f t="shared" si="24"/>
        <v>6.3781060883904173E-2</v>
      </c>
      <c r="AI33" s="340">
        <f t="shared" si="25"/>
        <v>0.24347385297586546</v>
      </c>
      <c r="AJ33" s="341">
        <f t="shared" si="12"/>
        <v>0.12756212176780835</v>
      </c>
    </row>
    <row r="34" spans="1:36" x14ac:dyDescent="0.2">
      <c r="A34" s="309">
        <v>27</v>
      </c>
      <c r="B34" s="309">
        <f t="shared" si="13"/>
        <v>25.970833333333335</v>
      </c>
      <c r="C34" s="1">
        <v>570</v>
      </c>
      <c r="D34" s="1">
        <v>0.19</v>
      </c>
      <c r="E34" s="326">
        <f t="shared" si="4"/>
        <v>11.860285832888573</v>
      </c>
      <c r="F34" s="327">
        <f t="shared" si="0"/>
        <v>2.6103744544716673E-3</v>
      </c>
      <c r="G34" s="309">
        <f t="shared" si="5"/>
        <v>0.71150000000000013</v>
      </c>
      <c r="H34" s="1">
        <v>2561.4</v>
      </c>
      <c r="I34" s="324">
        <v>30</v>
      </c>
      <c r="J34" s="1">
        <v>7.5259999999999994E-2</v>
      </c>
      <c r="K34" s="1">
        <v>2.39999999999999E-4</v>
      </c>
      <c r="L34" s="328">
        <f t="shared" si="6"/>
        <v>0.31889449906988976</v>
      </c>
      <c r="M34" s="329">
        <f t="shared" si="1"/>
        <v>4.5736941483332993E-3</v>
      </c>
      <c r="N34" s="342">
        <f>(1/$J$78)*SQRT(((1-J35/$J$78)*K34)^2+(J35/$J$78)^2*(SUMSQ(K$8:K33)+SUMSQ(K35:K$77)))</f>
        <v>1.2548308931757812E-4</v>
      </c>
      <c r="O34" s="340">
        <f t="shared" si="14"/>
        <v>2.7435828730109866</v>
      </c>
      <c r="P34" s="332">
        <f t="shared" si="7"/>
        <v>0.10791815481887831</v>
      </c>
      <c r="Q34" s="342">
        <f>SQRT(((1-P34)/$J$78)^2*SUMSQ(K$8:K34)+(P34/$J$78)^2*SUMSQ(K35:K$77))</f>
        <v>2.6919723365724968E-3</v>
      </c>
      <c r="R34" s="340">
        <f t="shared" si="15"/>
        <v>2.494457342316962</v>
      </c>
      <c r="S34" s="343">
        <f t="shared" si="16"/>
        <v>3.5930519737158852E-8</v>
      </c>
      <c r="T34" s="344">
        <f t="shared" si="17"/>
        <v>4.2083063641554009E-10</v>
      </c>
      <c r="U34" s="344">
        <f>IF(P34&lt;=0.85, (1/(3*H34*$J$78))*SQRT( ((1-P34)*(1/SQRT(1-PI()*P34/3)-1) + (1-P33)*(1-1/SQRT(1-PI()*P33/3)))^2*SUMSQ(K$8:K33) + ( (1-P34)*(1/SQRT(1-PI()*P34/3)-1) -P33*(1-1/SQRT(1-PI()*P33/3)) )^2*K34^2 + ( P34*(1-1/SQRT(1-PI()*P34/3)) - P33*(1-1/SQRT(1-PI()*P33/3)) )^2*SUMSQ(K35:K$77) ), (1/(PI()^2*H34*$J$78))*SQRT((1+P33/(1-P33))^2*K34^2+(P33/(1-P33)-P34/(1-P34))^2*SUMSQ(K35:K$77)) )</f>
        <v>1.8778866194286778E-9</v>
      </c>
      <c r="V34" s="345">
        <f t="shared" si="18"/>
        <v>1.9244626730532282E-9</v>
      </c>
      <c r="W34" s="340">
        <f t="shared" si="19"/>
        <v>5.3560668955839654</v>
      </c>
      <c r="X34" s="345">
        <f t="shared" si="20"/>
        <v>3.8489253461064563E-9</v>
      </c>
      <c r="Y34" s="338">
        <f t="shared" si="8"/>
        <v>-17.141678770655389</v>
      </c>
      <c r="Z34" s="346">
        <f t="shared" si="21"/>
        <v>5.3560668955839656E-2</v>
      </c>
      <c r="AA34" s="346">
        <f t="shared" si="22"/>
        <v>0.31245871348102411</v>
      </c>
      <c r="AB34" s="346">
        <f t="shared" si="9"/>
        <v>0.10712133791167931</v>
      </c>
      <c r="AC34" s="336">
        <f t="shared" si="2"/>
        <v>4.6368191998724546E-12</v>
      </c>
      <c r="AD34" s="337">
        <f t="shared" si="3"/>
        <v>2.9721174208993828E-13</v>
      </c>
      <c r="AE34" s="308">
        <f t="shared" si="10"/>
        <v>6.4098195180462003</v>
      </c>
      <c r="AF34" s="337">
        <f t="shared" si="11"/>
        <v>5.9442348417987655E-13</v>
      </c>
      <c r="AG34" s="338">
        <f t="shared" si="23"/>
        <v>-26.096992502033654</v>
      </c>
      <c r="AH34" s="339">
        <f t="shared" si="24"/>
        <v>6.4098195180462003E-2</v>
      </c>
      <c r="AI34" s="340">
        <f t="shared" si="25"/>
        <v>0.24561525691309846</v>
      </c>
      <c r="AJ34" s="341">
        <f t="shared" si="12"/>
        <v>0.12819639036092401</v>
      </c>
    </row>
    <row r="35" spans="1:36" x14ac:dyDescent="0.2">
      <c r="A35" s="309">
        <v>28</v>
      </c>
      <c r="B35" s="309">
        <f t="shared" si="13"/>
        <v>26.683436111111114</v>
      </c>
      <c r="C35" s="1">
        <v>580</v>
      </c>
      <c r="D35" s="1">
        <v>0.24</v>
      </c>
      <c r="E35" s="326">
        <f t="shared" si="4"/>
        <v>11.721268241223701</v>
      </c>
      <c r="F35" s="327">
        <f t="shared" si="0"/>
        <v>3.2213557740850981E-3</v>
      </c>
      <c r="G35" s="309">
        <f t="shared" si="5"/>
        <v>0.71260277777777781</v>
      </c>
      <c r="H35" s="1">
        <v>2565.37</v>
      </c>
      <c r="I35" s="324">
        <v>30</v>
      </c>
      <c r="J35" s="1">
        <v>8.2279999999999895E-2</v>
      </c>
      <c r="K35" s="1">
        <v>3.6999999999999999E-4</v>
      </c>
      <c r="L35" s="328">
        <f t="shared" si="6"/>
        <v>0.44968400583373896</v>
      </c>
      <c r="M35" s="329">
        <f t="shared" si="1"/>
        <v>5.0003129753502986E-3</v>
      </c>
      <c r="N35" s="342">
        <f>(1/$J$78)*SQRT(((1-J36/$J$78)*K35)^2+(J36/$J$78)^2*(SUMSQ(K$8:K34)+SUMSQ(K36:K$77)))</f>
        <v>1.3729065109291923E-4</v>
      </c>
      <c r="O35" s="340">
        <f t="shared" si="14"/>
        <v>2.7456411582577247</v>
      </c>
      <c r="P35" s="332">
        <f t="shared" si="7"/>
        <v>0.11291846779422861</v>
      </c>
      <c r="Q35" s="342">
        <f>SQRT(((1-P35)/$J$78)^2*SUMSQ(K$8:K35)+(P35/$J$78)^2*SUMSQ(K36:K$77))</f>
        <v>2.8165738121074197E-3</v>
      </c>
      <c r="R35" s="340">
        <f t="shared" si="15"/>
        <v>2.4943429247021522</v>
      </c>
      <c r="S35" s="343">
        <f t="shared" si="16"/>
        <v>4.117116506577659E-8</v>
      </c>
      <c r="T35" s="344">
        <f t="shared" si="17"/>
        <v>4.8146464329640356E-10</v>
      </c>
      <c r="U35" s="344">
        <f>IF(P35&lt;=0.85, (1/(3*H35*$J$78))*SQRT( ((1-P35)*(1/SQRT(1-PI()*P35/3)-1) + (1-P34)*(1-1/SQRT(1-PI()*P34/3)))^2*SUMSQ(K$8:K34) + ( (1-P35)*(1/SQRT(1-PI()*P35/3)-1) -P34*(1-1/SQRT(1-PI()*P34/3)) )^2*K35^2 + ( P35*(1-1/SQRT(1-PI()*P35/3)) - P34*(1-1/SQRT(1-PI()*P34/3)) )^2*SUMSQ(K36:K$77) ), (1/(PI()^2*H35*$J$78))*SQRT((1+P34/(1-P34))^2*K35^2+(P34/(1-P34)-P35/(1-P35))^2*SUMSQ(K36:K$77)) )</f>
        <v>2.1606231488151284E-9</v>
      </c>
      <c r="V35" s="345">
        <f t="shared" si="18"/>
        <v>2.2136170838562691E-9</v>
      </c>
      <c r="W35" s="340">
        <f t="shared" si="19"/>
        <v>5.3766199725456199</v>
      </c>
      <c r="X35" s="345">
        <f t="shared" si="20"/>
        <v>4.4272341677125383E-9</v>
      </c>
      <c r="Y35" s="338">
        <f t="shared" si="8"/>
        <v>-17.005527702663461</v>
      </c>
      <c r="Z35" s="346">
        <f t="shared" si="21"/>
        <v>5.3766199725456203E-2</v>
      </c>
      <c r="AA35" s="346">
        <f t="shared" si="22"/>
        <v>0.31616895791499117</v>
      </c>
      <c r="AB35" s="346">
        <f t="shared" si="9"/>
        <v>0.10753239945091241</v>
      </c>
      <c r="AC35" s="336">
        <f t="shared" si="2"/>
        <v>5.3131223832724427E-12</v>
      </c>
      <c r="AD35" s="337">
        <f t="shared" si="3"/>
        <v>3.4147456981610537E-13</v>
      </c>
      <c r="AE35" s="308">
        <f t="shared" si="10"/>
        <v>6.4270036559140085</v>
      </c>
      <c r="AF35" s="337">
        <f t="shared" si="11"/>
        <v>6.8294913963221074E-13</v>
      </c>
      <c r="AG35" s="338">
        <f t="shared" si="23"/>
        <v>-25.960841434041722</v>
      </c>
      <c r="AH35" s="339">
        <f t="shared" si="24"/>
        <v>6.4270036559140084E-2</v>
      </c>
      <c r="AI35" s="340">
        <f t="shared" si="25"/>
        <v>0.24756530608774718</v>
      </c>
      <c r="AJ35" s="341">
        <f t="shared" si="12"/>
        <v>0.12854007311828017</v>
      </c>
    </row>
    <row r="36" spans="1:36" x14ac:dyDescent="0.2">
      <c r="A36" s="309">
        <v>29</v>
      </c>
      <c r="B36" s="309">
        <f t="shared" si="13"/>
        <v>27.397144444444447</v>
      </c>
      <c r="C36" s="1">
        <v>590</v>
      </c>
      <c r="D36" s="1">
        <v>0.24</v>
      </c>
      <c r="E36" s="326">
        <f t="shared" si="4"/>
        <v>11.585471818339801</v>
      </c>
      <c r="F36" s="327">
        <f t="shared" si="0"/>
        <v>3.1480634192843299E-3</v>
      </c>
      <c r="G36" s="309">
        <f t="shared" si="5"/>
        <v>0.71370833333333328</v>
      </c>
      <c r="H36" s="1">
        <v>2569.35</v>
      </c>
      <c r="I36" s="324">
        <v>30</v>
      </c>
      <c r="J36" s="1">
        <v>8.9419999999999999E-2</v>
      </c>
      <c r="K36" s="1">
        <v>3.5E-4</v>
      </c>
      <c r="L36" s="328">
        <f t="shared" si="6"/>
        <v>0.39141131737866253</v>
      </c>
      <c r="M36" s="329">
        <f t="shared" si="1"/>
        <v>5.4342244318889678E-3</v>
      </c>
      <c r="N36" s="342">
        <f>(1/$J$78)*SQRT(((1-J37/$J$78)*K36)^2+(J37/$J$78)^2*(SUMSQ(K$8:K35)+SUMSQ(K37:K$77)))</f>
        <v>1.4839311795750046E-4</v>
      </c>
      <c r="O36" s="340">
        <f t="shared" si="14"/>
        <v>2.7307138271048208</v>
      </c>
      <c r="P36" s="332">
        <f t="shared" si="7"/>
        <v>0.11835269222611758</v>
      </c>
      <c r="Q36" s="342">
        <f>SQRT(((1-P36)/$J$78)^2*SUMSQ(K$8:K36)+(P36/$J$78)^2*SUMSQ(K37:K$77))</f>
        <v>2.9519771155665808E-3</v>
      </c>
      <c r="R36" s="340">
        <f t="shared" si="15"/>
        <v>2.4942205031776634</v>
      </c>
      <c r="S36" s="343">
        <f t="shared" si="16"/>
        <v>4.7001216431946875E-8</v>
      </c>
      <c r="T36" s="344">
        <f t="shared" si="17"/>
        <v>5.4879113120377061E-10</v>
      </c>
      <c r="U36" s="344">
        <f>IF(P36&lt;=0.85, (1/(3*H36*$J$78))*SQRT( ((1-P36)*(1/SQRT(1-PI()*P36/3)-1) + (1-P35)*(1-1/SQRT(1-PI()*P35/3)))^2*SUMSQ(K$8:K35) + ( (1-P36)*(1/SQRT(1-PI()*P36/3)-1) -P35*(1-1/SQRT(1-PI()*P35/3)) )^2*K36^2 + ( P36*(1-1/SQRT(1-PI()*P36/3)) - P35*(1-1/SQRT(1-PI()*P35/3)) )^2*SUMSQ(K37:K$77) ), (1/(PI()^2*H36*$J$78))*SQRT((1+P35/(1-P35))^2*K36^2+(P35/(1-P35)-P36/(1-P36))^2*SUMSQ(K37:K$77)) )</f>
        <v>2.4703317830762964E-9</v>
      </c>
      <c r="V36" s="345">
        <f t="shared" si="18"/>
        <v>2.5305554378762042E-9</v>
      </c>
      <c r="W36" s="340">
        <f t="shared" si="19"/>
        <v>5.3840211594102012</v>
      </c>
      <c r="X36" s="345">
        <f t="shared" si="20"/>
        <v>5.0611108757524084E-9</v>
      </c>
      <c r="Y36" s="338">
        <f t="shared" si="8"/>
        <v>-16.873092354040487</v>
      </c>
      <c r="Z36" s="346">
        <f t="shared" si="21"/>
        <v>5.3840211594102017E-2</v>
      </c>
      <c r="AA36" s="346">
        <f t="shared" si="22"/>
        <v>0.31908917739793713</v>
      </c>
      <c r="AB36" s="346">
        <f t="shared" si="9"/>
        <v>0.10768042318820403</v>
      </c>
      <c r="AC36" s="336">
        <f t="shared" si="2"/>
        <v>6.065488180056171E-12</v>
      </c>
      <c r="AD36" s="337">
        <f t="shared" si="3"/>
        <v>3.9020477472777349E-13</v>
      </c>
      <c r="AE36" s="308">
        <f t="shared" si="10"/>
        <v>6.4331965234191575</v>
      </c>
      <c r="AF36" s="337">
        <f t="shared" si="11"/>
        <v>7.8040954945554698E-13</v>
      </c>
      <c r="AG36" s="338">
        <f t="shared" si="23"/>
        <v>-25.828406085418752</v>
      </c>
      <c r="AH36" s="339">
        <f t="shared" si="24"/>
        <v>6.4331965234191574E-2</v>
      </c>
      <c r="AI36" s="340">
        <f t="shared" si="25"/>
        <v>0.24907446871260761</v>
      </c>
      <c r="AJ36" s="341">
        <f t="shared" si="12"/>
        <v>0.12866393046838315</v>
      </c>
    </row>
    <row r="37" spans="1:36" x14ac:dyDescent="0.2">
      <c r="A37" s="309">
        <v>30</v>
      </c>
      <c r="B37" s="309">
        <f t="shared" si="13"/>
        <v>28.108633333333337</v>
      </c>
      <c r="C37" s="1">
        <v>599.99</v>
      </c>
      <c r="D37" s="1">
        <v>0.32</v>
      </c>
      <c r="E37" s="326">
        <f t="shared" si="4"/>
        <v>11.452917057974666</v>
      </c>
      <c r="F37" s="327">
        <f t="shared" si="0"/>
        <v>4.2473742991902255E-3</v>
      </c>
      <c r="G37" s="309">
        <f t="shared" si="5"/>
        <v>0.71148888888888895</v>
      </c>
      <c r="H37" s="1">
        <v>2561.36</v>
      </c>
      <c r="I37" s="324">
        <v>30</v>
      </c>
      <c r="J37" s="1">
        <v>9.6960000000000005E-2</v>
      </c>
      <c r="K37" s="1">
        <v>3.6000000000000002E-4</v>
      </c>
      <c r="L37" s="328">
        <f t="shared" si="6"/>
        <v>0.37128712871287134</v>
      </c>
      <c r="M37" s="329">
        <f t="shared" si="1"/>
        <v>5.8924446534998247E-3</v>
      </c>
      <c r="N37" s="342">
        <f>(1/$J$78)*SQRT(((1-J38/$J$78)*K37)^2+(J38/$J$78)^2*(SUMSQ(K$8:K36)+SUMSQ(K38:K$77)))</f>
        <v>2.5301310756397749E-4</v>
      </c>
      <c r="O37" s="340">
        <f t="shared" si="14"/>
        <v>4.2938563269100882</v>
      </c>
      <c r="P37" s="332">
        <f t="shared" si="7"/>
        <v>0.1242451368796174</v>
      </c>
      <c r="Q37" s="342">
        <f>SQRT(((1-P37)/$J$78)^2*SUMSQ(K$8:K37)+(P37/$J$78)^2*SUMSQ(K38:K$77))</f>
        <v>3.0987998560454474E-3</v>
      </c>
      <c r="R37" s="340">
        <f t="shared" si="15"/>
        <v>2.4941015269256872</v>
      </c>
      <c r="S37" s="343">
        <f t="shared" si="16"/>
        <v>5.389733990469297E-8</v>
      </c>
      <c r="T37" s="344">
        <f t="shared" si="17"/>
        <v>6.3127408764905866E-10</v>
      </c>
      <c r="U37" s="344">
        <f>IF(P37&lt;=0.85, (1/(3*H37*$J$78))*SQRT( ((1-P37)*(1/SQRT(1-PI()*P37/3)-1) + (1-P36)*(1-1/SQRT(1-PI()*P36/3)))^2*SUMSQ(K$8:K36) + ( (1-P37)*(1/SQRT(1-PI()*P37/3)-1) -P36*(1-1/SQRT(1-PI()*P36/3)) )^2*K37^2 + ( P37*(1-1/SQRT(1-PI()*P37/3)) - P36*(1-1/SQRT(1-PI()*P36/3)) )^2*SUMSQ(K38:K$77) ), (1/(PI()^2*H37*$J$78))*SQRT((1+P36/(1-P36))^2*K37^2+(P36/(1-P36)-P37/(1-P37))^2*SUMSQ(K38:K$77)) )</f>
        <v>2.8395501937101995E-9</v>
      </c>
      <c r="V37" s="345">
        <f t="shared" si="18"/>
        <v>2.908874744009577E-9</v>
      </c>
      <c r="W37" s="340">
        <f t="shared" si="19"/>
        <v>5.3970655122374502</v>
      </c>
      <c r="X37" s="345">
        <f t="shared" si="20"/>
        <v>5.817749488019154E-9</v>
      </c>
      <c r="Y37" s="338">
        <f t="shared" si="8"/>
        <v>-16.736184712666901</v>
      </c>
      <c r="Z37" s="346">
        <f t="shared" si="21"/>
        <v>5.3970655122374499E-2</v>
      </c>
      <c r="AA37" s="346">
        <f t="shared" si="22"/>
        <v>0.32247884478429795</v>
      </c>
      <c r="AB37" s="346">
        <f t="shared" si="9"/>
        <v>0.107941310244749</v>
      </c>
      <c r="AC37" s="336">
        <f t="shared" si="2"/>
        <v>6.955430155764665E-12</v>
      </c>
      <c r="AD37" s="337">
        <f t="shared" si="3"/>
        <v>4.4821608891876984E-13</v>
      </c>
      <c r="AE37" s="308">
        <f t="shared" si="10"/>
        <v>6.4441174575994848</v>
      </c>
      <c r="AF37" s="337">
        <f t="shared" si="11"/>
        <v>8.9643217783753969E-13</v>
      </c>
      <c r="AG37" s="338">
        <f t="shared" si="23"/>
        <v>-25.691498444045163</v>
      </c>
      <c r="AH37" s="339">
        <f t="shared" si="24"/>
        <v>6.4441174575994853E-2</v>
      </c>
      <c r="AI37" s="340">
        <f t="shared" si="25"/>
        <v>0.25082684342583056</v>
      </c>
      <c r="AJ37" s="341">
        <f t="shared" si="12"/>
        <v>0.12888234915198971</v>
      </c>
    </row>
    <row r="38" spans="1:36" x14ac:dyDescent="0.2">
      <c r="A38" s="309">
        <v>31</v>
      </c>
      <c r="B38" s="309">
        <f t="shared" si="13"/>
        <v>30.133450000000003</v>
      </c>
      <c r="C38" s="1">
        <v>594.84</v>
      </c>
      <c r="D38" s="1">
        <v>0.44</v>
      </c>
      <c r="E38" s="326">
        <f t="shared" si="4"/>
        <v>11.520870056106636</v>
      </c>
      <c r="F38" s="327">
        <f t="shared" si="0"/>
        <v>5.974839766424639E-3</v>
      </c>
      <c r="G38" s="309">
        <f t="shared" si="5"/>
        <v>2.0248166666666667</v>
      </c>
      <c r="H38" s="1">
        <v>7289.34</v>
      </c>
      <c r="I38" s="324">
        <v>30</v>
      </c>
      <c r="J38" s="1">
        <v>0.16641</v>
      </c>
      <c r="K38" s="1">
        <v>1.1099999999999899E-3</v>
      </c>
      <c r="L38" s="328">
        <f t="shared" si="6"/>
        <v>0.66702722192175345</v>
      </c>
      <c r="M38" s="329">
        <f t="shared" si="1"/>
        <v>1.0113053989159506E-2</v>
      </c>
      <c r="N38" s="342">
        <f>(1/$J$78)*SQRT(((1-J39/$J$78)*K38)^2+(J39/$J$78)^2*(SUMSQ(K$8:K37)+SUMSQ(K39:K$77)))</f>
        <v>1.4971199765533236E-4</v>
      </c>
      <c r="O38" s="340">
        <f t="shared" si="14"/>
        <v>1.4803836488543742</v>
      </c>
      <c r="P38" s="332">
        <f t="shared" si="7"/>
        <v>0.1343581908687769</v>
      </c>
      <c r="Q38" s="342">
        <f>SQRT(((1-P38)/$J$78)^2*SUMSQ(K$8:K38)+(P38/$J$78)^2*SUMSQ(K39:K$77))</f>
        <v>3.3512024617957346E-3</v>
      </c>
      <c r="R38" s="340">
        <f t="shared" si="15"/>
        <v>2.4942301173649626</v>
      </c>
      <c r="S38" s="343">
        <f t="shared" si="16"/>
        <v>3.489856921957175E-8</v>
      </c>
      <c r="T38" s="344">
        <f t="shared" si="17"/>
        <v>1.4362851459626695E-10</v>
      </c>
      <c r="U38" s="344">
        <f>IF(P38&lt;=0.85, (1/(3*H38*$J$78))*SQRT( ((1-P38)*(1/SQRT(1-PI()*P38/3)-1) + (1-P37)*(1-1/SQRT(1-PI()*P37/3)))^2*SUMSQ(K$8:K37) + ( (1-P38)*(1/SQRT(1-PI()*P38/3)-1) -P37*(1-1/SQRT(1-PI()*P37/3)) )^2*K38^2 + ( P38*(1-1/SQRT(1-PI()*P38/3)) - P37*(1-1/SQRT(1-PI()*P37/3)) )^2*SUMSQ(K39:K$77) ), (1/(PI()^2*H38*$J$78))*SQRT((1+P37/(1-P37))^2*K38^2+(P37/(1-P37)-P38/(1-P38))^2*SUMSQ(K39:K$77)) )</f>
        <v>1.856319365947668E-9</v>
      </c>
      <c r="V38" s="345">
        <f t="shared" si="18"/>
        <v>1.861867540561756E-9</v>
      </c>
      <c r="W38" s="340">
        <f t="shared" si="19"/>
        <v>5.3350827331843362</v>
      </c>
      <c r="X38" s="345">
        <f t="shared" si="20"/>
        <v>3.7237350811235121E-9</v>
      </c>
      <c r="Y38" s="338">
        <f t="shared" si="8"/>
        <v>-17.170820005152287</v>
      </c>
      <c r="Z38" s="346">
        <f t="shared" si="21"/>
        <v>5.3350827331843362E-2</v>
      </c>
      <c r="AA38" s="346">
        <f t="shared" si="22"/>
        <v>0.31070634550845494</v>
      </c>
      <c r="AB38" s="346">
        <f t="shared" si="9"/>
        <v>0.10670165466368672</v>
      </c>
      <c r="AC38" s="336">
        <f t="shared" si="2"/>
        <v>4.5036463983580469E-12</v>
      </c>
      <c r="AD38" s="337">
        <f t="shared" si="3"/>
        <v>2.878863849117106E-13</v>
      </c>
      <c r="AE38" s="308">
        <f t="shared" si="10"/>
        <v>6.3922954745441176</v>
      </c>
      <c r="AF38" s="337">
        <f t="shared" si="11"/>
        <v>5.757727698234212E-13</v>
      </c>
      <c r="AG38" s="338">
        <f t="shared" si="23"/>
        <v>-26.126133736530551</v>
      </c>
      <c r="AH38" s="339">
        <f t="shared" si="24"/>
        <v>6.3922954745441185E-2</v>
      </c>
      <c r="AI38" s="340">
        <f t="shared" si="25"/>
        <v>0.24467054861646706</v>
      </c>
      <c r="AJ38" s="341">
        <f t="shared" si="12"/>
        <v>0.12784590949088237</v>
      </c>
    </row>
    <row r="39" spans="1:36" x14ac:dyDescent="0.2">
      <c r="A39" s="309">
        <v>32</v>
      </c>
      <c r="B39" s="309">
        <f t="shared" si="13"/>
        <v>31.84438055555556</v>
      </c>
      <c r="C39" s="1">
        <v>585</v>
      </c>
      <c r="D39" s="1">
        <v>0.35</v>
      </c>
      <c r="E39" s="326">
        <f t="shared" si="4"/>
        <v>11.652974421721146</v>
      </c>
      <c r="F39" s="327">
        <f t="shared" si="0"/>
        <v>4.8654466126029127E-3</v>
      </c>
      <c r="G39" s="309">
        <f t="shared" si="5"/>
        <v>1.7109305555555556</v>
      </c>
      <c r="H39" s="1">
        <v>6159.35</v>
      </c>
      <c r="I39" s="324">
        <v>30</v>
      </c>
      <c r="J39" s="1">
        <v>8.8349999999999998E-2</v>
      </c>
      <c r="K39" s="1">
        <v>4.8999999999999998E-4</v>
      </c>
      <c r="L39" s="328">
        <f t="shared" si="6"/>
        <v>0.55461233729485004</v>
      </c>
      <c r="M39" s="329">
        <f t="shared" si="1"/>
        <v>5.3691984853208481E-3</v>
      </c>
      <c r="N39" s="342">
        <f>(1/$J$78)*SQRT(((1-J40/$J$78)*K39)^2+(J40/$J$78)^2*(SUMSQ(K$8:K38)+SUMSQ(K40:K$77)))</f>
        <v>9.2736218362834665E-5</v>
      </c>
      <c r="O39" s="340">
        <f t="shared" si="14"/>
        <v>1.7271892372087081</v>
      </c>
      <c r="P39" s="332">
        <f t="shared" si="7"/>
        <v>0.13972738935409776</v>
      </c>
      <c r="Q39" s="342">
        <f>SQRT(((1-P39)/$J$78)^2*SUMSQ(K$8:K39)+(P39/$J$78)^2*SUMSQ(K40:K$77))</f>
        <v>3.4850199378038847E-3</v>
      </c>
      <c r="R39" s="340">
        <f t="shared" si="15"/>
        <v>2.494156624491231</v>
      </c>
      <c r="S39" s="343">
        <f t="shared" si="16"/>
        <v>2.3401784565534627E-8</v>
      </c>
      <c r="T39" s="344">
        <f t="shared" si="17"/>
        <v>1.1398175732277558E-10</v>
      </c>
      <c r="U39" s="344">
        <f>IF(P39&lt;=0.85, (1/(3*H39*$J$78))*SQRT( ((1-P39)*(1/SQRT(1-PI()*P39/3)-1) + (1-P38)*(1-1/SQRT(1-PI()*P38/3)))^2*SUMSQ(K$8:K38) + ( (1-P39)*(1/SQRT(1-PI()*P39/3)-1) -P38*(1-1/SQRT(1-PI()*P38/3)) )^2*K39^2 + ( P39*(1-1/SQRT(1-PI()*P39/3)) - P38*(1-1/SQRT(1-PI()*P38/3)) )^2*SUMSQ(K40:K$77) ), (1/(PI()^2*H39*$J$78))*SQRT((1+P38/(1-P38))^2*K39^2+(P38/(1-P38)-P39/(1-P39))^2*SUMSQ(K40:K$77)) )</f>
        <v>1.2460903589973336E-9</v>
      </c>
      <c r="V39" s="345">
        <f t="shared" si="18"/>
        <v>1.2512925412502432E-9</v>
      </c>
      <c r="W39" s="340">
        <f t="shared" si="19"/>
        <v>5.3469962418725343</v>
      </c>
      <c r="X39" s="345">
        <f t="shared" si="20"/>
        <v>2.5025850825004865E-9</v>
      </c>
      <c r="Y39" s="338">
        <f t="shared" si="8"/>
        <v>-17.570453554006281</v>
      </c>
      <c r="Z39" s="346">
        <f t="shared" si="21"/>
        <v>5.3469962418725342E-2</v>
      </c>
      <c r="AA39" s="346">
        <f t="shared" si="22"/>
        <v>0.30431748534193942</v>
      </c>
      <c r="AB39" s="346">
        <f t="shared" si="9"/>
        <v>0.10693992483745068</v>
      </c>
      <c r="AC39" s="336">
        <f t="shared" si="2"/>
        <v>3.0199909374684174E-12</v>
      </c>
      <c r="AD39" s="337">
        <f t="shared" si="3"/>
        <v>1.9334712783627619E-13</v>
      </c>
      <c r="AE39" s="308">
        <f t="shared" si="10"/>
        <v>6.4022419881284227</v>
      </c>
      <c r="AF39" s="337">
        <f t="shared" si="11"/>
        <v>3.8669425567255238E-13</v>
      </c>
      <c r="AG39" s="338">
        <f t="shared" si="23"/>
        <v>-26.525767285384546</v>
      </c>
      <c r="AH39" s="339">
        <f t="shared" si="24"/>
        <v>6.4022419881284223E-2</v>
      </c>
      <c r="AI39" s="340">
        <f t="shared" si="25"/>
        <v>0.24135935142792264</v>
      </c>
      <c r="AJ39" s="341">
        <f t="shared" si="12"/>
        <v>0.12804483976256845</v>
      </c>
    </row>
    <row r="40" spans="1:36" x14ac:dyDescent="0.2">
      <c r="A40" s="309">
        <v>33</v>
      </c>
      <c r="B40" s="309">
        <f t="shared" si="13"/>
        <v>33.556983333333335</v>
      </c>
      <c r="C40" s="1">
        <v>575</v>
      </c>
      <c r="D40" s="1">
        <v>0.42</v>
      </c>
      <c r="E40" s="326">
        <f t="shared" si="4"/>
        <v>11.790367269940459</v>
      </c>
      <c r="F40" s="327">
        <f t="shared" si="0"/>
        <v>5.9785439827109528E-3</v>
      </c>
      <c r="G40" s="309">
        <f t="shared" si="5"/>
        <v>1.7126027777777777</v>
      </c>
      <c r="H40" s="1">
        <v>6165.37</v>
      </c>
      <c r="I40" s="324">
        <v>30</v>
      </c>
      <c r="J40" s="1">
        <v>5.7999999999999899E-2</v>
      </c>
      <c r="K40" s="1">
        <v>2.0000000000000001E-4</v>
      </c>
      <c r="L40" s="328">
        <f t="shared" si="6"/>
        <v>0.34482758620689713</v>
      </c>
      <c r="M40" s="329">
        <f t="shared" si="1"/>
        <v>3.5247709354681231E-3</v>
      </c>
      <c r="N40" s="342">
        <f>(1/$J$78)*SQRT(((1-J41/$J$78)*K40)^2+(J41/$J$78)^2*(SUMSQ(K$8:K39)+SUMSQ(K41:K$77)))</f>
        <v>6.0161930733916176E-5</v>
      </c>
      <c r="O40" s="340">
        <f t="shared" si="14"/>
        <v>1.7068323540839143</v>
      </c>
      <c r="P40" s="332">
        <f t="shared" si="7"/>
        <v>0.14325216028956589</v>
      </c>
      <c r="Q40" s="342">
        <f>SQRT(((1-P40)/$J$78)^2*SUMSQ(K$8:K40)+(P40/$J$78)^2*SUMSQ(K41:K$77))</f>
        <v>3.572824360391298E-3</v>
      </c>
      <c r="R40" s="340">
        <f t="shared" si="15"/>
        <v>2.4940806150282766</v>
      </c>
      <c r="S40" s="343">
        <f t="shared" si="16"/>
        <v>1.5909736679965896E-8</v>
      </c>
      <c r="T40" s="344">
        <f t="shared" si="17"/>
        <v>7.7414997055971645E-11</v>
      </c>
      <c r="U40" s="344">
        <f>IF(P40&lt;=0.85, (1/(3*H40*$J$78))*SQRT( ((1-P40)*(1/SQRT(1-PI()*P40/3)-1) + (1-P39)*(1-1/SQRT(1-PI()*P39/3)))^2*SUMSQ(K$8:K39) + ( (1-P40)*(1/SQRT(1-PI()*P40/3)-1) -P39*(1-1/SQRT(1-PI()*P39/3)) )^2*K40^2 + ( P40*(1-1/SQRT(1-PI()*P40/3)) - P39*(1-1/SQRT(1-PI()*P39/3)) )^2*SUMSQ(K41:K$77) ), (1/(PI()^2*H40*$J$78))*SQRT((1+P39/(1-P39))^2*K40^2+(P39/(1-P39)-P40/(1-P40))^2*SUMSQ(K41:K$77)) )</f>
        <v>8.4609500748703172E-10</v>
      </c>
      <c r="V40" s="345">
        <f t="shared" si="18"/>
        <v>8.4962923882341552E-10</v>
      </c>
      <c r="W40" s="340">
        <f t="shared" si="19"/>
        <v>5.3403098738478736</v>
      </c>
      <c r="X40" s="345">
        <f t="shared" si="20"/>
        <v>1.699258477646831E-9</v>
      </c>
      <c r="Y40" s="338">
        <f t="shared" si="8"/>
        <v>-17.956334545332929</v>
      </c>
      <c r="Z40" s="346">
        <f t="shared" si="21"/>
        <v>5.3403098738478733E-2</v>
      </c>
      <c r="AA40" s="346">
        <f t="shared" si="22"/>
        <v>0.29740534519256245</v>
      </c>
      <c r="AB40" s="346">
        <f t="shared" si="9"/>
        <v>0.10680619747695747</v>
      </c>
      <c r="AC40" s="336">
        <f t="shared" si="2"/>
        <v>2.0531451546549266E-12</v>
      </c>
      <c r="AD40" s="337">
        <f t="shared" si="3"/>
        <v>1.313326892636258E-13</v>
      </c>
      <c r="AE40" s="308">
        <f t="shared" si="10"/>
        <v>6.3966587538083228</v>
      </c>
      <c r="AF40" s="337">
        <f t="shared" si="11"/>
        <v>2.626653785272516E-13</v>
      </c>
      <c r="AG40" s="338">
        <f t="shared" si="23"/>
        <v>-26.911648276711194</v>
      </c>
      <c r="AH40" s="339">
        <f t="shared" si="24"/>
        <v>6.3966587538083236E-2</v>
      </c>
      <c r="AI40" s="340">
        <f t="shared" si="25"/>
        <v>0.23769108038409767</v>
      </c>
      <c r="AJ40" s="341">
        <f t="shared" si="12"/>
        <v>0.12793317507616647</v>
      </c>
    </row>
    <row r="41" spans="1:36" x14ac:dyDescent="0.2">
      <c r="A41" s="309">
        <v>34</v>
      </c>
      <c r="B41" s="309">
        <f t="shared" si="13"/>
        <v>35.268483333333336</v>
      </c>
      <c r="C41" s="1">
        <v>565.01</v>
      </c>
      <c r="D41" s="1">
        <v>0.51</v>
      </c>
      <c r="E41" s="326">
        <f t="shared" si="4"/>
        <v>11.930896248926219</v>
      </c>
      <c r="F41" s="327">
        <f t="shared" si="0"/>
        <v>7.4360392842724365E-3</v>
      </c>
      <c r="G41" s="309">
        <f t="shared" si="5"/>
        <v>1.7115</v>
      </c>
      <c r="H41" s="1">
        <v>6161.4</v>
      </c>
      <c r="I41" s="324">
        <v>30</v>
      </c>
      <c r="J41" s="1">
        <v>3.8899999999999997E-2</v>
      </c>
      <c r="K41" s="1">
        <v>2.2000000000000001E-4</v>
      </c>
      <c r="L41" s="328">
        <f t="shared" si="6"/>
        <v>0.56555269922879181</v>
      </c>
      <c r="M41" s="329">
        <f t="shared" si="1"/>
        <v>2.3640274032708658E-3</v>
      </c>
      <c r="N41" s="342">
        <f>(1/$J$78)*SQRT(((1-J42/$J$78)*K41)^2+(J42/$J$78)^2*(SUMSQ(K$8:K40)+SUMSQ(K42:K$77)))</f>
        <v>4.2390606906231738E-5</v>
      </c>
      <c r="O41" s="340">
        <f t="shared" si="14"/>
        <v>1.7931520949198871</v>
      </c>
      <c r="P41" s="332">
        <f t="shared" si="7"/>
        <v>0.14561618769283674</v>
      </c>
      <c r="Q41" s="342">
        <f>SQRT(((1-P41)/$J$78)^2*SUMSQ(K$8:K41)+(P41/$J$78)^2*SUMSQ(K42:K$77))</f>
        <v>3.6317230188635122E-3</v>
      </c>
      <c r="R41" s="340">
        <f t="shared" si="15"/>
        <v>2.4940379750390669</v>
      </c>
      <c r="S41" s="343">
        <f t="shared" si="16"/>
        <v>1.0928803037588913E-8</v>
      </c>
      <c r="T41" s="344">
        <f t="shared" si="17"/>
        <v>5.3212596346230988E-11</v>
      </c>
      <c r="U41" s="344">
        <f>IF(P41&lt;=0.85, (1/(3*H41*$J$78))*SQRT( ((1-P41)*(1/SQRT(1-PI()*P41/3)-1) + (1-P40)*(1-1/SQRT(1-PI()*P40/3)))^2*SUMSQ(K$8:K40) + ( (1-P41)*(1/SQRT(1-PI()*P41/3)-1) -P40*(1-1/SQRT(1-PI()*P40/3)) )^2*K41^2 + ( P41*(1-1/SQRT(1-PI()*P41/3)) - P40*(1-1/SQRT(1-PI()*P40/3)) )^2*SUMSQ(K42:K$77) ), (1/(PI()^2*H41*$J$78))*SQRT((1+P40/(1-P40))^2*K41^2+(P40/(1-P40)-P41/(1-P41))^2*SUMSQ(K42:K$77)) )</f>
        <v>5.8411624774342719E-10</v>
      </c>
      <c r="V41" s="345">
        <f t="shared" si="18"/>
        <v>5.8653505546366774E-10</v>
      </c>
      <c r="W41" s="340">
        <f t="shared" si="19"/>
        <v>5.3668736955576763</v>
      </c>
      <c r="X41" s="345">
        <f t="shared" si="20"/>
        <v>1.1730701109273355E-9</v>
      </c>
      <c r="Y41" s="338">
        <f t="shared" si="8"/>
        <v>-18.331864052411809</v>
      </c>
      <c r="Z41" s="346">
        <f t="shared" si="21"/>
        <v>5.3668736955576765E-2</v>
      </c>
      <c r="AA41" s="346">
        <f t="shared" si="22"/>
        <v>0.29276202792108258</v>
      </c>
      <c r="AB41" s="346">
        <f t="shared" si="9"/>
        <v>0.10733747391115353</v>
      </c>
      <c r="AC41" s="336">
        <f t="shared" si="2"/>
        <v>1.4103576604796343E-12</v>
      </c>
      <c r="AD41" s="337">
        <f t="shared" si="3"/>
        <v>9.0528777411714981E-14</v>
      </c>
      <c r="AE41" s="308">
        <f t="shared" si="10"/>
        <v>6.4188524619299736</v>
      </c>
      <c r="AF41" s="337">
        <f t="shared" si="11"/>
        <v>1.8105755482342996E-13</v>
      </c>
      <c r="AG41" s="338">
        <f t="shared" si="23"/>
        <v>-27.287177783790074</v>
      </c>
      <c r="AH41" s="339">
        <f t="shared" si="24"/>
        <v>6.4188524619299733E-2</v>
      </c>
      <c r="AI41" s="340">
        <f t="shared" si="25"/>
        <v>0.23523328476069399</v>
      </c>
      <c r="AJ41" s="341">
        <f t="shared" si="12"/>
        <v>0.12837704923859947</v>
      </c>
    </row>
    <row r="42" spans="1:36" x14ac:dyDescent="0.2">
      <c r="A42" s="309">
        <v>35</v>
      </c>
      <c r="B42" s="309">
        <f t="shared" si="13"/>
        <v>36.981647222222222</v>
      </c>
      <c r="C42" s="1">
        <v>555.01</v>
      </c>
      <c r="D42" s="1">
        <v>0.16</v>
      </c>
      <c r="E42" s="326">
        <f t="shared" si="4"/>
        <v>12.074961360123648</v>
      </c>
      <c r="F42" s="327">
        <f t="shared" si="0"/>
        <v>2.3903093661258481E-3</v>
      </c>
      <c r="G42" s="309">
        <f t="shared" si="5"/>
        <v>1.7131638888888889</v>
      </c>
      <c r="H42" s="1">
        <v>6167.39</v>
      </c>
      <c r="I42" s="324">
        <v>30</v>
      </c>
      <c r="J42" s="1">
        <v>2.656E-2</v>
      </c>
      <c r="K42" s="1">
        <v>2.1000000000000001E-4</v>
      </c>
      <c r="L42" s="328">
        <f t="shared" si="6"/>
        <v>0.79066265060240959</v>
      </c>
      <c r="M42" s="329">
        <f t="shared" si="1"/>
        <v>1.6141020007936812E-3</v>
      </c>
      <c r="N42" s="342">
        <f>(1/$J$78)*SQRT(((1-J43/$J$78)*K42)^2+(J43/$J$78)^2*(SUMSQ(K$8:K41)+SUMSQ(K43:K$77)))</f>
        <v>3.1257112016649966E-5</v>
      </c>
      <c r="O42" s="340">
        <f t="shared" si="14"/>
        <v>1.9365016585866517</v>
      </c>
      <c r="P42" s="332">
        <f t="shared" si="7"/>
        <v>0.14723028969363042</v>
      </c>
      <c r="Q42" s="342">
        <f>SQRT(((1-P42)/$J$78)^2*SUMSQ(K$8:K42)+(P42/$J$78)^2*SUMSQ(K43:K$77))</f>
        <v>3.6719419477407905E-3</v>
      </c>
      <c r="R42" s="340">
        <f t="shared" si="15"/>
        <v>2.4940125808226599</v>
      </c>
      <c r="S42" s="343">
        <f t="shared" si="16"/>
        <v>7.5710767660307794E-9</v>
      </c>
      <c r="T42" s="344">
        <f t="shared" si="17"/>
        <v>3.6827945529782112E-11</v>
      </c>
      <c r="U42" s="344">
        <f>IF(P42&lt;=0.85, (1/(3*H42*$J$78))*SQRT( ((1-P42)*(1/SQRT(1-PI()*P42/3)-1) + (1-P41)*(1-1/SQRT(1-PI()*P41/3)))^2*SUMSQ(K$8:K41) + ( (1-P42)*(1/SQRT(1-PI()*P42/3)-1) -P41*(1-1/SQRT(1-PI()*P41/3)) )^2*K42^2 + ( P42*(1-1/SQRT(1-PI()*P42/3)) - P41*(1-1/SQRT(1-PI()*P41/3)) )^2*SUMSQ(K43:K$77) ), (1/(PI()^2*H42*$J$78))*SQRT((1+P41/(1-P41))^2*K42^2+(P41/(1-P41)-P42/(1-P42))^2*SUMSQ(K43:K$77)) )</f>
        <v>4.0721011808191054E-10</v>
      </c>
      <c r="V42" s="345">
        <f t="shared" si="18"/>
        <v>4.088720800448817E-10</v>
      </c>
      <c r="W42" s="340">
        <f t="shared" si="19"/>
        <v>5.4004482147027213</v>
      </c>
      <c r="X42" s="345">
        <f t="shared" si="20"/>
        <v>8.177441600897634E-10</v>
      </c>
      <c r="Y42" s="338">
        <f t="shared" si="8"/>
        <v>-18.698930538392986</v>
      </c>
      <c r="Z42" s="346">
        <f t="shared" si="21"/>
        <v>5.4004482147027209E-2</v>
      </c>
      <c r="AA42" s="346">
        <f t="shared" si="22"/>
        <v>0.28881053938429374</v>
      </c>
      <c r="AB42" s="346">
        <f t="shared" si="9"/>
        <v>0.10800896429405442</v>
      </c>
      <c r="AC42" s="336">
        <f t="shared" si="2"/>
        <v>9.7704442822556573E-13</v>
      </c>
      <c r="AD42" s="337">
        <f t="shared" si="3"/>
        <v>6.2989573556095504E-14</v>
      </c>
      <c r="AE42" s="308">
        <f t="shared" si="10"/>
        <v>6.4469507973647024</v>
      </c>
      <c r="AF42" s="337">
        <f t="shared" si="11"/>
        <v>1.2597914711219101E-13</v>
      </c>
      <c r="AG42" s="338">
        <f t="shared" si="23"/>
        <v>-27.654244269771251</v>
      </c>
      <c r="AH42" s="339">
        <f t="shared" si="24"/>
        <v>6.4469507973647019E-2</v>
      </c>
      <c r="AI42" s="340">
        <f t="shared" si="25"/>
        <v>0.23312699253227612</v>
      </c>
      <c r="AJ42" s="341">
        <f t="shared" si="12"/>
        <v>0.12893901594729404</v>
      </c>
    </row>
    <row r="43" spans="1:36" x14ac:dyDescent="0.2">
      <c r="A43" s="309">
        <v>36</v>
      </c>
      <c r="B43" s="309">
        <f t="shared" si="13"/>
        <v>38.693691666666666</v>
      </c>
      <c r="C43" s="1">
        <v>545</v>
      </c>
      <c r="D43" s="1">
        <v>0.5</v>
      </c>
      <c r="E43" s="326">
        <f t="shared" si="4"/>
        <v>12.222697549349142</v>
      </c>
      <c r="F43" s="327">
        <f t="shared" si="0"/>
        <v>7.6555306924605609E-3</v>
      </c>
      <c r="G43" s="309">
        <f t="shared" si="5"/>
        <v>1.7120444444444443</v>
      </c>
      <c r="H43" s="1">
        <v>6163.36</v>
      </c>
      <c r="I43" s="324">
        <v>30</v>
      </c>
      <c r="J43" s="1">
        <v>1.8839999999999999E-2</v>
      </c>
      <c r="K43" s="1">
        <v>1.6000000000000001E-4</v>
      </c>
      <c r="L43" s="328">
        <f t="shared" si="6"/>
        <v>0.84925690021231437</v>
      </c>
      <c r="M43" s="329">
        <f t="shared" si="1"/>
        <v>1.1449428349003372E-3</v>
      </c>
      <c r="N43" s="342">
        <f>(1/$J$78)*SQRT(((1-J44/$J$78)*K43)^2+(J44/$J$78)^2*(SUMSQ(K$8:K42)+SUMSQ(K44:K$77)))</f>
        <v>2.3299599103492776E-5</v>
      </c>
      <c r="O43" s="340">
        <f t="shared" si="14"/>
        <v>2.0350010841825932</v>
      </c>
      <c r="P43" s="332">
        <f t="shared" si="7"/>
        <v>0.14837523252853074</v>
      </c>
      <c r="Q43" s="342">
        <f>SQRT(((1-P43)/$J$78)^2*SUMSQ(K$8:K43)+(P43/$J$78)^2*SUMSQ(K44:K$77))</f>
        <v>3.7004688569623684E-3</v>
      </c>
      <c r="R43" s="340">
        <f t="shared" si="15"/>
        <v>2.4939936362026009</v>
      </c>
      <c r="S43" s="343">
        <f t="shared" si="16"/>
        <v>5.4314407063285453E-9</v>
      </c>
      <c r="T43" s="344">
        <f t="shared" si="17"/>
        <v>2.643740122106388E-11</v>
      </c>
      <c r="U43" s="344">
        <f>IF(P43&lt;=0.85, (1/(3*H43*$J$78))*SQRT( ((1-P43)*(1/SQRT(1-PI()*P43/3)-1) + (1-P42)*(1-1/SQRT(1-PI()*P42/3)))^2*SUMSQ(K$8:K42) + ( (1-P43)*(1/SQRT(1-PI()*P43/3)-1) -P42*(1-1/SQRT(1-PI()*P42/3)) )^2*K43^2 + ( P43*(1-1/SQRT(1-PI()*P43/3)) - P42*(1-1/SQRT(1-PI()*P42/3)) )^2*SUMSQ(K44:K$77) ), (1/(PI()^2*H43*$J$78))*SQRT((1+P42/(1-P42))^2*K43^2+(P42/(1-P42)-P43/(1-P43))^2*SUMSQ(K44:K$77)) )</f>
        <v>2.928074660884553E-10</v>
      </c>
      <c r="V43" s="345">
        <f t="shared" si="18"/>
        <v>2.9399855166389073E-10</v>
      </c>
      <c r="W43" s="340">
        <f t="shared" si="19"/>
        <v>5.4129017982527694</v>
      </c>
      <c r="X43" s="345">
        <f t="shared" si="20"/>
        <v>5.8799710332778146E-10</v>
      </c>
      <c r="Y43" s="338">
        <f t="shared" si="8"/>
        <v>-19.031061414743522</v>
      </c>
      <c r="Z43" s="346">
        <f t="shared" si="21"/>
        <v>5.4129017982527693E-2</v>
      </c>
      <c r="AA43" s="346">
        <f t="shared" si="22"/>
        <v>0.28442458779831109</v>
      </c>
      <c r="AB43" s="346">
        <f t="shared" si="9"/>
        <v>0.10825803596505539</v>
      </c>
      <c r="AC43" s="336">
        <f t="shared" si="2"/>
        <v>7.009252505754161E-13</v>
      </c>
      <c r="AD43" s="337">
        <f t="shared" si="3"/>
        <v>4.526145203416954E-14</v>
      </c>
      <c r="AE43" s="308">
        <f t="shared" si="10"/>
        <v>6.4573864327205648</v>
      </c>
      <c r="AF43" s="337">
        <f t="shared" si="11"/>
        <v>9.052290406833908E-14</v>
      </c>
      <c r="AG43" s="338">
        <f t="shared" si="23"/>
        <v>-27.986375146121784</v>
      </c>
      <c r="AH43" s="339">
        <f t="shared" si="24"/>
        <v>6.4573864327205646E-2</v>
      </c>
      <c r="AI43" s="340">
        <f t="shared" si="25"/>
        <v>0.23073321925420548</v>
      </c>
      <c r="AJ43" s="341">
        <f t="shared" si="12"/>
        <v>0.12914772865441129</v>
      </c>
    </row>
    <row r="44" spans="1:36" x14ac:dyDescent="0.2">
      <c r="A44" s="309">
        <v>37</v>
      </c>
      <c r="B44" s="309">
        <f t="shared" si="13"/>
        <v>40.404619444444442</v>
      </c>
      <c r="C44" s="1">
        <v>535.01</v>
      </c>
      <c r="D44" s="1">
        <v>0.43</v>
      </c>
      <c r="E44" s="326">
        <f t="shared" si="4"/>
        <v>12.373787368837855</v>
      </c>
      <c r="F44" s="327">
        <f t="shared" si="0"/>
        <v>6.749932340758138E-3</v>
      </c>
      <c r="G44" s="309">
        <f t="shared" si="5"/>
        <v>1.7109277777777778</v>
      </c>
      <c r="H44" s="1">
        <v>6159.34</v>
      </c>
      <c r="I44" s="324">
        <v>30</v>
      </c>
      <c r="J44" s="1">
        <v>1.3979999999999999E-2</v>
      </c>
      <c r="K44" s="1">
        <v>1.6999999999999901E-4</v>
      </c>
      <c r="L44" s="328">
        <f t="shared" si="6"/>
        <v>1.2160228898426253</v>
      </c>
      <c r="M44" s="329">
        <f t="shared" si="1"/>
        <v>8.495913392731801E-4</v>
      </c>
      <c r="N44" s="342">
        <f>(1/$J$78)*SQRT(((1-J45/$J$78)*K44)^2+(J45/$J$78)^2*(SUMSQ(K$8:K43)+SUMSQ(K45:K$77)))</f>
        <v>1.7909331995714426E-5</v>
      </c>
      <c r="O44" s="340">
        <f t="shared" si="14"/>
        <v>2.1079937103685333</v>
      </c>
      <c r="P44" s="332">
        <f t="shared" si="7"/>
        <v>0.14922482386780392</v>
      </c>
      <c r="Q44" s="342">
        <f>SQRT(((1-P44)/$J$78)^2*SUMSQ(K$8:K44)+(P44/$J$78)^2*SUMSQ(K45:K$77))</f>
        <v>3.7216404494716036E-3</v>
      </c>
      <c r="R44" s="340">
        <f t="shared" si="15"/>
        <v>2.4939821358198087</v>
      </c>
      <c r="S44" s="343">
        <f t="shared" si="16"/>
        <v>4.0638907834344666E-9</v>
      </c>
      <c r="T44" s="344">
        <f t="shared" si="17"/>
        <v>1.9793796657277221E-11</v>
      </c>
      <c r="U44" s="344">
        <f>IF(P44&lt;=0.85, (1/(3*H44*$J$78))*SQRT( ((1-P44)*(1/SQRT(1-PI()*P44/3)-1) + (1-P43)*(1-1/SQRT(1-PI()*P43/3)))^2*SUMSQ(K$8:K43) + ( (1-P44)*(1/SQRT(1-PI()*P44/3)-1) -P43*(1-1/SQRT(1-PI()*P43/3)) )^2*K44^2 + ( P44*(1-1/SQRT(1-PI()*P44/3)) - P43*(1-1/SQRT(1-PI()*P43/3)) )^2*SUMSQ(K45:K$77) ), (1/(PI()^2*H44*$J$78))*SQRT((1+P43/(1-P43))^2*K44^2+(P43/(1-P43)-P44/(1-P44))^2*SUMSQ(K45:K$77)) )</f>
        <v>2.2203027837927043E-10</v>
      </c>
      <c r="V44" s="345">
        <f t="shared" si="18"/>
        <v>2.2291083173162753E-10</v>
      </c>
      <c r="W44" s="340">
        <f t="shared" si="19"/>
        <v>5.4851580323042448</v>
      </c>
      <c r="X44" s="345">
        <f t="shared" si="20"/>
        <v>4.4582166346325506E-10</v>
      </c>
      <c r="Y44" s="338">
        <f t="shared" si="8"/>
        <v>-19.321125001186253</v>
      </c>
      <c r="Z44" s="346">
        <f t="shared" si="21"/>
        <v>5.4851580323042444E-2</v>
      </c>
      <c r="AA44" s="346">
        <f t="shared" si="22"/>
        <v>0.28389434010532377</v>
      </c>
      <c r="AB44" s="346">
        <f t="shared" si="9"/>
        <v>0.10970316064608489</v>
      </c>
      <c r="AC44" s="336">
        <f t="shared" si="2"/>
        <v>5.2444348004590455E-13</v>
      </c>
      <c r="AD44" s="337">
        <f t="shared" si="3"/>
        <v>3.4183615579455504E-14</v>
      </c>
      <c r="AE44" s="308">
        <f t="shared" si="10"/>
        <v>6.518074278750384</v>
      </c>
      <c r="AF44" s="337">
        <f t="shared" si="11"/>
        <v>6.8367231158911009E-14</v>
      </c>
      <c r="AG44" s="338">
        <f t="shared" si="23"/>
        <v>-28.276438732564515</v>
      </c>
      <c r="AH44" s="339">
        <f t="shared" si="24"/>
        <v>6.518074278750384E-2</v>
      </c>
      <c r="AI44" s="340">
        <f t="shared" si="25"/>
        <v>0.23051255995840289</v>
      </c>
      <c r="AJ44" s="341">
        <f t="shared" si="12"/>
        <v>0.13036148557500768</v>
      </c>
    </row>
    <row r="45" spans="1:36" x14ac:dyDescent="0.2">
      <c r="A45" s="309">
        <v>38</v>
      </c>
      <c r="B45" s="309">
        <f t="shared" si="13"/>
        <v>42.117213888888884</v>
      </c>
      <c r="C45" s="1">
        <v>525</v>
      </c>
      <c r="D45" s="1">
        <v>0.11</v>
      </c>
      <c r="E45" s="326">
        <f t="shared" si="4"/>
        <v>12.52897325064211</v>
      </c>
      <c r="F45" s="327">
        <f t="shared" si="0"/>
        <v>1.7707771320867559E-3</v>
      </c>
      <c r="G45" s="309">
        <f t="shared" si="5"/>
        <v>1.7125944444444445</v>
      </c>
      <c r="H45" s="1">
        <v>6165.34</v>
      </c>
      <c r="I45" s="324">
        <v>30</v>
      </c>
      <c r="J45" s="1">
        <v>9.6600000000000002E-3</v>
      </c>
      <c r="K45" s="122">
        <v>9.0000000000000006E-5</v>
      </c>
      <c r="L45" s="328">
        <f t="shared" si="6"/>
        <v>0.93167701863354035</v>
      </c>
      <c r="M45" s="329">
        <f t="shared" si="1"/>
        <v>5.8705667649348501E-4</v>
      </c>
      <c r="N45" s="342">
        <f>(1/$J$78)*SQRT(((1-J46/$J$78)*K45)^2+(J46/$J$78)^2*(SUMSQ(K$8:K44)+SUMSQ(K46:K$77)))</f>
        <v>1.1342059165440106E-5</v>
      </c>
      <c r="O45" s="340">
        <f t="shared" si="14"/>
        <v>1.9320211522312831</v>
      </c>
      <c r="P45" s="332">
        <f t="shared" si="7"/>
        <v>0.14981188054429739</v>
      </c>
      <c r="Q45" s="342">
        <f>SQRT(((1-P45)/$J$78)^2*SUMSQ(K$8:K45)+(P45/$J$78)^2*SUMSQ(K46:K$77))</f>
        <v>3.736265649204078E-3</v>
      </c>
      <c r="R45" s="340">
        <f t="shared" si="15"/>
        <v>2.4939715299143539</v>
      </c>
      <c r="S45" s="343">
        <f t="shared" si="16"/>
        <v>2.8207642149479182E-9</v>
      </c>
      <c r="T45" s="344">
        <f t="shared" si="17"/>
        <v>1.3725589577936914E-11</v>
      </c>
      <c r="U45" s="344">
        <f>IF(P45&lt;=0.85, (1/(3*H45*$J$78))*SQRT( ((1-P45)*(1/SQRT(1-PI()*P45/3)-1) + (1-P44)*(1-1/SQRT(1-PI()*P44/3)))^2*SUMSQ(K$8:K44) + ( (1-P45)*(1/SQRT(1-PI()*P45/3)-1) -P44*(1-1/SQRT(1-PI()*P44/3)) )^2*K45^2 + ( P45*(1-1/SQRT(1-PI()*P45/3)) - P44*(1-1/SQRT(1-PI()*P44/3)) )^2*SUMSQ(K46:K$77) ), (1/(PI()^2*H45*$J$78))*SQRT((1+P44/(1-P44))^2*K45^2+(P44/(1-P44)-P45/(1-P45))^2*SUMSQ(K46:K$77)) )</f>
        <v>1.5257419966186916E-10</v>
      </c>
      <c r="V45" s="345">
        <f t="shared" si="18"/>
        <v>1.5319033328419221E-10</v>
      </c>
      <c r="W45" s="340">
        <f t="shared" si="19"/>
        <v>5.4308095824670222</v>
      </c>
      <c r="X45" s="345">
        <f t="shared" si="20"/>
        <v>3.0638066656838443E-10</v>
      </c>
      <c r="Y45" s="338">
        <f t="shared" si="8"/>
        <v>-19.686257990501289</v>
      </c>
      <c r="Z45" s="346">
        <f t="shared" si="21"/>
        <v>5.4308095824670222E-2</v>
      </c>
      <c r="AA45" s="346">
        <f t="shared" si="22"/>
        <v>0.27586804892465666</v>
      </c>
      <c r="AB45" s="346">
        <f t="shared" si="9"/>
        <v>0.10861619164934044</v>
      </c>
      <c r="AC45" s="336">
        <f t="shared" si="2"/>
        <v>3.6401849363334283E-13</v>
      </c>
      <c r="AD45" s="337">
        <f t="shared" si="3"/>
        <v>2.3560751154994434E-14</v>
      </c>
      <c r="AE45" s="308">
        <f t="shared" si="10"/>
        <v>6.4724049923479914</v>
      </c>
      <c r="AF45" s="337">
        <f t="shared" si="11"/>
        <v>4.7121502309988869E-14</v>
      </c>
      <c r="AG45" s="338">
        <f t="shared" si="23"/>
        <v>-28.641571721879554</v>
      </c>
      <c r="AH45" s="339">
        <f t="shared" si="24"/>
        <v>6.4724049923479909E-2</v>
      </c>
      <c r="AI45" s="340">
        <f t="shared" si="25"/>
        <v>0.22597939300250283</v>
      </c>
      <c r="AJ45" s="341">
        <f t="shared" si="12"/>
        <v>0.12944809984695982</v>
      </c>
    </row>
    <row r="46" spans="1:36" x14ac:dyDescent="0.2">
      <c r="A46" s="309">
        <v>39</v>
      </c>
      <c r="B46" s="309">
        <f t="shared" si="13"/>
        <v>43.828711111111105</v>
      </c>
      <c r="C46" s="1">
        <v>515.01</v>
      </c>
      <c r="D46" s="1">
        <v>0.19</v>
      </c>
      <c r="E46" s="326">
        <f t="shared" si="4"/>
        <v>12.687779131140886</v>
      </c>
      <c r="F46" s="327">
        <f t="shared" si="0"/>
        <v>3.1377316268202324E-3</v>
      </c>
      <c r="G46" s="309">
        <f t="shared" si="5"/>
        <v>1.7114972222222222</v>
      </c>
      <c r="H46" s="1">
        <v>6161.39</v>
      </c>
      <c r="I46" s="324">
        <v>30</v>
      </c>
      <c r="J46" s="1">
        <v>6.5599999999999999E-3</v>
      </c>
      <c r="K46" s="122">
        <v>8.0000000000000007E-5</v>
      </c>
      <c r="L46" s="328">
        <f t="shared" si="6"/>
        <v>1.2195121951219512</v>
      </c>
      <c r="M46" s="329">
        <f t="shared" si="1"/>
        <v>3.9866374718398152E-4</v>
      </c>
      <c r="N46" s="342">
        <f>(1/$J$78)*SQRT(((1-J47/$J$78)*K46)^2+(J47/$J$78)^2*(SUMSQ(K$8:K45)+SUMSQ(K47:K$77)))</f>
        <v>9.3721795562293051E-6</v>
      </c>
      <c r="O46" s="340">
        <f t="shared" si="14"/>
        <v>2.3508983754933923</v>
      </c>
      <c r="P46" s="332">
        <f t="shared" si="7"/>
        <v>0.15021054429148137</v>
      </c>
      <c r="Q46" s="342">
        <f>SQRT(((1-P46)/$J$78)^2*SUMSQ(K$8:K46)+(P46/$J$78)^2*SUMSQ(K47:K$77))</f>
        <v>3.7461978030022395E-3</v>
      </c>
      <c r="R46" s="340">
        <f t="shared" si="15"/>
        <v>2.4939646019342008</v>
      </c>
      <c r="S46" s="343">
        <f t="shared" si="16"/>
        <v>1.9239666979553436E-9</v>
      </c>
      <c r="T46" s="344">
        <f t="shared" si="17"/>
        <v>9.3678538347126595E-12</v>
      </c>
      <c r="U46" s="344">
        <f>IF(P46&lt;=0.85, (1/(3*H46*$J$78))*SQRT( ((1-P46)*(1/SQRT(1-PI()*P46/3)-1) + (1-P45)*(1-1/SQRT(1-PI()*P45/3)))^2*SUMSQ(K$8:K45) + ( (1-P46)*(1/SQRT(1-PI()*P46/3)-1) -P45*(1-1/SQRT(1-PI()*P45/3)) )^2*K46^2 + ( P46*(1-1/SQRT(1-PI()*P46/3)) - P45*(1-1/SQRT(1-PI()*P45/3)) )^2*SUMSQ(K47:K$77) ), (1/(PI()^2*H46*$J$78))*SQRT((1+P45/(1-P45))^2*K46^2+(P45/(1-P45)-P46/(1-P46))^2*SUMSQ(K47:K$77)) )</f>
        <v>1.0518731836263909E-10</v>
      </c>
      <c r="V46" s="345">
        <f t="shared" si="18"/>
        <v>1.0560363928289465E-10</v>
      </c>
      <c r="W46" s="340">
        <f t="shared" si="19"/>
        <v>5.4888496456369413</v>
      </c>
      <c r="X46" s="345">
        <f t="shared" si="20"/>
        <v>2.112072785657893E-10</v>
      </c>
      <c r="Y46" s="338">
        <f t="shared" si="8"/>
        <v>-20.068876793607714</v>
      </c>
      <c r="Z46" s="346">
        <f t="shared" si="21"/>
        <v>5.4888496456369416E-2</v>
      </c>
      <c r="AA46" s="346">
        <f t="shared" si="22"/>
        <v>0.2735005900970619</v>
      </c>
      <c r="AB46" s="346">
        <f t="shared" si="9"/>
        <v>0.10977699291273883</v>
      </c>
      <c r="AC46" s="336">
        <f t="shared" si="2"/>
        <v>2.4828713278445791E-13</v>
      </c>
      <c r="AD46" s="337">
        <f t="shared" si="3"/>
        <v>1.6191253797199673E-14</v>
      </c>
      <c r="AE46" s="308">
        <f t="shared" si="10"/>
        <v>6.5211811887390727</v>
      </c>
      <c r="AF46" s="337">
        <f t="shared" si="11"/>
        <v>3.2382507594399346E-14</v>
      </c>
      <c r="AG46" s="338">
        <f t="shared" si="23"/>
        <v>-29.024190524985976</v>
      </c>
      <c r="AH46" s="339">
        <f t="shared" si="24"/>
        <v>6.5211811887390725E-2</v>
      </c>
      <c r="AI46" s="340">
        <f t="shared" si="25"/>
        <v>0.22468089792634185</v>
      </c>
      <c r="AJ46" s="341">
        <f t="shared" si="12"/>
        <v>0.13042362377478145</v>
      </c>
    </row>
    <row r="47" spans="1:36" x14ac:dyDescent="0.2">
      <c r="A47" s="309">
        <v>40</v>
      </c>
      <c r="B47" s="309">
        <f t="shared" si="13"/>
        <v>45.542416666666661</v>
      </c>
      <c r="C47" s="1">
        <v>505.01</v>
      </c>
      <c r="D47" s="1">
        <v>0.34</v>
      </c>
      <c r="E47" s="326">
        <f t="shared" si="4"/>
        <v>12.850827593297009</v>
      </c>
      <c r="F47" s="327">
        <f t="shared" si="0"/>
        <v>5.7621803521013364E-3</v>
      </c>
      <c r="G47" s="309">
        <f t="shared" si="5"/>
        <v>1.7137055555555556</v>
      </c>
      <c r="H47" s="1">
        <v>6169.34</v>
      </c>
      <c r="I47" s="324">
        <v>30</v>
      </c>
      <c r="J47" s="1">
        <v>5.28999999999999E-3</v>
      </c>
      <c r="K47" s="122">
        <v>6.9999999999999994E-5</v>
      </c>
      <c r="L47" s="328">
        <f t="shared" si="6"/>
        <v>1.3232514177693786</v>
      </c>
      <c r="M47" s="329">
        <f t="shared" si="1"/>
        <v>3.2148341807976499E-4</v>
      </c>
      <c r="N47" s="342">
        <f>(1/$J$78)*SQRT(((1-J48/$J$78)*K47)^2+(J48/$J$78)^2*(SUMSQ(K$8:K46)+SUMSQ(K48:K$77)))</f>
        <v>7.072137125666805E-6</v>
      </c>
      <c r="O47" s="340">
        <f t="shared" si="14"/>
        <v>2.1998450706754955</v>
      </c>
      <c r="P47" s="332">
        <f t="shared" si="7"/>
        <v>0.15053202770956114</v>
      </c>
      <c r="Q47" s="342">
        <f>SQRT(((1-P47)/$J$78)^2*SUMSQ(K$8:K47)+(P47/$J$78)^2*SUMSQ(K48:K$77))</f>
        <v>3.7542070427237645E-3</v>
      </c>
      <c r="R47" s="340">
        <f t="shared" si="15"/>
        <v>2.4939589932098638</v>
      </c>
      <c r="S47" s="343">
        <f t="shared" si="16"/>
        <v>1.5537252363366508E-9</v>
      </c>
      <c r="T47" s="344">
        <f t="shared" si="17"/>
        <v>7.5553879491322369E-12</v>
      </c>
      <c r="U47" s="344">
        <f>IF(P47&lt;=0.85, (1/(3*H47*$J$78))*SQRT( ((1-P47)*(1/SQRT(1-PI()*P47/3)-1) + (1-P46)*(1-1/SQRT(1-PI()*P46/3)))^2*SUMSQ(K$8:K46) + ( (1-P47)*(1/SQRT(1-PI()*P47/3)-1) -P46*(1-1/SQRT(1-PI()*P46/3)) )^2*K47^2 + ( P47*(1-1/SQRT(1-PI()*P47/3)) - P46*(1-1/SQRT(1-PI()*P46/3)) )^2*SUMSQ(K48:K$77) ), (1/(PI()^2*H47*$J$78))*SQRT((1+P46/(1-P46))^2*K47^2+(P46/(1-P46)-P47/(1-P47))^2*SUMSQ(K48:K$77)) )</f>
        <v>8.5333795785705303E-11</v>
      </c>
      <c r="V47" s="345">
        <f t="shared" si="18"/>
        <v>8.5667616928792571E-11</v>
      </c>
      <c r="W47" s="340">
        <f t="shared" si="19"/>
        <v>5.5136915411619585</v>
      </c>
      <c r="X47" s="345">
        <f t="shared" si="20"/>
        <v>1.7133523385758514E-10</v>
      </c>
      <c r="Y47" s="338">
        <f t="shared" si="8"/>
        <v>-20.282610411227967</v>
      </c>
      <c r="Z47" s="346">
        <f t="shared" si="21"/>
        <v>5.5136915411619587E-2</v>
      </c>
      <c r="AA47" s="346">
        <f t="shared" si="22"/>
        <v>0.27184328986123557</v>
      </c>
      <c r="AB47" s="346">
        <f t="shared" si="9"/>
        <v>0.11027383082323917</v>
      </c>
      <c r="AC47" s="336">
        <f t="shared" si="2"/>
        <v>2.0050762025915024E-13</v>
      </c>
      <c r="AD47" s="337">
        <f t="shared" si="3"/>
        <v>1.3117417555308448E-14</v>
      </c>
      <c r="AE47" s="308">
        <f t="shared" si="10"/>
        <v>6.5421042543692698</v>
      </c>
      <c r="AF47" s="337">
        <f t="shared" si="11"/>
        <v>2.6234835110616897E-14</v>
      </c>
      <c r="AG47" s="338">
        <f t="shared" si="23"/>
        <v>-29.237924142606232</v>
      </c>
      <c r="AH47" s="339">
        <f t="shared" si="24"/>
        <v>6.5421042543692701E-2</v>
      </c>
      <c r="AI47" s="340">
        <f t="shared" si="25"/>
        <v>0.22375406073497375</v>
      </c>
      <c r="AJ47" s="341">
        <f t="shared" si="12"/>
        <v>0.1308420850873854</v>
      </c>
    </row>
    <row r="48" spans="1:36" x14ac:dyDescent="0.2">
      <c r="A48" s="309">
        <v>41</v>
      </c>
      <c r="B48" s="309">
        <f t="shared" si="13"/>
        <v>47.560016666666662</v>
      </c>
      <c r="C48" s="1">
        <v>495</v>
      </c>
      <c r="D48" s="1">
        <v>0.48</v>
      </c>
      <c r="E48" s="326">
        <f t="shared" si="4"/>
        <v>13.018290698431297</v>
      </c>
      <c r="F48" s="327">
        <f t="shared" si="0"/>
        <v>8.3506350140188784E-3</v>
      </c>
      <c r="G48" s="309">
        <f t="shared" si="5"/>
        <v>2.0175999999999998</v>
      </c>
      <c r="H48" s="1">
        <v>7263.36</v>
      </c>
      <c r="I48" s="324">
        <v>30</v>
      </c>
      <c r="J48" s="1">
        <v>3.7299999999999998E-3</v>
      </c>
      <c r="K48" s="122">
        <v>5.0000000000000002E-5</v>
      </c>
      <c r="L48" s="328">
        <f t="shared" si="6"/>
        <v>1.3404825737265418</v>
      </c>
      <c r="M48" s="329">
        <f t="shared" si="1"/>
        <v>2.2667923429820898E-4</v>
      </c>
      <c r="N48" s="342">
        <f>(1/$J$78)*SQRT(((1-J49/$J$78)*K48)^2+(J49/$J$78)^2*(SUMSQ(K$8:K47)+SUMSQ(K49:K$77)))</f>
        <v>5.1193197032900371E-6</v>
      </c>
      <c r="O48" s="340">
        <f t="shared" si="14"/>
        <v>2.2583981806446776</v>
      </c>
      <c r="P48" s="332">
        <f t="shared" si="7"/>
        <v>0.15075870694385934</v>
      </c>
      <c r="Q48" s="342">
        <f>SQRT(((1-P48)/$J$78)^2*SUMSQ(K$8:K48)+(P48/$J$78)^2*SUMSQ(K49:K$77))</f>
        <v>3.7598540709009938E-3</v>
      </c>
      <c r="R48" s="340">
        <f t="shared" si="15"/>
        <v>2.4939548415609032</v>
      </c>
      <c r="S48" s="343">
        <f t="shared" si="16"/>
        <v>9.3245689023194465E-10</v>
      </c>
      <c r="T48" s="344">
        <f t="shared" si="17"/>
        <v>3.8513452048305968E-12</v>
      </c>
      <c r="U48" s="344">
        <f>IF(P48&lt;=0.85, (1/(3*H48*$J$78))*SQRT( ((1-P48)*(1/SQRT(1-PI()*P48/3)-1) + (1-P47)*(1-1/SQRT(1-PI()*P47/3)))^2*SUMSQ(K$8:K47) + ( (1-P48)*(1/SQRT(1-PI()*P48/3)-1) -P47*(1-1/SQRT(1-PI()*P47/3)) )^2*K48^2 + ( P48*(1-1/SQRT(1-PI()*P48/3)) - P47*(1-1/SQRT(1-PI()*P47/3)) )^2*SUMSQ(K49:K$77) ), (1/(PI()^2*H48*$J$78))*SQRT((1+P47/(1-P47))^2*K48^2+(P47/(1-P47)-P48/(1-P48))^2*SUMSQ(K49:K$77)) )</f>
        <v>5.1257595275413553E-11</v>
      </c>
      <c r="V48" s="345">
        <f t="shared" si="18"/>
        <v>5.1402081021150004E-11</v>
      </c>
      <c r="W48" s="340">
        <f t="shared" si="19"/>
        <v>5.5125423555360245</v>
      </c>
      <c r="X48" s="345">
        <f t="shared" si="20"/>
        <v>1.0280416204230001E-10</v>
      </c>
      <c r="Y48" s="338">
        <f t="shared" si="8"/>
        <v>-20.793198195793501</v>
      </c>
      <c r="Z48" s="346">
        <f t="shared" si="21"/>
        <v>5.5125423555360244E-2</v>
      </c>
      <c r="AA48" s="346">
        <f t="shared" si="22"/>
        <v>0.26511276926371147</v>
      </c>
      <c r="AB48" s="346">
        <f t="shared" si="9"/>
        <v>0.11025084711072049</v>
      </c>
      <c r="AC48" s="336">
        <f t="shared" si="2"/>
        <v>1.2033318870167636E-13</v>
      </c>
      <c r="AD48" s="337">
        <f t="shared" si="3"/>
        <v>7.8711572239563429E-15</v>
      </c>
      <c r="AE48" s="308">
        <f t="shared" si="10"/>
        <v>6.5411357488997464</v>
      </c>
      <c r="AF48" s="337">
        <f t="shared" si="11"/>
        <v>1.5742314447912686E-14</v>
      </c>
      <c r="AG48" s="338">
        <f t="shared" si="23"/>
        <v>-29.748511927171762</v>
      </c>
      <c r="AH48" s="339">
        <f t="shared" si="24"/>
        <v>6.5411357488997457E-2</v>
      </c>
      <c r="AI48" s="340">
        <f t="shared" si="25"/>
        <v>0.21988110749584042</v>
      </c>
      <c r="AJ48" s="341">
        <f t="shared" si="12"/>
        <v>0.13082271497799491</v>
      </c>
    </row>
    <row r="49" spans="1:36" x14ac:dyDescent="0.2">
      <c r="A49" s="309">
        <v>42</v>
      </c>
      <c r="B49" s="309">
        <f t="shared" si="13"/>
        <v>49.273727777777772</v>
      </c>
      <c r="C49" s="1">
        <v>485.01</v>
      </c>
      <c r="D49" s="1">
        <v>0.17</v>
      </c>
      <c r="E49" s="326">
        <f t="shared" si="4"/>
        <v>13.18982800464282</v>
      </c>
      <c r="F49" s="327">
        <f t="shared" si="0"/>
        <v>3.0371871994761888E-3</v>
      </c>
      <c r="G49" s="309">
        <f t="shared" si="5"/>
        <v>1.713711111111111</v>
      </c>
      <c r="H49" s="1">
        <v>6169.36</v>
      </c>
      <c r="I49" s="324">
        <v>30</v>
      </c>
      <c r="J49" s="1">
        <v>2.7199999999999898E-3</v>
      </c>
      <c r="K49" s="122">
        <v>4.0000000000000003E-5</v>
      </c>
      <c r="L49" s="328">
        <f t="shared" si="6"/>
        <v>1.4705882352941233</v>
      </c>
      <c r="M49" s="329">
        <f t="shared" si="1"/>
        <v>1.6529960249091856E-4</v>
      </c>
      <c r="N49" s="342">
        <f>(1/$J$78)*SQRT(((1-J50/$J$78)*K49)^2+(J50/$J$78)^2*(SUMSQ(K$8:K48)+SUMSQ(K50:K$77)))</f>
        <v>5.193725657658841E-6</v>
      </c>
      <c r="O49" s="340">
        <f t="shared" si="14"/>
        <v>3.1420073487134861</v>
      </c>
      <c r="P49" s="332">
        <f t="shared" si="7"/>
        <v>0.15092400654635027</v>
      </c>
      <c r="Q49" s="342">
        <f>SQRT(((1-P49)/$J$78)^2*SUMSQ(K$8:K49)+(P49/$J$78)^2*SUMSQ(K50:K$77))</f>
        <v>3.7639719402159147E-3</v>
      </c>
      <c r="R49" s="340">
        <f t="shared" si="15"/>
        <v>2.4939517750345179</v>
      </c>
      <c r="S49" s="343">
        <f t="shared" si="16"/>
        <v>8.0173193057886709E-10</v>
      </c>
      <c r="T49" s="344">
        <f t="shared" si="17"/>
        <v>3.898614753777712E-12</v>
      </c>
      <c r="U49" s="344">
        <f>IF(P49&lt;=0.85, (1/(3*H49*$J$78))*SQRT( ((1-P49)*(1/SQRT(1-PI()*P49/3)-1) + (1-P48)*(1-1/SQRT(1-PI()*P48/3)))^2*SUMSQ(K$8:K48) + ( (1-P49)*(1/SQRT(1-PI()*P49/3)-1) -P48*(1-1/SQRT(1-PI()*P48/3)) )^2*K49^2 + ( P49*(1-1/SQRT(1-PI()*P49/3)) - P48*(1-1/SQRT(1-PI()*P48/3)) )^2*SUMSQ(K50:K$77) ), (1/(PI()^2*H49*$J$78))*SQRT((1+P48/(1-P48))^2*K49^2+(P48/(1-P48)-P49/(1-P49))^2*SUMSQ(K50:K$77)) )</f>
        <v>4.4341421793959357E-11</v>
      </c>
      <c r="V49" s="345">
        <f t="shared" si="18"/>
        <v>4.4512480089388271E-11</v>
      </c>
      <c r="W49" s="340">
        <f t="shared" si="19"/>
        <v>5.5520403256546533</v>
      </c>
      <c r="X49" s="345">
        <f t="shared" si="20"/>
        <v>8.9024960178776543E-11</v>
      </c>
      <c r="Y49" s="338">
        <f t="shared" si="8"/>
        <v>-20.944246815084945</v>
      </c>
      <c r="Z49" s="346">
        <f t="shared" si="21"/>
        <v>5.552040325654653E-2</v>
      </c>
      <c r="AA49" s="346">
        <f t="shared" si="22"/>
        <v>0.26508665480659993</v>
      </c>
      <c r="AB49" s="346">
        <f t="shared" si="9"/>
        <v>0.11104080651309306</v>
      </c>
      <c r="AC49" s="336">
        <f t="shared" si="2"/>
        <v>1.0346318494843056E-13</v>
      </c>
      <c r="AD49" s="337">
        <f t="shared" si="3"/>
        <v>6.8021426522248371E-15</v>
      </c>
      <c r="AE49" s="308">
        <f t="shared" si="10"/>
        <v>6.5744570453879296</v>
      </c>
      <c r="AF49" s="337">
        <f t="shared" si="11"/>
        <v>1.3604285304449674E-14</v>
      </c>
      <c r="AG49" s="338">
        <f t="shared" si="23"/>
        <v>-29.89956054646321</v>
      </c>
      <c r="AH49" s="339">
        <f t="shared" si="24"/>
        <v>6.5744570453879297E-2</v>
      </c>
      <c r="AI49" s="340">
        <f t="shared" si="25"/>
        <v>0.21988473827805527</v>
      </c>
      <c r="AJ49" s="341">
        <f t="shared" si="12"/>
        <v>0.13148914090775859</v>
      </c>
    </row>
    <row r="50" spans="1:36" x14ac:dyDescent="0.2">
      <c r="A50" s="309">
        <v>43</v>
      </c>
      <c r="B50" s="309">
        <f t="shared" si="13"/>
        <v>51.985769444444436</v>
      </c>
      <c r="C50" s="1">
        <v>475</v>
      </c>
      <c r="D50" s="1">
        <v>0.28999999999999998</v>
      </c>
      <c r="E50" s="326">
        <f t="shared" si="4"/>
        <v>13.366303548753592</v>
      </c>
      <c r="F50" s="327">
        <f t="shared" si="0"/>
        <v>5.3222709811086956E-3</v>
      </c>
      <c r="G50" s="309">
        <f t="shared" si="5"/>
        <v>2.7120416666666665</v>
      </c>
      <c r="H50" s="1">
        <v>9763.35</v>
      </c>
      <c r="I50" s="324">
        <v>30</v>
      </c>
      <c r="J50" s="1">
        <v>3.0300000000000001E-3</v>
      </c>
      <c r="K50" s="122">
        <v>4.0000000000000003E-5</v>
      </c>
      <c r="L50" s="328">
        <f t="shared" si="6"/>
        <v>1.3201320132013201</v>
      </c>
      <c r="M50" s="329">
        <f t="shared" si="1"/>
        <v>1.8413889542186952E-4</v>
      </c>
      <c r="N50" s="342">
        <f>(1/$J$78)*SQRT(((1-J51/$J$78)*K50)^2+(J51/$J$78)^2*(SUMSQ(K$8:K49)+SUMSQ(K51:K$77)))</f>
        <v>3.767202749657136E-6</v>
      </c>
      <c r="O50" s="340">
        <f t="shared" si="14"/>
        <v>2.0458484564199892</v>
      </c>
      <c r="P50" s="332">
        <f t="shared" si="7"/>
        <v>0.15110814544177215</v>
      </c>
      <c r="Q50" s="342">
        <f>SQRT(((1-P50)/$J$78)^2*SUMSQ(K$8:K50)+(P50/$J$78)^2*SUMSQ(K51:K$77))</f>
        <v>3.7685590689875356E-3</v>
      </c>
      <c r="R50" s="340">
        <f t="shared" si="15"/>
        <v>2.4939483295026661</v>
      </c>
      <c r="S50" s="343">
        <f t="shared" si="16"/>
        <v>5.6508877700167449E-10</v>
      </c>
      <c r="T50" s="344">
        <f t="shared" si="17"/>
        <v>1.73635722472822E-12</v>
      </c>
      <c r="U50" s="344">
        <f>IF(P50&lt;=0.85, (1/(3*H50*$J$78))*SQRT( ((1-P50)*(1/SQRT(1-PI()*P50/3)-1) + (1-P49)*(1-1/SQRT(1-PI()*P49/3)))^2*SUMSQ(K$8:K49) + ( (1-P50)*(1/SQRT(1-PI()*P50/3)-1) -P49*(1-1/SQRT(1-PI()*P49/3)) )^2*K50^2 + ( P50*(1-1/SQRT(1-PI()*P50/3)) - P49*(1-1/SQRT(1-PI()*P49/3)) )^2*SUMSQ(K51:K$77) ), (1/(PI()^2*H50*$J$78))*SQRT((1+P49/(1-P49))^2*K50^2+(P49/(1-P49)-P50/(1-P50))^2*SUMSQ(K51:K$77)) )</f>
        <v>3.1040647775088392E-11</v>
      </c>
      <c r="V50" s="345">
        <f t="shared" si="18"/>
        <v>3.108917417219322E-11</v>
      </c>
      <c r="W50" s="340">
        <f t="shared" si="19"/>
        <v>5.5016442437859805</v>
      </c>
      <c r="X50" s="345">
        <f t="shared" si="20"/>
        <v>6.2178348344386439E-11</v>
      </c>
      <c r="Y50" s="338">
        <f t="shared" si="8"/>
        <v>-21.294038269688738</v>
      </c>
      <c r="Z50" s="346">
        <f t="shared" si="21"/>
        <v>5.5016442437859803E-2</v>
      </c>
      <c r="AA50" s="346">
        <f t="shared" si="22"/>
        <v>0.25836547178640906</v>
      </c>
      <c r="AB50" s="346">
        <f t="shared" si="9"/>
        <v>0.11003288487571961</v>
      </c>
      <c r="AC50" s="336">
        <f t="shared" si="2"/>
        <v>7.2924480636555298E-14</v>
      </c>
      <c r="AD50" s="337">
        <f t="shared" si="3"/>
        <v>4.7633935294175899E-15</v>
      </c>
      <c r="AE50" s="308">
        <f t="shared" si="10"/>
        <v>6.5319539993128384</v>
      </c>
      <c r="AF50" s="337">
        <f t="shared" si="11"/>
        <v>9.5267870588351799E-15</v>
      </c>
      <c r="AG50" s="338">
        <f t="shared" si="23"/>
        <v>-30.249352001067003</v>
      </c>
      <c r="AH50" s="339">
        <f t="shared" si="24"/>
        <v>6.5319539993128381E-2</v>
      </c>
      <c r="AI50" s="340">
        <f t="shared" si="25"/>
        <v>0.21593698929757016</v>
      </c>
      <c r="AJ50" s="341">
        <f t="shared" si="12"/>
        <v>0.13063907998625676</v>
      </c>
    </row>
    <row r="51" spans="1:36" x14ac:dyDescent="0.2">
      <c r="A51" s="309">
        <v>44</v>
      </c>
      <c r="B51" s="309">
        <f t="shared" si="13"/>
        <v>54.696688888888879</v>
      </c>
      <c r="C51" s="1">
        <v>465.01</v>
      </c>
      <c r="D51" s="1">
        <v>0.19</v>
      </c>
      <c r="E51" s="326">
        <f t="shared" si="4"/>
        <v>13.54719843936274</v>
      </c>
      <c r="F51" s="327">
        <f t="shared" si="0"/>
        <v>3.5835370027944378E-3</v>
      </c>
      <c r="G51" s="309">
        <f t="shared" si="5"/>
        <v>2.710919444444444</v>
      </c>
      <c r="H51" s="1">
        <v>9759.31</v>
      </c>
      <c r="I51" s="324">
        <v>30</v>
      </c>
      <c r="J51" s="1">
        <v>1.9E-3</v>
      </c>
      <c r="K51" s="122">
        <v>4.0000000000000003E-5</v>
      </c>
      <c r="L51" s="328">
        <f t="shared" si="6"/>
        <v>2.1052631578947372</v>
      </c>
      <c r="M51" s="329">
        <f t="shared" si="1"/>
        <v>1.1546663409292148E-4</v>
      </c>
      <c r="N51" s="342">
        <f>(1/$J$78)*SQRT(((1-J52/$J$78)*K51)^2+(J52/$J$78)^2*(SUMSQ(K$8:K50)+SUMSQ(K52:K$77)))</f>
        <v>3.2458064613822765E-6</v>
      </c>
      <c r="O51" s="340">
        <f t="shared" si="14"/>
        <v>2.8110341025185006</v>
      </c>
      <c r="P51" s="332">
        <f t="shared" si="7"/>
        <v>0.15122361207586507</v>
      </c>
      <c r="Q51" s="342">
        <f>SQRT(((1-P51)/$J$78)^2*SUMSQ(K$8:K51)+(P51/$J$78)^2*SUMSQ(K52:K$77))</f>
        <v>3.7714356933974858E-3</v>
      </c>
      <c r="R51" s="340">
        <f t="shared" si="15"/>
        <v>2.4939463101208372</v>
      </c>
      <c r="S51" s="343">
        <f t="shared" si="16"/>
        <v>3.5489331293663207E-10</v>
      </c>
      <c r="T51" s="344">
        <f t="shared" si="17"/>
        <v>1.0909377187627972E-12</v>
      </c>
      <c r="U51" s="344">
        <f>IF(P51&lt;=0.85, (1/(3*H51*$J$78))*SQRT( ((1-P51)*(1/SQRT(1-PI()*P51/3)-1) + (1-P50)*(1-1/SQRT(1-PI()*P50/3)))^2*SUMSQ(K$8:K50) + ( (1-P51)*(1/SQRT(1-PI()*P51/3)-1) -P50*(1-1/SQRT(1-PI()*P50/3)) )^2*K51^2 + ( P51*(1-1/SQRT(1-PI()*P51/3)) - P50*(1-1/SQRT(1-PI()*P50/3)) )^2*SUMSQ(K52:K$77) ), (1/(PI()^2*H51*$J$78))*SQRT((1+P50/(1-P50))^2*K51^2+(P50/(1-P50)-P51/(1-P51))^2*SUMSQ(K52:K$77)) )</f>
        <v>2.0346239919026757E-11</v>
      </c>
      <c r="V51" s="345">
        <f t="shared" si="18"/>
        <v>2.0375466226538654E-11</v>
      </c>
      <c r="W51" s="340">
        <f t="shared" si="19"/>
        <v>5.7412933644587421</v>
      </c>
      <c r="X51" s="345">
        <f t="shared" si="20"/>
        <v>4.0750932453077307E-11</v>
      </c>
      <c r="Y51" s="338">
        <f t="shared" si="8"/>
        <v>-21.759203898559466</v>
      </c>
      <c r="Z51" s="346">
        <f t="shared" si="21"/>
        <v>5.7412933644587417E-2</v>
      </c>
      <c r="AA51" s="346">
        <f t="shared" si="22"/>
        <v>0.26385585572084441</v>
      </c>
      <c r="AB51" s="346">
        <f t="shared" si="9"/>
        <v>0.11482586728917483</v>
      </c>
      <c r="AC51" s="336">
        <f t="shared" si="2"/>
        <v>4.5798840077147187E-14</v>
      </c>
      <c r="AD51" s="337">
        <f t="shared" si="3"/>
        <v>3.084570856950529E-15</v>
      </c>
      <c r="AE51" s="308">
        <f t="shared" si="10"/>
        <v>6.7350414371949903</v>
      </c>
      <c r="AF51" s="337">
        <f t="shared" si="11"/>
        <v>6.169141713901058E-15</v>
      </c>
      <c r="AG51" s="338">
        <f t="shared" si="23"/>
        <v>-30.714517629937731</v>
      </c>
      <c r="AH51" s="339">
        <f t="shared" si="24"/>
        <v>6.7350414371949899E-2</v>
      </c>
      <c r="AI51" s="340">
        <f t="shared" si="25"/>
        <v>0.21927876316801673</v>
      </c>
      <c r="AJ51" s="341">
        <f t="shared" si="12"/>
        <v>0.1347008287438998</v>
      </c>
    </row>
    <row r="52" spans="1:36" x14ac:dyDescent="0.2">
      <c r="A52" s="309">
        <v>45</v>
      </c>
      <c r="B52" s="309">
        <f t="shared" si="13"/>
        <v>57.410399999999989</v>
      </c>
      <c r="C52" s="1">
        <v>455</v>
      </c>
      <c r="D52" s="1">
        <v>0.31</v>
      </c>
      <c r="E52" s="326">
        <f t="shared" si="4"/>
        <v>13.733434045182998</v>
      </c>
      <c r="F52" s="327">
        <f t="shared" si="0"/>
        <v>6.0106199635425427E-3</v>
      </c>
      <c r="G52" s="309">
        <f t="shared" si="5"/>
        <v>2.713711111111111</v>
      </c>
      <c r="H52" s="1">
        <v>9769.36</v>
      </c>
      <c r="I52" s="324">
        <v>30</v>
      </c>
      <c r="J52" s="1">
        <v>1.4199999999999901E-3</v>
      </c>
      <c r="K52" s="122">
        <v>2.9999999999999899E-5</v>
      </c>
      <c r="L52" s="328">
        <f t="shared" si="6"/>
        <v>2.1126760563380356</v>
      </c>
      <c r="M52" s="329">
        <f t="shared" si="1"/>
        <v>8.6296116006288074E-5</v>
      </c>
      <c r="N52" s="342">
        <f>(1/$J$78)*SQRT(((1-J53/$J$78)*K52)^2+(J53/$J$78)^2*(SUMSQ(K$8:K51)+SUMSQ(K53:K$77)))</f>
        <v>2.1322467530265187E-6</v>
      </c>
      <c r="O52" s="340">
        <f t="shared" si="14"/>
        <v>2.4708490389893676</v>
      </c>
      <c r="P52" s="332">
        <f t="shared" si="7"/>
        <v>0.15130990819187137</v>
      </c>
      <c r="Q52" s="342">
        <f>SQRT(((1-P52)/$J$78)^2*SUMSQ(K$8:K52)+(P52/$J$78)^2*SUMSQ(K53:K$77))</f>
        <v>3.7735854920285315E-3</v>
      </c>
      <c r="R52" s="340">
        <f t="shared" si="15"/>
        <v>2.4939447370778689</v>
      </c>
      <c r="S52" s="343">
        <f t="shared" si="16"/>
        <v>2.6516462617267671E-10</v>
      </c>
      <c r="T52" s="344">
        <f t="shared" si="17"/>
        <v>8.1427430099620796E-13</v>
      </c>
      <c r="U52" s="344">
        <f>IF(P52&lt;=0.85, (1/(3*H52*$J$78))*SQRT( ((1-P52)*(1/SQRT(1-PI()*P52/3)-1) + (1-P51)*(1-1/SQRT(1-PI()*P51/3)))^2*SUMSQ(K$8:K51) + ( (1-P52)*(1/SQRT(1-PI()*P52/3)-1) -P51*(1-1/SQRT(1-PI()*P51/3)) )^2*K52^2 + ( P52*(1-1/SQRT(1-PI()*P52/3)) - P51*(1-1/SQRT(1-PI()*P51/3)) )^2*SUMSQ(K53:K$77) ), (1/(PI()^2*H52*$J$78))*SQRT((1+P51/(1-P51))^2*K52^2+(P51/(1-P51)-P52/(1-P52))^2*SUMSQ(K53:K$77)) )</f>
        <v>1.5209841854845652E-11</v>
      </c>
      <c r="V52" s="345">
        <f t="shared" si="18"/>
        <v>1.5231622759465832E-11</v>
      </c>
      <c r="W52" s="340">
        <f t="shared" si="19"/>
        <v>5.7442136906854655</v>
      </c>
      <c r="X52" s="345">
        <f t="shared" si="20"/>
        <v>3.0463245518931663E-11</v>
      </c>
      <c r="Y52" s="338">
        <f t="shared" si="8"/>
        <v>-22.050670251986034</v>
      </c>
      <c r="Z52" s="346">
        <f t="shared" si="21"/>
        <v>5.7442136906854659E-2</v>
      </c>
      <c r="AA52" s="346">
        <f t="shared" si="22"/>
        <v>0.26050063898479925</v>
      </c>
      <c r="AB52" s="346">
        <f t="shared" si="9"/>
        <v>0.11488427381370932</v>
      </c>
      <c r="AC52" s="336">
        <f t="shared" si="2"/>
        <v>3.421938894173346E-14</v>
      </c>
      <c r="AD52" s="337">
        <f t="shared" si="3"/>
        <v>2.3055419535077848E-15</v>
      </c>
      <c r="AE52" s="308">
        <f t="shared" si="10"/>
        <v>6.7375310454359978</v>
      </c>
      <c r="AF52" s="337">
        <f t="shared" si="11"/>
        <v>4.6110839070155697E-15</v>
      </c>
      <c r="AG52" s="338">
        <f t="shared" si="23"/>
        <v>-31.005983983364299</v>
      </c>
      <c r="AH52" s="339">
        <f t="shared" si="24"/>
        <v>6.7375310454359988E-2</v>
      </c>
      <c r="AI52" s="340">
        <f t="shared" si="25"/>
        <v>0.2172977657813053</v>
      </c>
      <c r="AJ52" s="341">
        <f t="shared" si="12"/>
        <v>0.13475062090871998</v>
      </c>
    </row>
    <row r="53" spans="1:36" x14ac:dyDescent="0.2">
      <c r="A53" s="309">
        <v>46</v>
      </c>
      <c r="B53" s="309">
        <f t="shared" si="13"/>
        <v>60.124111111111098</v>
      </c>
      <c r="C53" s="1">
        <v>445.01</v>
      </c>
      <c r="D53" s="1">
        <v>0.11</v>
      </c>
      <c r="E53" s="326">
        <f t="shared" si="4"/>
        <v>13.924473654895845</v>
      </c>
      <c r="F53" s="327">
        <f t="shared" si="0"/>
        <v>2.1934609174844698E-3</v>
      </c>
      <c r="G53" s="309">
        <f t="shared" si="5"/>
        <v>2.713711111111111</v>
      </c>
      <c r="H53" s="1">
        <v>9769.36</v>
      </c>
      <c r="I53" s="324">
        <v>30</v>
      </c>
      <c r="J53" s="1">
        <v>7.2999999999999996E-4</v>
      </c>
      <c r="K53" s="122">
        <v>2.0000000000000002E-5</v>
      </c>
      <c r="L53" s="328">
        <f t="shared" si="6"/>
        <v>2.7397260273972606</v>
      </c>
      <c r="M53" s="329">
        <f t="shared" si="1"/>
        <v>4.4363496256754035E-5</v>
      </c>
      <c r="N53" s="342">
        <f>(1/$J$78)*SQRT(((1-J54/$J$78)*K53)^2+(J54/$J$78)^2*(SUMSQ(K$8:K52)+SUMSQ(K54:K$77)))</f>
        <v>1.6129439873312619E-6</v>
      </c>
      <c r="O53" s="340">
        <f t="shared" si="14"/>
        <v>3.6357458798926432</v>
      </c>
      <c r="P53" s="332">
        <f t="shared" si="7"/>
        <v>0.15135427168812812</v>
      </c>
      <c r="Q53" s="342">
        <f>SQRT(((1-P53)/$J$78)^2*SUMSQ(K$8:K53)+(P53/$J$78)^2*SUMSQ(K54:K$77))</f>
        <v>3.7746906493242218E-3</v>
      </c>
      <c r="R53" s="340">
        <f t="shared" si="15"/>
        <v>2.4939439153076113</v>
      </c>
      <c r="S53" s="343">
        <f t="shared" si="16"/>
        <v>1.3638409457372769E-10</v>
      </c>
      <c r="T53" s="344">
        <f t="shared" si="17"/>
        <v>4.1881175811023758E-13</v>
      </c>
      <c r="U53" s="344">
        <f>IF(P53&lt;=0.85, (1/(3*H53*$J$78))*SQRT( ((1-P53)*(1/SQRT(1-PI()*P53/3)-1) + (1-P52)*(1-1/SQRT(1-PI()*P52/3)))^2*SUMSQ(K$8:K52) + ( (1-P53)*(1/SQRT(1-PI()*P53/3)-1) -P52*(1-1/SQRT(1-PI()*P52/3)) )^2*K53^2 + ( P53*(1-1/SQRT(1-PI()*P53/3)) - P52*(1-1/SQRT(1-PI()*P52/3)) )^2*SUMSQ(K54:K$77) ), (1/(PI()^2*H53*$J$78))*SQRT((1+P52/(1-P52))^2*K53^2+(P52/(1-P52)-P53/(1-P53))^2*SUMSQ(K54:K$77)) )</f>
        <v>8.1769158897339433E-12</v>
      </c>
      <c r="V53" s="345">
        <f t="shared" si="18"/>
        <v>8.1876343809744477E-12</v>
      </c>
      <c r="W53" s="340">
        <f t="shared" si="19"/>
        <v>6.0033645466981529</v>
      </c>
      <c r="X53" s="345">
        <f t="shared" si="20"/>
        <v>1.6375268761948895E-11</v>
      </c>
      <c r="Y53" s="338">
        <f t="shared" si="8"/>
        <v>-22.71554598601552</v>
      </c>
      <c r="Z53" s="346">
        <f t="shared" si="21"/>
        <v>6.0033645466981533E-2</v>
      </c>
      <c r="AA53" s="346">
        <f t="shared" si="22"/>
        <v>0.26428440462729941</v>
      </c>
      <c r="AB53" s="346">
        <f t="shared" si="9"/>
        <v>0.12006729093396307</v>
      </c>
      <c r="AC53" s="336">
        <f t="shared" si="2"/>
        <v>1.7600312851101727E-14</v>
      </c>
      <c r="AD53" s="337">
        <f t="shared" si="3"/>
        <v>1.224945353695676E-15</v>
      </c>
      <c r="AE53" s="308">
        <f t="shared" si="10"/>
        <v>6.9597930676499207</v>
      </c>
      <c r="AF53" s="337">
        <f t="shared" si="11"/>
        <v>2.4498907073913521E-15</v>
      </c>
      <c r="AG53" s="338">
        <f t="shared" si="23"/>
        <v>-31.670859717393785</v>
      </c>
      <c r="AH53" s="339">
        <f t="shared" si="24"/>
        <v>6.9597930676499206E-2</v>
      </c>
      <c r="AI53" s="340">
        <f t="shared" si="25"/>
        <v>0.2197538409046588</v>
      </c>
      <c r="AJ53" s="341">
        <f t="shared" si="12"/>
        <v>0.13919586135299841</v>
      </c>
    </row>
    <row r="54" spans="1:36" x14ac:dyDescent="0.2">
      <c r="A54" s="309">
        <v>47</v>
      </c>
      <c r="B54" s="309">
        <f t="shared" si="13"/>
        <v>62.837263888888877</v>
      </c>
      <c r="C54" s="1">
        <v>435.01</v>
      </c>
      <c r="D54" s="1">
        <v>0.24</v>
      </c>
      <c r="E54" s="326">
        <f t="shared" si="4"/>
        <v>14.121102575689111</v>
      </c>
      <c r="F54" s="327">
        <f t="shared" si="0"/>
        <v>4.9239513915930377E-3</v>
      </c>
      <c r="G54" s="309">
        <f t="shared" si="5"/>
        <v>2.7131527777777777</v>
      </c>
      <c r="H54" s="1">
        <v>9767.35</v>
      </c>
      <c r="I54" s="324">
        <v>30</v>
      </c>
      <c r="J54" s="1">
        <v>6.9999999999999999E-4</v>
      </c>
      <c r="K54" s="122">
        <v>2.0000000000000002E-5</v>
      </c>
      <c r="L54" s="328">
        <f t="shared" si="6"/>
        <v>2.8571428571428572</v>
      </c>
      <c r="M54" s="329">
        <f t="shared" si="1"/>
        <v>4.2540338876339488E-5</v>
      </c>
      <c r="N54" s="342">
        <f>(1/$J$78)*SQRT(((1-J55/$J$78)*K54)^2+(J55/$J$78)^2*(SUMSQ(K$8:K53)+SUMSQ(K55:K$77)))</f>
        <v>1.7056661811395941E-6</v>
      </c>
      <c r="O54" s="340">
        <f t="shared" si="14"/>
        <v>4.0095265486666554</v>
      </c>
      <c r="P54" s="332">
        <f t="shared" si="7"/>
        <v>0.15139681202700447</v>
      </c>
      <c r="Q54" s="342">
        <f>SQRT(((1-P54)/$J$78)^2*SUMSQ(K$8:K54)+(P54/$J$78)^2*SUMSQ(K55:K$77))</f>
        <v>3.7757503951414495E-3</v>
      </c>
      <c r="R54" s="340">
        <f t="shared" si="15"/>
        <v>2.4939431316875904</v>
      </c>
      <c r="S54" s="343">
        <f t="shared" si="16"/>
        <v>1.3084897003271094E-10</v>
      </c>
      <c r="T54" s="344">
        <f t="shared" si="17"/>
        <v>4.0189704484648591E-13</v>
      </c>
      <c r="U54" s="344">
        <f>IF(P54&lt;=0.85, (1/(3*H54*$J$78))*SQRT( ((1-P54)*(1/SQRT(1-PI()*P54/3)-1) + (1-P53)*(1-1/SQRT(1-PI()*P53/3)))^2*SUMSQ(K$8:K53) + ( (1-P54)*(1/SQRT(1-PI()*P54/3)-1) -P53*(1-1/SQRT(1-PI()*P53/3)) )^2*K54^2 + ( P54*(1-1/SQRT(1-PI()*P54/3)) - P53*(1-1/SQRT(1-PI()*P53/3)) )^2*SUMSQ(K55:K$77) ), (1/(PI()^2*H54*$J$78))*SQRT((1+P53/(1-P53))^2*K54^2+(P53/(1-P53)-P54/(1-P54))^2*SUMSQ(K55:K$77)) )</f>
        <v>7.9165833300154558E-12</v>
      </c>
      <c r="V54" s="345">
        <f t="shared" si="18"/>
        <v>7.9267782141129033E-12</v>
      </c>
      <c r="W54" s="340">
        <f t="shared" si="19"/>
        <v>6.0579599611149311</v>
      </c>
      <c r="X54" s="345">
        <f t="shared" si="20"/>
        <v>1.5853556428225807E-11</v>
      </c>
      <c r="Y54" s="338">
        <f t="shared" si="8"/>
        <v>-22.756977358342098</v>
      </c>
      <c r="Z54" s="346">
        <f t="shared" si="21"/>
        <v>6.057959961114931E-2</v>
      </c>
      <c r="AA54" s="346">
        <f t="shared" si="22"/>
        <v>0.26620231086595714</v>
      </c>
      <c r="AB54" s="346">
        <f t="shared" si="9"/>
        <v>0.12115919922229862</v>
      </c>
      <c r="AC54" s="336">
        <f t="shared" si="2"/>
        <v>1.6886007243133334E-14</v>
      </c>
      <c r="AD54" s="337">
        <f t="shared" si="3"/>
        <v>1.1831924488292231E-15</v>
      </c>
      <c r="AE54" s="308">
        <f t="shared" si="10"/>
        <v>7.0069403133198724</v>
      </c>
      <c r="AF54" s="337">
        <f t="shared" si="11"/>
        <v>2.3663848976584462E-15</v>
      </c>
      <c r="AG54" s="338">
        <f t="shared" si="23"/>
        <v>-31.71229108972036</v>
      </c>
      <c r="AH54" s="339">
        <f t="shared" si="24"/>
        <v>7.0069403133198718E-2</v>
      </c>
      <c r="AI54" s="340">
        <f t="shared" si="25"/>
        <v>0.2209534559800756</v>
      </c>
      <c r="AJ54" s="341">
        <f t="shared" si="12"/>
        <v>0.14013880626639744</v>
      </c>
    </row>
    <row r="55" spans="1:36" x14ac:dyDescent="0.2">
      <c r="A55" s="309">
        <v>48</v>
      </c>
      <c r="B55" s="309">
        <f t="shared" si="13"/>
        <v>65.549308333333329</v>
      </c>
      <c r="C55" s="1">
        <v>425</v>
      </c>
      <c r="D55" s="1">
        <v>0.23</v>
      </c>
      <c r="E55" s="326">
        <f t="shared" si="4"/>
        <v>14.323569433502829</v>
      </c>
      <c r="F55" s="327">
        <f t="shared" si="0"/>
        <v>4.8569273528628314E-3</v>
      </c>
      <c r="G55" s="309">
        <f t="shared" si="5"/>
        <v>2.7120444444444445</v>
      </c>
      <c r="H55" s="1">
        <v>9763.36</v>
      </c>
      <c r="I55" s="324">
        <v>30</v>
      </c>
      <c r="J55" s="1">
        <v>7.9000000000000001E-4</v>
      </c>
      <c r="K55" s="122">
        <v>2.0000000000000002E-5</v>
      </c>
      <c r="L55" s="328">
        <f t="shared" si="6"/>
        <v>2.5316455696202533</v>
      </c>
      <c r="M55" s="329">
        <f t="shared" si="1"/>
        <v>4.8009811017583143E-5</v>
      </c>
      <c r="N55" s="342">
        <f>(1/$J$78)*SQRT(((1-J56/$J$78)*K55)^2+(J56/$J$78)^2*(SUMSQ(K$8:K54)+SUMSQ(K56:K$77)))</f>
        <v>1.4401600990322921E-6</v>
      </c>
      <c r="O55" s="340">
        <f t="shared" si="14"/>
        <v>2.9997204081991633</v>
      </c>
      <c r="P55" s="332">
        <f t="shared" si="7"/>
        <v>0.15144482183802205</v>
      </c>
      <c r="Q55" s="342">
        <f>SQRT(((1-P55)/$J$78)^2*SUMSQ(K$8:K55)+(P55/$J$78)^2*SUMSQ(K56:K$77))</f>
        <v>3.7769463768573429E-3</v>
      </c>
      <c r="R55" s="340">
        <f t="shared" si="15"/>
        <v>2.4939422365308594</v>
      </c>
      <c r="S55" s="343">
        <f t="shared" si="16"/>
        <v>1.4778309927363139E-10</v>
      </c>
      <c r="T55" s="344">
        <f t="shared" si="17"/>
        <v>4.5409500194696621E-13</v>
      </c>
      <c r="U55" s="344">
        <f>IF(P55&lt;=0.85, (1/(3*H55*$J$78))*SQRT( ((1-P55)*(1/SQRT(1-PI()*P55/3)-1) + (1-P54)*(1-1/SQRT(1-PI()*P54/3)))^2*SUMSQ(K$8:K54) + ( (1-P55)*(1/SQRT(1-PI()*P55/3)-1) -P54*(1-1/SQRT(1-PI()*P54/3)) )^2*K55^2 + ( P55*(1-1/SQRT(1-PI()*P55/3)) - P54*(1-1/SQRT(1-PI()*P54/3)) )^2*SUMSQ(K56:K$77) ), (1/(PI()^2*H55*$J$78))*SQRT((1+P54/(1-P54))^2*K55^2+(P54/(1-P54)-P55/(1-P55))^2*SUMSQ(K56:K$77)) )</f>
        <v>8.7244199712005006E-12</v>
      </c>
      <c r="V55" s="345">
        <f t="shared" si="18"/>
        <v>8.7362295130494009E-12</v>
      </c>
      <c r="W55" s="340">
        <f t="shared" si="19"/>
        <v>5.9115213823426602</v>
      </c>
      <c r="X55" s="345">
        <f t="shared" si="20"/>
        <v>1.7472459026098802E-11</v>
      </c>
      <c r="Y55" s="338">
        <f t="shared" si="8"/>
        <v>-22.635275462574999</v>
      </c>
      <c r="Z55" s="346">
        <f t="shared" si="21"/>
        <v>5.9115213823426604E-2</v>
      </c>
      <c r="AA55" s="346">
        <f t="shared" si="22"/>
        <v>0.26116410167469478</v>
      </c>
      <c r="AB55" s="346">
        <f t="shared" si="9"/>
        <v>0.11823042764685321</v>
      </c>
      <c r="AC55" s="336">
        <f t="shared" si="2"/>
        <v>1.907134984802242E-14</v>
      </c>
      <c r="AD55" s="337">
        <f t="shared" si="3"/>
        <v>1.3122477215525214E-15</v>
      </c>
      <c r="AE55" s="308">
        <f t="shared" si="10"/>
        <v>6.8807280659716561</v>
      </c>
      <c r="AF55" s="337">
        <f t="shared" si="11"/>
        <v>2.6244954431050429E-15</v>
      </c>
      <c r="AG55" s="338">
        <f t="shared" si="23"/>
        <v>-31.590589193953264</v>
      </c>
      <c r="AH55" s="339">
        <f t="shared" si="24"/>
        <v>6.8807280659716558E-2</v>
      </c>
      <c r="AI55" s="340">
        <f t="shared" si="25"/>
        <v>0.21780942494382763</v>
      </c>
      <c r="AJ55" s="341">
        <f t="shared" si="12"/>
        <v>0.13761456131943312</v>
      </c>
    </row>
    <row r="56" spans="1:36" x14ac:dyDescent="0.2">
      <c r="A56" s="309">
        <v>49</v>
      </c>
      <c r="B56" s="309">
        <f t="shared" si="13"/>
        <v>68.260794444444443</v>
      </c>
      <c r="C56" s="1">
        <v>415</v>
      </c>
      <c r="D56" s="1">
        <v>0.22</v>
      </c>
      <c r="E56" s="326">
        <f t="shared" si="4"/>
        <v>14.531715469011118</v>
      </c>
      <c r="F56" s="327">
        <f t="shared" si="0"/>
        <v>4.7837794476755886E-3</v>
      </c>
      <c r="G56" s="309">
        <f t="shared" si="5"/>
        <v>2.7114861111111113</v>
      </c>
      <c r="H56" s="1">
        <v>9761.35</v>
      </c>
      <c r="I56" s="324">
        <v>30</v>
      </c>
      <c r="J56" s="1">
        <v>5.0999999999999895E-4</v>
      </c>
      <c r="K56" s="122">
        <v>1.0000000000000001E-5</v>
      </c>
      <c r="L56" s="328">
        <f t="shared" si="6"/>
        <v>1.9607843137254943</v>
      </c>
      <c r="M56" s="329">
        <f t="shared" si="1"/>
        <v>3.0993675467047278E-5</v>
      </c>
      <c r="N56" s="342">
        <f>(1/$J$78)*SQRT(((1-J57/$J$78)*K56)^2+(J57/$J$78)^2*(SUMSQ(K$8:K55)+SUMSQ(K57:K$77)))</f>
        <v>9.476337228406032E-7</v>
      </c>
      <c r="O56" s="340">
        <f t="shared" si="14"/>
        <v>3.0575067608491122</v>
      </c>
      <c r="P56" s="332">
        <f t="shared" si="7"/>
        <v>0.1514758155134891</v>
      </c>
      <c r="Q56" s="342">
        <f>SQRT(((1-P56)/$J$78)^2*SUMSQ(K$8:K56)+(P56/$J$78)^2*SUMSQ(K57:K$77))</f>
        <v>3.7777184126365276E-3</v>
      </c>
      <c r="R56" s="340">
        <f t="shared" si="15"/>
        <v>2.4939416235063065</v>
      </c>
      <c r="S56" s="343">
        <f t="shared" si="16"/>
        <v>9.5452286742641247E-11</v>
      </c>
      <c r="T56" s="344">
        <f t="shared" si="17"/>
        <v>2.933578452037107E-13</v>
      </c>
      <c r="U56" s="344">
        <f>IF(P56&lt;=0.85, (1/(3*H56*$J$78))*SQRT( ((1-P56)*(1/SQRT(1-PI()*P56/3)-1) + (1-P55)*(1-1/SQRT(1-PI()*P55/3)))^2*SUMSQ(K$8:K55) + ( (1-P56)*(1/SQRT(1-PI()*P56/3)-1) -P55*(1-1/SQRT(1-PI()*P55/3)) )^2*K56^2 + ( P56*(1-1/SQRT(1-PI()*P56/3)) - P55*(1-1/SQRT(1-PI()*P55/3)) )^2*SUMSQ(K57:K$77) ), (1/(PI()^2*H56*$J$78))*SQRT((1+P55/(1-P55))^2*K56^2+(P55/(1-P55)-P56/(1-P56))^2*SUMSQ(K57:K$77)) )</f>
        <v>5.4238096234567616E-12</v>
      </c>
      <c r="V56" s="345">
        <f t="shared" si="18"/>
        <v>5.4317372595556151E-12</v>
      </c>
      <c r="W56" s="340">
        <f t="shared" si="19"/>
        <v>5.690526067961768</v>
      </c>
      <c r="X56" s="345">
        <f t="shared" si="20"/>
        <v>1.086347451911123E-11</v>
      </c>
      <c r="Y56" s="338">
        <f t="shared" si="8"/>
        <v>-23.072394608551456</v>
      </c>
      <c r="Z56" s="346">
        <f t="shared" si="21"/>
        <v>5.6905260679617681E-2</v>
      </c>
      <c r="AA56" s="346">
        <f t="shared" si="22"/>
        <v>0.24663786158774589</v>
      </c>
      <c r="AB56" s="346">
        <f t="shared" si="9"/>
        <v>0.11381052135923536</v>
      </c>
      <c r="AC56" s="336">
        <f t="shared" si="2"/>
        <v>1.2318079423223156E-14</v>
      </c>
      <c r="AD56" s="337">
        <f t="shared" si="3"/>
        <v>8.2430338659922545E-16</v>
      </c>
      <c r="AE56" s="308">
        <f t="shared" si="10"/>
        <v>6.6918174358023235</v>
      </c>
      <c r="AF56" s="337">
        <f t="shared" si="11"/>
        <v>1.6486067731984509E-15</v>
      </c>
      <c r="AG56" s="338">
        <f t="shared" si="23"/>
        <v>-32.027708339929717</v>
      </c>
      <c r="AH56" s="339">
        <f t="shared" si="24"/>
        <v>6.6918174358023233E-2</v>
      </c>
      <c r="AI56" s="340">
        <f t="shared" si="25"/>
        <v>0.20893837813114693</v>
      </c>
      <c r="AJ56" s="341">
        <f t="shared" si="12"/>
        <v>0.13383634871604647</v>
      </c>
    </row>
    <row r="57" spans="1:36" x14ac:dyDescent="0.2">
      <c r="A57" s="309">
        <v>50</v>
      </c>
      <c r="B57" s="309">
        <f t="shared" si="13"/>
        <v>70.972830555555561</v>
      </c>
      <c r="C57" s="1">
        <v>405</v>
      </c>
      <c r="D57" s="1">
        <v>0.23</v>
      </c>
      <c r="E57" s="326">
        <f t="shared" si="4"/>
        <v>14.746000147460002</v>
      </c>
      <c r="F57" s="327">
        <f t="shared" si="0"/>
        <v>4.6917325138949705E-3</v>
      </c>
      <c r="G57" s="309">
        <f t="shared" si="5"/>
        <v>2.7120361111111109</v>
      </c>
      <c r="H57" s="1">
        <v>9763.33</v>
      </c>
      <c r="J57" s="1">
        <v>4.7999999999999898E-4</v>
      </c>
      <c r="K57" s="122">
        <v>1.0000000000000001E-5</v>
      </c>
      <c r="L57" s="328">
        <f t="shared" si="6"/>
        <v>2.0833333333333379</v>
      </c>
      <c r="M57" s="329">
        <f t="shared" si="1"/>
        <v>2.9170518086632731E-5</v>
      </c>
      <c r="N57" s="342">
        <f>(1/$J$78)*SQRT(((1-J58/$J$78)*K57)^2+(J58/$J$78)^2*(SUMSQ(K$8:K56)+SUMSQ(K58:K$77)))</f>
        <v>1.396471774933608E-6</v>
      </c>
      <c r="O57" s="340">
        <f t="shared" si="14"/>
        <v>4.787271075495692</v>
      </c>
      <c r="P57" s="332">
        <f t="shared" si="7"/>
        <v>0.15150498603157572</v>
      </c>
      <c r="Q57" s="342">
        <f>SQRT(((1-P57)/$J$78)^2*SUMSQ(K$8:K57)+(P57/$J$78)^2*SUMSQ(K58:K$77))</f>
        <v>3.7784450367435917E-3</v>
      </c>
      <c r="R57" s="340">
        <f t="shared" si="15"/>
        <v>2.4939410482214175</v>
      </c>
      <c r="S57" s="343">
        <f t="shared" si="16"/>
        <v>8.9839553120145597E-11</v>
      </c>
      <c r="T57" s="344">
        <f t="shared" si="17"/>
        <v>0</v>
      </c>
      <c r="U57" s="344">
        <f>IF(P57&lt;=0.85, (1/(3*H57*$J$78))*SQRT( ((1-P57)*(1/SQRT(1-PI()*P57/3)-1) + (1-P56)*(1-1/SQRT(1-PI()*P56/3)))^2*SUMSQ(K$8:K56) + ( (1-P57)*(1/SQRT(1-PI()*P57/3)-1) -P56*(1-1/SQRT(1-PI()*P56/3)) )^2*K57^2 + ( P57*(1-1/SQRT(1-PI()*P57/3)) - P56*(1-1/SQRT(1-PI()*P56/3)) )^2*SUMSQ(K58:K$77) ), (1/(PI()^2*H57*$J$78))*SQRT((1+P56/(1-P56))^2*K57^2+(P56/(1-P56)-P57/(1-P57))^2*SUMSQ(K58:K$77)) )</f>
        <v>5.1439808297004402E-12</v>
      </c>
      <c r="V57" s="345">
        <f t="shared" si="18"/>
        <v>5.1439808297004402E-12</v>
      </c>
      <c r="W57" s="340">
        <f t="shared" si="19"/>
        <v>5.7257417819311875</v>
      </c>
      <c r="X57" s="345">
        <f t="shared" si="20"/>
        <v>1.028796165940088E-11</v>
      </c>
      <c r="Y57" s="338">
        <f t="shared" si="8"/>
        <v>-23.132995779685423</v>
      </c>
      <c r="Z57" s="346">
        <f t="shared" si="21"/>
        <v>5.7257417819311873E-2</v>
      </c>
      <c r="AA57" s="346">
        <f t="shared" si="22"/>
        <v>0.24751406330862391</v>
      </c>
      <c r="AB57" s="346">
        <f t="shared" si="9"/>
        <v>0.11451483563862375</v>
      </c>
      <c r="AC57" s="336">
        <f t="shared" si="2"/>
        <v>1.1593758394333541E-14</v>
      </c>
      <c r="AD57" s="337">
        <f t="shared" si="3"/>
        <v>7.7930802177148449E-16</v>
      </c>
      <c r="AE57" s="308">
        <f t="shared" si="10"/>
        <v>6.7217893910258812</v>
      </c>
      <c r="AF57" s="337">
        <f t="shared" si="11"/>
        <v>1.558616043542969E-15</v>
      </c>
      <c r="AG57" s="338">
        <f t="shared" si="23"/>
        <v>-32.088309511063692</v>
      </c>
      <c r="AH57" s="339">
        <f t="shared" si="24"/>
        <v>6.7217893910258814E-2</v>
      </c>
      <c r="AI57" s="340">
        <f t="shared" si="25"/>
        <v>0.20947782832586689</v>
      </c>
      <c r="AJ57" s="341">
        <f t="shared" si="12"/>
        <v>0.13443578782051763</v>
      </c>
    </row>
    <row r="58" spans="1:36" x14ac:dyDescent="0.2">
      <c r="A58" s="309">
        <v>51</v>
      </c>
      <c r="B58" s="309">
        <f t="shared" si="13"/>
        <v>73.986002777777784</v>
      </c>
      <c r="C58" s="1">
        <v>427.01</v>
      </c>
      <c r="D58" s="1">
        <v>0.16</v>
      </c>
      <c r="E58" s="326">
        <f t="shared" si="4"/>
        <v>14.282449725776965</v>
      </c>
      <c r="F58" s="327">
        <f t="shared" si="0"/>
        <v>3.1725433781538844E-3</v>
      </c>
      <c r="G58" s="309">
        <f t="shared" si="5"/>
        <v>3.0131722222222224</v>
      </c>
      <c r="H58" s="1">
        <v>10847.42</v>
      </c>
      <c r="J58" s="1">
        <v>8.3000000000000001E-4</v>
      </c>
      <c r="K58" s="122">
        <v>1.0000000000000001E-5</v>
      </c>
      <c r="L58" s="328">
        <f t="shared" si="6"/>
        <v>1.2048192771084338</v>
      </c>
      <c r="M58" s="329">
        <f t="shared" si="1"/>
        <v>5.0440687524802536E-5</v>
      </c>
      <c r="N58" s="342">
        <f>(1/$J$78)*SQRT(((1-J59/$J$78)*K58)^2+(J59/$J$78)^2*(SUMSQ(K$8:K57)+SUMSQ(K59:K$77)))</f>
        <v>1.396471774933608E-6</v>
      </c>
      <c r="O58" s="340">
        <f t="shared" si="14"/>
        <v>2.7685423087203942</v>
      </c>
      <c r="P58" s="332">
        <f t="shared" si="7"/>
        <v>0.15155542671910052</v>
      </c>
      <c r="Q58" s="342">
        <f>SQRT(((1-P58)/$J$78)^2*SUMSQ(K$8:K58)+(P58/$J$78)^2*SUMSQ(K59:K$77))</f>
        <v>3.779701466542437E-3</v>
      </c>
      <c r="R58" s="340">
        <f t="shared" si="15"/>
        <v>2.4939400378898351</v>
      </c>
      <c r="S58" s="343">
        <f t="shared" si="16"/>
        <v>1.3986400403707086E-10</v>
      </c>
      <c r="T58" s="344">
        <f t="shared" si="17"/>
        <v>0</v>
      </c>
      <c r="U58" s="344">
        <f>IF(P58&lt;=0.85, (1/(3*H58*$J$78))*SQRT( ((1-P58)*(1/SQRT(1-PI()*P58/3)-1) + (1-P57)*(1-1/SQRT(1-PI()*P57/3)))^2*SUMSQ(K$8:K57) + ( (1-P58)*(1/SQRT(1-PI()*P58/3)-1) -P57*(1-1/SQRT(1-PI()*P57/3)) )^2*K58^2 + ( P58*(1-1/SQRT(1-PI()*P58/3)) - P57*(1-1/SQRT(1-PI()*P57/3)) )^2*SUMSQ(K59:K$77) ), (1/(PI()^2*H58*$J$78))*SQRT((1+P57/(1-P57))^2*K58^2+(P57/(1-P57)-P58/(1-P58))^2*SUMSQ(K59:K$77)) )</f>
        <v>7.6474275562731977E-12</v>
      </c>
      <c r="V58" s="345">
        <f t="shared" si="18"/>
        <v>7.6474275562731977E-12</v>
      </c>
      <c r="W58" s="340">
        <f t="shared" si="19"/>
        <v>5.4677596347422259</v>
      </c>
      <c r="X58" s="345">
        <f t="shared" si="20"/>
        <v>1.5294855112546395E-11</v>
      </c>
      <c r="Y58" s="338">
        <f t="shared" si="8"/>
        <v>-22.690350565168941</v>
      </c>
      <c r="Z58" s="346">
        <f t="shared" si="21"/>
        <v>5.467759634742226E-2</v>
      </c>
      <c r="AA58" s="346">
        <f t="shared" si="22"/>
        <v>0.24097290251370412</v>
      </c>
      <c r="AB58" s="346">
        <f t="shared" si="9"/>
        <v>0.10935519269484452</v>
      </c>
      <c r="AC58" s="336">
        <f t="shared" si="2"/>
        <v>1.8049393775382379E-14</v>
      </c>
      <c r="AD58" s="337">
        <f t="shared" si="3"/>
        <v>1.1738314564354692E-15</v>
      </c>
      <c r="AE58" s="308">
        <f t="shared" si="10"/>
        <v>6.5034397888557427</v>
      </c>
      <c r="AF58" s="337">
        <f t="shared" si="11"/>
        <v>2.3476629128709384E-15</v>
      </c>
      <c r="AG58" s="338">
        <f t="shared" si="23"/>
        <v>-31.645664296547203</v>
      </c>
      <c r="AH58" s="339">
        <f t="shared" si="24"/>
        <v>6.5034397888557416E-2</v>
      </c>
      <c r="AI58" s="340">
        <f t="shared" si="25"/>
        <v>0.20550808249474223</v>
      </c>
      <c r="AJ58" s="341">
        <f t="shared" si="12"/>
        <v>0.13006879577711483</v>
      </c>
    </row>
    <row r="59" spans="1:36" x14ac:dyDescent="0.2">
      <c r="A59" s="309">
        <v>52</v>
      </c>
      <c r="B59" s="309">
        <f t="shared" si="13"/>
        <v>76.696927777777788</v>
      </c>
      <c r="C59" s="1">
        <v>437.01</v>
      </c>
      <c r="D59" s="1">
        <v>0.13</v>
      </c>
      <c r="E59" s="326">
        <f t="shared" si="4"/>
        <v>14.081333783936016</v>
      </c>
      <c r="F59" s="327">
        <f t="shared" si="0"/>
        <v>2.5066018803197652E-3</v>
      </c>
      <c r="G59" s="309">
        <f t="shared" si="5"/>
        <v>2.710925</v>
      </c>
      <c r="H59" s="1">
        <v>9759.33</v>
      </c>
      <c r="J59" s="1">
        <v>8.3000000000000001E-4</v>
      </c>
      <c r="K59" s="122">
        <v>1.0000000000000001E-5</v>
      </c>
      <c r="L59" s="328">
        <f t="shared" si="6"/>
        <v>1.2048192771084338</v>
      </c>
      <c r="M59" s="329">
        <f t="shared" si="1"/>
        <v>5.0440687524802536E-5</v>
      </c>
      <c r="N59" s="342">
        <f>(1/$J$78)*SQRT(((1-J60/$J$78)*K59)^2+(J60/$J$78)^2*(SUMSQ(K$8:K58)+SUMSQ(K60:K$77)))</f>
        <v>2.0464470915822715E-6</v>
      </c>
      <c r="O59" s="340">
        <f t="shared" si="14"/>
        <v>4.0571356022377749</v>
      </c>
      <c r="P59" s="332">
        <f t="shared" si="7"/>
        <v>0.15160586740662532</v>
      </c>
      <c r="Q59" s="342">
        <f>SQRT(((1-P59)/$J$78)^2*SUMSQ(K$8:K59)+(P59/$J$78)^2*SUMSQ(K60:K$77))</f>
        <v>3.7809578969218343E-3</v>
      </c>
      <c r="R59" s="340">
        <f t="shared" si="15"/>
        <v>2.4939390286134815</v>
      </c>
      <c r="S59" s="343">
        <f t="shared" si="16"/>
        <v>1.5551672712762097E-10</v>
      </c>
      <c r="T59" s="344">
        <f t="shared" si="17"/>
        <v>0</v>
      </c>
      <c r="U59" s="344">
        <f>IF(P59&lt;=0.85, (1/(3*H59*$J$78))*SQRT( ((1-P59)*(1/SQRT(1-PI()*P59/3)-1) + (1-P58)*(1-1/SQRT(1-PI()*P58/3)))^2*SUMSQ(K$8:K58) + ( (1-P59)*(1/SQRT(1-PI()*P59/3)-1) -P58*(1-1/SQRT(1-PI()*P58/3)) )^2*K59^2 + ( P59*(1-1/SQRT(1-PI()*P59/3)) - P58*(1-1/SQRT(1-PI()*P58/3)) )^2*SUMSQ(K60:K$77) ), (1/(PI()^2*H59*$J$78))*SQRT((1+P58/(1-P58))^2*K59^2+(P58/(1-P58)-P59/(1-P59))^2*SUMSQ(K60:K$77)) )</f>
        <v>8.5034858968048927E-12</v>
      </c>
      <c r="V59" s="345">
        <f t="shared" si="18"/>
        <v>8.5034858968048927E-12</v>
      </c>
      <c r="W59" s="340">
        <f t="shared" si="19"/>
        <v>5.4678914955731521</v>
      </c>
      <c r="X59" s="345">
        <f t="shared" si="20"/>
        <v>1.7006971793609785E-11</v>
      </c>
      <c r="Y59" s="338">
        <f t="shared" si="8"/>
        <v>-22.584267820141946</v>
      </c>
      <c r="Z59" s="346">
        <f t="shared" si="21"/>
        <v>5.4678914955731524E-2</v>
      </c>
      <c r="AA59" s="346">
        <f t="shared" si="22"/>
        <v>0.24211063821588996</v>
      </c>
      <c r="AB59" s="346">
        <f t="shared" si="9"/>
        <v>0.10935782991146305</v>
      </c>
      <c r="AC59" s="336">
        <f t="shared" si="2"/>
        <v>2.0069371429128632E-14</v>
      </c>
      <c r="AD59" s="337">
        <f t="shared" si="3"/>
        <v>1.3052217362491297E-15</v>
      </c>
      <c r="AE59" s="308">
        <f t="shared" si="10"/>
        <v>6.5035506510918148</v>
      </c>
      <c r="AF59" s="337">
        <f t="shared" si="11"/>
        <v>2.6104434724982594E-15</v>
      </c>
      <c r="AG59" s="338">
        <f t="shared" si="23"/>
        <v>-31.539581551520207</v>
      </c>
      <c r="AH59" s="339">
        <f t="shared" si="24"/>
        <v>6.5035506510918148E-2</v>
      </c>
      <c r="AI59" s="340">
        <f t="shared" si="25"/>
        <v>0.20620281979544347</v>
      </c>
      <c r="AJ59" s="341">
        <f t="shared" si="12"/>
        <v>0.1300710130218363</v>
      </c>
    </row>
    <row r="60" spans="1:36" x14ac:dyDescent="0.2">
      <c r="A60" s="309">
        <v>53</v>
      </c>
      <c r="B60" s="309">
        <f t="shared" si="13"/>
        <v>79.410636111111117</v>
      </c>
      <c r="C60" s="1">
        <v>447.01</v>
      </c>
      <c r="D60" s="1">
        <v>0.23</v>
      </c>
      <c r="E60" s="326">
        <f t="shared" si="4"/>
        <v>13.885803154854477</v>
      </c>
      <c r="F60" s="327">
        <f t="shared" si="0"/>
        <v>4.3142336006215202E-3</v>
      </c>
      <c r="G60" s="309">
        <f t="shared" si="5"/>
        <v>2.7137083333333338</v>
      </c>
      <c r="H60" s="1">
        <v>9769.35</v>
      </c>
      <c r="J60" s="1">
        <v>1.2899999999999999E-3</v>
      </c>
      <c r="K60" s="122">
        <v>2.9999999999999899E-5</v>
      </c>
      <c r="L60" s="328">
        <f t="shared" si="6"/>
        <v>2.3255813953488293</v>
      </c>
      <c r="M60" s="329">
        <f t="shared" si="1"/>
        <v>7.8395767357825622E-5</v>
      </c>
      <c r="N60" s="342">
        <f>(1/$J$78)*SQRT(((1-J61/$J$78)*K60)^2+(J61/$J$78)^2*(SUMSQ(K$8:K59)+SUMSQ(K61:K$77)))</f>
        <v>3.0692255994486958E-6</v>
      </c>
      <c r="O60" s="340">
        <f t="shared" si="14"/>
        <v>3.9150399350511873</v>
      </c>
      <c r="P60" s="332">
        <f t="shared" si="7"/>
        <v>0.15168426317398315</v>
      </c>
      <c r="Q60" s="342">
        <f>SQRT(((1-P60)/$J$78)^2*SUMSQ(K$8:K60)+(P60/$J$78)^2*SUMSQ(K61:K$77))</f>
        <v>3.7829109165609756E-3</v>
      </c>
      <c r="R60" s="340">
        <f t="shared" si="15"/>
        <v>2.493937628995794</v>
      </c>
      <c r="S60" s="343">
        <f t="shared" si="16"/>
        <v>2.4157574660059989E-10</v>
      </c>
      <c r="T60" s="344">
        <f t="shared" si="17"/>
        <v>0</v>
      </c>
      <c r="U60" s="344">
        <f>IF(P60&lt;=0.85, (1/(3*H60*$J$78))*SQRT( ((1-P60)*(1/SQRT(1-PI()*P60/3)-1) + (1-P59)*(1-1/SQRT(1-PI()*P59/3)))^2*SUMSQ(K$8:K59) + ( (1-P60)*(1/SQRT(1-PI()*P60/3)-1) -P59*(1-1/SQRT(1-PI()*P59/3)) )^2*K60^2 + ( P60*(1-1/SQRT(1-PI()*P60/3)) - P59*(1-1/SQRT(1-PI()*P59/3)) )^2*SUMSQ(K61:K$77) ), (1/(PI()^2*H60*$J$78))*SQRT((1+P59/(1-P59))^2*K60^2+(P59/(1-P59)-P60/(1-P60))^2*SUMSQ(K61:K$77)) )</f>
        <v>1.4056626900551229E-11</v>
      </c>
      <c r="V60" s="345">
        <f t="shared" si="18"/>
        <v>1.4056626900551229E-11</v>
      </c>
      <c r="W60" s="340">
        <f t="shared" si="19"/>
        <v>5.8187243952892427</v>
      </c>
      <c r="X60" s="345">
        <f t="shared" si="20"/>
        <v>2.8113253801102459E-11</v>
      </c>
      <c r="Y60" s="338">
        <f t="shared" si="8"/>
        <v>-22.143838041493879</v>
      </c>
      <c r="Z60" s="346">
        <f t="shared" si="21"/>
        <v>5.8187243952892431E-2</v>
      </c>
      <c r="AA60" s="346">
        <f t="shared" si="22"/>
        <v>0.26276946139083562</v>
      </c>
      <c r="AB60" s="346">
        <f t="shared" si="9"/>
        <v>0.11637448790578486</v>
      </c>
      <c r="AC60" s="336">
        <f t="shared" si="2"/>
        <v>3.1175253468508772E-14</v>
      </c>
      <c r="AD60" s="337">
        <f t="shared" si="3"/>
        <v>2.1202813877565348E-15</v>
      </c>
      <c r="AE60" s="308">
        <f t="shared" si="10"/>
        <v>6.8011680799910934</v>
      </c>
      <c r="AF60" s="337">
        <f t="shared" si="11"/>
        <v>4.2405627755130695E-15</v>
      </c>
      <c r="AG60" s="338">
        <f t="shared" si="23"/>
        <v>-31.099151772872144</v>
      </c>
      <c r="AH60" s="339">
        <f t="shared" si="24"/>
        <v>6.8011680799910934E-2</v>
      </c>
      <c r="AI60" s="340">
        <f t="shared" si="25"/>
        <v>0.21869304120132843</v>
      </c>
      <c r="AJ60" s="341">
        <f t="shared" si="12"/>
        <v>0.13602336159982187</v>
      </c>
    </row>
    <row r="61" spans="1:36" x14ac:dyDescent="0.2">
      <c r="A61" s="309">
        <v>54</v>
      </c>
      <c r="B61" s="309">
        <f t="shared" si="13"/>
        <v>82.122683333333342</v>
      </c>
      <c r="C61" s="1">
        <v>457</v>
      </c>
      <c r="D61" s="1">
        <v>0.32</v>
      </c>
      <c r="E61" s="326">
        <f t="shared" si="4"/>
        <v>13.695815928233925</v>
      </c>
      <c r="F61" s="327">
        <f t="shared" si="0"/>
        <v>5.8413131794094689E-3</v>
      </c>
      <c r="G61" s="309">
        <f t="shared" si="5"/>
        <v>2.7120472222222225</v>
      </c>
      <c r="H61" s="1">
        <v>9763.3700000000008</v>
      </c>
      <c r="J61" s="1">
        <v>1.6299999999999999E-3</v>
      </c>
      <c r="K61" s="122">
        <v>4.0000000000000003E-5</v>
      </c>
      <c r="L61" s="328">
        <f t="shared" si="6"/>
        <v>2.4539877300613502</v>
      </c>
      <c r="M61" s="329">
        <f t="shared" si="1"/>
        <v>9.9058217669190519E-5</v>
      </c>
      <c r="N61" s="342">
        <f>(1/$J$78)*SQRT(((1-J62/$J$78)*K61)^2+(J62/$J$78)^2*(SUMSQ(K$8:K60)+SUMSQ(K62:K$77)))</f>
        <v>3.7787880419186981E-6</v>
      </c>
      <c r="O61" s="340">
        <f t="shared" si="14"/>
        <v>3.8147143476153946</v>
      </c>
      <c r="P61" s="332">
        <f t="shared" si="7"/>
        <v>0.15178332139165235</v>
      </c>
      <c r="Q61" s="342">
        <f>SQRT(((1-P61)/$J$78)^2*SUMSQ(K$8:K61)+(P61/$J$78)^2*SUMSQ(K62:K$77))</f>
        <v>3.7853788442542861E-3</v>
      </c>
      <c r="R61" s="340">
        <f t="shared" si="15"/>
        <v>2.4939359671058505</v>
      </c>
      <c r="S61" s="343">
        <f t="shared" si="16"/>
        <v>3.0563749928151068E-10</v>
      </c>
      <c r="T61" s="344">
        <f t="shared" si="17"/>
        <v>0</v>
      </c>
      <c r="U61" s="344">
        <f>IF(P61&lt;=0.85, (1/(3*H61*$J$78))*SQRT( ((1-P61)*(1/SQRT(1-PI()*P61/3)-1) + (1-P60)*(1-1/SQRT(1-PI()*P60/3)))^2*SUMSQ(K$8:K60) + ( (1-P61)*(1/SQRT(1-PI()*P61/3)-1) -P60*(1-1/SQRT(1-PI()*P60/3)) )^2*K61^2 + ( P61*(1-1/SQRT(1-PI()*P61/3)) - P60*(1-1/SQRT(1-PI()*P60/3)) )^2*SUMSQ(K62:K$77) ), (1/(PI()^2*H61*$J$78))*SQRT((1+P60/(1-P60))^2*K61^2+(P60/(1-P60)-P61/(1-P61))^2*SUMSQ(K62:K$77)) )</f>
        <v>1.7945470034309658E-11</v>
      </c>
      <c r="V61" s="345">
        <f t="shared" si="18"/>
        <v>1.7945470034309658E-11</v>
      </c>
      <c r="W61" s="340">
        <f t="shared" si="19"/>
        <v>5.87148830771606</v>
      </c>
      <c r="X61" s="345">
        <f t="shared" si="20"/>
        <v>3.5890940068619315E-11</v>
      </c>
      <c r="Y61" s="338">
        <f t="shared" si="8"/>
        <v>-21.908621359091075</v>
      </c>
      <c r="Z61" s="346">
        <f t="shared" si="21"/>
        <v>5.87148830771606E-2</v>
      </c>
      <c r="AA61" s="346">
        <f t="shared" si="22"/>
        <v>0.26799898594621796</v>
      </c>
      <c r="AB61" s="346">
        <f t="shared" si="9"/>
        <v>0.1174297661543212</v>
      </c>
      <c r="AC61" s="336">
        <f t="shared" si="2"/>
        <v>3.9442397027279237E-14</v>
      </c>
      <c r="AD61" s="337">
        <f t="shared" si="3"/>
        <v>2.7003703182826116E-15</v>
      </c>
      <c r="AE61" s="308">
        <f t="shared" si="10"/>
        <v>6.8463646274210355</v>
      </c>
      <c r="AF61" s="337">
        <f t="shared" si="11"/>
        <v>5.4007406365652233E-15</v>
      </c>
      <c r="AG61" s="338">
        <f t="shared" si="23"/>
        <v>-30.863935090469337</v>
      </c>
      <c r="AH61" s="339">
        <f t="shared" si="24"/>
        <v>6.8463646274210352E-2</v>
      </c>
      <c r="AI61" s="340">
        <f t="shared" si="25"/>
        <v>0.22182410011402487</v>
      </c>
      <c r="AJ61" s="341">
        <f t="shared" si="12"/>
        <v>0.1369272925484207</v>
      </c>
    </row>
    <row r="62" spans="1:36" x14ac:dyDescent="0.2">
      <c r="A62" s="309">
        <v>55</v>
      </c>
      <c r="B62" s="309">
        <f t="shared" si="13"/>
        <v>84.833608333333345</v>
      </c>
      <c r="C62" s="1">
        <v>467</v>
      </c>
      <c r="D62" s="1">
        <v>0.4</v>
      </c>
      <c r="E62" s="326">
        <f t="shared" si="4"/>
        <v>13.510774842937243</v>
      </c>
      <c r="F62" s="327">
        <f t="shared" si="0"/>
        <v>7.1080780076646479E-3</v>
      </c>
      <c r="G62" s="309">
        <f t="shared" si="5"/>
        <v>2.710925</v>
      </c>
      <c r="H62" s="1">
        <v>9759.33</v>
      </c>
      <c r="J62" s="1">
        <v>1.91E-3</v>
      </c>
      <c r="K62" s="122">
        <v>4.0000000000000003E-5</v>
      </c>
      <c r="L62" s="328">
        <f t="shared" si="6"/>
        <v>2.0942408376963351</v>
      </c>
      <c r="M62" s="329">
        <f t="shared" si="1"/>
        <v>1.1607435321972632E-4</v>
      </c>
      <c r="N62" s="342">
        <f>(1/$J$78)*SQRT(((1-J63/$J$78)*K62)^2+(J63/$J$78)^2*(SUMSQ(K$8:K61)+SUMSQ(K63:K$77)))</f>
        <v>4.6152641160389071E-6</v>
      </c>
      <c r="O62" s="340">
        <f t="shared" si="14"/>
        <v>3.9761273597642268</v>
      </c>
      <c r="P62" s="332">
        <f t="shared" si="7"/>
        <v>0.15189939574487207</v>
      </c>
      <c r="Q62" s="342">
        <f>SQRT(((1-P62)/$J$78)^2*SUMSQ(K$8:K62)+(P62/$J$78)^2*SUMSQ(K63:K$77))</f>
        <v>3.7882706188739996E-3</v>
      </c>
      <c r="R62" s="340">
        <f t="shared" si="15"/>
        <v>2.4939339622105683</v>
      </c>
      <c r="S62" s="343">
        <f t="shared" si="16"/>
        <v>3.5857739683498691E-10</v>
      </c>
      <c r="T62" s="344">
        <f t="shared" si="17"/>
        <v>0</v>
      </c>
      <c r="U62" s="344">
        <f>IF(P62&lt;=0.85, (1/(3*H62*$J$78))*SQRT( ((1-P62)*(1/SQRT(1-PI()*P62/3)-1) + (1-P61)*(1-1/SQRT(1-PI()*P61/3)))^2*SUMSQ(K$8:K61) + ( (1-P62)*(1/SQRT(1-PI()*P62/3)-1) -P61*(1-1/SQRT(1-PI()*P61/3)) )^2*K62^2 + ( P62*(1-1/SQRT(1-PI()*P62/3)) - P61*(1-1/SQRT(1-PI()*P61/3)) )^2*SUMSQ(K63:K$77) ), (1/(PI()^2*H62*$J$78))*SQRT((1+P61/(1-P61))^2*K62^2+(P61/(1-P61)-P62/(1-P62))^2*SUMSQ(K63:K$77)) )</f>
        <v>2.0549005869926951E-11</v>
      </c>
      <c r="V62" s="345">
        <f t="shared" si="18"/>
        <v>2.0549005869926951E-11</v>
      </c>
      <c r="W62" s="340">
        <f t="shared" si="19"/>
        <v>5.7307030647510002</v>
      </c>
      <c r="X62" s="345">
        <f t="shared" si="20"/>
        <v>4.1098011739853903E-11</v>
      </c>
      <c r="Y62" s="338">
        <f t="shared" si="8"/>
        <v>-21.748876588436826</v>
      </c>
      <c r="Z62" s="346">
        <f t="shared" si="21"/>
        <v>5.7307030647510006E-2</v>
      </c>
      <c r="AA62" s="346">
        <f t="shared" si="22"/>
        <v>0.26349421044569399</v>
      </c>
      <c r="AB62" s="346">
        <f t="shared" si="9"/>
        <v>0.11461406129502001</v>
      </c>
      <c r="AC62" s="336">
        <f t="shared" si="2"/>
        <v>4.6274269630596326E-14</v>
      </c>
      <c r="AD62" s="337">
        <f t="shared" si="3"/>
        <v>3.112414780889809E-15</v>
      </c>
      <c r="AE62" s="308">
        <f t="shared" si="10"/>
        <v>6.726016003571659</v>
      </c>
      <c r="AF62" s="337">
        <f t="shared" si="11"/>
        <v>6.224829561779618E-15</v>
      </c>
      <c r="AG62" s="338">
        <f t="shared" si="23"/>
        <v>-30.704190319815091</v>
      </c>
      <c r="AH62" s="339">
        <f t="shared" si="24"/>
        <v>6.7260160035716596E-2</v>
      </c>
      <c r="AI62" s="340">
        <f t="shared" si="25"/>
        <v>0.21905856931947798</v>
      </c>
      <c r="AJ62" s="341">
        <f t="shared" si="12"/>
        <v>0.13452032007143319</v>
      </c>
    </row>
    <row r="63" spans="1:36" x14ac:dyDescent="0.2">
      <c r="A63" s="309">
        <v>56</v>
      </c>
      <c r="B63" s="309">
        <f t="shared" si="13"/>
        <v>87.546758333333344</v>
      </c>
      <c r="C63" s="1">
        <v>477.01</v>
      </c>
      <c r="D63" s="1">
        <v>0.14000000000000001</v>
      </c>
      <c r="E63" s="326">
        <f t="shared" si="4"/>
        <v>13.330489495574279</v>
      </c>
      <c r="F63" s="327">
        <f t="shared" si="0"/>
        <v>2.4228024799396388E-3</v>
      </c>
      <c r="G63" s="309">
        <f t="shared" si="5"/>
        <v>2.7131500000000002</v>
      </c>
      <c r="H63" s="1">
        <v>9767.34</v>
      </c>
      <c r="J63" s="1">
        <v>2.5899999999999999E-3</v>
      </c>
      <c r="K63" s="122">
        <v>8.0000000000000007E-5</v>
      </c>
      <c r="L63" s="328">
        <f t="shared" si="6"/>
        <v>3.0888030888030893</v>
      </c>
      <c r="M63" s="329">
        <f t="shared" si="1"/>
        <v>1.573992538424561E-4</v>
      </c>
      <c r="N63" s="342">
        <f>(1/$J$78)*SQRT(((1-J64/$J$78)*K63)^2+(J64/$J$78)^2*(SUMSQ(K$8:K62)+SUMSQ(K64:K$77)))</f>
        <v>7.5572130476148043E-6</v>
      </c>
      <c r="O63" s="340">
        <f t="shared" si="14"/>
        <v>4.8013016981509722</v>
      </c>
      <c r="P63" s="332">
        <f t="shared" si="7"/>
        <v>0.15205679499871452</v>
      </c>
      <c r="Q63" s="342">
        <f>SQRT(((1-P63)/$J$78)^2*SUMSQ(K$8:K63)+(P63/$J$78)^2*SUMSQ(K64:K$77))</f>
        <v>3.7921933625836117E-3</v>
      </c>
      <c r="R63" s="340">
        <f t="shared" si="15"/>
        <v>2.4939321933068959</v>
      </c>
      <c r="S63" s="343">
        <f t="shared" si="16"/>
        <v>4.8633842831148628E-10</v>
      </c>
      <c r="T63" s="344">
        <f t="shared" si="17"/>
        <v>0</v>
      </c>
      <c r="U63" s="344">
        <f>IF(P63&lt;=0.85, (1/(3*H63*$J$78))*SQRT( ((1-P63)*(1/SQRT(1-PI()*P63/3)-1) + (1-P62)*(1-1/SQRT(1-PI()*P62/3)))^2*SUMSQ(K$8:K62) + ( (1-P63)*(1/SQRT(1-PI()*P63/3)-1) -P62*(1-1/SQRT(1-PI()*P62/3)) )^2*K63^2 + ( P63*(1-1/SQRT(1-PI()*P63/3)) - P62*(1-1/SQRT(1-PI()*P62/3)) )^2*SUMSQ(K64:K$77) ), (1/(PI()^2*H63*$J$78))*SQRT((1+P62/(1-P62))^2*K63^2+(P62/(1-P62)-P63/(1-P63))^2*SUMSQ(K64:K$77)) )</f>
        <v>2.9981068433612806E-11</v>
      </c>
      <c r="V63" s="345">
        <f t="shared" si="18"/>
        <v>2.9981068433612806E-11</v>
      </c>
      <c r="W63" s="340">
        <f t="shared" si="19"/>
        <v>6.1646513391310229</v>
      </c>
      <c r="X63" s="345">
        <f t="shared" si="20"/>
        <v>5.9962136867225613E-11</v>
      </c>
      <c r="Y63" s="338">
        <f t="shared" si="8"/>
        <v>-21.444116379820002</v>
      </c>
      <c r="Z63" s="346">
        <f t="shared" si="21"/>
        <v>6.1646513391310227E-2</v>
      </c>
      <c r="AA63" s="346">
        <f t="shared" si="22"/>
        <v>0.28747518573123726</v>
      </c>
      <c r="AB63" s="346">
        <f t="shared" si="9"/>
        <v>0.12329302678262045</v>
      </c>
      <c r="AC63" s="336">
        <f t="shared" si="2"/>
        <v>6.2761779638225975E-14</v>
      </c>
      <c r="AD63" s="337">
        <f t="shared" si="3"/>
        <v>4.455700034262181E-15</v>
      </c>
      <c r="AE63" s="308">
        <f t="shared" si="10"/>
        <v>7.0993844660650316</v>
      </c>
      <c r="AF63" s="337">
        <f t="shared" si="11"/>
        <v>8.9114000685243619E-15</v>
      </c>
      <c r="AG63" s="338">
        <f t="shared" si="23"/>
        <v>-30.399430111198267</v>
      </c>
      <c r="AH63" s="339">
        <f t="shared" si="24"/>
        <v>7.0993844660650313E-2</v>
      </c>
      <c r="AI63" s="340">
        <f t="shared" si="25"/>
        <v>0.23353676171218174</v>
      </c>
      <c r="AJ63" s="341">
        <f t="shared" si="12"/>
        <v>0.14198768932130063</v>
      </c>
    </row>
    <row r="64" spans="1:36" x14ac:dyDescent="0.2">
      <c r="A64" s="309">
        <v>57</v>
      </c>
      <c r="B64" s="309">
        <f t="shared" si="13"/>
        <v>90.259352777777792</v>
      </c>
      <c r="C64" s="1">
        <v>487.01</v>
      </c>
      <c r="D64" s="1">
        <v>0.3</v>
      </c>
      <c r="E64" s="326">
        <f t="shared" si="4"/>
        <v>13.155125236792255</v>
      </c>
      <c r="F64" s="327">
        <f t="shared" si="0"/>
        <v>5.0577730397099443E-3</v>
      </c>
      <c r="G64" s="309">
        <f t="shared" si="5"/>
        <v>2.7125944444444441</v>
      </c>
      <c r="H64" s="1">
        <v>9765.34</v>
      </c>
      <c r="J64" s="1">
        <v>3.82E-3</v>
      </c>
      <c r="K64" s="122">
        <v>5.0000000000000002E-5</v>
      </c>
      <c r="L64" s="328">
        <f t="shared" si="6"/>
        <v>1.3089005235602094</v>
      </c>
      <c r="M64" s="329">
        <f t="shared" si="1"/>
        <v>2.3214870643945264E-4</v>
      </c>
      <c r="N64" s="342">
        <f>(1/$J$78)*SQRT(((1-J65/$J$78)*K64)^2+(J65/$J$78)^2*(SUMSQ(K$8:K63)+SUMSQ(K65:K$77)))</f>
        <v>8.4567096291589118E-6</v>
      </c>
      <c r="O64" s="340">
        <f t="shared" si="14"/>
        <v>3.6427985143068331</v>
      </c>
      <c r="P64" s="332">
        <f t="shared" si="7"/>
        <v>0.15228894370515397</v>
      </c>
      <c r="Q64" s="342">
        <f>SQRT(((1-P64)/$J$78)^2*SUMSQ(K$8:K64)+(P64/$J$78)^2*SUMSQ(K65:K$77))</f>
        <v>3.7979766836031968E-3</v>
      </c>
      <c r="R64" s="340">
        <f t="shared" si="15"/>
        <v>2.4939280496661955</v>
      </c>
      <c r="S64" s="343">
        <f t="shared" si="16"/>
        <v>7.1849746680248211E-10</v>
      </c>
      <c r="T64" s="344">
        <f t="shared" si="17"/>
        <v>0</v>
      </c>
      <c r="U64" s="344">
        <f>IF(P64&lt;=0.85, (1/(3*H64*$J$78))*SQRT( ((1-P64)*(1/SQRT(1-PI()*P64/3)-1) + (1-P63)*(1-1/SQRT(1-PI()*P63/3)))^2*SUMSQ(K$8:K63) + ( (1-P64)*(1/SQRT(1-PI()*P64/3)-1) -P63*(1-1/SQRT(1-PI()*P63/3)) )^2*K64^2 + ( P64*(1-1/SQRT(1-PI()*P64/3)) - P63*(1-1/SQRT(1-PI()*P63/3)) )^2*SUMSQ(K65:K$77) ), (1/(PI()^2*H64*$J$78))*SQRT((1+P63/(1-P63))^2*K64^2+(P63/(1-P63)-P64/(1-P64))^2*SUMSQ(K65:K$77)) )</f>
        <v>3.9469954669466408E-11</v>
      </c>
      <c r="V64" s="345">
        <f t="shared" si="18"/>
        <v>3.9469954669466408E-11</v>
      </c>
      <c r="W64" s="340">
        <f t="shared" si="19"/>
        <v>5.493402063770513</v>
      </c>
      <c r="X64" s="345">
        <f t="shared" si="20"/>
        <v>7.8939909338932816E-11</v>
      </c>
      <c r="Y64" s="338">
        <f t="shared" si="8"/>
        <v>-21.053858936090727</v>
      </c>
      <c r="Z64" s="346">
        <f t="shared" si="21"/>
        <v>5.4934020637705132E-2</v>
      </c>
      <c r="AA64" s="346">
        <f t="shared" si="22"/>
        <v>0.26092138645204233</v>
      </c>
      <c r="AB64" s="346">
        <f t="shared" si="9"/>
        <v>0.10986804127541026</v>
      </c>
      <c r="AC64" s="336">
        <f t="shared" si="2"/>
        <v>9.2721810691873597E-14</v>
      </c>
      <c r="AD64" s="337">
        <f t="shared" si="3"/>
        <v>6.050110574357819E-15</v>
      </c>
      <c r="AE64" s="308">
        <f t="shared" si="10"/>
        <v>6.5250134021466728</v>
      </c>
      <c r="AF64" s="337">
        <f t="shared" si="11"/>
        <v>1.2100221148715638E-14</v>
      </c>
      <c r="AG64" s="338">
        <f t="shared" si="23"/>
        <v>-30.009172667468988</v>
      </c>
      <c r="AH64" s="339">
        <f t="shared" si="24"/>
        <v>6.5250134021466732E-2</v>
      </c>
      <c r="AI64" s="340">
        <f t="shared" si="25"/>
        <v>0.21743396508961477</v>
      </c>
      <c r="AJ64" s="341">
        <f t="shared" si="12"/>
        <v>0.13050026804293346</v>
      </c>
    </row>
    <row r="65" spans="1:36" x14ac:dyDescent="0.2">
      <c r="A65" s="309">
        <v>58</v>
      </c>
      <c r="B65" s="309">
        <f t="shared" si="13"/>
        <v>92.970280555555576</v>
      </c>
      <c r="C65" s="1">
        <v>497.01</v>
      </c>
      <c r="D65" s="1">
        <v>0.28999999999999998</v>
      </c>
      <c r="E65" s="326">
        <f t="shared" si="4"/>
        <v>12.984314947543368</v>
      </c>
      <c r="F65" s="327">
        <f t="shared" si="0"/>
        <v>4.7646459934009046E-3</v>
      </c>
      <c r="G65" s="309">
        <f t="shared" si="5"/>
        <v>2.7109277777777776</v>
      </c>
      <c r="H65" s="1">
        <v>9759.34</v>
      </c>
      <c r="J65" s="1">
        <v>5.2100000000000002E-3</v>
      </c>
      <c r="K65" s="122">
        <v>9.0000000000000006E-5</v>
      </c>
      <c r="L65" s="328">
        <f t="shared" si="6"/>
        <v>1.727447216890595</v>
      </c>
      <c r="M65" s="329">
        <f t="shared" si="1"/>
        <v>3.1662166506532682E-4</v>
      </c>
      <c r="N65" s="342">
        <f>(1/$J$78)*SQRT(((1-J66/$J$78)*K65)^2+(J66/$J$78)^2*(SUMSQ(K$8:K64)+SUMSQ(K66:K$77)))</f>
        <v>1.2458288999063545E-5</v>
      </c>
      <c r="O65" s="340">
        <f t="shared" si="14"/>
        <v>3.9347556954111442</v>
      </c>
      <c r="P65" s="332">
        <f t="shared" si="7"/>
        <v>0.1526055653702193</v>
      </c>
      <c r="Q65" s="342">
        <f>SQRT(((1-P65)/$J$78)^2*SUMSQ(K$8:K65)+(P65/$J$78)^2*SUMSQ(K66:K$77))</f>
        <v>3.805866002641612E-3</v>
      </c>
      <c r="R65" s="340">
        <f t="shared" si="15"/>
        <v>2.4939234643301678</v>
      </c>
      <c r="S65" s="343">
        <f t="shared" si="16"/>
        <v>9.8255903101897628E-10</v>
      </c>
      <c r="T65" s="344">
        <f t="shared" si="17"/>
        <v>0</v>
      </c>
      <c r="U65" s="344">
        <f>IF(P65&lt;=0.85, (1/(3*H65*$J$78))*SQRT( ((1-P65)*(1/SQRT(1-PI()*P65/3)-1) + (1-P64)*(1-1/SQRT(1-PI()*P64/3)))^2*SUMSQ(K$8:K64) + ( (1-P65)*(1/SQRT(1-PI()*P65/3)-1) -P64*(1-1/SQRT(1-PI()*P64/3)) )^2*K65^2 + ( P65*(1-1/SQRT(1-PI()*P65/3)) - P64*(1-1/SQRT(1-PI()*P64/3)) )^2*SUMSQ(K66:K$77) ), (1/(PI()^2*H65*$J$78))*SQRT((1+P64/(1-P64))^2*K65^2+(P64/(1-P64)-P65/(1-P65))^2*SUMSQ(K66:K$77)) )</f>
        <v>5.5109151345963708E-11</v>
      </c>
      <c r="V65" s="345">
        <f t="shared" si="18"/>
        <v>5.5109151345963708E-11</v>
      </c>
      <c r="W65" s="340">
        <f t="shared" si="19"/>
        <v>5.608736941617849</v>
      </c>
      <c r="X65" s="345">
        <f t="shared" si="20"/>
        <v>1.1021830269192742E-10</v>
      </c>
      <c r="Y65" s="338">
        <f t="shared" si="8"/>
        <v>-20.740860691527949</v>
      </c>
      <c r="Z65" s="346">
        <f t="shared" si="21"/>
        <v>5.6087369416178492E-2</v>
      </c>
      <c r="AA65" s="346">
        <f t="shared" si="22"/>
        <v>0.27041968147005868</v>
      </c>
      <c r="AB65" s="346">
        <f t="shared" si="9"/>
        <v>0.11217473883235698</v>
      </c>
      <c r="AC65" s="336">
        <f t="shared" si="2"/>
        <v>1.2679884992938647E-13</v>
      </c>
      <c r="AD65" s="337">
        <f t="shared" si="3"/>
        <v>8.3971348864647017E-15</v>
      </c>
      <c r="AE65" s="308">
        <f t="shared" si="10"/>
        <v>6.6224061899149849</v>
      </c>
      <c r="AF65" s="337">
        <f t="shared" si="11"/>
        <v>1.6794269772929403E-14</v>
      </c>
      <c r="AG65" s="338">
        <f t="shared" si="23"/>
        <v>-29.696174422906211</v>
      </c>
      <c r="AH65" s="339">
        <f t="shared" si="24"/>
        <v>6.6224061899149853E-2</v>
      </c>
      <c r="AI65" s="340">
        <f t="shared" si="25"/>
        <v>0.22300536411204458</v>
      </c>
      <c r="AJ65" s="341">
        <f t="shared" si="12"/>
        <v>0.13244812379829971</v>
      </c>
    </row>
    <row r="66" spans="1:36" x14ac:dyDescent="0.2">
      <c r="A66" s="309">
        <v>59</v>
      </c>
      <c r="B66" s="309">
        <f t="shared" si="13"/>
        <v>95.683986111111125</v>
      </c>
      <c r="C66" s="1">
        <v>507.01</v>
      </c>
      <c r="D66" s="1">
        <v>0.12</v>
      </c>
      <c r="E66" s="326">
        <f t="shared" si="4"/>
        <v>12.817883511074651</v>
      </c>
      <c r="F66" s="327">
        <f t="shared" si="0"/>
        <v>1.9219901805470423E-3</v>
      </c>
      <c r="G66" s="309">
        <f t="shared" si="5"/>
        <v>2.7137055555555558</v>
      </c>
      <c r="H66" s="1">
        <v>9769.34</v>
      </c>
      <c r="J66" s="1">
        <v>7.3899999999999999E-3</v>
      </c>
      <c r="K66" s="1">
        <v>1.1E-4</v>
      </c>
      <c r="L66" s="328">
        <f t="shared" si="6"/>
        <v>1.4884979702300407</v>
      </c>
      <c r="M66" s="329">
        <f t="shared" si="1"/>
        <v>4.4910443470878403E-4</v>
      </c>
      <c r="N66" s="342">
        <f>(1/$J$78)*SQRT(((1-J67/$J$78)*K66)^2+(J67/$J$78)^2*(SUMSQ(K$8:K65)+SUMSQ(K67:K$77)))</f>
        <v>1.6736557936345813E-5</v>
      </c>
      <c r="O66" s="340">
        <f t="shared" si="14"/>
        <v>3.7266516745038198</v>
      </c>
      <c r="P66" s="332">
        <f t="shared" si="7"/>
        <v>0.15305466980492807</v>
      </c>
      <c r="Q66" s="342">
        <f>SQRT(((1-P66)/$J$78)^2*SUMSQ(K$8:K66)+(P66/$J$78)^2*SUMSQ(K67:K$77))</f>
        <v>3.8170566364994253E-3</v>
      </c>
      <c r="R66" s="340">
        <f t="shared" si="15"/>
        <v>2.493917135206889</v>
      </c>
      <c r="S66" s="343">
        <f t="shared" si="16"/>
        <v>1.3962498501451687E-9</v>
      </c>
      <c r="T66" s="344">
        <f t="shared" si="17"/>
        <v>0</v>
      </c>
      <c r="U66" s="344">
        <f>IF(P66&lt;=0.85, (1/(3*H66*$J$78))*SQRT( ((1-P66)*(1/SQRT(1-PI()*P66/3)-1) + (1-P65)*(1-1/SQRT(1-PI()*P65/3)))^2*SUMSQ(K$8:K65) + ( (1-P66)*(1/SQRT(1-PI()*P66/3)-1) -P65*(1-1/SQRT(1-PI()*P65/3)) )^2*K66^2 + ( P66*(1-1/SQRT(1-PI()*P66/3)) - P65*(1-1/SQRT(1-PI()*P65/3)) )^2*SUMSQ(K67:K$77) ), (1/(PI()^2*H66*$J$78))*SQRT((1+P65/(1-P65))^2*K66^2+(P65/(1-P65)-P66/(1-P66))^2*SUMSQ(K67:K$77)) )</f>
        <v>7.7363601722453843E-11</v>
      </c>
      <c r="V66" s="345">
        <f t="shared" si="18"/>
        <v>7.7363601722453843E-11</v>
      </c>
      <c r="W66" s="340">
        <f t="shared" si="19"/>
        <v>5.5408136097139282</v>
      </c>
      <c r="X66" s="345">
        <f t="shared" si="20"/>
        <v>1.5472720344490769E-10</v>
      </c>
      <c r="Y66" s="338">
        <f t="shared" si="8"/>
        <v>-20.389475872871792</v>
      </c>
      <c r="Z66" s="346">
        <f t="shared" si="21"/>
        <v>5.5408136097139286E-2</v>
      </c>
      <c r="AA66" s="346">
        <f t="shared" si="22"/>
        <v>0.27174870233353982</v>
      </c>
      <c r="AB66" s="346">
        <f t="shared" si="9"/>
        <v>0.11081627219427857</v>
      </c>
      <c r="AC66" s="336">
        <f t="shared" si="2"/>
        <v>1.8018548466129396E-13</v>
      </c>
      <c r="AD66" s="337">
        <f t="shared" si="3"/>
        <v>1.1829139208629052E-14</v>
      </c>
      <c r="AE66" s="308">
        <f t="shared" si="10"/>
        <v>6.564978988659953</v>
      </c>
      <c r="AF66" s="337">
        <f t="shared" si="11"/>
        <v>2.3658278417258104E-14</v>
      </c>
      <c r="AG66" s="338">
        <f t="shared" si="23"/>
        <v>-29.344789604250053</v>
      </c>
      <c r="AH66" s="339">
        <f t="shared" si="24"/>
        <v>6.564978988659953E-2</v>
      </c>
      <c r="AI66" s="340">
        <f t="shared" si="25"/>
        <v>0.22371872748779686</v>
      </c>
      <c r="AJ66" s="341">
        <f t="shared" si="12"/>
        <v>0.13129957977319906</v>
      </c>
    </row>
    <row r="67" spans="1:36" x14ac:dyDescent="0.2">
      <c r="A67" s="309">
        <v>60</v>
      </c>
      <c r="B67" s="309">
        <f t="shared" si="13"/>
        <v>98.397686111111128</v>
      </c>
      <c r="C67" s="1">
        <v>517.01</v>
      </c>
      <c r="D67" s="1">
        <v>0.16</v>
      </c>
      <c r="E67" s="326">
        <f t="shared" si="4"/>
        <v>12.655664675508758</v>
      </c>
      <c r="F67" s="327">
        <f t="shared" si="0"/>
        <v>2.4990002999200202E-3</v>
      </c>
      <c r="G67" s="309">
        <f t="shared" si="5"/>
        <v>2.7137000000000002</v>
      </c>
      <c r="H67" s="1">
        <v>9769.32</v>
      </c>
      <c r="J67" s="1">
        <v>1.013E-2</v>
      </c>
      <c r="K67" s="1">
        <v>1.2999999999999999E-4</v>
      </c>
      <c r="L67" s="328">
        <f t="shared" si="6"/>
        <v>1.2833168805528132</v>
      </c>
      <c r="M67" s="329">
        <f t="shared" si="1"/>
        <v>6.1561947545331287E-4</v>
      </c>
      <c r="N67" s="342">
        <f>(1/$J$78)*SQRT(((1-J68/$J$78)*K67)^2+(J68/$J$78)^2*(SUMSQ(K$8:K66)+SUMSQ(K68:K$77)))</f>
        <v>1.5794378036048769E-5</v>
      </c>
      <c r="O67" s="340">
        <f t="shared" si="14"/>
        <v>2.5656072729698067</v>
      </c>
      <c r="P67" s="332">
        <f t="shared" si="7"/>
        <v>0.15367028928038137</v>
      </c>
      <c r="Q67" s="342">
        <f>SQRT(((1-P67)/$J$78)^2*SUMSQ(K$8:K67)+(P67/$J$78)^2*SUMSQ(K68:K$77))</f>
        <v>3.8323965623685242E-3</v>
      </c>
      <c r="R67" s="340">
        <f t="shared" si="15"/>
        <v>2.4939086015358956</v>
      </c>
      <c r="S67" s="343">
        <f t="shared" si="16"/>
        <v>1.9215529821730555E-9</v>
      </c>
      <c r="T67" s="344">
        <f t="shared" si="17"/>
        <v>0</v>
      </c>
      <c r="U67" s="344">
        <f>IF(P67&lt;=0.85, (1/(3*H67*$J$78))*SQRT( ((1-P67)*(1/SQRT(1-PI()*P67/3)-1) + (1-P66)*(1-1/SQRT(1-PI()*P66/3)))^2*SUMSQ(K$8:K66) + ( (1-P67)*(1/SQRT(1-PI()*P67/3)-1) -P66*(1-1/SQRT(1-PI()*P66/3)) )^2*K67^2 + ( P67*(1-1/SQRT(1-PI()*P67/3)) - P66*(1-1/SQRT(1-PI()*P66/3)) )^2*SUMSQ(K68:K$77) ), (1/(PI()^2*H67*$J$78))*SQRT((1+P66/(1-P66))^2*K67^2+(P66/(1-P66)-P67/(1-P67))^2*SUMSQ(K68:K$77)) )</f>
        <v>1.0550573454919954E-10</v>
      </c>
      <c r="V67" s="345">
        <f t="shared" si="18"/>
        <v>1.0550573454919954E-10</v>
      </c>
      <c r="W67" s="340">
        <f t="shared" si="19"/>
        <v>5.4906492575544119</v>
      </c>
      <c r="X67" s="345">
        <f t="shared" si="20"/>
        <v>2.1101146909839907E-10</v>
      </c>
      <c r="Y67" s="338">
        <f t="shared" si="8"/>
        <v>-20.070132132963661</v>
      </c>
      <c r="Z67" s="346">
        <f t="shared" si="21"/>
        <v>5.490649257554412E-2</v>
      </c>
      <c r="AA67" s="346">
        <f t="shared" si="22"/>
        <v>0.27357314945308409</v>
      </c>
      <c r="AB67" s="346">
        <f t="shared" si="9"/>
        <v>0.10981298515108824</v>
      </c>
      <c r="AC67" s="336">
        <f t="shared" si="2"/>
        <v>2.4797564372823989E-13</v>
      </c>
      <c r="AD67" s="337">
        <f t="shared" si="3"/>
        <v>1.6174697361175222E-14</v>
      </c>
      <c r="AE67" s="308">
        <f t="shared" si="10"/>
        <v>6.5226959865870162</v>
      </c>
      <c r="AF67" s="337">
        <f t="shared" si="11"/>
        <v>3.2349394722350443E-14</v>
      </c>
      <c r="AG67" s="338">
        <f t="shared" si="23"/>
        <v>-29.025445864341922</v>
      </c>
      <c r="AH67" s="339">
        <f t="shared" si="24"/>
        <v>6.5226959865870168E-2</v>
      </c>
      <c r="AI67" s="340">
        <f t="shared" si="25"/>
        <v>0.22472336918001387</v>
      </c>
      <c r="AJ67" s="341">
        <f t="shared" si="12"/>
        <v>0.13045391973174034</v>
      </c>
    </row>
    <row r="68" spans="1:36" x14ac:dyDescent="0.2">
      <c r="A68" s="309">
        <v>61</v>
      </c>
      <c r="B68" s="309">
        <f t="shared" si="13"/>
        <v>100.11138888888891</v>
      </c>
      <c r="C68" s="1">
        <v>527.01</v>
      </c>
      <c r="D68" s="1">
        <v>0.38</v>
      </c>
      <c r="E68" s="326">
        <f t="shared" si="4"/>
        <v>12.497500499900021</v>
      </c>
      <c r="F68" s="327">
        <f t="shared" si="0"/>
        <v>5.7895125897351298E-3</v>
      </c>
      <c r="G68" s="309">
        <f t="shared" si="5"/>
        <v>1.7137027777777776</v>
      </c>
      <c r="H68" s="1">
        <v>6169.33</v>
      </c>
      <c r="J68" s="1">
        <v>9.0299999999999998E-3</v>
      </c>
      <c r="K68" s="1">
        <v>1.4999999999999999E-4</v>
      </c>
      <c r="L68" s="328">
        <f t="shared" si="6"/>
        <v>1.6611295681063121</v>
      </c>
      <c r="M68" s="329">
        <f t="shared" si="1"/>
        <v>5.4877037150477938E-4</v>
      </c>
      <c r="N68" s="342">
        <f>(1/$J$78)*SQRT(((1-J69/$J$78)*K68)^2+(J69/$J$78)^2*(SUMSQ(K$8:K67)+SUMSQ(K69:K$77)))</f>
        <v>2.0753543687149666E-5</v>
      </c>
      <c r="O68" s="340">
        <f t="shared" si="14"/>
        <v>3.7818265644046196</v>
      </c>
      <c r="P68" s="332">
        <f t="shared" si="7"/>
        <v>0.15421905965188615</v>
      </c>
      <c r="Q68" s="342">
        <f>SQRT(((1-P68)/$J$78)^2*SUMSQ(K$8:K68)+(P68/$J$78)^2*SUMSQ(K69:K$77))</f>
        <v>3.8460732392857802E-3</v>
      </c>
      <c r="R68" s="340">
        <f t="shared" si="15"/>
        <v>2.4939026654470604</v>
      </c>
      <c r="S68" s="343">
        <f t="shared" si="16"/>
        <v>2.7241796030990196E-9</v>
      </c>
      <c r="T68" s="344">
        <f t="shared" si="17"/>
        <v>0</v>
      </c>
      <c r="U68" s="344">
        <f>IF(P68&lt;=0.85, (1/(3*H68*$J$78))*SQRT( ((1-P68)*(1/SQRT(1-PI()*P68/3)-1) + (1-P67)*(1-1/SQRT(1-PI()*P67/3)))^2*SUMSQ(K$8:K67) + ( (1-P68)*(1/SQRT(1-PI()*P68/3)-1) -P67*(1-1/SQRT(1-PI()*P67/3)) )^2*K68^2 + ( P68*(1-1/SQRT(1-PI()*P68/3)) - P67*(1-1/SQRT(1-PI()*P67/3)) )^2*SUMSQ(K69:K$77) ), (1/(PI()^2*H68*$J$78))*SQRT((1+P67/(1-P67))^2*K68^2+(P67/(1-P67)-P68/(1-P68))^2*SUMSQ(K69:K$77)) )</f>
        <v>1.523544279142941E-10</v>
      </c>
      <c r="V68" s="345">
        <f t="shared" si="18"/>
        <v>1.523544279142941E-10</v>
      </c>
      <c r="W68" s="340">
        <f t="shared" si="19"/>
        <v>5.5926719273933365</v>
      </c>
      <c r="X68" s="345">
        <f t="shared" si="20"/>
        <v>3.0470885582858821E-10</v>
      </c>
      <c r="Y68" s="338">
        <f t="shared" si="8"/>
        <v>-19.721098517242719</v>
      </c>
      <c r="Z68" s="346">
        <f t="shared" si="21"/>
        <v>5.5926719273933369E-2</v>
      </c>
      <c r="AA68" s="346">
        <f t="shared" si="22"/>
        <v>0.28358825561889994</v>
      </c>
      <c r="AB68" s="346">
        <f t="shared" si="9"/>
        <v>0.11185343854786674</v>
      </c>
      <c r="AC68" s="336">
        <f t="shared" si="2"/>
        <v>3.5155428810808726E-13</v>
      </c>
      <c r="AD68" s="337">
        <f t="shared" si="3"/>
        <v>2.3233539876578318E-14</v>
      </c>
      <c r="AE68" s="308">
        <f t="shared" si="10"/>
        <v>6.6088057129415638</v>
      </c>
      <c r="AF68" s="337">
        <f t="shared" si="11"/>
        <v>4.6467079753156637E-14</v>
      </c>
      <c r="AG68" s="338">
        <f t="shared" si="23"/>
        <v>-28.676412248620984</v>
      </c>
      <c r="AH68" s="339">
        <f t="shared" si="24"/>
        <v>6.608805712941565E-2</v>
      </c>
      <c r="AI68" s="340">
        <f t="shared" si="25"/>
        <v>0.23046138602151583</v>
      </c>
      <c r="AJ68" s="341">
        <f t="shared" si="12"/>
        <v>0.1321761142588313</v>
      </c>
    </row>
    <row r="69" spans="1:36" x14ac:dyDescent="0.2">
      <c r="A69" s="309">
        <v>62</v>
      </c>
      <c r="B69" s="309">
        <f t="shared" si="13"/>
        <v>101.82343333333336</v>
      </c>
      <c r="C69" s="1">
        <v>537.01</v>
      </c>
      <c r="D69" s="1">
        <v>0.45</v>
      </c>
      <c r="E69" s="326">
        <f t="shared" si="4"/>
        <v>12.343240841315296</v>
      </c>
      <c r="F69" s="327">
        <f t="shared" si="0"/>
        <v>6.689997189420681E-3</v>
      </c>
      <c r="G69" s="309">
        <f t="shared" si="5"/>
        <v>1.7120444444444443</v>
      </c>
      <c r="H69" s="1">
        <v>6163.36</v>
      </c>
      <c r="I69" s="324"/>
      <c r="J69" s="1">
        <v>1.231E-2</v>
      </c>
      <c r="K69" s="1">
        <v>1.19999999999999E-4</v>
      </c>
      <c r="L69" s="328">
        <f t="shared" si="6"/>
        <v>0.97481722177090979</v>
      </c>
      <c r="M69" s="329">
        <f t="shared" si="1"/>
        <v>7.4810224509677019E-4</v>
      </c>
      <c r="N69" s="342">
        <f>(1/$J$78)*SQRT(((1-J70/$J$78)*K69)^2+(J70/$J$78)^2*(SUMSQ(K$8:K68)+SUMSQ(K70:K$77)))</f>
        <v>2.5511911558042933E-5</v>
      </c>
      <c r="O69" s="340">
        <f t="shared" si="14"/>
        <v>3.4102172163302171</v>
      </c>
      <c r="P69" s="332">
        <f t="shared" si="7"/>
        <v>0.15496716189698292</v>
      </c>
      <c r="Q69" s="342">
        <f>SQRT(((1-P69)/$J$78)^2*SUMSQ(K$8:K69)+(P69/$J$78)^2*SUMSQ(K70:K$77))</f>
        <v>3.8647123688079813E-3</v>
      </c>
      <c r="R69" s="340">
        <f t="shared" si="15"/>
        <v>2.4938911711999445</v>
      </c>
      <c r="S69" s="343">
        <f t="shared" si="16"/>
        <v>3.7351836472282533E-9</v>
      </c>
      <c r="T69" s="344">
        <f t="shared" si="17"/>
        <v>0</v>
      </c>
      <c r="U69" s="344">
        <f>IF(P69&lt;=0.85, (1/(3*H69*$J$78))*SQRT( ((1-P69)*(1/SQRT(1-PI()*P69/3)-1) + (1-P68)*(1-1/SQRT(1-PI()*P68/3)))^2*SUMSQ(K$8:K68) + ( (1-P69)*(1/SQRT(1-PI()*P69/3)-1) -P68*(1-1/SQRT(1-PI()*P68/3)) )^2*K69^2 + ( P69*(1-1/SQRT(1-PI()*P69/3)) - P68*(1-1/SQRT(1-PI()*P68/3)) )^2*SUMSQ(K70:K$77) ), (1/(PI()^2*H69*$J$78))*SQRT((1+P68/(1-P68))^2*K69^2+(P68/(1-P68)-P69/(1-P69))^2*SUMSQ(K70:K$77)) )</f>
        <v>2.0282104362064857E-10</v>
      </c>
      <c r="V69" s="345">
        <f t="shared" si="18"/>
        <v>2.0282104362064857E-10</v>
      </c>
      <c r="W69" s="340">
        <f t="shared" si="19"/>
        <v>5.4300153024913467</v>
      </c>
      <c r="X69" s="345">
        <f t="shared" si="20"/>
        <v>4.0564208724129714E-10</v>
      </c>
      <c r="Y69" s="338">
        <f t="shared" si="8"/>
        <v>-19.405468850299112</v>
      </c>
      <c r="Z69" s="346">
        <f t="shared" si="21"/>
        <v>5.4300153024913471E-2</v>
      </c>
      <c r="AA69" s="346">
        <f t="shared" si="22"/>
        <v>0.27981881522062013</v>
      </c>
      <c r="AB69" s="346">
        <f t="shared" si="9"/>
        <v>0.10860030604982694</v>
      </c>
      <c r="AC69" s="336">
        <f t="shared" si="2"/>
        <v>4.8202395560134718E-13</v>
      </c>
      <c r="AD69" s="337">
        <f t="shared" si="3"/>
        <v>3.1195330151047625E-14</v>
      </c>
      <c r="AE69" s="308">
        <f t="shared" si="10"/>
        <v>6.4717385492034332</v>
      </c>
      <c r="AF69" s="337">
        <f t="shared" si="11"/>
        <v>6.239066030209525E-14</v>
      </c>
      <c r="AG69" s="338">
        <f t="shared" si="23"/>
        <v>-28.360782581677377</v>
      </c>
      <c r="AH69" s="339">
        <f t="shared" si="24"/>
        <v>6.4717385492034332E-2</v>
      </c>
      <c r="AI69" s="340">
        <f t="shared" si="25"/>
        <v>0.2281932288210034</v>
      </c>
      <c r="AJ69" s="341">
        <f t="shared" si="12"/>
        <v>0.12943477098406866</v>
      </c>
    </row>
    <row r="70" spans="1:36" x14ac:dyDescent="0.2">
      <c r="A70" s="309">
        <v>63</v>
      </c>
      <c r="B70" s="309">
        <f t="shared" si="13"/>
        <v>103.53713611111114</v>
      </c>
      <c r="C70" s="1">
        <v>547</v>
      </c>
      <c r="D70" s="1">
        <v>0.15</v>
      </c>
      <c r="E70" s="326">
        <f t="shared" si="4"/>
        <v>12.192891544229715</v>
      </c>
      <c r="F70" s="327">
        <f t="shared" si="0"/>
        <v>2.1765450049747812E-3</v>
      </c>
      <c r="G70" s="309">
        <f t="shared" si="5"/>
        <v>1.7137027777777776</v>
      </c>
      <c r="H70" s="1">
        <v>6169.33</v>
      </c>
      <c r="I70" s="324"/>
      <c r="J70" s="1">
        <v>1.6140000000000002E-2</v>
      </c>
      <c r="K70" s="1">
        <v>1.6000000000000001E-4</v>
      </c>
      <c r="L70" s="328">
        <f t="shared" si="6"/>
        <v>0.99132589838909546</v>
      </c>
      <c r="M70" s="329">
        <f t="shared" si="1"/>
        <v>9.8085867066302775E-4</v>
      </c>
      <c r="N70" s="342">
        <f>(1/$J$78)*SQRT(((1-J71/$J$78)*K70)^2+(J71/$J$78)^2*(SUMSQ(K$8:K69)+SUMSQ(K71:K$77)))</f>
        <v>3.3579735965538713E-5</v>
      </c>
      <c r="O70" s="340">
        <f t="shared" si="14"/>
        <v>3.4235040143795565</v>
      </c>
      <c r="P70" s="332">
        <f t="shared" si="7"/>
        <v>0.15594802056764595</v>
      </c>
      <c r="Q70" s="342">
        <f>SQRT(((1-P70)/$J$78)^2*SUMSQ(K$8:K70)+(P70/$J$78)^2*SUMSQ(K71:K$77))</f>
        <v>3.889152963918906E-3</v>
      </c>
      <c r="R70" s="340">
        <f t="shared" si="15"/>
        <v>2.493877735518867</v>
      </c>
      <c r="S70" s="343">
        <f t="shared" si="16"/>
        <v>4.9238599540507622E-9</v>
      </c>
      <c r="T70" s="344">
        <f t="shared" si="17"/>
        <v>0</v>
      </c>
      <c r="U70" s="344">
        <f>IF(P70&lt;=0.85, (1/(3*H70*$J$78))*SQRT( ((1-P70)*(1/SQRT(1-PI()*P70/3)-1) + (1-P69)*(1-1/SQRT(1-PI()*P69/3)))^2*SUMSQ(K$8:K69) + ( (1-P70)*(1/SQRT(1-PI()*P70/3)-1) -P69*(1-1/SQRT(1-PI()*P69/3)) )^2*K70^2 + ( P70*(1-1/SQRT(1-PI()*P70/3)) - P69*(1-1/SQRT(1-PI()*P69/3)) )^2*SUMSQ(K71:K$77) ), (1/(PI()^2*H70*$J$78))*SQRT((1+P69/(1-P69))^2*K70^2+(P69/(1-P69)-P70/(1-P70))^2*SUMSQ(K71:K$77)) )</f>
        <v>2.6763005443676421E-10</v>
      </c>
      <c r="V70" s="345">
        <f t="shared" si="18"/>
        <v>2.6763005443676421E-10</v>
      </c>
      <c r="W70" s="340">
        <f t="shared" si="19"/>
        <v>5.4353709677829132</v>
      </c>
      <c r="X70" s="345">
        <f t="shared" si="20"/>
        <v>5.3526010887352843E-10</v>
      </c>
      <c r="Y70" s="338">
        <f t="shared" si="8"/>
        <v>-19.12917307052933</v>
      </c>
      <c r="Z70" s="346">
        <f t="shared" si="21"/>
        <v>5.4353709677829133E-2</v>
      </c>
      <c r="AA70" s="346">
        <f t="shared" si="22"/>
        <v>0.28414040417443459</v>
      </c>
      <c r="AB70" s="346">
        <f t="shared" si="9"/>
        <v>0.10870741935565827</v>
      </c>
      <c r="AC70" s="336">
        <f t="shared" si="2"/>
        <v>6.3542215752626917E-13</v>
      </c>
      <c r="AD70" s="337">
        <f t="shared" si="3"/>
        <v>4.1151418155522795E-14</v>
      </c>
      <c r="AE70" s="308">
        <f t="shared" si="10"/>
        <v>6.4762327954894365</v>
      </c>
      <c r="AF70" s="337">
        <f t="shared" si="11"/>
        <v>8.230283631104559E-14</v>
      </c>
      <c r="AG70" s="338">
        <f t="shared" si="23"/>
        <v>-28.084486801907591</v>
      </c>
      <c r="AH70" s="339">
        <f t="shared" si="24"/>
        <v>6.4762327954894366E-2</v>
      </c>
      <c r="AI70" s="340">
        <f t="shared" si="25"/>
        <v>0.23059822460596108</v>
      </c>
      <c r="AJ70" s="341">
        <f t="shared" si="12"/>
        <v>0.12952465590978873</v>
      </c>
    </row>
    <row r="71" spans="1:36" x14ac:dyDescent="0.2">
      <c r="A71" s="309">
        <v>64</v>
      </c>
      <c r="B71" s="309">
        <f t="shared" si="13"/>
        <v>105.24917500000002</v>
      </c>
      <c r="C71" s="1">
        <v>557.01</v>
      </c>
      <c r="D71" s="1">
        <v>0.16</v>
      </c>
      <c r="E71" s="326">
        <f t="shared" si="4"/>
        <v>12.045870675532427</v>
      </c>
      <c r="F71" s="327">
        <f t="shared" si="0"/>
        <v>2.2667101052946687E-3</v>
      </c>
      <c r="G71" s="309">
        <f t="shared" si="5"/>
        <v>1.7120388888888889</v>
      </c>
      <c r="H71" s="1">
        <v>6163.34</v>
      </c>
      <c r="I71" s="302"/>
      <c r="J71" s="1">
        <v>2.1219999999999999E-2</v>
      </c>
      <c r="K71" s="1">
        <v>1.6000000000000001E-4</v>
      </c>
      <c r="L71" s="328">
        <f t="shared" si="6"/>
        <v>0.7540056550424129</v>
      </c>
      <c r="M71" s="329">
        <f t="shared" si="1"/>
        <v>1.2895799870798915E-3</v>
      </c>
      <c r="N71" s="342">
        <f>(1/$J$78)*SQRT(((1-J72/$J$78)*K71)^2+(J72/$J$78)^2*(SUMSQ(K$8:K70)+SUMSQ(K72:K$77)))</f>
        <v>4.380746019547447E-5</v>
      </c>
      <c r="O71" s="340">
        <f t="shared" si="14"/>
        <v>3.3970331917659116</v>
      </c>
      <c r="P71" s="332">
        <f t="shared" si="7"/>
        <v>0.15723760055472585</v>
      </c>
      <c r="Q71" s="342">
        <f>SQRT(((1-P71)/$J$78)^2*SUMSQ(K$8:K71)+(P71/$J$78)^2*SUMSQ(K72:K$77))</f>
        <v>3.9212836342672561E-3</v>
      </c>
      <c r="R71" s="340">
        <f t="shared" si="15"/>
        <v>2.4938587338099647</v>
      </c>
      <c r="S71" s="343">
        <f t="shared" si="16"/>
        <v>6.5340949021589758E-9</v>
      </c>
      <c r="T71" s="344">
        <f t="shared" si="17"/>
        <v>0</v>
      </c>
      <c r="U71" s="344">
        <f>IF(P71&lt;=0.85, (1/(3*H71*$J$78))*SQRT( ((1-P71)*(1/SQRT(1-PI()*P71/3)-1) + (1-P70)*(1-1/SQRT(1-PI()*P70/3)))^2*SUMSQ(K$8:K70) + ( (1-P71)*(1/SQRT(1-PI()*P71/3)-1) -P70*(1-1/SQRT(1-PI()*P70/3)) )^2*K71^2 + ( P71*(1-1/SQRT(1-PI()*P71/3)) - P70*(1-1/SQRT(1-PI()*P70/3)) )^2*SUMSQ(K72:K$77) ), (1/(PI()^2*H71*$J$78))*SQRT((1+P70/(1-P70))^2*K71^2+(P70/(1-P70)-P71/(1-P71))^2*SUMSQ(K72:K$77)) )</f>
        <v>3.5284851387966723E-10</v>
      </c>
      <c r="V71" s="345">
        <f t="shared" si="18"/>
        <v>3.5284851387966723E-10</v>
      </c>
      <c r="W71" s="340">
        <f t="shared" si="19"/>
        <v>5.4001130862528504</v>
      </c>
      <c r="X71" s="345">
        <f t="shared" si="20"/>
        <v>7.0569702775933446E-10</v>
      </c>
      <c r="Y71" s="338">
        <f t="shared" si="8"/>
        <v>-18.846231999514426</v>
      </c>
      <c r="Z71" s="346">
        <f t="shared" si="21"/>
        <v>5.4001130862528501E-2</v>
      </c>
      <c r="AA71" s="346">
        <f t="shared" si="22"/>
        <v>0.28653542450246733</v>
      </c>
      <c r="AB71" s="346">
        <f t="shared" si="9"/>
        <v>0.108002261725057</v>
      </c>
      <c r="AC71" s="336">
        <f t="shared" si="2"/>
        <v>8.4322233348565498E-13</v>
      </c>
      <c r="AD71" s="337">
        <f t="shared" si="3"/>
        <v>5.4359761807389323E-14</v>
      </c>
      <c r="AE71" s="308">
        <f t="shared" si="10"/>
        <v>6.4466700713061815</v>
      </c>
      <c r="AF71" s="337">
        <f t="shared" si="11"/>
        <v>1.0871952361477865E-13</v>
      </c>
      <c r="AG71" s="338">
        <f t="shared" si="23"/>
        <v>-27.801545730892691</v>
      </c>
      <c r="AH71" s="339">
        <f t="shared" si="24"/>
        <v>6.446670071306182E-2</v>
      </c>
      <c r="AI71" s="340">
        <f t="shared" si="25"/>
        <v>0.23188171383372874</v>
      </c>
      <c r="AJ71" s="341">
        <f t="shared" si="12"/>
        <v>0.12893340142612364</v>
      </c>
    </row>
    <row r="72" spans="1:36" x14ac:dyDescent="0.2">
      <c r="A72" s="309">
        <v>65</v>
      </c>
      <c r="B72" s="309">
        <f t="shared" si="13"/>
        <v>106.96288333333335</v>
      </c>
      <c r="C72" s="1">
        <v>567.01</v>
      </c>
      <c r="D72" s="1">
        <v>0.13</v>
      </c>
      <c r="E72" s="326">
        <f t="shared" si="4"/>
        <v>11.902494762902304</v>
      </c>
      <c r="F72" s="327">
        <f t="shared" ref="F72:F76" si="26">SQRT((((-1)*10^4/(C73+273.15)^2)*D72)^2)</f>
        <v>1.7986730766717017E-3</v>
      </c>
      <c r="G72" s="309">
        <f t="shared" si="5"/>
        <v>1.7137083333333334</v>
      </c>
      <c r="H72" s="1">
        <v>6169.35</v>
      </c>
      <c r="I72" s="348"/>
      <c r="J72" s="1">
        <v>2.8199999999999999E-2</v>
      </c>
      <c r="K72" s="1">
        <v>2.2000000000000001E-4</v>
      </c>
      <c r="L72" s="328">
        <f t="shared" si="6"/>
        <v>0.78014184397163133</v>
      </c>
      <c r="M72" s="329">
        <f t="shared" ref="M72:M76" si="27">J72/$J$78</f>
        <v>1.7137679375896766E-3</v>
      </c>
      <c r="N72" s="342">
        <f>(1/$J$78)*SQRT(((1-J73/$J$78)*K72)^2+(J73/$J$78)^2*(SUMSQ(K$8:K71)+SUMSQ(K73:K$77)))</f>
        <v>5.7349481872311072E-5</v>
      </c>
      <c r="O72" s="340">
        <f t="shared" si="14"/>
        <v>3.3463971763277396</v>
      </c>
      <c r="P72" s="332">
        <f t="shared" si="7"/>
        <v>0.15895136849231553</v>
      </c>
      <c r="Q72" s="342">
        <f>SQRT(((1-P72)/$J$78)^2*SUMSQ(K$8:K72)+(P72/$J$78)^2*SUMSQ(K73:K$77))</f>
        <v>3.9639880370549016E-3</v>
      </c>
      <c r="R72" s="340">
        <f t="shared" si="15"/>
        <v>2.4938369984820481</v>
      </c>
      <c r="S72" s="343">
        <f t="shared" si="16"/>
        <v>8.7703143384909798E-9</v>
      </c>
      <c r="T72" s="344">
        <f t="shared" si="17"/>
        <v>0</v>
      </c>
      <c r="U72" s="344">
        <f>IF(P72&lt;=0.85, (1/(3*H72*$J$78))*SQRT( ((1-P72)*(1/SQRT(1-PI()*P72/3)-1) + (1-P71)*(1-1/SQRT(1-PI()*P71/3)))^2*SUMSQ(K$8:K71) + ( (1-P72)*(1/SQRT(1-PI()*P72/3)-1) -P71*(1-1/SQRT(1-PI()*P71/3)) )^2*K72^2 + ( P72*(1-1/SQRT(1-PI()*P72/3)) - P71*(1-1/SQRT(1-PI()*P71/3)) )^2*SUMSQ(K73:K$77) ), (1/(PI()^2*H72*$J$78))*SQRT((1+P71/(1-P71))^2*K72^2+(P71/(1-P71)-P72/(1-P72))^2*SUMSQ(K73:K$77)) )</f>
        <v>4.742939255073616E-10</v>
      </c>
      <c r="V72" s="345">
        <f t="shared" si="18"/>
        <v>4.742939255073616E-10</v>
      </c>
      <c r="W72" s="340">
        <f t="shared" si="19"/>
        <v>5.4079467075175396</v>
      </c>
      <c r="X72" s="345">
        <f t="shared" si="20"/>
        <v>9.4858785101472321E-10</v>
      </c>
      <c r="Y72" s="338">
        <f t="shared" si="8"/>
        <v>-18.551893188731331</v>
      </c>
      <c r="Z72" s="346">
        <f t="shared" si="21"/>
        <v>5.4079467075175393E-2</v>
      </c>
      <c r="AA72" s="346">
        <f t="shared" si="22"/>
        <v>0.29150376473719669</v>
      </c>
      <c r="AB72" s="346">
        <f t="shared" si="9"/>
        <v>0.10815893415035079</v>
      </c>
      <c r="AC72" s="336">
        <f t="shared" ref="AC72:AC76" si="28">S72*($AC$3^2)*10^(-8)</f>
        <v>1.1318055572565254E-12</v>
      </c>
      <c r="AD72" s="337">
        <f t="shared" ref="AD72:AD76" si="29">AC72*SQRT((V72/S72)^2+(2*$AD$3/$AC$3)^2)</f>
        <v>7.3038054191695378E-14</v>
      </c>
      <c r="AE72" s="308">
        <f t="shared" si="10"/>
        <v>6.4532333953844674</v>
      </c>
      <c r="AF72" s="337">
        <f t="shared" si="11"/>
        <v>1.4607610838339076E-13</v>
      </c>
      <c r="AG72" s="338">
        <f t="shared" si="23"/>
        <v>-27.507206920109592</v>
      </c>
      <c r="AH72" s="339">
        <f t="shared" si="24"/>
        <v>6.4532333953844681E-2</v>
      </c>
      <c r="AI72" s="340">
        <f t="shared" si="25"/>
        <v>0.2346015505727965</v>
      </c>
      <c r="AJ72" s="341">
        <f t="shared" si="12"/>
        <v>0.12906466790768936</v>
      </c>
    </row>
    <row r="73" spans="1:36" x14ac:dyDescent="0.2">
      <c r="A73" s="309">
        <v>66</v>
      </c>
      <c r="B73" s="309">
        <f t="shared" si="13"/>
        <v>108.67493055555558</v>
      </c>
      <c r="C73" s="1">
        <v>577</v>
      </c>
      <c r="D73" s="1">
        <v>0.09</v>
      </c>
      <c r="E73" s="326">
        <f t="shared" ref="E73:E76" si="30">10000/(C73+273.15)</f>
        <v>11.762630124095748</v>
      </c>
      <c r="F73" s="327">
        <f t="shared" si="26"/>
        <v>1.2164496060458681E-3</v>
      </c>
      <c r="G73" s="309">
        <f t="shared" ref="G73:G76" si="31">H73/60/60</f>
        <v>1.7120472222222221</v>
      </c>
      <c r="H73" s="1">
        <v>6163.37</v>
      </c>
      <c r="J73" s="1">
        <v>3.6819999999999999E-2</v>
      </c>
      <c r="K73" s="1">
        <v>1.6999999999999901E-4</v>
      </c>
      <c r="L73" s="328">
        <f t="shared" ref="L73:L78" si="32">100*(K73/J73)</f>
        <v>0.46170559478543999</v>
      </c>
      <c r="M73" s="329">
        <f t="shared" si="27"/>
        <v>2.237621824895457E-3</v>
      </c>
      <c r="N73" s="342">
        <f>(1/$J$78)*SQRT(((1-J74/$J$78)*K73)^2+(J74/$J$78)^2*(SUMSQ(K$8:K72)+SUMSQ(K74:K$77)))</f>
        <v>5.2080833204802187E-5</v>
      </c>
      <c r="O73" s="340">
        <f t="shared" si="14"/>
        <v>2.3275082780011513</v>
      </c>
      <c r="P73" s="332">
        <f t="shared" ref="P73:P76" si="33">M73+P72</f>
        <v>0.16118899031721098</v>
      </c>
      <c r="Q73" s="342">
        <f>SQRT(((1-P73)/$J$78)^2*SUMSQ(K$8:K73)+(P73/$J$78)^2*SUMSQ(K74:K$77))</f>
        <v>4.0197356014073675E-3</v>
      </c>
      <c r="R73" s="340">
        <f t="shared" si="15"/>
        <v>2.4938028295212664</v>
      </c>
      <c r="S73" s="343">
        <f t="shared" si="16"/>
        <v>1.1626836137398185E-8</v>
      </c>
      <c r="T73" s="344">
        <f t="shared" si="17"/>
        <v>0</v>
      </c>
      <c r="U73" s="344">
        <f>IF(P73&lt;=0.85, (1/(3*H73*$J$78))*SQRT( ((1-P73)*(1/SQRT(1-PI()*P73/3)-1) + (1-P72)*(1-1/SQRT(1-PI()*P72/3)))^2*SUMSQ(K$8:K72) + ( (1-P73)*(1/SQRT(1-PI()*P73/3)-1) -P72*(1-1/SQRT(1-PI()*P72/3)) )^2*K73^2 + ( P73*(1-1/SQRT(1-PI()*P73/3)) - P72*(1-1/SQRT(1-PI()*P72/3)) )^2*SUMSQ(K74:K$77) ), (1/(PI()^2*H73*$J$78))*SQRT((1+P72/(1-P72))^2*K73^2+(P72/(1-P72)-P73/(1-P73))^2*SUMSQ(K74:K$77)) )</f>
        <v>6.2511438037900629E-10</v>
      </c>
      <c r="V73" s="345">
        <f t="shared" si="18"/>
        <v>6.2511438037900629E-10</v>
      </c>
      <c r="W73" s="340">
        <f t="shared" si="19"/>
        <v>5.3764788029333346</v>
      </c>
      <c r="X73" s="345">
        <f t="shared" si="20"/>
        <v>1.2502287607580126E-9</v>
      </c>
      <c r="Y73" s="338">
        <f t="shared" ref="Y73:Y76" si="34">LN(S73)</f>
        <v>-18.269949950642282</v>
      </c>
      <c r="Z73" s="346">
        <f t="shared" si="21"/>
        <v>5.3764788029333349E-2</v>
      </c>
      <c r="AA73" s="346">
        <f t="shared" si="22"/>
        <v>0.29427988677901795</v>
      </c>
      <c r="AB73" s="346">
        <f t="shared" ref="AB73:AB76" si="35">2*Z73</f>
        <v>0.1075295760586667</v>
      </c>
      <c r="AC73" s="336">
        <f t="shared" si="28"/>
        <v>1.5004385527967806E-12</v>
      </c>
      <c r="AD73" s="337">
        <f t="shared" si="29"/>
        <v>9.6431468664202568E-14</v>
      </c>
      <c r="AE73" s="308">
        <f t="shared" ref="AE73:AE76" si="36">100*AD73/AC73</f>
        <v>6.4268855585226516</v>
      </c>
      <c r="AF73" s="337">
        <f t="shared" ref="AF73:AF76" si="37">2*AD73</f>
        <v>1.9286293732840514E-13</v>
      </c>
      <c r="AG73" s="338">
        <f t="shared" si="23"/>
        <v>-27.225263682020547</v>
      </c>
      <c r="AH73" s="339">
        <f t="shared" si="24"/>
        <v>6.426885558522652E-2</v>
      </c>
      <c r="AI73" s="340">
        <f t="shared" si="25"/>
        <v>0.23606329891184638</v>
      </c>
      <c r="AJ73" s="341">
        <f t="shared" ref="AJ73:AJ76" si="38">2*AH73</f>
        <v>0.12853771117045304</v>
      </c>
    </row>
    <row r="74" spans="1:36" x14ac:dyDescent="0.2">
      <c r="A74" s="309">
        <v>67</v>
      </c>
      <c r="B74" s="309">
        <f t="shared" ref="B74:B76" si="39">G74+B73</f>
        <v>109.88585555555558</v>
      </c>
      <c r="C74" s="1">
        <v>587</v>
      </c>
      <c r="D74" s="1">
        <v>0.13</v>
      </c>
      <c r="E74" s="326">
        <f t="shared" si="30"/>
        <v>11.625879207115039</v>
      </c>
      <c r="F74" s="327">
        <f t="shared" si="26"/>
        <v>1.7169399392848435E-3</v>
      </c>
      <c r="G74" s="309">
        <f t="shared" si="31"/>
        <v>1.210925</v>
      </c>
      <c r="H74" s="1">
        <v>4359.33</v>
      </c>
      <c r="J74" s="1">
        <v>3.3700000000000001E-2</v>
      </c>
      <c r="K74" s="1">
        <v>2.7999999999999998E-4</v>
      </c>
      <c r="L74" s="328">
        <f t="shared" si="32"/>
        <v>0.83086053412462901</v>
      </c>
      <c r="M74" s="329">
        <f t="shared" si="27"/>
        <v>2.0480134573323439E-3</v>
      </c>
      <c r="N74" s="342">
        <f>(1/$J$78)*SQRT(((1-J75/$J$78)*K74)^2+(J75/$J$78)^2*(SUMSQ(K$8:K73)+SUMSQ(K75:K$77)))</f>
        <v>6.7605982449207058E-5</v>
      </c>
      <c r="O74" s="340">
        <f t="shared" ref="O74:O76" si="40">100*(N74/M74)</f>
        <v>3.3010516706891058</v>
      </c>
      <c r="P74" s="332">
        <f t="shared" si="33"/>
        <v>0.16323700377454334</v>
      </c>
      <c r="Q74" s="342">
        <f>SQRT(((1-P74)/$J$78)^2*SUMSQ(K$8:K74)+(P74/$J$78)^2*SUMSQ(K75:K$77))</f>
        <v>4.0707757715392973E-3</v>
      </c>
      <c r="R74" s="340">
        <f t="shared" ref="R74:R76" si="41">100*(Q74/P74)</f>
        <v>2.493782461948209</v>
      </c>
      <c r="S74" s="343">
        <f t="shared" ref="S74:S76" si="42">IF(P74&lt;=0.85, (((-1)*PI()^2*(P74-P73)/3-2*PI()*(SQRT(1-PI()*P74/3)-SQRT(1-PI()*P73/3)))/PI()^2/H74), ((-1)*LN((1-P74)/(1-P73))/PI()^2/H74 ))</f>
        <v>1.5277310902877589E-8</v>
      </c>
      <c r="T74" s="344">
        <f t="shared" ref="T74:T76" si="43">IF(P74&lt;=0.85, ABS(((-1)*(P74-P73)/3-2*(SQRT(1-PI()*P74/3)-SQRT(1-PI()*P73/3))/PI())*(-1)*I74/H74^2), ABS((-1)*LN((1-P74)/(1-P73))*(-1)*I74/PI()^2/H74^2))</f>
        <v>0</v>
      </c>
      <c r="U74" s="344">
        <f>IF(P74&lt;=0.85, (1/(3*H74*$J$78))*SQRT( ((1-P74)*(1/SQRT(1-PI()*P74/3)-1) + (1-P73)*(1-1/SQRT(1-PI()*P73/3)))^2*SUMSQ(K$8:K73) + ( (1-P74)*(1/SQRT(1-PI()*P74/3)-1) -P73*(1-1/SQRT(1-PI()*P73/3)) )^2*K74^2 + ( P74*(1-1/SQRT(1-PI()*P74/3)) - P73*(1-1/SQRT(1-PI()*P73/3)) )^2*SUMSQ(K75:K$77) ), (1/(PI()^2*H74*$J$78))*SQRT((1+P73/(1-P73))^2*K74^2+(P73/(1-P73)-P74/(1-P74))^2*SUMSQ(K75:K$77)) )</f>
        <v>8.2905615300164017E-10</v>
      </c>
      <c r="V74" s="345">
        <f t="shared" ref="V74:V76" si="44">SQRT(T74^2+U74^2)</f>
        <v>8.2905615300164017E-10</v>
      </c>
      <c r="W74" s="340">
        <f t="shared" ref="W74:W76" si="45">100*(V74/S74)</f>
        <v>5.4267152005493422</v>
      </c>
      <c r="X74" s="345">
        <f t="shared" ref="X74:X76" si="46">V74*2</f>
        <v>1.6581123060032803E-9</v>
      </c>
      <c r="Y74" s="338">
        <f t="shared" si="34"/>
        <v>-17.99689705672732</v>
      </c>
      <c r="Z74" s="346">
        <f t="shared" ref="Z74:Z76" si="47">V74/S74</f>
        <v>5.4267152005493424E-2</v>
      </c>
      <c r="AA74" s="346">
        <f t="shared" ref="AA74:AA76" si="48">ABS(100*(Z74/Y74))</f>
        <v>0.30153615834129655</v>
      </c>
      <c r="AB74" s="346">
        <f t="shared" si="35"/>
        <v>0.10853430401098685</v>
      </c>
      <c r="AC74" s="336">
        <f t="shared" si="28"/>
        <v>1.9715308610919915E-12</v>
      </c>
      <c r="AD74" s="337">
        <f t="shared" si="29"/>
        <v>1.2753773791949511E-13</v>
      </c>
      <c r="AE74" s="308">
        <f t="shared" si="36"/>
        <v>6.4689698972733565</v>
      </c>
      <c r="AF74" s="337">
        <f t="shared" si="37"/>
        <v>2.5507547583899022E-13</v>
      </c>
      <c r="AG74" s="338">
        <f t="shared" ref="AG74:AG76" si="49">LN(AC74)</f>
        <v>-26.952210788105582</v>
      </c>
      <c r="AH74" s="339">
        <f t="shared" ref="AH74:AH76" si="50">AD74/AC74</f>
        <v>6.4689698972733564E-2</v>
      </c>
      <c r="AI74" s="340">
        <f t="shared" ref="AI74:AI76" si="51">ABS(100*(AH74/AG74))</f>
        <v>0.24001629952108461</v>
      </c>
      <c r="AJ74" s="341">
        <f t="shared" si="38"/>
        <v>0.12937939794546713</v>
      </c>
    </row>
    <row r="75" spans="1:36" x14ac:dyDescent="0.2">
      <c r="A75" s="309">
        <v>68</v>
      </c>
      <c r="B75" s="309">
        <f t="shared" si="39"/>
        <v>111.09955833333336</v>
      </c>
      <c r="C75" s="1">
        <v>597</v>
      </c>
      <c r="D75" s="1">
        <v>0.23</v>
      </c>
      <c r="E75" s="326">
        <f t="shared" si="30"/>
        <v>11.492271447451589</v>
      </c>
      <c r="F75" s="327">
        <f t="shared" si="26"/>
        <v>2.9690290670495159E-3</v>
      </c>
      <c r="G75" s="309">
        <f t="shared" si="31"/>
        <v>1.2137027777777776</v>
      </c>
      <c r="H75" s="1">
        <v>4369.33</v>
      </c>
      <c r="J75" s="1">
        <v>4.3200000000000002E-2</v>
      </c>
      <c r="K75" s="1">
        <v>2.2000000000000001E-4</v>
      </c>
      <c r="L75" s="328">
        <f t="shared" si="32"/>
        <v>0.50925925925925919</v>
      </c>
      <c r="M75" s="329">
        <f t="shared" si="27"/>
        <v>2.6253466277969513E-3</v>
      </c>
      <c r="N75" s="342">
        <f>(1/$J$78)*SQRT(((1-J76/$J$78)*K75)^2+(J76/$J$78)^2*(SUMSQ(K$8:K74)+SUMSQ(K76:K$77)))</f>
        <v>8.2446201270252841E-5</v>
      </c>
      <c r="O75" s="340">
        <f t="shared" si="40"/>
        <v>3.1403929826758619</v>
      </c>
      <c r="P75" s="332">
        <f t="shared" si="33"/>
        <v>0.16586235040234029</v>
      </c>
      <c r="Q75" s="342">
        <f>SQRT(((1-P75)/$J$78)^2*SUMSQ(K$8:K75)+(P75/$J$78)^2*SUMSQ(K76:K$77))</f>
        <v>4.1361885160589324E-3</v>
      </c>
      <c r="R75" s="340">
        <f t="shared" si="41"/>
        <v>2.4937476805468997</v>
      </c>
      <c r="S75" s="343">
        <f t="shared" si="42"/>
        <v>1.986388556727716E-8</v>
      </c>
      <c r="T75" s="344">
        <f t="shared" si="43"/>
        <v>0</v>
      </c>
      <c r="U75" s="344">
        <f>IF(P75&lt;=0.85, (1/(3*H75*$J$78))*SQRT( ((1-P75)*(1/SQRT(1-PI()*P75/3)-1) + (1-P74)*(1-1/SQRT(1-PI()*P74/3)))^2*SUMSQ(K$8:K74) + ( (1-P75)*(1/SQRT(1-PI()*P75/3)-1) -P74*(1-1/SQRT(1-PI()*P74/3)) )^2*K75^2 + ( P75*(1-1/SQRT(1-PI()*P75/3)) - P74*(1-1/SQRT(1-PI()*P74/3)) )^2*SUMSQ(K76:K$77) ), (1/(PI()^2*H75*$J$78))*SQRT((1+P74/(1-P74))^2*K75^2+(P74/(1-P74)-P75/(1-P75))^2*SUMSQ(K76:K$77)) )</f>
        <v>1.0712763947633763E-9</v>
      </c>
      <c r="V75" s="345">
        <f t="shared" si="44"/>
        <v>1.0712763947633763E-9</v>
      </c>
      <c r="W75" s="340">
        <f t="shared" si="45"/>
        <v>5.3930858146310872</v>
      </c>
      <c r="X75" s="345">
        <f t="shared" si="46"/>
        <v>2.1425527895267526E-9</v>
      </c>
      <c r="Y75" s="338">
        <f t="shared" si="34"/>
        <v>-17.734362549566786</v>
      </c>
      <c r="Z75" s="346">
        <f t="shared" si="47"/>
        <v>5.3930858146310871E-2</v>
      </c>
      <c r="AA75" s="346">
        <f t="shared" si="48"/>
        <v>0.30410373079706943</v>
      </c>
      <c r="AB75" s="346">
        <f t="shared" si="35"/>
        <v>0.10786171629262174</v>
      </c>
      <c r="AC75" s="336">
        <f t="shared" si="28"/>
        <v>2.5634264869028904E-12</v>
      </c>
      <c r="AD75" s="337">
        <f t="shared" si="29"/>
        <v>1.651047823893769E-13</v>
      </c>
      <c r="AE75" s="308">
        <f t="shared" si="36"/>
        <v>6.4407847555969928</v>
      </c>
      <c r="AF75" s="337">
        <f t="shared" si="37"/>
        <v>3.3020956477875381E-13</v>
      </c>
      <c r="AG75" s="338">
        <f t="shared" si="49"/>
        <v>-26.689676280945051</v>
      </c>
      <c r="AH75" s="339">
        <f t="shared" si="50"/>
        <v>6.4407847555969927E-2</v>
      </c>
      <c r="AI75" s="340">
        <f t="shared" si="51"/>
        <v>0.24132120179349484</v>
      </c>
      <c r="AJ75" s="341">
        <f t="shared" si="38"/>
        <v>0.12881569511193985</v>
      </c>
    </row>
    <row r="76" spans="1:36" x14ac:dyDescent="0.2">
      <c r="A76" s="309">
        <v>69</v>
      </c>
      <c r="B76" s="309">
        <f t="shared" si="39"/>
        <v>112.31048611111115</v>
      </c>
      <c r="C76" s="1">
        <v>607</v>
      </c>
      <c r="D76" s="1">
        <v>0.25</v>
      </c>
      <c r="E76" s="326">
        <f t="shared" si="30"/>
        <v>11.361699710276657</v>
      </c>
      <c r="F76" s="327">
        <f t="shared" si="26"/>
        <v>3.3507158419063918E-2</v>
      </c>
      <c r="G76" s="309">
        <f t="shared" si="31"/>
        <v>1.2109277777777778</v>
      </c>
      <c r="H76" s="1">
        <v>4359.34</v>
      </c>
      <c r="J76" s="1">
        <v>5.3710000000000001E-2</v>
      </c>
      <c r="K76" s="1">
        <v>2.9E-4</v>
      </c>
      <c r="L76" s="328">
        <f t="shared" si="32"/>
        <v>0.5399366970768944</v>
      </c>
      <c r="M76" s="329">
        <f t="shared" si="27"/>
        <v>3.2640594300688487E-3</v>
      </c>
      <c r="N76" s="342">
        <f>(1/$J$78)*SQRT(((1-J77/$J$78)*K76)^2+(J77/$J$78)^2*(SUMSQ(K$8:K75)+SUMSQ(K77:K$77)))</f>
        <v>2.0710897982120967E-2</v>
      </c>
      <c r="O76" s="340">
        <f t="shared" si="40"/>
        <v>634.51350766870416</v>
      </c>
      <c r="P76" s="332">
        <f t="shared" si="33"/>
        <v>0.16912640983240915</v>
      </c>
      <c r="Q76" s="342">
        <f>SQRT(((1-P76)/$J$78)^2*SUMSQ(K$8:K76)+(P76/$J$78)^2*SUMSQ(K77:K$77))</f>
        <v>4.2175231828434755E-3</v>
      </c>
      <c r="R76" s="340">
        <f t="shared" si="41"/>
        <v>2.4937105843036025</v>
      </c>
      <c r="S76" s="343">
        <f t="shared" si="42"/>
        <v>2.5265637420029017E-8</v>
      </c>
      <c r="T76" s="344">
        <f t="shared" si="43"/>
        <v>0</v>
      </c>
      <c r="U76" s="344">
        <f>IF(P76&lt;=0.85, (1/(3*H76*$J$78))*SQRT( ((1-P76)*(1/SQRT(1-PI()*P76/3)-1) + (1-P75)*(1-1/SQRT(1-PI()*P75/3)))^2*SUMSQ(K$8:K75) + ( (1-P76)*(1/SQRT(1-PI()*P76/3)-1) -P75*(1-1/SQRT(1-PI()*P75/3)) )^2*K76^2 + ( P76*(1-1/SQRT(1-PI()*P76/3)) - P75*(1-1/SQRT(1-PI()*P75/3)) )^2*SUMSQ(K77:K$77) ), (1/(PI()^2*H76*$J$78))*SQRT((1+P75/(1-P75))^2*K76^2+(P75/(1-P75)-P76/(1-P76))^2*SUMSQ(K77:K$77)) )</f>
        <v>1.3654217530512068E-9</v>
      </c>
      <c r="V76" s="345">
        <f t="shared" si="44"/>
        <v>1.3654217530512068E-9</v>
      </c>
      <c r="W76" s="340">
        <f t="shared" si="45"/>
        <v>5.4042640221251093</v>
      </c>
      <c r="X76" s="345">
        <f t="shared" si="46"/>
        <v>2.7308435061024136E-9</v>
      </c>
      <c r="Y76" s="338">
        <f t="shared" si="34"/>
        <v>-17.493820569150955</v>
      </c>
      <c r="Z76" s="346">
        <f t="shared" si="47"/>
        <v>5.404264022125109E-2</v>
      </c>
      <c r="AA76" s="346">
        <f t="shared" si="48"/>
        <v>0.30892417129595601</v>
      </c>
      <c r="AB76" s="346">
        <f t="shared" si="35"/>
        <v>0.10808528044250218</v>
      </c>
      <c r="AC76" s="336">
        <f t="shared" si="28"/>
        <v>3.2605204027997767E-12</v>
      </c>
      <c r="AD76" s="337">
        <f t="shared" si="29"/>
        <v>2.1030837654486454E-13</v>
      </c>
      <c r="AE76" s="308">
        <f t="shared" si="36"/>
        <v>6.4501475397692589</v>
      </c>
      <c r="AF76" s="337">
        <f t="shared" si="37"/>
        <v>4.2061675308972908E-13</v>
      </c>
      <c r="AG76" s="338">
        <f t="shared" si="49"/>
        <v>-26.449134300529217</v>
      </c>
      <c r="AH76" s="339">
        <f t="shared" si="50"/>
        <v>6.450147539769259E-2</v>
      </c>
      <c r="AI76" s="340">
        <f t="shared" si="51"/>
        <v>0.24386989254465688</v>
      </c>
      <c r="AJ76" s="341">
        <f t="shared" si="38"/>
        <v>0.12900295079538518</v>
      </c>
    </row>
    <row r="77" spans="1:36" x14ac:dyDescent="0.2">
      <c r="J77" s="338">
        <v>13.672000000000001</v>
      </c>
      <c r="K77" s="346">
        <f>IF(J77&lt;0.06,J77*0.1,IF(J77&lt;0.2,J77*0.06,J77*0.03))</f>
        <v>0.41016000000000002</v>
      </c>
      <c r="L77" s="328">
        <f t="shared" si="32"/>
        <v>3</v>
      </c>
      <c r="M77" s="329"/>
      <c r="N77" s="342"/>
      <c r="O77" s="340"/>
      <c r="P77" s="332"/>
      <c r="Q77" s="342"/>
      <c r="R77" s="340"/>
      <c r="S77" s="343"/>
      <c r="T77" s="344"/>
      <c r="U77" s="344"/>
      <c r="V77" s="345"/>
      <c r="W77" s="340"/>
      <c r="X77" s="345"/>
      <c r="Y77" s="338"/>
      <c r="Z77" s="346"/>
      <c r="AA77" s="346"/>
      <c r="AB77" s="346"/>
      <c r="AC77" s="336"/>
      <c r="AD77" s="337"/>
      <c r="AE77" s="308"/>
      <c r="AF77" s="337"/>
      <c r="AG77" s="338"/>
      <c r="AH77" s="339"/>
      <c r="AI77" s="340"/>
      <c r="AJ77" s="341"/>
    </row>
    <row r="78" spans="1:36" x14ac:dyDescent="0.2">
      <c r="J78" s="120">
        <f>SUM(J8:J77)</f>
        <v>16.454969999999999</v>
      </c>
      <c r="K78" s="346">
        <f>SQRT(SUMSQ(K8:K77))</f>
        <v>0.41016743178853199</v>
      </c>
      <c r="L78" s="328">
        <f t="shared" si="32"/>
        <v>2.4926659349031448</v>
      </c>
      <c r="M78" s="329"/>
      <c r="N78" s="342"/>
      <c r="O78" s="340"/>
      <c r="P78" s="332"/>
      <c r="Q78" s="342"/>
      <c r="R78" s="340"/>
      <c r="S78" s="343"/>
      <c r="T78" s="344"/>
      <c r="U78" s="344"/>
      <c r="V78" s="345"/>
      <c r="W78" s="340"/>
      <c r="X78" s="345"/>
      <c r="Y78" s="338"/>
      <c r="Z78" s="346"/>
      <c r="AA78" s="346"/>
      <c r="AB78" s="346"/>
      <c r="AC78" s="336"/>
      <c r="AD78" s="337"/>
      <c r="AE78" s="308"/>
      <c r="AF78" s="337"/>
      <c r="AG78" s="338"/>
      <c r="AH78" s="339"/>
      <c r="AI78" s="340"/>
      <c r="AJ78" s="341"/>
    </row>
    <row r="79" spans="1:36" x14ac:dyDescent="0.2">
      <c r="L79" s="328"/>
      <c r="M79" s="329"/>
      <c r="N79" s="342"/>
      <c r="O79" s="340"/>
      <c r="P79" s="332"/>
      <c r="Q79" s="342"/>
      <c r="R79" s="340"/>
      <c r="S79" s="343"/>
      <c r="T79" s="344"/>
      <c r="U79" s="344"/>
      <c r="V79" s="345"/>
      <c r="W79" s="340"/>
      <c r="X79" s="345"/>
      <c r="Y79" s="338"/>
      <c r="Z79" s="346"/>
      <c r="AA79" s="346"/>
      <c r="AB79" s="346"/>
      <c r="AC79" s="336"/>
      <c r="AD79" s="337"/>
      <c r="AE79" s="308"/>
      <c r="AF79" s="337"/>
      <c r="AG79" s="338"/>
      <c r="AH79" s="339"/>
      <c r="AI79" s="340"/>
      <c r="AJ79" s="341"/>
    </row>
    <row r="80" spans="1:36" x14ac:dyDescent="0.2">
      <c r="L80" s="328"/>
      <c r="M80" s="329"/>
      <c r="N80" s="342"/>
      <c r="O80" s="340"/>
      <c r="P80" s="332"/>
      <c r="Q80" s="342"/>
      <c r="R80" s="340"/>
      <c r="S80" s="343"/>
      <c r="T80" s="344"/>
      <c r="U80" s="344"/>
      <c r="V80" s="345"/>
      <c r="W80" s="340"/>
      <c r="X80" s="345"/>
      <c r="Y80" s="338"/>
      <c r="Z80" s="346"/>
      <c r="AA80" s="346"/>
      <c r="AB80" s="346"/>
      <c r="AC80" s="336"/>
      <c r="AD80" s="337"/>
      <c r="AE80" s="308"/>
      <c r="AF80" s="337"/>
      <c r="AG80" s="338"/>
      <c r="AH80" s="339"/>
      <c r="AI80" s="340"/>
      <c r="AJ80" s="341"/>
    </row>
    <row r="81" spans="12:36" x14ac:dyDescent="0.2">
      <c r="L81" s="328"/>
      <c r="M81" s="329"/>
      <c r="N81" s="342"/>
      <c r="O81" s="340"/>
      <c r="P81" s="332"/>
      <c r="Q81" s="342"/>
      <c r="R81" s="340"/>
      <c r="S81" s="343"/>
      <c r="T81" s="344"/>
      <c r="U81" s="344"/>
      <c r="V81" s="345"/>
      <c r="W81" s="340"/>
      <c r="X81" s="345"/>
      <c r="Y81" s="338"/>
      <c r="Z81" s="346"/>
      <c r="AA81" s="346"/>
      <c r="AB81" s="346"/>
      <c r="AC81" s="336"/>
      <c r="AD81" s="337"/>
      <c r="AE81" s="308"/>
      <c r="AF81" s="337"/>
      <c r="AG81" s="338"/>
      <c r="AH81" s="339"/>
      <c r="AI81" s="340"/>
      <c r="AJ81" s="341"/>
    </row>
    <row r="82" spans="12:36" x14ac:dyDescent="0.2">
      <c r="L82" s="328"/>
      <c r="M82" s="329"/>
      <c r="N82" s="342"/>
      <c r="O82" s="340"/>
      <c r="P82" s="332"/>
      <c r="Q82" s="342"/>
      <c r="R82" s="340"/>
      <c r="S82" s="343"/>
      <c r="T82" s="344"/>
      <c r="U82" s="344"/>
      <c r="V82" s="345"/>
      <c r="W82" s="340"/>
      <c r="X82" s="345"/>
      <c r="Y82" s="338"/>
      <c r="Z82" s="346"/>
      <c r="AA82" s="346"/>
      <c r="AB82" s="346"/>
      <c r="AC82" s="336"/>
      <c r="AD82" s="337"/>
      <c r="AE82" s="308"/>
      <c r="AF82" s="337"/>
      <c r="AG82" s="338"/>
      <c r="AH82" s="339"/>
      <c r="AI82" s="340"/>
      <c r="AJ82" s="341"/>
    </row>
    <row r="83" spans="12:36" x14ac:dyDescent="0.2">
      <c r="L83" s="328"/>
      <c r="M83" s="329"/>
      <c r="N83" s="342"/>
      <c r="O83" s="340"/>
      <c r="P83" s="332"/>
      <c r="Q83" s="342"/>
      <c r="R83" s="340"/>
      <c r="S83" s="343"/>
      <c r="T83" s="344"/>
      <c r="U83" s="344"/>
      <c r="V83" s="345"/>
      <c r="W83" s="340"/>
      <c r="X83" s="345"/>
      <c r="Y83" s="338"/>
      <c r="Z83" s="346"/>
      <c r="AA83" s="346"/>
      <c r="AB83" s="346"/>
      <c r="AC83" s="336"/>
      <c r="AD83" s="337"/>
      <c r="AE83" s="308"/>
      <c r="AF83" s="337"/>
      <c r="AG83" s="338"/>
      <c r="AH83" s="339"/>
      <c r="AI83" s="340"/>
      <c r="AJ83" s="341"/>
    </row>
    <row r="84" spans="12:36" x14ac:dyDescent="0.2">
      <c r="L84" s="328"/>
      <c r="M84" s="329"/>
      <c r="N84" s="342"/>
      <c r="O84" s="340"/>
      <c r="P84" s="332"/>
      <c r="Q84" s="342"/>
      <c r="R84" s="340"/>
      <c r="S84" s="343"/>
      <c r="T84" s="344"/>
      <c r="U84" s="344"/>
      <c r="V84" s="345"/>
      <c r="W84" s="340"/>
      <c r="X84" s="345"/>
      <c r="Y84" s="338"/>
      <c r="Z84" s="346"/>
      <c r="AA84" s="346"/>
      <c r="AB84" s="346"/>
      <c r="AC84" s="336"/>
      <c r="AD84" s="337"/>
      <c r="AE84" s="308"/>
      <c r="AF84" s="337"/>
      <c r="AG84" s="338"/>
      <c r="AH84" s="339"/>
      <c r="AI84" s="340"/>
      <c r="AJ84" s="341"/>
    </row>
    <row r="85" spans="12:36" x14ac:dyDescent="0.2">
      <c r="L85" s="328"/>
      <c r="M85" s="329"/>
      <c r="N85" s="342"/>
      <c r="O85" s="340"/>
      <c r="P85" s="332"/>
      <c r="Q85" s="342"/>
      <c r="R85" s="340"/>
      <c r="S85" s="343"/>
      <c r="T85" s="344"/>
      <c r="U85" s="344"/>
      <c r="V85" s="345"/>
      <c r="W85" s="340"/>
      <c r="X85" s="345"/>
      <c r="Y85" s="338"/>
      <c r="Z85" s="346"/>
      <c r="AA85" s="346"/>
      <c r="AB85" s="346"/>
      <c r="AC85" s="336"/>
      <c r="AD85" s="337"/>
      <c r="AE85" s="308"/>
      <c r="AF85" s="337"/>
      <c r="AG85" s="338"/>
      <c r="AH85" s="339"/>
      <c r="AI85" s="340"/>
      <c r="AJ85" s="341"/>
    </row>
    <row r="86" spans="12:36" x14ac:dyDescent="0.2">
      <c r="L86" s="328"/>
      <c r="M86" s="329"/>
      <c r="N86" s="342"/>
      <c r="O86" s="340"/>
      <c r="P86" s="332"/>
      <c r="Q86" s="342"/>
      <c r="R86" s="340"/>
      <c r="S86" s="343"/>
      <c r="T86" s="344"/>
      <c r="U86" s="344"/>
      <c r="V86" s="345"/>
      <c r="W86" s="340"/>
      <c r="X86" s="345"/>
      <c r="Y86" s="338"/>
      <c r="Z86" s="346"/>
      <c r="AA86" s="346"/>
      <c r="AB86" s="346"/>
      <c r="AC86" s="336"/>
      <c r="AD86" s="337"/>
      <c r="AE86" s="308"/>
      <c r="AF86" s="337"/>
      <c r="AG86" s="338"/>
      <c r="AH86" s="339"/>
      <c r="AI86" s="340"/>
      <c r="AJ86" s="341"/>
    </row>
    <row r="87" spans="12:36" x14ac:dyDescent="0.2">
      <c r="L87" s="328"/>
      <c r="M87" s="329"/>
      <c r="N87" s="342"/>
      <c r="O87" s="340"/>
      <c r="P87" s="332"/>
      <c r="Q87" s="342"/>
      <c r="R87" s="340"/>
      <c r="S87" s="343"/>
      <c r="T87" s="344"/>
      <c r="U87" s="344"/>
      <c r="V87" s="345"/>
      <c r="W87" s="340"/>
      <c r="X87" s="345"/>
      <c r="Y87" s="338"/>
      <c r="Z87" s="346"/>
      <c r="AA87" s="346"/>
      <c r="AB87" s="346"/>
      <c r="AC87" s="336"/>
      <c r="AD87" s="337"/>
      <c r="AE87" s="308"/>
      <c r="AF87" s="337"/>
      <c r="AG87" s="338"/>
      <c r="AH87" s="339"/>
      <c r="AI87" s="340"/>
      <c r="AJ87" s="341"/>
    </row>
    <row r="88" spans="12:36" x14ac:dyDescent="0.2">
      <c r="L88" s="328"/>
      <c r="M88" s="329"/>
      <c r="N88" s="342"/>
      <c r="O88" s="340"/>
      <c r="P88" s="332"/>
      <c r="Q88" s="342"/>
      <c r="R88" s="340"/>
      <c r="S88" s="343"/>
      <c r="T88" s="344"/>
      <c r="U88" s="344"/>
      <c r="V88" s="345"/>
      <c r="W88" s="340"/>
      <c r="X88" s="345"/>
      <c r="Y88" s="338"/>
      <c r="Z88" s="346"/>
      <c r="AA88" s="346"/>
      <c r="AB88" s="346"/>
      <c r="AC88" s="336"/>
      <c r="AD88" s="337"/>
      <c r="AE88" s="308"/>
      <c r="AF88" s="337"/>
      <c r="AG88" s="338"/>
      <c r="AH88" s="339"/>
      <c r="AI88" s="340"/>
      <c r="AJ88" s="341"/>
    </row>
    <row r="89" spans="12:36" x14ac:dyDescent="0.2">
      <c r="L89" s="328"/>
      <c r="M89" s="329"/>
      <c r="N89" s="342"/>
      <c r="O89" s="340"/>
      <c r="P89" s="332"/>
      <c r="Q89" s="342"/>
      <c r="R89" s="340"/>
      <c r="S89" s="343"/>
      <c r="T89" s="344"/>
      <c r="U89" s="344"/>
      <c r="V89" s="345"/>
      <c r="W89" s="340"/>
      <c r="X89" s="345"/>
      <c r="Y89" s="338"/>
      <c r="Z89" s="346"/>
      <c r="AA89" s="346"/>
      <c r="AB89" s="346"/>
      <c r="AC89" s="336"/>
      <c r="AD89" s="337"/>
      <c r="AE89" s="308"/>
      <c r="AF89" s="337"/>
      <c r="AG89" s="338"/>
      <c r="AH89" s="339"/>
      <c r="AI89" s="340"/>
      <c r="AJ89" s="341"/>
    </row>
    <row r="90" spans="12:36" x14ac:dyDescent="0.2">
      <c r="L90" s="328"/>
      <c r="M90" s="329"/>
      <c r="N90" s="342"/>
      <c r="O90" s="340"/>
      <c r="P90" s="332"/>
      <c r="Q90" s="342"/>
      <c r="R90" s="340"/>
      <c r="S90" s="343"/>
      <c r="T90" s="344"/>
      <c r="U90" s="344"/>
      <c r="V90" s="345"/>
      <c r="W90" s="340"/>
      <c r="X90" s="345"/>
      <c r="Y90" s="338"/>
      <c r="Z90" s="346"/>
      <c r="AA90" s="346"/>
      <c r="AB90" s="346"/>
      <c r="AC90" s="336"/>
      <c r="AD90" s="337"/>
      <c r="AE90" s="308"/>
      <c r="AF90" s="337"/>
      <c r="AG90" s="338"/>
      <c r="AH90" s="339"/>
      <c r="AI90" s="340"/>
      <c r="AJ90" s="341"/>
    </row>
    <row r="91" spans="12:36" x14ac:dyDescent="0.2">
      <c r="L91" s="328"/>
      <c r="M91" s="329"/>
      <c r="N91" s="342"/>
      <c r="O91" s="340"/>
      <c r="P91" s="332"/>
      <c r="Q91" s="342"/>
      <c r="R91" s="340"/>
      <c r="S91" s="343"/>
      <c r="T91" s="344"/>
      <c r="U91" s="344"/>
      <c r="V91" s="345"/>
      <c r="W91" s="340"/>
      <c r="X91" s="345"/>
      <c r="Y91" s="338"/>
      <c r="Z91" s="346"/>
      <c r="AA91" s="346"/>
      <c r="AB91" s="346"/>
      <c r="AC91" s="336"/>
      <c r="AD91" s="337"/>
      <c r="AE91" s="308"/>
      <c r="AF91" s="337"/>
      <c r="AG91" s="338"/>
      <c r="AH91" s="339"/>
      <c r="AI91" s="340"/>
      <c r="AJ91" s="341"/>
    </row>
    <row r="92" spans="12:36" x14ac:dyDescent="0.2">
      <c r="L92" s="328"/>
      <c r="M92" s="329"/>
      <c r="N92" s="342"/>
      <c r="O92" s="340"/>
      <c r="P92" s="332"/>
      <c r="Q92" s="342"/>
      <c r="R92" s="340"/>
      <c r="S92" s="343"/>
      <c r="T92" s="344"/>
      <c r="U92" s="344"/>
      <c r="V92" s="345"/>
      <c r="W92" s="340"/>
      <c r="X92" s="345"/>
      <c r="Y92" s="338"/>
      <c r="Z92" s="346"/>
      <c r="AA92" s="346"/>
      <c r="AB92" s="346"/>
      <c r="AC92" s="336"/>
      <c r="AD92" s="337"/>
      <c r="AE92" s="308"/>
      <c r="AF92" s="337"/>
      <c r="AG92" s="338"/>
      <c r="AH92" s="339"/>
      <c r="AI92" s="340"/>
      <c r="AJ92" s="341"/>
    </row>
    <row r="93" spans="12:36" x14ac:dyDescent="0.2">
      <c r="L93" s="328"/>
      <c r="M93" s="329"/>
      <c r="N93" s="342"/>
      <c r="O93" s="340"/>
      <c r="P93" s="332"/>
      <c r="Q93" s="342"/>
      <c r="R93" s="340"/>
      <c r="S93" s="343"/>
      <c r="T93" s="344"/>
      <c r="U93" s="344"/>
      <c r="V93" s="345"/>
      <c r="W93" s="340"/>
      <c r="X93" s="345"/>
      <c r="Y93" s="338"/>
      <c r="Z93" s="346"/>
      <c r="AA93" s="346"/>
      <c r="AB93" s="346"/>
      <c r="AC93" s="336"/>
      <c r="AD93" s="337"/>
      <c r="AE93" s="308"/>
      <c r="AF93" s="337"/>
      <c r="AG93" s="338"/>
      <c r="AH93" s="339"/>
      <c r="AI93" s="340"/>
      <c r="AJ93" s="341"/>
    </row>
    <row r="94" spans="12:36" x14ac:dyDescent="0.2">
      <c r="L94" s="328"/>
      <c r="M94" s="329"/>
      <c r="N94" s="342"/>
      <c r="O94" s="340"/>
      <c r="P94" s="332"/>
      <c r="Q94" s="342"/>
      <c r="R94" s="340"/>
      <c r="S94" s="343"/>
      <c r="T94" s="344"/>
      <c r="U94" s="344"/>
      <c r="V94" s="345"/>
      <c r="W94" s="340"/>
      <c r="X94" s="345"/>
      <c r="Y94" s="338"/>
      <c r="Z94" s="346"/>
      <c r="AA94" s="346"/>
      <c r="AB94" s="346"/>
      <c r="AC94" s="336"/>
      <c r="AD94" s="337"/>
      <c r="AE94" s="308"/>
      <c r="AF94" s="337"/>
      <c r="AG94" s="338"/>
      <c r="AH94" s="339"/>
      <c r="AI94" s="340"/>
      <c r="AJ94" s="341"/>
    </row>
    <row r="95" spans="12:36" x14ac:dyDescent="0.2">
      <c r="L95" s="328"/>
      <c r="M95" s="329"/>
      <c r="N95" s="342"/>
      <c r="O95" s="340"/>
      <c r="P95" s="332"/>
      <c r="Q95" s="342"/>
      <c r="R95" s="340"/>
      <c r="S95" s="343"/>
      <c r="T95" s="344"/>
      <c r="U95" s="344"/>
      <c r="V95" s="345"/>
      <c r="W95" s="340"/>
      <c r="X95" s="345"/>
      <c r="Y95" s="338"/>
      <c r="Z95" s="346"/>
      <c r="AA95" s="346"/>
      <c r="AB95" s="346"/>
      <c r="AC95" s="336"/>
      <c r="AD95" s="337"/>
      <c r="AE95" s="308"/>
      <c r="AF95" s="337"/>
      <c r="AG95" s="338"/>
      <c r="AH95" s="339"/>
      <c r="AI95" s="340"/>
      <c r="AJ95" s="341"/>
    </row>
    <row r="96" spans="12:36" x14ac:dyDescent="0.2">
      <c r="L96" s="328"/>
      <c r="M96" s="329"/>
      <c r="N96" s="342"/>
      <c r="O96" s="340"/>
      <c r="P96" s="332"/>
      <c r="Q96" s="342"/>
      <c r="R96" s="340"/>
      <c r="S96" s="343"/>
      <c r="T96" s="344"/>
      <c r="U96" s="344"/>
      <c r="V96" s="345"/>
      <c r="W96" s="340"/>
      <c r="X96" s="345"/>
      <c r="Y96" s="338"/>
      <c r="Z96" s="346"/>
      <c r="AA96" s="346"/>
      <c r="AB96" s="346"/>
      <c r="AC96" s="336"/>
      <c r="AD96" s="337"/>
      <c r="AE96" s="308"/>
      <c r="AF96" s="337"/>
      <c r="AG96" s="338"/>
      <c r="AH96" s="339"/>
      <c r="AI96" s="340"/>
      <c r="AJ96" s="341"/>
    </row>
    <row r="97" spans="12:36" x14ac:dyDescent="0.2">
      <c r="L97" s="328"/>
      <c r="M97" s="329"/>
      <c r="N97" s="342"/>
      <c r="O97" s="340"/>
      <c r="P97" s="332"/>
      <c r="Q97" s="342"/>
      <c r="R97" s="340"/>
      <c r="S97" s="343"/>
      <c r="T97" s="344"/>
      <c r="U97" s="344"/>
      <c r="V97" s="345"/>
      <c r="W97" s="340"/>
      <c r="X97" s="345"/>
      <c r="Y97" s="338"/>
      <c r="Z97" s="346"/>
      <c r="AA97" s="346"/>
      <c r="AB97" s="346"/>
      <c r="AC97" s="336"/>
      <c r="AD97" s="337"/>
      <c r="AE97" s="308"/>
      <c r="AF97" s="337"/>
      <c r="AG97" s="338"/>
      <c r="AH97" s="339"/>
      <c r="AI97" s="340"/>
      <c r="AJ97" s="341"/>
    </row>
    <row r="98" spans="12:36" x14ac:dyDescent="0.2">
      <c r="L98" s="328"/>
      <c r="M98" s="329"/>
      <c r="N98" s="342"/>
      <c r="O98" s="340"/>
      <c r="P98" s="332"/>
      <c r="Q98" s="342"/>
      <c r="R98" s="340"/>
      <c r="S98" s="343"/>
      <c r="T98" s="344"/>
      <c r="U98" s="344"/>
      <c r="V98" s="345"/>
      <c r="W98" s="340"/>
      <c r="X98" s="345"/>
      <c r="Y98" s="338"/>
      <c r="Z98" s="346"/>
      <c r="AA98" s="346"/>
      <c r="AB98" s="346"/>
      <c r="AC98" s="336"/>
      <c r="AD98" s="337"/>
      <c r="AE98" s="308"/>
      <c r="AF98" s="337"/>
      <c r="AG98" s="338"/>
      <c r="AH98" s="339"/>
      <c r="AI98" s="340"/>
      <c r="AJ98" s="341"/>
    </row>
    <row r="99" spans="12:36" x14ac:dyDescent="0.2">
      <c r="L99" s="328"/>
      <c r="M99" s="329"/>
      <c r="N99" s="342"/>
      <c r="O99" s="340"/>
      <c r="P99" s="332"/>
      <c r="Q99" s="342"/>
      <c r="R99" s="340"/>
      <c r="S99" s="343"/>
      <c r="T99" s="344"/>
      <c r="U99" s="344"/>
      <c r="V99" s="345"/>
      <c r="W99" s="340"/>
      <c r="X99" s="345"/>
      <c r="Y99" s="338"/>
      <c r="Z99" s="346"/>
      <c r="AA99" s="346"/>
      <c r="AB99" s="346"/>
      <c r="AC99" s="336"/>
      <c r="AD99" s="337"/>
      <c r="AE99" s="308"/>
      <c r="AF99" s="337"/>
      <c r="AG99" s="338"/>
      <c r="AH99" s="339"/>
      <c r="AI99" s="340"/>
      <c r="AJ99" s="34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2DF-AAF0-3046-8347-D42857DF0C9F}">
  <dimension ref="A1:AM93"/>
  <sheetViews>
    <sheetView topLeftCell="A54" zoomScale="60" zoomScaleNormal="150" workbookViewId="0">
      <selection activeCell="K6" sqref="K6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620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1.0215000000000001</v>
      </c>
      <c r="C8" s="1">
        <v>300.05</v>
      </c>
      <c r="D8" s="1">
        <v>0.28000000000000003</v>
      </c>
      <c r="E8" s="326">
        <f>10000/(C8+273.15)</f>
        <v>17.445917655268666</v>
      </c>
      <c r="F8" s="327">
        <f t="shared" ref="F8:F64" si="0">SQRT((((-1)*10^4/(C9+273.15)^2)*D8)^2)</f>
        <v>8.2312052035177011E-3</v>
      </c>
      <c r="G8" s="309">
        <f>H8/60/60</f>
        <v>1.0215000000000001</v>
      </c>
      <c r="H8" s="1">
        <v>3677.4</v>
      </c>
      <c r="I8" s="324">
        <v>30</v>
      </c>
      <c r="J8" s="1">
        <v>3.13E-3</v>
      </c>
      <c r="K8" s="122">
        <v>5.99999999999999E-5</v>
      </c>
      <c r="L8" s="328">
        <f>100*(K8/J8)</f>
        <v>1.9169329073482395</v>
      </c>
      <c r="M8" s="329">
        <f t="shared" ref="M8:M71" si="1">J8/$J$79</f>
        <v>2.5891777334023771E-4</v>
      </c>
      <c r="N8" s="330">
        <f>(1/$J$79)*SQRT(((1-J9/$J$79)*K8)^2+(J9/$J$79)^2*SUMSQ(K9:K$78))</f>
        <v>5.334906491813927E-6</v>
      </c>
      <c r="O8" s="331">
        <f>100*(N8/M8)</f>
        <v>2.0604636070322804</v>
      </c>
      <c r="P8" s="332">
        <f>M8+P7</f>
        <v>2.5891777334023771E-4</v>
      </c>
      <c r="Q8" s="330">
        <f>SQRT(((1-P8)/$J$79)^2*SUMSQ(K$8:K8)+(P8/$J$79)^2*SUMSQ(K9:K$78))</f>
        <v>5.2692317201246157E-6</v>
      </c>
      <c r="R8" s="331">
        <f>100*(Q8/P8)</f>
        <v>2.0350984994762964</v>
      </c>
      <c r="S8" s="333">
        <f>IF(P8&lt;=0.85, ((2*PI()-PI()^2*P8/3-2*PI()*SQRT(1-PI()*P8/3))/PI()^2/H8), ((-1)*LN((1-P8)*PI()^2/6)/PI()^2/H8 ))</f>
        <v>1.5910693556756649E-12</v>
      </c>
      <c r="T8" s="333">
        <f>IF(P8&lt;=0.85, ABS((2/PI()-P8/3-2*SQRT(1-PI()*P8/3)/PI())*(-1)*I8/H8^2), ABS((-1)*LN((1-P8)*PI()^2/6)*(-1)*I8/PI()^2/H8^2))</f>
        <v>1.2979844670745925E-14</v>
      </c>
      <c r="U8" s="333">
        <f>IF(P8&lt;=0.85, ((1/(3*H8*$J$79))*((1/SQRT(1-PI()*P8/3))-1)*SQRT(((1-P8)*K8)^2+(-P8)^2*SUMSQ(K9:K$78))),  (1/(PI()^2*H8*$J$79))*SQRT(K8^2+(P8/(1-P8))^2*SUMSQ(K9:K$78)))</f>
        <v>6.476404758346469E-14</v>
      </c>
      <c r="V8" s="334">
        <f>SQRT(T8^2+U8^2)</f>
        <v>6.6051935831359018E-14</v>
      </c>
      <c r="W8" s="331">
        <f>100*(V8/S8)</f>
        <v>4.1514177616292125</v>
      </c>
      <c r="X8" s="334">
        <f>V8*2</f>
        <v>1.3210387166271804E-13</v>
      </c>
      <c r="Y8" s="335">
        <f>LN(S8)</f>
        <v>-27.166614775017891</v>
      </c>
      <c r="Z8" s="335">
        <f>V8/S8</f>
        <v>4.1514177616292121E-2</v>
      </c>
      <c r="AA8" s="335">
        <f>ABS(100*(Z8/Y8))</f>
        <v>0.15281321563284392</v>
      </c>
      <c r="AB8" s="335">
        <f>2*Z8</f>
        <v>8.3028355232584242E-2</v>
      </c>
      <c r="AC8" s="336">
        <f t="shared" ref="AC8:AC71" si="2">S8*($AC$3^2)*10^(-8)</f>
        <v>2.0532686392220227E-16</v>
      </c>
      <c r="AD8" s="337">
        <f t="shared" ref="AD8:AD71" si="3">AC8*SQRT((V8/S8)^2+(2*$AD$3/$AC$3)^2)</f>
        <v>1.117713962011468E-17</v>
      </c>
      <c r="AE8" s="308">
        <f>100*AD8/AC8</f>
        <v>5.4435836629490746</v>
      </c>
      <c r="AF8" s="337">
        <f>2*AD8</f>
        <v>2.2354279240229359E-17</v>
      </c>
      <c r="AG8" s="338">
        <f>LN(AC8)</f>
        <v>-36.121928506396152</v>
      </c>
      <c r="AH8" s="339">
        <f>AD8/AC8</f>
        <v>5.4435836629490746E-2</v>
      </c>
      <c r="AI8" s="340">
        <f>ABS(100*(AH8/AG8))</f>
        <v>0.15070025018141467</v>
      </c>
      <c r="AJ8" s="341">
        <f>2*AH8</f>
        <v>0.10887167325898149</v>
      </c>
    </row>
    <row r="9" spans="1:39" x14ac:dyDescent="0.2">
      <c r="A9" s="309">
        <v>2</v>
      </c>
      <c r="B9" s="309">
        <f>G9+B8</f>
        <v>1.6679861111111112</v>
      </c>
      <c r="C9" s="1">
        <v>310.08999999999997</v>
      </c>
      <c r="D9" s="1">
        <v>0.34</v>
      </c>
      <c r="E9" s="326">
        <f t="shared" ref="E9:E72" si="4">10000/(C9+273.15)</f>
        <v>17.145600438927371</v>
      </c>
      <c r="F9" s="327">
        <f t="shared" si="0"/>
        <v>9.661236337576486E-3</v>
      </c>
      <c r="G9" s="309">
        <f t="shared" ref="G9:G72" si="5">H9/60/60</f>
        <v>0.64648611111111109</v>
      </c>
      <c r="H9" s="1">
        <v>2327.35</v>
      </c>
      <c r="I9" s="324">
        <v>30</v>
      </c>
      <c r="J9" s="1">
        <v>3.46E-3</v>
      </c>
      <c r="K9" s="122">
        <v>6.9999999999999994E-5</v>
      </c>
      <c r="L9" s="328">
        <f t="shared" ref="L9:L72" si="6">100*(K9/J9)</f>
        <v>2.0231213872832368</v>
      </c>
      <c r="M9" s="329">
        <f t="shared" si="1"/>
        <v>2.8621581334096563E-4</v>
      </c>
      <c r="N9" s="342">
        <f>(1/$J$79)*SQRT(((1-J10/$J$79)*K9)^2+(J10/$J$79)^2*(SUMSQ(K$8:K8)+SUMSQ(K10:K$78)))</f>
        <v>6.5892213111415827E-6</v>
      </c>
      <c r="O9" s="340">
        <f>100*(N9/M9)</f>
        <v>2.3021863237486175</v>
      </c>
      <c r="P9" s="332">
        <f t="shared" ref="P9:P72" si="7">M9+P8</f>
        <v>5.4513358668120335E-4</v>
      </c>
      <c r="Q9" s="342">
        <f>SQRT(((1-P9)/$J$79)^2*SUMSQ(K$8:K9)+(P9/$J$79)^2*SUMSQ(K10:K$78))</f>
        <v>8.4873310470749596E-6</v>
      </c>
      <c r="R9" s="340">
        <f>100*(Q9/P9)</f>
        <v>1.5569268257247173</v>
      </c>
      <c r="S9" s="343">
        <f>IF(P9&lt;=0.85, (((-1)*PI()^2*(P9-P8)/3-2*PI()*(SQRT(1-PI()*P9/3)-SQRT(1-PI()*P8/3)))/PI()^2/H9), ((-1)*LN((1-P9)/(1-P8))/PI()^2/H9 ))</f>
        <v>8.6318927859610752E-12</v>
      </c>
      <c r="T9" s="344">
        <f>IF(P9&lt;=0.85, ABS(((-1)*(P9-P8)/3-2*(SQRT(1-PI()*P9/3)-SQRT(1-PI()*P8/3))/PI())*(-1)*I9/H9^2), ABS((-1)*LN((1-P9)/(1-P8))*(-1)*I9/PI()^2/H9^2))</f>
        <v>1.11266798538617E-13</v>
      </c>
      <c r="U9" s="344">
        <f>IF(P9&lt;=0.85, (1/(3*H9*$J$79))*SQRT( ((1-P9)*(1/SQRT(1-PI()*P9/3)-1) + (1-P8)*(1-1/SQRT(1-PI()*P8/3)))^2*SUMSQ(K$8:K8) + ( (1-P9)*(1/SQRT(1-PI()*P9/3)-1) -P8*(1-1/SQRT(1-PI()*P8/3)) )^2*K9^2 + ( P9*(1-1/SQRT(1-PI()*P9/3)) - P8*(1-1/SQRT(1-PI()*P8/3)) )^2*SUMSQ(K10:K$78) ), (1/(PI()^2*H9*$J$79))*SQRT((1+P8/(1-P8))^2*K9^2+(P8/(1-P8)-P9/(1-P9))^2*SUMSQ(K10:K$78)) )</f>
        <v>2.852391675106012E-13</v>
      </c>
      <c r="V9" s="345">
        <f>SQRT(T9^2+U9^2)</f>
        <v>3.0617263616981517E-13</v>
      </c>
      <c r="W9" s="340">
        <f>100*(V9/S9)</f>
        <v>3.5469930380480963</v>
      </c>
      <c r="X9" s="345">
        <f>V9*2</f>
        <v>6.1234527233963035E-13</v>
      </c>
      <c r="Y9" s="338">
        <f t="shared" ref="Y9:Y72" si="8">LN(S9)</f>
        <v>-25.475557308582626</v>
      </c>
      <c r="Z9" s="346">
        <f>V9/S9</f>
        <v>3.5469930380480963E-2</v>
      </c>
      <c r="AA9" s="346">
        <f>ABS(100*(Z9/Y9))</f>
        <v>0.13923122446680006</v>
      </c>
      <c r="AB9" s="346">
        <f t="shared" ref="AB9:AB72" si="9">2*Z9</f>
        <v>7.0939860760961926E-2</v>
      </c>
      <c r="AC9" s="336">
        <f t="shared" si="2"/>
        <v>1.1139423112711625E-15</v>
      </c>
      <c r="AD9" s="337">
        <f t="shared" si="3"/>
        <v>5.5674267569600467E-17</v>
      </c>
      <c r="AE9" s="308">
        <f t="shared" ref="AE9:AE72" si="10">100*AD9/AC9</f>
        <v>4.9979489068934297</v>
      </c>
      <c r="AF9" s="337">
        <f t="shared" ref="AF9:AF72" si="11">2*AD9</f>
        <v>1.1134853513920093E-16</v>
      </c>
      <c r="AG9" s="338">
        <f>LN(AC9)</f>
        <v>-34.430871039960891</v>
      </c>
      <c r="AH9" s="339">
        <f>AD9/AC9</f>
        <v>4.9979489068934291E-2</v>
      </c>
      <c r="AI9" s="340">
        <f>ABS(100*(AH9/AG9))</f>
        <v>0.14515894474736779</v>
      </c>
      <c r="AJ9" s="341">
        <f t="shared" ref="AJ9:AJ72" si="12">2*AH9</f>
        <v>9.9958978137868582E-2</v>
      </c>
    </row>
    <row r="10" spans="1:39" x14ac:dyDescent="0.2">
      <c r="A10" s="309">
        <v>3</v>
      </c>
      <c r="B10" s="309">
        <f t="shared" ref="B10:B73" si="13">G10+B9</f>
        <v>2.313913888888889</v>
      </c>
      <c r="C10" s="1">
        <v>320.08</v>
      </c>
      <c r="D10" s="1">
        <v>0.34</v>
      </c>
      <c r="E10" s="326">
        <f t="shared" si="4"/>
        <v>16.856868331001465</v>
      </c>
      <c r="F10" s="327">
        <f t="shared" si="0"/>
        <v>9.3432647356992016E-3</v>
      </c>
      <c r="G10" s="309">
        <f t="shared" si="5"/>
        <v>0.64592777777777788</v>
      </c>
      <c r="H10" s="1">
        <v>2325.34</v>
      </c>
      <c r="I10" s="324">
        <v>30</v>
      </c>
      <c r="J10" s="1">
        <v>5.5599999999999998E-3</v>
      </c>
      <c r="K10" s="122">
        <v>5.99999999999999E-5</v>
      </c>
      <c r="L10" s="328">
        <f t="shared" si="6"/>
        <v>1.0791366906474802</v>
      </c>
      <c r="M10" s="329">
        <f t="shared" si="1"/>
        <v>4.5993061334559794E-4</v>
      </c>
      <c r="N10" s="342">
        <f>(1/$J$79)*SQRT(((1-J11/$J$79)*K10)^2+(J11/$J$79)^2*(SUMSQ(K$8:K9)+SUMSQ(K11:K$78)))</f>
        <v>6.9361128873366442E-6</v>
      </c>
      <c r="O10" s="340">
        <f t="shared" ref="O10:O73" si="14">100*(N10/M10)</f>
        <v>1.5080781070175813</v>
      </c>
      <c r="P10" s="332">
        <f t="shared" si="7"/>
        <v>1.0050642000268013E-3</v>
      </c>
      <c r="Q10" s="342">
        <f>SQRT(((1-P10)/$J$79)^2*SUMSQ(K$8:K10)+(P10/$J$79)^2*SUMSQ(K11:K$78))</f>
        <v>1.1401644342922637E-5</v>
      </c>
      <c r="R10" s="340">
        <f t="shared" ref="R10:R73" si="15">100*(Q10/P10)</f>
        <v>1.134419506994538</v>
      </c>
      <c r="S10" s="343">
        <f t="shared" ref="S10:S73" si="16">IF(P10&lt;=0.85, (((-1)*PI()^2*(P10-P9)/3-2*PI()*(SQRT(1-PI()*P10/3)-SQRT(1-PI()*P9/3)))/PI()^2/H10), ((-1)*LN((1-P10)/(1-P9))/PI()^2/H10 ))</f>
        <v>2.6773958657580849E-11</v>
      </c>
      <c r="T10" s="344">
        <f t="shared" ref="T10:T73" si="17">IF(P10&lt;=0.85, ABS(((-1)*(P10-P9)/3-2*(SQRT(1-PI()*P10/3)-SQRT(1-PI()*P9/3))/PI())*(-1)*I10/H10^2), ABS((-1)*LN((1-P10)/(1-P9))*(-1)*I10/PI()^2/H10^2))</f>
        <v>3.4541992127068424E-13</v>
      </c>
      <c r="U10" s="344">
        <f>IF(P10&lt;=0.85, (1/(3*H10*$J$79))*SQRT( ((1-P10)*(1/SQRT(1-PI()*P10/3)-1) + (1-P9)*(1-1/SQRT(1-PI()*P9/3)))^2*SUMSQ(K$8:K9) + ( (1-P10)*(1/SQRT(1-PI()*P10/3)-1) -P9*(1-1/SQRT(1-PI()*P9/3)) )^2*K10^2 + ( P10*(1-1/SQRT(1-PI()*P10/3)) - P9*(1-1/SQRT(1-PI()*P9/3)) )^2*SUMSQ(K11:K$78) ), (1/(PI()^2*H10*$J$79))*SQRT((1+P9/(1-P9))^2*K10^2+(P9/(1-P9)-P10/(1-P10))^2*SUMSQ(K11:K$78)) )</f>
        <v>5.8652503265488386E-13</v>
      </c>
      <c r="V10" s="345">
        <f t="shared" ref="V10:V73" si="18">SQRT(T10^2+U10^2)</f>
        <v>6.8068093549140799E-13</v>
      </c>
      <c r="W10" s="340">
        <f t="shared" ref="W10:W73" si="19">100*(V10/S10)</f>
        <v>2.5423245930749885</v>
      </c>
      <c r="X10" s="345">
        <f t="shared" ref="X10:X73" si="20">V10*2</f>
        <v>1.361361870982816E-12</v>
      </c>
      <c r="Y10" s="338">
        <f t="shared" si="8"/>
        <v>-24.343591392691646</v>
      </c>
      <c r="Z10" s="346">
        <f t="shared" ref="Z10:Z73" si="21">V10/S10</f>
        <v>2.5423245930749884E-2</v>
      </c>
      <c r="AA10" s="346">
        <f t="shared" ref="AA10:AA73" si="22">ABS(100*(Z10/Y10))</f>
        <v>0.10443506679290702</v>
      </c>
      <c r="AB10" s="346">
        <f t="shared" si="9"/>
        <v>5.0846491861499768E-2</v>
      </c>
      <c r="AC10" s="336">
        <f t="shared" si="2"/>
        <v>3.4551686551773453E-15</v>
      </c>
      <c r="AD10" s="337">
        <f t="shared" si="3"/>
        <v>1.500583685039403E-16</v>
      </c>
      <c r="AE10" s="308">
        <f t="shared" si="10"/>
        <v>4.3430113976950908</v>
      </c>
      <c r="AF10" s="337">
        <f t="shared" si="11"/>
        <v>3.0011673700788059E-16</v>
      </c>
      <c r="AG10" s="338">
        <f t="shared" ref="AG10:AG73" si="23">LN(AC10)</f>
        <v>-33.298905124069911</v>
      </c>
      <c r="AH10" s="339">
        <f t="shared" ref="AH10:AH73" si="24">AD10/AC10</f>
        <v>4.3430113976950908E-2</v>
      </c>
      <c r="AI10" s="340">
        <f t="shared" ref="AI10:AI73" si="25">ABS(100*(AH10/AG10))</f>
        <v>0.13042505095928128</v>
      </c>
      <c r="AJ10" s="341">
        <f t="shared" si="12"/>
        <v>8.6860227953901817E-2</v>
      </c>
    </row>
    <row r="11" spans="1:39" x14ac:dyDescent="0.2">
      <c r="A11" s="309">
        <v>4</v>
      </c>
      <c r="B11" s="309">
        <f t="shared" si="13"/>
        <v>2.9604027777777779</v>
      </c>
      <c r="C11" s="1">
        <v>330.09</v>
      </c>
      <c r="D11" s="1">
        <v>0.33</v>
      </c>
      <c r="E11" s="326">
        <f t="shared" si="4"/>
        <v>16.57715005636231</v>
      </c>
      <c r="F11" s="327">
        <f t="shared" si="0"/>
        <v>8.7751185001575128E-3</v>
      </c>
      <c r="G11" s="309">
        <f t="shared" si="5"/>
        <v>0.646488888888889</v>
      </c>
      <c r="H11" s="1">
        <v>2327.36</v>
      </c>
      <c r="I11" s="324">
        <v>30</v>
      </c>
      <c r="J11" s="1">
        <v>8.5599999999999999E-3</v>
      </c>
      <c r="K11" s="1">
        <v>1.1E-4</v>
      </c>
      <c r="L11" s="328">
        <f t="shared" si="6"/>
        <v>1.2850467289719627</v>
      </c>
      <c r="M11" s="329">
        <f t="shared" si="1"/>
        <v>7.0809461335221552E-4</v>
      </c>
      <c r="N11" s="342">
        <f>(1/$J$79)*SQRT(((1-J12/$J$79)*K11)^2+(J12/$J$79)^2*(SUMSQ(K$8:K10)+SUMSQ(K12:K$78)))</f>
        <v>1.1263229588312329E-5</v>
      </c>
      <c r="O11" s="340">
        <f t="shared" si="14"/>
        <v>1.5906390722266166</v>
      </c>
      <c r="P11" s="332">
        <f t="shared" si="7"/>
        <v>1.7131588133790167E-3</v>
      </c>
      <c r="Q11" s="342">
        <f>SQRT(((1-P11)/$J$79)^2*SUMSQ(K$8:K11)+(P11/$J$79)^2*SUMSQ(K12:K$78))</f>
        <v>1.739672457572052E-5</v>
      </c>
      <c r="R11" s="340">
        <f t="shared" si="15"/>
        <v>1.0154764660380435</v>
      </c>
      <c r="S11" s="343">
        <f t="shared" si="16"/>
        <v>7.2249456030867297E-11</v>
      </c>
      <c r="T11" s="344">
        <f t="shared" si="17"/>
        <v>9.3130572018340378E-13</v>
      </c>
      <c r="U11" s="344">
        <f>IF(P11&lt;=0.85, (1/(3*H11*$J$79))*SQRT( ((1-P11)*(1/SQRT(1-PI()*P11/3)-1) + (1-P10)*(1-1/SQRT(1-PI()*P10/3)))^2*SUMSQ(K$8:K10) + ( (1-P11)*(1/SQRT(1-PI()*P11/3)-1) -P10*(1-1/SQRT(1-PI()*P10/3)) )^2*K11^2 + ( P11*(1-1/SQRT(1-PI()*P11/3)) - P10*(1-1/SQRT(1-PI()*P10/3)) )^2*SUMSQ(K12:K$78) ), (1/(PI()^2*H11*$J$79))*SQRT((1+P10/(1-P10))^2*K11^2+(P10/(1-P10)-P11/(1-P11))^2*SUMSQ(K12:K$78)) )</f>
        <v>1.6064032039055075E-12</v>
      </c>
      <c r="V11" s="345">
        <f t="shared" si="18"/>
        <v>1.8568418343962978E-12</v>
      </c>
      <c r="W11" s="340">
        <f t="shared" si="19"/>
        <v>2.5700426500138565</v>
      </c>
      <c r="X11" s="345">
        <f t="shared" si="20"/>
        <v>3.7136836687925956E-12</v>
      </c>
      <c r="Y11" s="338">
        <f t="shared" si="8"/>
        <v>-23.350896317948884</v>
      </c>
      <c r="Z11" s="346">
        <f t="shared" si="21"/>
        <v>2.5700426500138564E-2</v>
      </c>
      <c r="AA11" s="346">
        <f t="shared" si="22"/>
        <v>0.1100618415250454</v>
      </c>
      <c r="AB11" s="346">
        <f t="shared" si="9"/>
        <v>5.1400853000277129E-2</v>
      </c>
      <c r="AC11" s="336">
        <f t="shared" si="2"/>
        <v>9.3237634010010117E-15</v>
      </c>
      <c r="AD11" s="337">
        <f t="shared" si="3"/>
        <v>4.0645035164280965E-16</v>
      </c>
      <c r="AE11" s="308">
        <f t="shared" si="10"/>
        <v>4.3592949988324738</v>
      </c>
      <c r="AF11" s="337">
        <f t="shared" si="11"/>
        <v>8.1290070328561931E-16</v>
      </c>
      <c r="AG11" s="338">
        <f t="shared" si="23"/>
        <v>-32.306210049327149</v>
      </c>
      <c r="AH11" s="339">
        <f t="shared" si="24"/>
        <v>4.3592949988324733E-2</v>
      </c>
      <c r="AI11" s="340">
        <f t="shared" si="25"/>
        <v>0.13493675030826668</v>
      </c>
      <c r="AJ11" s="341">
        <f t="shared" si="12"/>
        <v>8.7185899976649467E-2</v>
      </c>
    </row>
    <row r="12" spans="1:39" x14ac:dyDescent="0.2">
      <c r="A12" s="309">
        <v>5</v>
      </c>
      <c r="B12" s="309">
        <f t="shared" si="13"/>
        <v>3.6052333333333335</v>
      </c>
      <c r="C12" s="1">
        <v>340.09</v>
      </c>
      <c r="D12" s="1">
        <v>0.32</v>
      </c>
      <c r="E12" s="326">
        <f t="shared" si="4"/>
        <v>16.306829300110888</v>
      </c>
      <c r="F12" s="327">
        <f t="shared" si="0"/>
        <v>8.2385973399372921E-3</v>
      </c>
      <c r="G12" s="309">
        <f t="shared" si="5"/>
        <v>0.64483055555555557</v>
      </c>
      <c r="H12" s="1">
        <v>2321.39</v>
      </c>
      <c r="I12" s="324">
        <v>30</v>
      </c>
      <c r="J12" s="1">
        <v>1.174E-2</v>
      </c>
      <c r="K12" s="1">
        <v>1.4999999999999999E-4</v>
      </c>
      <c r="L12" s="328">
        <f t="shared" si="6"/>
        <v>1.2776831345826234</v>
      </c>
      <c r="M12" s="329">
        <f t="shared" si="1"/>
        <v>9.7114845335923028E-4</v>
      </c>
      <c r="N12" s="342">
        <f>(1/$J$79)*SQRT(((1-J13/$J$79)*K12)^2+(J13/$J$79)^2*(SUMSQ(K$8:K11)+SUMSQ(K13:K$78)))</f>
        <v>1.5419360524205219E-5</v>
      </c>
      <c r="O12" s="340">
        <f t="shared" si="14"/>
        <v>1.5877449498960958</v>
      </c>
      <c r="P12" s="332">
        <f t="shared" si="7"/>
        <v>2.6843072667382469E-3</v>
      </c>
      <c r="Q12" s="342">
        <f>SQRT(((1-P12)/$J$79)^2*SUMSQ(K$8:K12)+(P12/$J$79)^2*SUMSQ(K13:K$78))</f>
        <v>2.5606796669127601E-5</v>
      </c>
      <c r="R12" s="340">
        <f t="shared" si="15"/>
        <v>0.95394431876060559</v>
      </c>
      <c r="S12" s="343">
        <f t="shared" si="16"/>
        <v>1.6082382712064637E-10</v>
      </c>
      <c r="T12" s="344">
        <f t="shared" si="17"/>
        <v>2.0783732219142427E-12</v>
      </c>
      <c r="U12" s="344">
        <f>IF(P12&lt;=0.85, (1/(3*H12*$J$79))*SQRT( ((1-P12)*(1/SQRT(1-PI()*P12/3)-1) + (1-P11)*(1-1/SQRT(1-PI()*P11/3)))^2*SUMSQ(K$8:K11) + ( (1-P12)*(1/SQRT(1-PI()*P12/3)-1) -P11*(1-1/SQRT(1-PI()*P11/3)) )^2*K12^2 + ( P12*(1-1/SQRT(1-PI()*P12/3)) - P11*(1-1/SQRT(1-PI()*P11/3)) )^2*SUMSQ(K13:K$78) ), (1/(PI()^2*H12*$J$79))*SQRT((1+P11/(1-P11))^2*K12^2+(P11/(1-P11)-P12/(1-P12))^2*SUMSQ(K13:K$78)) )</f>
        <v>3.4667422482333631E-12</v>
      </c>
      <c r="V12" s="345">
        <f t="shared" si="18"/>
        <v>4.0420214083124674E-12</v>
      </c>
      <c r="W12" s="340">
        <f t="shared" si="19"/>
        <v>2.5133224850321678</v>
      </c>
      <c r="X12" s="345">
        <f t="shared" si="20"/>
        <v>8.0840428166249348E-12</v>
      </c>
      <c r="Y12" s="338">
        <f t="shared" si="8"/>
        <v>-22.550711591550062</v>
      </c>
      <c r="Z12" s="346">
        <f t="shared" si="21"/>
        <v>2.513322485032168E-2</v>
      </c>
      <c r="AA12" s="346">
        <f t="shared" si="22"/>
        <v>0.11145202557483511</v>
      </c>
      <c r="AB12" s="346">
        <f t="shared" si="9"/>
        <v>5.0266449700643361E-2</v>
      </c>
      <c r="AC12" s="336">
        <f t="shared" si="2"/>
        <v>2.0754250560388563E-14</v>
      </c>
      <c r="AD12" s="337">
        <f t="shared" si="3"/>
        <v>8.9784921054301056E-16</v>
      </c>
      <c r="AE12" s="308">
        <f t="shared" si="10"/>
        <v>4.3260979621043996</v>
      </c>
      <c r="AF12" s="337">
        <f t="shared" si="11"/>
        <v>1.7956984210860211E-15</v>
      </c>
      <c r="AG12" s="338">
        <f t="shared" si="23"/>
        <v>-31.506025322928327</v>
      </c>
      <c r="AH12" s="339">
        <f t="shared" si="24"/>
        <v>4.3260979621043999E-2</v>
      </c>
      <c r="AI12" s="340">
        <f t="shared" si="25"/>
        <v>0.13731017853769412</v>
      </c>
      <c r="AJ12" s="341">
        <f t="shared" si="12"/>
        <v>8.6521959242087998E-2</v>
      </c>
    </row>
    <row r="13" spans="1:39" x14ac:dyDescent="0.2">
      <c r="A13" s="309">
        <v>6</v>
      </c>
      <c r="B13" s="309">
        <f t="shared" si="13"/>
        <v>4.2511583333333336</v>
      </c>
      <c r="C13" s="1">
        <v>350.08</v>
      </c>
      <c r="D13" s="1">
        <v>0.31</v>
      </c>
      <c r="E13" s="326">
        <f t="shared" si="4"/>
        <v>16.045440688028496</v>
      </c>
      <c r="F13" s="327">
        <f t="shared" si="0"/>
        <v>7.7312985994604936E-3</v>
      </c>
      <c r="G13" s="309">
        <f t="shared" si="5"/>
        <v>0.64592499999999997</v>
      </c>
      <c r="H13" s="1">
        <v>2325.33</v>
      </c>
      <c r="I13" s="324">
        <v>30</v>
      </c>
      <c r="J13" s="1">
        <v>1.6199999999999999E-2</v>
      </c>
      <c r="K13" s="1">
        <v>1.8000000000000001E-4</v>
      </c>
      <c r="L13" s="328">
        <f t="shared" si="6"/>
        <v>1.1111111111111114</v>
      </c>
      <c r="M13" s="329">
        <f t="shared" si="1"/>
        <v>1.340085600035735E-3</v>
      </c>
      <c r="N13" s="342">
        <f>(1/$J$79)*SQRT(((1-J14/$J$79)*K13)^2+(J14/$J$79)^2*(SUMSQ(K$8:K12)+SUMSQ(K14:K$78)))</f>
        <v>1.8550572350907036E-5</v>
      </c>
      <c r="O13" s="340">
        <f t="shared" si="14"/>
        <v>1.3842826421246794</v>
      </c>
      <c r="P13" s="332">
        <f t="shared" si="7"/>
        <v>4.0243928667739823E-3</v>
      </c>
      <c r="Q13" s="342">
        <f>SQRT(((1-P13)/$J$79)^2*SUMSQ(K$8:K13)+(P13/$J$79)^2*SUMSQ(K14:K$78))</f>
        <v>3.6004495710301355E-5</v>
      </c>
      <c r="R13" s="340">
        <f t="shared" si="15"/>
        <v>0.8946565830478459</v>
      </c>
      <c r="S13" s="343">
        <f t="shared" si="16"/>
        <v>3.3829455251698284E-10</v>
      </c>
      <c r="T13" s="344">
        <f t="shared" si="17"/>
        <v>4.364471526841495E-12</v>
      </c>
      <c r="U13" s="344">
        <f>IF(P13&lt;=0.85, (1/(3*H13*$J$79))*SQRT( ((1-P13)*(1/SQRT(1-PI()*P13/3)-1) + (1-P12)*(1-1/SQRT(1-PI()*P12/3)))^2*SUMSQ(K$8:K12) + ( (1-P13)*(1/SQRT(1-PI()*P13/3)-1) -P12*(1-1/SQRT(1-PI()*P12/3)) )^2*K13^2 + ( P13*(1-1/SQRT(1-PI()*P13/3)) - P12*(1-1/SQRT(1-PI()*P12/3)) )^2*SUMSQ(K14:K$78) ), (1/(PI()^2*H13*$J$79))*SQRT((1+P12/(1-P12))^2*K13^2+(P12/(1-P12)-P13/(1-P13))^2*SUMSQ(K14:K$78)) )</f>
        <v>6.7090975854706917E-12</v>
      </c>
      <c r="V13" s="345">
        <f t="shared" si="18"/>
        <v>8.0037867362879416E-12</v>
      </c>
      <c r="W13" s="340">
        <f t="shared" si="19"/>
        <v>2.3659224414753592</v>
      </c>
      <c r="X13" s="345">
        <f t="shared" si="20"/>
        <v>1.6007573472575883E-11</v>
      </c>
      <c r="Y13" s="338">
        <f t="shared" si="8"/>
        <v>-21.807104142793015</v>
      </c>
      <c r="Z13" s="346">
        <f t="shared" si="21"/>
        <v>2.3659224414753592E-2</v>
      </c>
      <c r="AA13" s="346">
        <f t="shared" si="22"/>
        <v>0.10849319680335769</v>
      </c>
      <c r="AB13" s="346">
        <f t="shared" si="9"/>
        <v>4.7318448829507184E-2</v>
      </c>
      <c r="AC13" s="336">
        <f t="shared" si="2"/>
        <v>4.3656776684495624E-14</v>
      </c>
      <c r="AD13" s="337">
        <f t="shared" si="3"/>
        <v>1.8519903794138766E-15</v>
      </c>
      <c r="AE13" s="308">
        <f t="shared" si="10"/>
        <v>4.2421601411347369</v>
      </c>
      <c r="AF13" s="337">
        <f t="shared" si="11"/>
        <v>3.7039807588277532E-15</v>
      </c>
      <c r="AG13" s="338">
        <f t="shared" si="23"/>
        <v>-30.762417874171277</v>
      </c>
      <c r="AH13" s="339">
        <f t="shared" si="24"/>
        <v>4.2421601411347376E-2</v>
      </c>
      <c r="AI13" s="340">
        <f t="shared" si="25"/>
        <v>0.13790073844281719</v>
      </c>
      <c r="AJ13" s="341">
        <f t="shared" si="12"/>
        <v>8.4843202822694752E-2</v>
      </c>
    </row>
    <row r="14" spans="1:39" x14ac:dyDescent="0.2">
      <c r="A14" s="309">
        <v>7</v>
      </c>
      <c r="B14" s="309">
        <f t="shared" si="13"/>
        <v>4.8982027777777777</v>
      </c>
      <c r="C14" s="1">
        <v>360.07</v>
      </c>
      <c r="D14" s="1">
        <v>0.26</v>
      </c>
      <c r="E14" s="326">
        <f t="shared" si="4"/>
        <v>15.792299674678626</v>
      </c>
      <c r="F14" s="327">
        <f t="shared" si="0"/>
        <v>6.2842617892323351E-3</v>
      </c>
      <c r="G14" s="309">
        <f t="shared" si="5"/>
        <v>0.64704444444444453</v>
      </c>
      <c r="H14" s="1">
        <v>2329.36</v>
      </c>
      <c r="I14" s="324">
        <v>30</v>
      </c>
      <c r="J14" s="1">
        <v>1.959E-2</v>
      </c>
      <c r="K14" s="1">
        <v>1.2999999999999999E-4</v>
      </c>
      <c r="L14" s="328">
        <f t="shared" si="6"/>
        <v>0.66360387953037259</v>
      </c>
      <c r="M14" s="329">
        <f t="shared" si="1"/>
        <v>1.620510920043213E-3</v>
      </c>
      <c r="N14" s="342">
        <f>(1/$J$79)*SQRT(((1-J15/$J$79)*K14)^2+(J15/$J$79)^2*(SUMSQ(K$8:K13)+SUMSQ(K15:K$78)))</f>
        <v>1.7440614986982152E-5</v>
      </c>
      <c r="O14" s="340">
        <f t="shared" si="14"/>
        <v>1.0762417439628902</v>
      </c>
      <c r="P14" s="332">
        <f t="shared" si="7"/>
        <v>5.6449037868171953E-3</v>
      </c>
      <c r="Q14" s="342">
        <f>SQRT(((1-P14)/$J$79)^2*SUMSQ(K$8:K14)+(P14/$J$79)^2*SUMSQ(K15:K$78))</f>
        <v>4.6299369365772551E-5</v>
      </c>
      <c r="R14" s="340">
        <f t="shared" si="15"/>
        <v>0.8201976705767352</v>
      </c>
      <c r="S14" s="343">
        <f t="shared" si="16"/>
        <v>5.8928595580374029E-10</v>
      </c>
      <c r="T14" s="344">
        <f t="shared" si="17"/>
        <v>7.5894574793555801E-12</v>
      </c>
      <c r="U14" s="344">
        <f>IF(P14&lt;=0.85, (1/(3*H14*$J$79))*SQRT( ((1-P14)*(1/SQRT(1-PI()*P14/3)-1) + (1-P13)*(1-1/SQRT(1-PI()*P13/3)))^2*SUMSQ(K$8:K13) + ( (1-P14)*(1/SQRT(1-PI()*P14/3)-1) -P13*(1-1/SQRT(1-PI()*P13/3)) )^2*K14^2 + ( P14*(1-1/SQRT(1-PI()*P14/3)) - P13*(1-1/SQRT(1-PI()*P13/3)) )^2*SUMSQ(K15:K$78) ), (1/(PI()^2*H14*$J$79))*SQRT((1+P13/(1-P13))^2*K14^2+(P13/(1-P13)-P14/(1-P14))^2*SUMSQ(K15:K$78)) )</f>
        <v>9.6997375868875829E-12</v>
      </c>
      <c r="V14" s="345">
        <f t="shared" si="18"/>
        <v>1.2316037272005396E-11</v>
      </c>
      <c r="W14" s="340">
        <f t="shared" si="19"/>
        <v>2.0899933471530434</v>
      </c>
      <c r="X14" s="345">
        <f t="shared" si="20"/>
        <v>2.4632074544010793E-11</v>
      </c>
      <c r="Y14" s="338">
        <f t="shared" si="8"/>
        <v>-21.252109556366392</v>
      </c>
      <c r="Z14" s="346">
        <f t="shared" si="21"/>
        <v>2.0899933471530435E-2</v>
      </c>
      <c r="AA14" s="346">
        <f t="shared" si="22"/>
        <v>9.834286528637598E-2</v>
      </c>
      <c r="AB14" s="346">
        <f t="shared" si="9"/>
        <v>4.179986694306087E-2</v>
      </c>
      <c r="AC14" s="336">
        <f t="shared" si="2"/>
        <v>7.6047116882090358E-14</v>
      </c>
      <c r="AD14" s="337">
        <f t="shared" si="3"/>
        <v>3.1138862297326192E-15</v>
      </c>
      <c r="AE14" s="308">
        <f t="shared" si="10"/>
        <v>4.0946801895996163</v>
      </c>
      <c r="AF14" s="337">
        <f t="shared" si="11"/>
        <v>6.2277724594652385E-15</v>
      </c>
      <c r="AG14" s="338">
        <f t="shared" si="23"/>
        <v>-30.207423287744657</v>
      </c>
      <c r="AH14" s="339">
        <f t="shared" si="24"/>
        <v>4.0946801895996164E-2</v>
      </c>
      <c r="AI14" s="340">
        <f t="shared" si="25"/>
        <v>0.13555211745785858</v>
      </c>
      <c r="AJ14" s="341">
        <f t="shared" si="12"/>
        <v>8.1893603791992328E-2</v>
      </c>
    </row>
    <row r="15" spans="1:39" x14ac:dyDescent="0.2">
      <c r="A15" s="309">
        <v>8</v>
      </c>
      <c r="B15" s="309">
        <f t="shared" si="13"/>
        <v>5.5435749999999997</v>
      </c>
      <c r="C15" s="1">
        <v>370.07</v>
      </c>
      <c r="D15" s="1">
        <v>0.26</v>
      </c>
      <c r="E15" s="326">
        <f t="shared" si="4"/>
        <v>15.546780261807779</v>
      </c>
      <c r="F15" s="327">
        <f t="shared" si="0"/>
        <v>6.0933258226436781E-3</v>
      </c>
      <c r="G15" s="309">
        <f t="shared" si="5"/>
        <v>0.64537222222222235</v>
      </c>
      <c r="H15" s="1">
        <v>2323.34</v>
      </c>
      <c r="I15" s="324">
        <v>30</v>
      </c>
      <c r="J15" s="1">
        <v>2.427E-2</v>
      </c>
      <c r="K15" s="1">
        <v>1.8999999999999901E-4</v>
      </c>
      <c r="L15" s="328">
        <f t="shared" si="6"/>
        <v>0.78285949732179239</v>
      </c>
      <c r="M15" s="329">
        <f t="shared" si="1"/>
        <v>2.0076467600535363E-3</v>
      </c>
      <c r="N15" s="342">
        <f>(1/$J$79)*SQRT(((1-J16/$J$79)*K15)^2+(J16/$J$79)^2*(SUMSQ(K$8:K14)+SUMSQ(K16:K$78)))</f>
        <v>2.2988195255992711E-5</v>
      </c>
      <c r="O15" s="340">
        <f t="shared" si="14"/>
        <v>1.1450318708147496</v>
      </c>
      <c r="P15" s="332">
        <f t="shared" si="7"/>
        <v>7.652550546870732E-3</v>
      </c>
      <c r="Q15" s="342">
        <f>SQRT(((1-P15)/$J$79)^2*SUMSQ(K$8:K15)+(P15/$J$79)^2*SUMSQ(K16:K$78))</f>
        <v>6.0299535962895511E-5</v>
      </c>
      <c r="R15" s="340">
        <f t="shared" si="15"/>
        <v>0.78796651643879811</v>
      </c>
      <c r="S15" s="343">
        <f t="shared" si="16"/>
        <v>1.0080520714448649E-9</v>
      </c>
      <c r="T15" s="344">
        <f t="shared" si="17"/>
        <v>1.3016416944290325E-11</v>
      </c>
      <c r="U15" s="344">
        <f>IF(P15&lt;=0.85, (1/(3*H15*$J$79))*SQRT( ((1-P15)*(1/SQRT(1-PI()*P15/3)-1) + (1-P14)*(1-1/SQRT(1-PI()*P14/3)))^2*SUMSQ(K$8:K14) + ( (1-P15)*(1/SQRT(1-PI()*P15/3)-1) -P14*(1-1/SQRT(1-PI()*P14/3)) )^2*K15^2 + ( P15*(1-1/SQRT(1-PI()*P15/3)) - P14*(1-1/SQRT(1-PI()*P14/3)) )^2*SUMSQ(K16:K$78) ), (1/(PI()^2*H15*$J$79))*SQRT((1+P14/(1-P14))^2*K15^2+(P14/(1-P14)-P15/(1-P15))^2*SUMSQ(K16:K$78)) )</f>
        <v>1.6985454844717139E-11</v>
      </c>
      <c r="V15" s="345">
        <f t="shared" si="18"/>
        <v>2.1399364157599009E-11</v>
      </c>
      <c r="W15" s="340">
        <f t="shared" si="19"/>
        <v>2.1228431312012281</v>
      </c>
      <c r="X15" s="345">
        <f t="shared" si="20"/>
        <v>4.2798728315198018E-11</v>
      </c>
      <c r="Y15" s="338">
        <f t="shared" si="8"/>
        <v>-20.715246010452042</v>
      </c>
      <c r="Z15" s="346">
        <f t="shared" si="21"/>
        <v>2.122843131201228E-2</v>
      </c>
      <c r="AA15" s="346">
        <f t="shared" si="22"/>
        <v>0.10247733143647585</v>
      </c>
      <c r="AB15" s="346">
        <f t="shared" si="9"/>
        <v>4.2456862624024559E-2</v>
      </c>
      <c r="AC15" s="336">
        <f t="shared" si="2"/>
        <v>1.3008871659913123E-13</v>
      </c>
      <c r="AD15" s="337">
        <f t="shared" si="3"/>
        <v>5.348655226952675E-15</v>
      </c>
      <c r="AE15" s="308">
        <f t="shared" si="10"/>
        <v>4.1115443112830237</v>
      </c>
      <c r="AF15" s="337">
        <f t="shared" si="11"/>
        <v>1.069731045390535E-14</v>
      </c>
      <c r="AG15" s="338">
        <f t="shared" si="23"/>
        <v>-29.670559741830306</v>
      </c>
      <c r="AH15" s="339">
        <f t="shared" si="24"/>
        <v>4.111544311283024E-2</v>
      </c>
      <c r="AI15" s="340">
        <f t="shared" si="25"/>
        <v>0.1385731966993014</v>
      </c>
      <c r="AJ15" s="341">
        <f t="shared" si="12"/>
        <v>8.2230886225660479E-2</v>
      </c>
    </row>
    <row r="16" spans="1:39" x14ac:dyDescent="0.2">
      <c r="A16" s="309">
        <v>9</v>
      </c>
      <c r="B16" s="309">
        <f t="shared" si="13"/>
        <v>6.1894999999999998</v>
      </c>
      <c r="C16" s="1">
        <v>380.07</v>
      </c>
      <c r="D16" s="1">
        <v>0.26</v>
      </c>
      <c r="E16" s="326">
        <f t="shared" si="4"/>
        <v>15.308778053335782</v>
      </c>
      <c r="F16" s="327">
        <f t="shared" si="0"/>
        <v>5.9111396012579984E-3</v>
      </c>
      <c r="G16" s="309">
        <f t="shared" si="5"/>
        <v>0.64592499999999997</v>
      </c>
      <c r="H16" s="1">
        <v>2325.33</v>
      </c>
      <c r="I16" s="324">
        <v>30</v>
      </c>
      <c r="J16" s="1">
        <v>2.9680000000000002E-2</v>
      </c>
      <c r="K16" s="1">
        <v>2.5000000000000001E-4</v>
      </c>
      <c r="L16" s="328">
        <f t="shared" si="6"/>
        <v>0.84231805929919135</v>
      </c>
      <c r="M16" s="329">
        <f t="shared" si="1"/>
        <v>2.4551691733988037E-3</v>
      </c>
      <c r="N16" s="342">
        <f>(1/$J$79)*SQRT(((1-J17/$J$79)*K16)^2+(J17/$J$79)^2*(SUMSQ(K$8:K15)+SUMSQ(K17:K$78)))</f>
        <v>2.8005676344571153E-5</v>
      </c>
      <c r="O16" s="340">
        <f t="shared" si="14"/>
        <v>1.1406821431291272</v>
      </c>
      <c r="P16" s="332">
        <f t="shared" si="7"/>
        <v>1.0107719720269536E-2</v>
      </c>
      <c r="Q16" s="342">
        <f>SQRT(((1-P16)/$J$79)^2*SUMSQ(K$8:K16)+(P16/$J$79)^2*SUMSQ(K17:K$78))</f>
        <v>7.8071930263864955E-5</v>
      </c>
      <c r="R16" s="340">
        <f t="shared" si="15"/>
        <v>0.77239904176708862</v>
      </c>
      <c r="S16" s="343">
        <f t="shared" si="16"/>
        <v>1.6479928796046325E-9</v>
      </c>
      <c r="T16" s="344">
        <f t="shared" si="17"/>
        <v>2.1261406504942495E-11</v>
      </c>
      <c r="U16" s="344">
        <f>IF(P16&lt;=0.85, (1/(3*H16*$J$79))*SQRT( ((1-P16)*(1/SQRT(1-PI()*P16/3)-1) + (1-P15)*(1-1/SQRT(1-PI()*P15/3)))^2*SUMSQ(K$8:K15) + ( (1-P16)*(1/SQRT(1-PI()*P16/3)-1) -P15*(1-1/SQRT(1-PI()*P15/3)) )^2*K16^2 + ( P16*(1-1/SQRT(1-PI()*P16/3)) - P15*(1-1/SQRT(1-PI()*P15/3)) )^2*SUMSQ(K17:K$78) ), (1/(PI()^2*H16*$J$79))*SQRT((1+P15/(1-P15))^2*K16^2+(P15/(1-P15)-P16/(1-P16))^2*SUMSQ(K17:K$78)) )</f>
        <v>2.8131849999069828E-11</v>
      </c>
      <c r="V16" s="345">
        <f t="shared" si="18"/>
        <v>3.5262563589996914E-11</v>
      </c>
      <c r="W16" s="340">
        <f t="shared" si="19"/>
        <v>2.139727909410428</v>
      </c>
      <c r="X16" s="345">
        <f t="shared" si="20"/>
        <v>7.0525127179993828E-11</v>
      </c>
      <c r="Y16" s="338">
        <f t="shared" si="8"/>
        <v>-20.223707726096723</v>
      </c>
      <c r="Z16" s="346">
        <f t="shared" si="21"/>
        <v>2.1397279094104278E-2</v>
      </c>
      <c r="AA16" s="346">
        <f t="shared" si="22"/>
        <v>0.10580294861803789</v>
      </c>
      <c r="AB16" s="346">
        <f t="shared" si="9"/>
        <v>4.2794558188208556E-2</v>
      </c>
      <c r="AC16" s="336">
        <f t="shared" si="2"/>
        <v>2.1267282191582597E-13</v>
      </c>
      <c r="AD16" s="337">
        <f t="shared" si="3"/>
        <v>8.762731725066837E-15</v>
      </c>
      <c r="AE16" s="308">
        <f t="shared" si="10"/>
        <v>4.1202875130584617</v>
      </c>
      <c r="AF16" s="337">
        <f t="shared" si="11"/>
        <v>1.7525463450133674E-14</v>
      </c>
      <c r="AG16" s="338">
        <f t="shared" si="23"/>
        <v>-29.179021457474985</v>
      </c>
      <c r="AH16" s="339">
        <f t="shared" si="24"/>
        <v>4.1202875130584619E-2</v>
      </c>
      <c r="AI16" s="340">
        <f t="shared" si="25"/>
        <v>0.1412071860964666</v>
      </c>
      <c r="AJ16" s="341">
        <f t="shared" si="12"/>
        <v>8.2405750261169239E-2</v>
      </c>
    </row>
    <row r="17" spans="1:39" x14ac:dyDescent="0.2">
      <c r="A17" s="309">
        <v>10</v>
      </c>
      <c r="B17" s="309">
        <f t="shared" si="13"/>
        <v>6.8359833333333331</v>
      </c>
      <c r="C17" s="1">
        <v>390.06</v>
      </c>
      <c r="D17" s="1">
        <v>0.25</v>
      </c>
      <c r="E17" s="326">
        <f t="shared" si="4"/>
        <v>15.078180365193528</v>
      </c>
      <c r="F17" s="327">
        <f t="shared" si="0"/>
        <v>5.5161858738060777E-3</v>
      </c>
      <c r="G17" s="309">
        <f t="shared" si="5"/>
        <v>0.64648333333333341</v>
      </c>
      <c r="H17" s="1">
        <v>2327.34</v>
      </c>
      <c r="I17" s="324">
        <v>30</v>
      </c>
      <c r="J17" s="1">
        <v>3.3450000000000001E-2</v>
      </c>
      <c r="K17" s="1">
        <v>2.7E-4</v>
      </c>
      <c r="L17" s="328">
        <f t="shared" si="6"/>
        <v>0.80717488789237668</v>
      </c>
      <c r="M17" s="329">
        <f t="shared" si="1"/>
        <v>2.7670286000737862E-3</v>
      </c>
      <c r="N17" s="342">
        <f>(1/$J$79)*SQRT(((1-J18/$J$79)*K17)^2+(J18/$J$79)^2*(SUMSQ(K$8:K16)+SUMSQ(K18:K$78)))</f>
        <v>3.2964138679075735E-5</v>
      </c>
      <c r="O17" s="340">
        <f t="shared" si="14"/>
        <v>1.1913190444868083</v>
      </c>
      <c r="P17" s="332">
        <f t="shared" si="7"/>
        <v>1.2874748320343323E-2</v>
      </c>
      <c r="Q17" s="342">
        <f>SQRT(((1-P17)/$J$79)^2*SUMSQ(K$8:K17)+(P17/$J$79)^2*SUMSQ(K18:K$78))</f>
        <v>9.7753348430844328E-5</v>
      </c>
      <c r="R17" s="340">
        <f t="shared" si="15"/>
        <v>0.7592641502466092</v>
      </c>
      <c r="S17" s="343">
        <f t="shared" si="16"/>
        <v>2.4063487650319307E-9</v>
      </c>
      <c r="T17" s="344">
        <f t="shared" si="17"/>
        <v>3.1018442922374753E-11</v>
      </c>
      <c r="U17" s="344">
        <f>IF(P17&lt;=0.85, (1/(3*H17*$J$79))*SQRT( ((1-P17)*(1/SQRT(1-PI()*P17/3)-1) + (1-P16)*(1-1/SQRT(1-PI()*P16/3)))^2*SUMSQ(K$8:K16) + ( (1-P17)*(1/SQRT(1-PI()*P17/3)-1) -P16*(1-1/SQRT(1-PI()*P16/3)) )^2*K17^2 + ( P17*(1-1/SQRT(1-PI()*P17/3)) - P16*(1-1/SQRT(1-PI()*P16/3)) )^2*SUMSQ(K18:K$78) ), (1/(PI()^2*H17*$J$79))*SQRT((1+P16/(1-P16))^2*K17^2+(P16/(1-P16)-P17/(1-P17))^2*SUMSQ(K18:K$78)) )</f>
        <v>4.0282281324767821E-11</v>
      </c>
      <c r="V17" s="345">
        <f t="shared" si="18"/>
        <v>5.08409873041069E-11</v>
      </c>
      <c r="W17" s="340">
        <f t="shared" si="19"/>
        <v>2.1127854799315537</v>
      </c>
      <c r="X17" s="345">
        <f t="shared" si="20"/>
        <v>1.016819746082138E-10</v>
      </c>
      <c r="Y17" s="338">
        <f t="shared" si="8"/>
        <v>-19.845155273526711</v>
      </c>
      <c r="Z17" s="346">
        <f t="shared" si="21"/>
        <v>2.1127854799315539E-2</v>
      </c>
      <c r="AA17" s="346">
        <f t="shared" si="22"/>
        <v>0.10646353988219956</v>
      </c>
      <c r="AB17" s="346">
        <f t="shared" si="9"/>
        <v>4.2255709598631078E-2</v>
      </c>
      <c r="AC17" s="336">
        <f t="shared" si="2"/>
        <v>3.1053834558786462E-13</v>
      </c>
      <c r="AD17" s="337">
        <f t="shared" si="3"/>
        <v>1.2751823806378616E-14</v>
      </c>
      <c r="AE17" s="308">
        <f t="shared" si="10"/>
        <v>4.1063604503459228</v>
      </c>
      <c r="AF17" s="337">
        <f t="shared" si="11"/>
        <v>2.5503647612757233E-14</v>
      </c>
      <c r="AG17" s="338">
        <f t="shared" si="23"/>
        <v>-28.800469004904976</v>
      </c>
      <c r="AH17" s="339">
        <f t="shared" si="24"/>
        <v>4.1063604503459229E-2</v>
      </c>
      <c r="AI17" s="340">
        <f t="shared" si="25"/>
        <v>0.14257963818737027</v>
      </c>
      <c r="AJ17" s="341">
        <f t="shared" si="12"/>
        <v>8.2127209006918458E-2</v>
      </c>
      <c r="AM17" s="322"/>
    </row>
    <row r="18" spans="1:39" x14ac:dyDescent="0.2">
      <c r="A18" s="309">
        <v>11</v>
      </c>
      <c r="B18" s="309">
        <f t="shared" si="13"/>
        <v>7.4802416666666662</v>
      </c>
      <c r="C18" s="1">
        <v>400.06</v>
      </c>
      <c r="D18" s="1">
        <v>0.24</v>
      </c>
      <c r="E18" s="326">
        <f t="shared" si="4"/>
        <v>14.854205968419958</v>
      </c>
      <c r="F18" s="327">
        <f t="shared" si="0"/>
        <v>5.1416535834845371E-3</v>
      </c>
      <c r="G18" s="309">
        <f t="shared" si="5"/>
        <v>0.64425833333333327</v>
      </c>
      <c r="H18" s="1">
        <v>2319.33</v>
      </c>
      <c r="I18" s="324">
        <v>30</v>
      </c>
      <c r="J18" s="1">
        <v>4.2930000000000003E-2</v>
      </c>
      <c r="K18" s="1">
        <v>2.5999999999999998E-4</v>
      </c>
      <c r="L18" s="328">
        <f t="shared" si="6"/>
        <v>0.60563708362450486</v>
      </c>
      <c r="M18" s="329">
        <f t="shared" si="1"/>
        <v>3.551226840094698E-3</v>
      </c>
      <c r="N18" s="342">
        <f>(1/$J$79)*SQRT(((1-J19/$J$79)*K18)^2+(J19/$J$79)^2*(SUMSQ(K$8:K17)+SUMSQ(K19:K$78)))</f>
        <v>3.800681517069918E-5</v>
      </c>
      <c r="O18" s="340">
        <f t="shared" si="14"/>
        <v>1.0702446473311087</v>
      </c>
      <c r="P18" s="332">
        <f t="shared" si="7"/>
        <v>1.6425975160438019E-2</v>
      </c>
      <c r="Q18" s="342">
        <f>SQRT(((1-P18)/$J$79)^2*SUMSQ(K$8:K18)+(P18/$J$79)^2*SUMSQ(K19:K$78))</f>
        <v>1.2193905236345794E-4</v>
      </c>
      <c r="R18" s="340">
        <f t="shared" si="15"/>
        <v>0.7423550271593512</v>
      </c>
      <c r="S18" s="343">
        <f t="shared" si="16"/>
        <v>3.9609500020962763E-9</v>
      </c>
      <c r="T18" s="344">
        <f t="shared" si="17"/>
        <v>5.12339770808314E-11</v>
      </c>
      <c r="U18" s="344">
        <f>IF(P18&lt;=0.85, (1/(3*H18*$J$79))*SQRT( ((1-P18)*(1/SQRT(1-PI()*P18/3)-1) + (1-P17)*(1-1/SQRT(1-PI()*P17/3)))^2*SUMSQ(K$8:K17) + ( (1-P18)*(1/SQRT(1-PI()*P18/3)-1) -P17*(1-1/SQRT(1-PI()*P17/3)) )^2*K18^2 + ( P18*(1-1/SQRT(1-PI()*P18/3)) - P17*(1-1/SQRT(1-PI()*P17/3)) )^2*SUMSQ(K19:K$78) ), (1/(PI()^2*H18*$J$79))*SQRT((1+P17/(1-P17))^2*K18^2+(P17/(1-P17)-P18/(1-P18))^2*SUMSQ(K19:K$78)) )</f>
        <v>6.1825192153270814E-11</v>
      </c>
      <c r="V18" s="345">
        <f t="shared" si="18"/>
        <v>8.0294923826528516E-11</v>
      </c>
      <c r="W18" s="340">
        <f t="shared" si="19"/>
        <v>2.0271632760836056</v>
      </c>
      <c r="X18" s="345">
        <f t="shared" si="20"/>
        <v>1.6058984765305703E-10</v>
      </c>
      <c r="Y18" s="338">
        <f t="shared" si="8"/>
        <v>-19.346781940932047</v>
      </c>
      <c r="Z18" s="346">
        <f t="shared" si="21"/>
        <v>2.0271632760836055E-2</v>
      </c>
      <c r="AA18" s="346">
        <f t="shared" si="22"/>
        <v>0.10478038581676107</v>
      </c>
      <c r="AB18" s="346">
        <f t="shared" si="9"/>
        <v>4.054326552167211E-2</v>
      </c>
      <c r="AC18" s="336">
        <f t="shared" si="2"/>
        <v>5.1115901339052359E-13</v>
      </c>
      <c r="AD18" s="337">
        <f t="shared" si="3"/>
        <v>2.076823698323725E-14</v>
      </c>
      <c r="AE18" s="308">
        <f t="shared" si="10"/>
        <v>4.0629699250496039</v>
      </c>
      <c r="AF18" s="337">
        <f t="shared" si="11"/>
        <v>4.15364739664745E-14</v>
      </c>
      <c r="AG18" s="338">
        <f t="shared" si="23"/>
        <v>-28.302095672310312</v>
      </c>
      <c r="AH18" s="339">
        <f t="shared" si="24"/>
        <v>4.0629699250496039E-2</v>
      </c>
      <c r="AI18" s="340">
        <f t="shared" si="25"/>
        <v>0.14355721117233938</v>
      </c>
      <c r="AJ18" s="341">
        <f t="shared" si="12"/>
        <v>8.1259398500992078E-2</v>
      </c>
    </row>
    <row r="19" spans="1:39" x14ac:dyDescent="0.2">
      <c r="A19" s="309">
        <v>12</v>
      </c>
      <c r="B19" s="309">
        <f t="shared" si="13"/>
        <v>8.1250638888888886</v>
      </c>
      <c r="C19" s="1">
        <v>410.06</v>
      </c>
      <c r="D19" s="1">
        <v>0.25</v>
      </c>
      <c r="E19" s="326">
        <f t="shared" si="4"/>
        <v>14.636788103218629</v>
      </c>
      <c r="F19" s="327">
        <f t="shared" si="0"/>
        <v>5.2024794157029437E-3</v>
      </c>
      <c r="G19" s="309">
        <f t="shared" si="5"/>
        <v>0.6448222222222223</v>
      </c>
      <c r="H19" s="1">
        <v>2321.36</v>
      </c>
      <c r="I19" s="324">
        <v>30</v>
      </c>
      <c r="J19" s="1">
        <v>5.5439999999999899E-2</v>
      </c>
      <c r="K19" s="1">
        <v>1.8999999999999901E-4</v>
      </c>
      <c r="L19" s="328">
        <f t="shared" si="6"/>
        <v>0.34271284271284153</v>
      </c>
      <c r="M19" s="329">
        <f t="shared" si="1"/>
        <v>4.586070720122285E-3</v>
      </c>
      <c r="N19" s="342">
        <f>(1/$J$79)*SQRT(((1-J20/$J$79)*K19)^2+(J20/$J$79)^2*(SUMSQ(K$8:K18)+SUMSQ(K20:K$78)))</f>
        <v>4.3800766695297921E-5</v>
      </c>
      <c r="O19" s="340">
        <f t="shared" si="14"/>
        <v>0.95508267029362337</v>
      </c>
      <c r="P19" s="332">
        <f t="shared" si="7"/>
        <v>2.1012045880560305E-2</v>
      </c>
      <c r="Q19" s="342">
        <f>SQRT(((1-P19)/$J$79)^2*SUMSQ(K$8:K19)+(P19/$J$79)^2*SUMSQ(K20:K$78))</f>
        <v>1.5210324648171295E-4</v>
      </c>
      <c r="R19" s="340">
        <f t="shared" si="15"/>
        <v>0.72388594307436838</v>
      </c>
      <c r="S19" s="343">
        <f t="shared" si="16"/>
        <v>6.5514073538862445E-9</v>
      </c>
      <c r="T19" s="344">
        <f t="shared" si="17"/>
        <v>8.4666842116944536E-11</v>
      </c>
      <c r="U19" s="344">
        <f>IF(P19&lt;=0.85, (1/(3*H19*$J$79))*SQRT( ((1-P19)*(1/SQRT(1-PI()*P19/3)-1) + (1-P18)*(1-1/SQRT(1-PI()*P18/3)))^2*SUMSQ(K$8:K18) + ( (1-P19)*(1/SQRT(1-PI()*P19/3)-1) -P18*(1-1/SQRT(1-PI()*P18/3)) )^2*K19^2 + ( P19*(1-1/SQRT(1-PI()*P19/3)) - P18*(1-1/SQRT(1-PI()*P18/3)) )^2*SUMSQ(K20:K$78) ), (1/(PI()^2*H19*$J$79))*SQRT((1+P18/(1-P18))^2*K19^2+(P18/(1-P18)-P19/(1-P19))^2*SUMSQ(K20:K$78)) )</f>
        <v>9.5218483822242905E-11</v>
      </c>
      <c r="V19" s="345">
        <f t="shared" si="18"/>
        <v>1.2741677211208244E-10</v>
      </c>
      <c r="W19" s="340">
        <f t="shared" si="19"/>
        <v>1.9448763483848976</v>
      </c>
      <c r="X19" s="345">
        <f t="shared" si="20"/>
        <v>2.5483354422416488E-10</v>
      </c>
      <c r="Y19" s="338">
        <f t="shared" si="8"/>
        <v>-18.843585947190299</v>
      </c>
      <c r="Z19" s="346">
        <f t="shared" si="21"/>
        <v>1.9448763483848976E-2</v>
      </c>
      <c r="AA19" s="346">
        <f t="shared" si="22"/>
        <v>0.10321158370999398</v>
      </c>
      <c r="AB19" s="346">
        <f t="shared" si="9"/>
        <v>3.8897526967697951E-2</v>
      </c>
      <c r="AC19" s="336">
        <f t="shared" si="2"/>
        <v>8.4545649845607831E-13</v>
      </c>
      <c r="AD19" s="337">
        <f t="shared" si="3"/>
        <v>3.4008877981562256E-14</v>
      </c>
      <c r="AE19" s="308">
        <f t="shared" si="10"/>
        <v>4.0225461680958414</v>
      </c>
      <c r="AF19" s="337">
        <f t="shared" si="11"/>
        <v>6.8017755963124511E-14</v>
      </c>
      <c r="AG19" s="338">
        <f t="shared" si="23"/>
        <v>-27.798899678568564</v>
      </c>
      <c r="AH19" s="339">
        <f t="shared" si="24"/>
        <v>4.0225461680958419E-2</v>
      </c>
      <c r="AI19" s="340">
        <f t="shared" si="25"/>
        <v>0.14470163260443741</v>
      </c>
      <c r="AJ19" s="341">
        <f t="shared" si="12"/>
        <v>8.0450923361916837E-2</v>
      </c>
    </row>
    <row r="20" spans="1:39" x14ac:dyDescent="0.2">
      <c r="A20" s="309">
        <v>13</v>
      </c>
      <c r="B20" s="309">
        <f t="shared" si="13"/>
        <v>8.771552777777778</v>
      </c>
      <c r="C20" s="1">
        <v>420.06</v>
      </c>
      <c r="D20" s="1">
        <v>0.24</v>
      </c>
      <c r="E20" s="326">
        <f t="shared" si="4"/>
        <v>14.42564302303775</v>
      </c>
      <c r="F20" s="327">
        <f t="shared" si="0"/>
        <v>4.8533450166182279E-3</v>
      </c>
      <c r="G20" s="309">
        <f t="shared" si="5"/>
        <v>0.646488888888889</v>
      </c>
      <c r="H20" s="1">
        <v>2327.36</v>
      </c>
      <c r="I20" s="324">
        <v>30</v>
      </c>
      <c r="J20" s="1">
        <v>7.2239999999999999E-2</v>
      </c>
      <c r="K20" s="1">
        <v>4.4999999999999999E-4</v>
      </c>
      <c r="L20" s="328">
        <f t="shared" si="6"/>
        <v>0.62292358803986714</v>
      </c>
      <c r="M20" s="329">
        <f t="shared" si="1"/>
        <v>5.9757891201593517E-3</v>
      </c>
      <c r="N20" s="342">
        <f>(1/$J$79)*SQRT(((1-J21/$J$79)*K20)^2+(J21/$J$79)^2*(SUMSQ(K$8:K19)+SUMSQ(K21:K$78)))</f>
        <v>6.7205431858358676E-5</v>
      </c>
      <c r="O20" s="340">
        <f t="shared" si="14"/>
        <v>1.1246285721770344</v>
      </c>
      <c r="P20" s="332">
        <f t="shared" si="7"/>
        <v>2.6987835000719655E-2</v>
      </c>
      <c r="Q20" s="342">
        <f>SQRT(((1-P20)/$J$79)^2*SUMSQ(K$8:K20)+(P20/$J$79)^2*SUMSQ(K21:K$78))</f>
        <v>1.9459092098433043E-4</v>
      </c>
      <c r="R20" s="340">
        <f t="shared" si="15"/>
        <v>0.72103197970174893</v>
      </c>
      <c r="S20" s="343">
        <f t="shared" si="16"/>
        <v>1.0963406579762357E-8</v>
      </c>
      <c r="T20" s="344">
        <f t="shared" si="17"/>
        <v>1.4131986344737093E-10</v>
      </c>
      <c r="U20" s="344">
        <f>IF(P20&lt;=0.85, (1/(3*H20*$J$79))*SQRT( ((1-P20)*(1/SQRT(1-PI()*P20/3)-1) + (1-P19)*(1-1/SQRT(1-PI()*P19/3)))^2*SUMSQ(K$8:K19) + ( (1-P20)*(1/SQRT(1-PI()*P20/3)-1) -P19*(1-1/SQRT(1-PI()*P19/3)) )^2*K20^2 + ( P20*(1-1/SQRT(1-PI()*P20/3)) - P19*(1-1/SQRT(1-PI()*P19/3)) )^2*SUMSQ(K21:K$78) ), (1/(PI()^2*H20*$J$79))*SQRT((1+P19/(1-P19))^2*K20^2+(P19/(1-P19)-P20/(1-P20))^2*SUMSQ(K21:K$78)) )</f>
        <v>1.7111273628077433E-10</v>
      </c>
      <c r="V20" s="345">
        <f t="shared" si="18"/>
        <v>2.2192537557088279E-10</v>
      </c>
      <c r="W20" s="340">
        <f t="shared" si="19"/>
        <v>2.0242373933348481</v>
      </c>
      <c r="X20" s="345">
        <f t="shared" si="20"/>
        <v>4.4385075114176557E-10</v>
      </c>
      <c r="Y20" s="338">
        <f t="shared" si="8"/>
        <v>-18.328702784399479</v>
      </c>
      <c r="Z20" s="346">
        <f t="shared" si="21"/>
        <v>2.0242373933348483E-2</v>
      </c>
      <c r="AA20" s="346">
        <f t="shared" si="22"/>
        <v>0.11044084336714668</v>
      </c>
      <c r="AB20" s="346">
        <f t="shared" si="9"/>
        <v>4.0484747866696966E-2</v>
      </c>
      <c r="AC20" s="336">
        <f t="shared" si="2"/>
        <v>1.4148232337557002E-12</v>
      </c>
      <c r="AD20" s="337">
        <f t="shared" si="3"/>
        <v>5.7463199676560308E-14</v>
      </c>
      <c r="AE20" s="308">
        <f t="shared" si="10"/>
        <v>4.0615108874076187</v>
      </c>
      <c r="AF20" s="337">
        <f t="shared" si="11"/>
        <v>1.1492639935312062E-13</v>
      </c>
      <c r="AG20" s="338">
        <f t="shared" si="23"/>
        <v>-27.28401651577774</v>
      </c>
      <c r="AH20" s="339">
        <f t="shared" si="24"/>
        <v>4.061510887407619E-2</v>
      </c>
      <c r="AI20" s="340">
        <f t="shared" si="25"/>
        <v>0.14886044674027146</v>
      </c>
      <c r="AJ20" s="341">
        <f t="shared" si="12"/>
        <v>8.1230217748152381E-2</v>
      </c>
    </row>
    <row r="21" spans="1:39" x14ac:dyDescent="0.2">
      <c r="A21" s="309">
        <v>14</v>
      </c>
      <c r="B21" s="309">
        <f t="shared" si="13"/>
        <v>9.4158194444444447</v>
      </c>
      <c r="C21" s="1">
        <v>430.06</v>
      </c>
      <c r="D21" s="1">
        <v>0.25</v>
      </c>
      <c r="E21" s="326">
        <f t="shared" si="4"/>
        <v>14.220503121400434</v>
      </c>
      <c r="F21" s="327">
        <f t="shared" si="0"/>
        <v>4.9149300318424554E-3</v>
      </c>
      <c r="G21" s="309">
        <f t="shared" si="5"/>
        <v>0.64426666666666665</v>
      </c>
      <c r="H21" s="1">
        <v>2319.36</v>
      </c>
      <c r="I21" s="324">
        <v>30</v>
      </c>
      <c r="J21" s="1">
        <v>9.9139999999999895E-2</v>
      </c>
      <c r="K21" s="1">
        <v>4.4000000000000002E-4</v>
      </c>
      <c r="L21" s="328">
        <f t="shared" si="6"/>
        <v>0.44381682469235478</v>
      </c>
      <c r="M21" s="329">
        <f t="shared" si="1"/>
        <v>8.2009929868853484E-3</v>
      </c>
      <c r="N21" s="342">
        <f>(1/$J$79)*SQRT(((1-J22/$J$79)*K21)^2+(J22/$J$79)^2*(SUMSQ(K$8:K20)+SUMSQ(K22:K$78)))</f>
        <v>7.1422307223770155E-5</v>
      </c>
      <c r="O21" s="340">
        <f t="shared" si="14"/>
        <v>0.87089828436611794</v>
      </c>
      <c r="P21" s="332">
        <f t="shared" si="7"/>
        <v>3.5188827987605004E-2</v>
      </c>
      <c r="Q21" s="342">
        <f>SQRT(((1-P21)/$J$79)^2*SUMSQ(K$8:K21)+(P21/$J$79)^2*SUMSQ(K22:K$78))</f>
        <v>2.5088307299150816E-4</v>
      </c>
      <c r="R21" s="340">
        <f t="shared" si="15"/>
        <v>0.71296228757570379</v>
      </c>
      <c r="S21" s="343">
        <f t="shared" si="16"/>
        <v>1.9669976799960013E-8</v>
      </c>
      <c r="T21" s="344">
        <f t="shared" si="17"/>
        <v>2.5442333402266114E-10</v>
      </c>
      <c r="U21" s="344">
        <f>IF(P21&lt;=0.85, (1/(3*H21*$J$79))*SQRT( ((1-P21)*(1/SQRT(1-PI()*P21/3)-1) + (1-P20)*(1-1/SQRT(1-PI()*P20/3)))^2*SUMSQ(K$8:K20) + ( (1-P21)*(1/SQRT(1-PI()*P21/3)-1) -P20*(1-1/SQRT(1-PI()*P20/3)) )^2*K21^2 + ( P21*(1-1/SQRT(1-PI()*P21/3)) - P20*(1-1/SQRT(1-PI()*P20/3)) )^2*SUMSQ(K22:K$78) ), (1/(PI()^2*H21*$J$79))*SQRT((1+P20/(1-P20))^2*K21^2+(P20/(1-P20)-P21/(1-P21))^2*SUMSQ(K22:K$78)) )</f>
        <v>2.9224095205813363E-10</v>
      </c>
      <c r="V21" s="345">
        <f t="shared" si="18"/>
        <v>3.8747387906160973E-10</v>
      </c>
      <c r="W21" s="340">
        <f t="shared" si="19"/>
        <v>1.9698746114555532</v>
      </c>
      <c r="X21" s="345">
        <f t="shared" si="20"/>
        <v>7.7494775812321947E-10</v>
      </c>
      <c r="Y21" s="338">
        <f t="shared" si="8"/>
        <v>-17.744172384009278</v>
      </c>
      <c r="Z21" s="346">
        <f t="shared" si="21"/>
        <v>1.9698746114555531E-2</v>
      </c>
      <c r="AA21" s="346">
        <f t="shared" si="22"/>
        <v>0.11101529949239942</v>
      </c>
      <c r="AB21" s="346">
        <f t="shared" si="9"/>
        <v>3.9397492229111063E-2</v>
      </c>
      <c r="AC21" s="336">
        <f t="shared" si="2"/>
        <v>2.5384026380441193E-12</v>
      </c>
      <c r="AD21" s="337">
        <f t="shared" si="3"/>
        <v>1.0241672852340589E-13</v>
      </c>
      <c r="AE21" s="308">
        <f t="shared" si="10"/>
        <v>4.0346920141211191</v>
      </c>
      <c r="AF21" s="337">
        <f t="shared" si="11"/>
        <v>2.0483345704681179E-13</v>
      </c>
      <c r="AG21" s="338">
        <f t="shared" si="23"/>
        <v>-26.699486115387543</v>
      </c>
      <c r="AH21" s="339">
        <f t="shared" si="24"/>
        <v>4.034692014121119E-2</v>
      </c>
      <c r="AI21" s="340">
        <f t="shared" si="25"/>
        <v>0.15111496890555626</v>
      </c>
      <c r="AJ21" s="341">
        <f t="shared" si="12"/>
        <v>8.069384028242238E-2</v>
      </c>
    </row>
    <row r="22" spans="1:39" x14ac:dyDescent="0.2">
      <c r="A22" s="309">
        <v>15</v>
      </c>
      <c r="B22" s="309">
        <f t="shared" si="13"/>
        <v>10.061205555555556</v>
      </c>
      <c r="C22" s="1">
        <v>440.05</v>
      </c>
      <c r="D22" s="1">
        <v>0.23</v>
      </c>
      <c r="E22" s="326">
        <f t="shared" si="4"/>
        <v>14.021312394840157</v>
      </c>
      <c r="F22" s="327">
        <f t="shared" si="0"/>
        <v>4.3975521771477798E-3</v>
      </c>
      <c r="G22" s="309">
        <f t="shared" si="5"/>
        <v>0.6453861111111111</v>
      </c>
      <c r="H22" s="1">
        <v>2323.39</v>
      </c>
      <c r="I22" s="324">
        <v>30</v>
      </c>
      <c r="J22" s="1">
        <v>0.10883</v>
      </c>
      <c r="K22" s="1">
        <v>3.6999999999999999E-4</v>
      </c>
      <c r="L22" s="328">
        <f t="shared" si="6"/>
        <v>0.33997978498575765</v>
      </c>
      <c r="M22" s="329">
        <f t="shared" si="1"/>
        <v>9.0025627069067315E-3</v>
      </c>
      <c r="N22" s="342">
        <f>(1/$J$79)*SQRT(((1-J23/$J$79)*K22)^2+(J23/$J$79)^2*(SUMSQ(K$8:K21)+SUMSQ(K23:K$78)))</f>
        <v>9.4800364553803595E-5</v>
      </c>
      <c r="O22" s="340">
        <f t="shared" si="14"/>
        <v>1.0530375365347151</v>
      </c>
      <c r="P22" s="332">
        <f t="shared" si="7"/>
        <v>4.4191390694511737E-2</v>
      </c>
      <c r="Q22" s="342">
        <f>SQRT(((1-P22)/$J$79)^2*SUMSQ(K$8:K22)+(P22/$J$79)^2*SUMSQ(K23:K$78))</f>
        <v>3.1178572206900476E-4</v>
      </c>
      <c r="R22" s="340">
        <f t="shared" si="15"/>
        <v>0.7055349858173311</v>
      </c>
      <c r="S22" s="343">
        <f t="shared" si="16"/>
        <v>2.7712085796152268E-8</v>
      </c>
      <c r="T22" s="344">
        <f t="shared" si="17"/>
        <v>3.5782308346191152E-10</v>
      </c>
      <c r="U22" s="344">
        <f>IF(P22&lt;=0.85, (1/(3*H22*$J$79))*SQRT( ((1-P22)*(1/SQRT(1-PI()*P22/3)-1) + (1-P21)*(1-1/SQRT(1-PI()*P21/3)))^2*SUMSQ(K$8:K21) + ( (1-P22)*(1/SQRT(1-PI()*P22/3)-1) -P21*(1-1/SQRT(1-PI()*P21/3)) )^2*K22^2 + ( P22*(1-1/SQRT(1-PI()*P22/3)) - P21*(1-1/SQRT(1-PI()*P21/3)) )^2*SUMSQ(K23:K$78) ), (1/(PI()^2*H22*$J$79))*SQRT((1+P21/(1-P21))^2*K22^2+(P21/(1-P21)-P22/(1-P22))^2*SUMSQ(K23:K$78)) )</f>
        <v>4.0222726726896188E-10</v>
      </c>
      <c r="V22" s="345">
        <f t="shared" si="18"/>
        <v>5.3835316809028529E-10</v>
      </c>
      <c r="W22" s="340">
        <f t="shared" si="19"/>
        <v>1.9426656371171955</v>
      </c>
      <c r="X22" s="345">
        <f t="shared" si="20"/>
        <v>1.0767063361805706E-9</v>
      </c>
      <c r="Y22" s="338">
        <f t="shared" si="8"/>
        <v>-17.401397208578388</v>
      </c>
      <c r="Z22" s="346">
        <f t="shared" si="21"/>
        <v>1.9426656371171955E-2</v>
      </c>
      <c r="AA22" s="346">
        <f t="shared" si="22"/>
        <v>0.11163848591189662</v>
      </c>
      <c r="AB22" s="346">
        <f t="shared" si="9"/>
        <v>3.885331274234391E-2</v>
      </c>
      <c r="AC22" s="336">
        <f t="shared" si="2"/>
        <v>3.5762335871591314E-12</v>
      </c>
      <c r="AD22" s="337">
        <f t="shared" si="3"/>
        <v>1.4381743865301838E-13</v>
      </c>
      <c r="AE22" s="308">
        <f t="shared" si="10"/>
        <v>4.0214777683821064</v>
      </c>
      <c r="AF22" s="337">
        <f t="shared" si="11"/>
        <v>2.8763487730603676E-13</v>
      </c>
      <c r="AG22" s="338">
        <f t="shared" si="23"/>
        <v>-26.356710939956649</v>
      </c>
      <c r="AH22" s="339">
        <f t="shared" si="24"/>
        <v>4.0214777683821062E-2</v>
      </c>
      <c r="AI22" s="340">
        <f t="shared" si="25"/>
        <v>0.15257889262220367</v>
      </c>
      <c r="AJ22" s="341">
        <f t="shared" si="12"/>
        <v>8.0429555367642125E-2</v>
      </c>
    </row>
    <row r="23" spans="1:39" x14ac:dyDescent="0.2">
      <c r="A23" s="309">
        <v>16</v>
      </c>
      <c r="B23" s="309">
        <f t="shared" si="13"/>
        <v>10.707686111111112</v>
      </c>
      <c r="C23" s="1">
        <v>450.05</v>
      </c>
      <c r="D23" s="1">
        <v>0.23</v>
      </c>
      <c r="E23" s="326">
        <f t="shared" si="4"/>
        <v>13.827433628318584</v>
      </c>
      <c r="F23" s="327">
        <f t="shared" si="0"/>
        <v>4.278415150024301E-3</v>
      </c>
      <c r="G23" s="309">
        <f t="shared" si="5"/>
        <v>0.6464805555555555</v>
      </c>
      <c r="H23" s="1">
        <v>2327.33</v>
      </c>
      <c r="I23" s="324">
        <v>30</v>
      </c>
      <c r="J23" s="1">
        <v>0.15864</v>
      </c>
      <c r="K23" s="1">
        <v>7.5000000000000002E-4</v>
      </c>
      <c r="L23" s="328">
        <f t="shared" si="6"/>
        <v>0.47276853252647505</v>
      </c>
      <c r="M23" s="329">
        <f t="shared" si="1"/>
        <v>1.312291232034994E-2</v>
      </c>
      <c r="N23" s="342">
        <f>(1/$J$79)*SQRT(((1-J24/$J$79)*K23)^2+(J24/$J$79)^2*(SUMSQ(K$8:K22)+SUMSQ(K24:K$78)))</f>
        <v>1.0351854304936114E-4</v>
      </c>
      <c r="O23" s="340">
        <f t="shared" si="14"/>
        <v>0.78883818257958671</v>
      </c>
      <c r="P23" s="332">
        <f t="shared" si="7"/>
        <v>5.7314303014861678E-2</v>
      </c>
      <c r="Q23" s="342">
        <f>SQRT(((1-P23)/$J$79)^2*SUMSQ(K$8:K23)+(P23/$J$79)^2*SUMSQ(K24:K$78))</f>
        <v>4.0362761878550167E-4</v>
      </c>
      <c r="R23" s="340">
        <f t="shared" si="15"/>
        <v>0.70423541341999829</v>
      </c>
      <c r="S23" s="343">
        <f t="shared" si="16"/>
        <v>5.2043223751113652E-8</v>
      </c>
      <c r="T23" s="344">
        <f t="shared" si="17"/>
        <v>6.7085317188942266E-10</v>
      </c>
      <c r="U23" s="344">
        <f>IF(P23&lt;=0.85, (1/(3*H23*$J$79))*SQRT( ((1-P23)*(1/SQRT(1-PI()*P23/3)-1) + (1-P22)*(1-1/SQRT(1-PI()*P22/3)))^2*SUMSQ(K$8:K22) + ( (1-P23)*(1/SQRT(1-PI()*P23/3)-1) -P22*(1-1/SQRT(1-PI()*P22/3)) )^2*K23^2 + ( P23*(1-1/SQRT(1-PI()*P23/3)) - P22*(1-1/SQRT(1-PI()*P22/3)) )^2*SUMSQ(K24:K$78) ), (1/(PI()^2*H23*$J$79))*SQRT((1+P22/(1-P22))^2*K23^2+(P22/(1-P22)-P23/(1-P23))^2*SUMSQ(K24:K$78)) )</f>
        <v>7.8079014958149562E-10</v>
      </c>
      <c r="V23" s="345">
        <f t="shared" si="18"/>
        <v>1.0294062540695939E-9</v>
      </c>
      <c r="W23" s="340">
        <f t="shared" si="19"/>
        <v>1.9779832605922421</v>
      </c>
      <c r="X23" s="345">
        <f t="shared" si="20"/>
        <v>2.0588125081391878E-9</v>
      </c>
      <c r="Y23" s="338">
        <f t="shared" si="8"/>
        <v>-16.771191237659025</v>
      </c>
      <c r="Z23" s="346">
        <f t="shared" si="21"/>
        <v>1.9779832605922421E-2</v>
      </c>
      <c r="AA23" s="346">
        <f t="shared" si="22"/>
        <v>0.11793934208744584</v>
      </c>
      <c r="AB23" s="346">
        <f t="shared" si="9"/>
        <v>3.9559665211844841E-2</v>
      </c>
      <c r="AC23" s="336">
        <f t="shared" si="2"/>
        <v>6.7161572077917162E-12</v>
      </c>
      <c r="AD23" s="337">
        <f t="shared" si="3"/>
        <v>2.7124256217926837E-13</v>
      </c>
      <c r="AE23" s="308">
        <f t="shared" si="10"/>
        <v>4.0386571336446337</v>
      </c>
      <c r="AF23" s="337">
        <f t="shared" si="11"/>
        <v>5.4248512435853674E-13</v>
      </c>
      <c r="AG23" s="338">
        <f t="shared" si="23"/>
        <v>-25.726504969037286</v>
      </c>
      <c r="AH23" s="339">
        <f t="shared" si="24"/>
        <v>4.0386571336446332E-2</v>
      </c>
      <c r="AI23" s="340">
        <f t="shared" si="25"/>
        <v>0.15698429065686509</v>
      </c>
      <c r="AJ23" s="341">
        <f t="shared" si="12"/>
        <v>8.0773142672892664E-2</v>
      </c>
    </row>
    <row r="24" spans="1:39" x14ac:dyDescent="0.2">
      <c r="A24" s="309">
        <v>17</v>
      </c>
      <c r="B24" s="309">
        <f t="shared" si="13"/>
        <v>11.351944444444445</v>
      </c>
      <c r="C24" s="1">
        <v>460.05</v>
      </c>
      <c r="D24" s="1">
        <v>0.22</v>
      </c>
      <c r="E24" s="326">
        <f t="shared" si="4"/>
        <v>13.638843426077468</v>
      </c>
      <c r="F24" s="327">
        <f t="shared" si="0"/>
        <v>3.9831161060125764E-3</v>
      </c>
      <c r="G24" s="309">
        <f t="shared" si="5"/>
        <v>0.64425833333333327</v>
      </c>
      <c r="H24" s="1">
        <v>2319.33</v>
      </c>
      <c r="I24" s="324">
        <v>30</v>
      </c>
      <c r="J24" s="1">
        <v>0.14729</v>
      </c>
      <c r="K24" s="1">
        <v>1.0300000000000001E-3</v>
      </c>
      <c r="L24" s="328">
        <f t="shared" si="6"/>
        <v>0.69930069930069938</v>
      </c>
      <c r="M24" s="329">
        <f t="shared" si="1"/>
        <v>1.2184025186991569E-2</v>
      </c>
      <c r="N24" s="342">
        <f>(1/$J$79)*SQRT(((1-J25/$J$79)*K24)^2+(J25/$J$79)^2*(SUMSQ(K$8:K23)+SUMSQ(K25:K$78)))</f>
        <v>1.2772680937933232E-4</v>
      </c>
      <c r="O24" s="340">
        <f t="shared" si="14"/>
        <v>1.0483137339185862</v>
      </c>
      <c r="P24" s="332">
        <f t="shared" si="7"/>
        <v>6.9498328201853254E-2</v>
      </c>
      <c r="Q24" s="342">
        <f>SQRT(((1-P24)/$J$79)^2*SUMSQ(K$8:K24)+(P24/$J$79)^2*SUMSQ(K25:K$78))</f>
        <v>4.9129411395355501E-4</v>
      </c>
      <c r="R24" s="340">
        <f t="shared" si="15"/>
        <v>0.70691501028143311</v>
      </c>
      <c r="S24" s="343">
        <f t="shared" si="16"/>
        <v>6.1210809206553537E-8</v>
      </c>
      <c r="T24" s="344">
        <f t="shared" si="17"/>
        <v>7.9174773585329152E-10</v>
      </c>
      <c r="U24" s="344">
        <f>IF(P24&lt;=0.85, (1/(3*H24*$J$79))*SQRT( ((1-P24)*(1/SQRT(1-PI()*P24/3)-1) + (1-P23)*(1-1/SQRT(1-PI()*P23/3)))^2*SUMSQ(K$8:K23) + ( (1-P24)*(1/SQRT(1-PI()*P24/3)-1) -P23*(1-1/SQRT(1-PI()*P23/3)) )^2*K24^2 + ( P24*(1-1/SQRT(1-PI()*P24/3)) - P23*(1-1/SQRT(1-PI()*P23/3)) )^2*SUMSQ(K25:K$78) ), (1/(PI()^2*H24*$J$79))*SQRT((1+P23/(1-P23))^2*K24^2+(P23/(1-P23)-P24/(1-P24))^2*SUMSQ(K25:K$78)) )</f>
        <v>9.8013213748619877E-10</v>
      </c>
      <c r="V24" s="345">
        <f t="shared" si="18"/>
        <v>1.2599696362063963E-9</v>
      </c>
      <c r="W24" s="340">
        <f t="shared" si="19"/>
        <v>2.0584103568287699</v>
      </c>
      <c r="X24" s="345">
        <f t="shared" si="20"/>
        <v>2.5199392724127925E-9</v>
      </c>
      <c r="Y24" s="338">
        <f t="shared" si="8"/>
        <v>-16.608942042001672</v>
      </c>
      <c r="Z24" s="346">
        <f t="shared" si="21"/>
        <v>2.0584103568287701E-2</v>
      </c>
      <c r="AA24" s="346">
        <f t="shared" si="22"/>
        <v>0.12393386355514641</v>
      </c>
      <c r="AB24" s="346">
        <f t="shared" si="9"/>
        <v>4.1168207136575402E-2</v>
      </c>
      <c r="AC24" s="336">
        <f t="shared" si="2"/>
        <v>7.8992304437820509E-12</v>
      </c>
      <c r="AD24" s="337">
        <f t="shared" si="3"/>
        <v>3.2218197255230752E-13</v>
      </c>
      <c r="AE24" s="308">
        <f t="shared" si="10"/>
        <v>4.0786501273160845</v>
      </c>
      <c r="AF24" s="337">
        <f t="shared" si="11"/>
        <v>6.4436394510461503E-13</v>
      </c>
      <c r="AG24" s="338">
        <f t="shared" si="23"/>
        <v>-25.564255773379934</v>
      </c>
      <c r="AH24" s="339">
        <f t="shared" si="24"/>
        <v>4.0786501273160844E-2</v>
      </c>
      <c r="AI24" s="340">
        <f t="shared" si="25"/>
        <v>0.1595450367682201</v>
      </c>
      <c r="AJ24" s="341">
        <f t="shared" si="12"/>
        <v>8.1573002546321688E-2</v>
      </c>
    </row>
    <row r="25" spans="1:39" x14ac:dyDescent="0.2">
      <c r="A25" s="309">
        <v>18</v>
      </c>
      <c r="B25" s="309">
        <f t="shared" si="13"/>
        <v>11.996769444444444</v>
      </c>
      <c r="C25" s="1">
        <v>470.04</v>
      </c>
      <c r="D25" s="1">
        <v>0.21</v>
      </c>
      <c r="E25" s="326">
        <f t="shared" si="4"/>
        <v>13.455509358306758</v>
      </c>
      <c r="F25" s="327">
        <f t="shared" si="0"/>
        <v>3.7018748834953875E-3</v>
      </c>
      <c r="G25" s="309">
        <f t="shared" si="5"/>
        <v>0.64482499999999987</v>
      </c>
      <c r="H25" s="1">
        <v>2321.37</v>
      </c>
      <c r="I25" s="324">
        <v>30</v>
      </c>
      <c r="J25" s="1">
        <v>0.16986999999999999</v>
      </c>
      <c r="K25" s="1">
        <v>6.2E-4</v>
      </c>
      <c r="L25" s="328">
        <f t="shared" si="6"/>
        <v>0.36498498852063344</v>
      </c>
      <c r="M25" s="329">
        <f t="shared" si="1"/>
        <v>1.4051872893708043E-2</v>
      </c>
      <c r="N25" s="342">
        <f>(1/$J$79)*SQRT(((1-J26/$J$79)*K25)^2+(J26/$J$79)^2*(SUMSQ(K$8:K24)+SUMSQ(K26:K$78)))</f>
        <v>1.2961685363525532E-4</v>
      </c>
      <c r="O25" s="340">
        <f t="shared" si="14"/>
        <v>0.92241692346429782</v>
      </c>
      <c r="P25" s="332">
        <f t="shared" si="7"/>
        <v>8.3550201095561299E-2</v>
      </c>
      <c r="Q25" s="342">
        <f>SQRT(((1-P25)/$J$79)^2*SUMSQ(K$8:K25)+(P25/$J$79)^2*SUMSQ(K26:K$78))</f>
        <v>5.8644396244751022E-4</v>
      </c>
      <c r="R25" s="340">
        <f t="shared" si="15"/>
        <v>0.70190610526090735</v>
      </c>
      <c r="S25" s="343">
        <f t="shared" si="16"/>
        <v>8.6072394309776669E-8</v>
      </c>
      <c r="T25" s="344">
        <f t="shared" si="17"/>
        <v>1.1123482380203521E-9</v>
      </c>
      <c r="U25" s="344">
        <f>IF(P25&lt;=0.85, (1/(3*H25*$J$79))*SQRT( ((1-P25)*(1/SQRT(1-PI()*P25/3)-1) + (1-P24)*(1-1/SQRT(1-PI()*P24/3)))^2*SUMSQ(K$8:K24) + ( (1-P25)*(1/SQRT(1-PI()*P25/3)-1) -P24*(1-1/SQRT(1-PI()*P24/3)) )^2*K25^2 + ( P25*(1-1/SQRT(1-PI()*P25/3)) - P24*(1-1/SQRT(1-PI()*P24/3)) )^2*SUMSQ(K26:K$78) ), (1/(PI()^2*H25*$J$79))*SQRT((1+P24/(1-P24))^2*K25^2+(P24/(1-P24)-P25/(1-P25))^2*SUMSQ(K26:K$78)) )</f>
        <v>1.2694996684020603E-9</v>
      </c>
      <c r="V25" s="345">
        <f t="shared" si="18"/>
        <v>1.6878827005156261E-9</v>
      </c>
      <c r="W25" s="340">
        <f t="shared" si="19"/>
        <v>1.9610035413223137</v>
      </c>
      <c r="X25" s="345">
        <f t="shared" si="20"/>
        <v>3.3757654010312523E-9</v>
      </c>
      <c r="Y25" s="338">
        <f t="shared" si="8"/>
        <v>-16.268077100503284</v>
      </c>
      <c r="Z25" s="346">
        <f t="shared" si="21"/>
        <v>1.9610035413223138E-2</v>
      </c>
      <c r="AA25" s="346">
        <f t="shared" si="22"/>
        <v>0.12054304446723126</v>
      </c>
      <c r="AB25" s="346">
        <f t="shared" si="9"/>
        <v>3.9220070826446275E-2</v>
      </c>
      <c r="AC25" s="336">
        <f t="shared" si="2"/>
        <v>1.1107608056718955E-11</v>
      </c>
      <c r="AD25" s="337">
        <f t="shared" si="3"/>
        <v>4.4767751289544049E-13</v>
      </c>
      <c r="AE25" s="308">
        <f t="shared" si="10"/>
        <v>4.0303682899995907</v>
      </c>
      <c r="AF25" s="337">
        <f t="shared" si="11"/>
        <v>8.9535502579088098E-13</v>
      </c>
      <c r="AG25" s="338">
        <f t="shared" si="23"/>
        <v>-25.223390831881549</v>
      </c>
      <c r="AH25" s="339">
        <f t="shared" si="24"/>
        <v>4.0303682899995905E-2</v>
      </c>
      <c r="AI25" s="340">
        <f t="shared" si="25"/>
        <v>0.15978693415420323</v>
      </c>
      <c r="AJ25" s="341">
        <f t="shared" si="12"/>
        <v>8.0607365799991809E-2</v>
      </c>
    </row>
    <row r="26" spans="1:39" x14ac:dyDescent="0.2">
      <c r="A26" s="309">
        <v>19</v>
      </c>
      <c r="B26" s="309">
        <f t="shared" si="13"/>
        <v>12.642158333333333</v>
      </c>
      <c r="C26" s="1">
        <v>480.03</v>
      </c>
      <c r="D26" s="1">
        <v>0.19</v>
      </c>
      <c r="E26" s="326">
        <f t="shared" si="4"/>
        <v>13.277038689290741</v>
      </c>
      <c r="F26" s="327">
        <f t="shared" si="0"/>
        <v>3.2622032862378611E-3</v>
      </c>
      <c r="G26" s="309">
        <f t="shared" si="5"/>
        <v>0.6453888888888889</v>
      </c>
      <c r="H26" s="1">
        <v>2323.4</v>
      </c>
      <c r="I26" s="324">
        <v>30</v>
      </c>
      <c r="J26" s="1">
        <v>0.21082999999999999</v>
      </c>
      <c r="K26" s="1">
        <v>3.2000000000000003E-4</v>
      </c>
      <c r="L26" s="328">
        <f t="shared" si="6"/>
        <v>0.15178105582696963</v>
      </c>
      <c r="M26" s="329">
        <f t="shared" si="1"/>
        <v>1.7440138707131729E-2</v>
      </c>
      <c r="N26" s="342">
        <f>(1/$J$79)*SQRT(((1-J27/$J$79)*K26)^2+(J27/$J$79)^2*(SUMSQ(K$8:K25)+SUMSQ(K27:K$78)))</f>
        <v>1.3183902998459117E-4</v>
      </c>
      <c r="O26" s="340">
        <f t="shared" si="14"/>
        <v>0.75595172835797886</v>
      </c>
      <c r="P26" s="332">
        <f t="shared" si="7"/>
        <v>0.10099033980269304</v>
      </c>
      <c r="Q26" s="342">
        <f>SQRT(((1-P26)/$J$79)^2*SUMSQ(K$8:K26)+(P26/$J$79)^2*SUMSQ(K27:K$78))</f>
        <v>7.0334277614432484E-4</v>
      </c>
      <c r="R26" s="340">
        <f t="shared" si="15"/>
        <v>0.69644559818143059</v>
      </c>
      <c r="S26" s="343">
        <f t="shared" si="16"/>
        <v>1.3044756137915116E-7</v>
      </c>
      <c r="T26" s="344">
        <f t="shared" si="17"/>
        <v>1.6843534653415451E-9</v>
      </c>
      <c r="U26" s="344">
        <f>IF(P26&lt;=0.85, (1/(3*H26*$J$79))*SQRT( ((1-P26)*(1/SQRT(1-PI()*P26/3)-1) + (1-P25)*(1-1/SQRT(1-PI()*P25/3)))^2*SUMSQ(K$8:K25) + ( (1-P26)*(1/SQRT(1-PI()*P26/3)-1) -P25*(1-1/SQRT(1-PI()*P25/3)) )^2*K26^2 + ( P26*(1-1/SQRT(1-PI()*P26/3)) - P25*(1-1/SQRT(1-PI()*P25/3)) )^2*SUMSQ(K27:K$78) ), (1/(PI()^2*H26*$J$79))*SQRT((1+P25/(1-P25))^2*K26^2+(P25/(1-P25)-P26/(1-P26))^2*SUMSQ(K27:K$78)) )</f>
        <v>1.8777509439753739E-9</v>
      </c>
      <c r="V26" s="345">
        <f t="shared" si="18"/>
        <v>2.5224978104665384E-9</v>
      </c>
      <c r="W26" s="340">
        <f t="shared" si="19"/>
        <v>1.933725539824233</v>
      </c>
      <c r="X26" s="345">
        <f t="shared" si="20"/>
        <v>5.0449956209330769E-9</v>
      </c>
      <c r="Y26" s="338">
        <f t="shared" si="8"/>
        <v>-15.852294519450625</v>
      </c>
      <c r="Z26" s="346">
        <f t="shared" si="21"/>
        <v>1.9337255398242329E-2</v>
      </c>
      <c r="AA26" s="346">
        <f t="shared" si="22"/>
        <v>0.12198395238314358</v>
      </c>
      <c r="AB26" s="346">
        <f t="shared" si="9"/>
        <v>3.8674510796484658E-2</v>
      </c>
      <c r="AC26" s="336">
        <f t="shared" si="2"/>
        <v>1.6834205616954905E-11</v>
      </c>
      <c r="AD26" s="337">
        <f t="shared" si="3"/>
        <v>6.7625809872821738E-13</v>
      </c>
      <c r="AE26" s="308">
        <f t="shared" si="10"/>
        <v>4.0171666790567802</v>
      </c>
      <c r="AF26" s="337">
        <f t="shared" si="11"/>
        <v>1.3525161974564348E-12</v>
      </c>
      <c r="AG26" s="338">
        <f t="shared" si="23"/>
        <v>-24.807608250828888</v>
      </c>
      <c r="AH26" s="339">
        <f t="shared" si="24"/>
        <v>4.0171666790567807E-2</v>
      </c>
      <c r="AI26" s="340">
        <f t="shared" si="25"/>
        <v>0.16193284892438417</v>
      </c>
      <c r="AJ26" s="341">
        <f t="shared" si="12"/>
        <v>8.0343333581135615E-2</v>
      </c>
    </row>
    <row r="27" spans="1:39" x14ac:dyDescent="0.2">
      <c r="A27" s="309">
        <v>20</v>
      </c>
      <c r="B27" s="309">
        <f t="shared" si="13"/>
        <v>13.288652777777777</v>
      </c>
      <c r="C27" s="1">
        <v>490.02</v>
      </c>
      <c r="D27" s="1">
        <v>0.2</v>
      </c>
      <c r="E27" s="326">
        <f t="shared" si="4"/>
        <v>13.103240431358676</v>
      </c>
      <c r="F27" s="327">
        <f t="shared" si="0"/>
        <v>3.3455596117930664E-3</v>
      </c>
      <c r="G27" s="309">
        <f t="shared" si="5"/>
        <v>0.64649444444444448</v>
      </c>
      <c r="H27" s="1">
        <v>2327.38</v>
      </c>
      <c r="I27" s="324">
        <v>30</v>
      </c>
      <c r="J27" s="1">
        <v>0.22819</v>
      </c>
      <c r="K27" s="1">
        <v>5.5000000000000003E-4</v>
      </c>
      <c r="L27" s="328">
        <f t="shared" si="6"/>
        <v>0.24102721416363557</v>
      </c>
      <c r="M27" s="329">
        <f t="shared" si="1"/>
        <v>1.8876181053836691E-2</v>
      </c>
      <c r="N27" s="342">
        <f>(1/$J$79)*SQRT(((1-J28/$J$79)*K27)^2+(J28/$J$79)^2*(SUMSQ(K$8:K26)+SUMSQ(K28:K$78)))</f>
        <v>1.5071277536927348E-4</v>
      </c>
      <c r="O27" s="340">
        <f t="shared" si="14"/>
        <v>0.79842832053489043</v>
      </c>
      <c r="P27" s="332">
        <f t="shared" si="7"/>
        <v>0.11986652085652973</v>
      </c>
      <c r="Q27" s="342">
        <f>SQRT(((1-P27)/$J$79)^2*SUMSQ(K$8:K27)+(P27/$J$79)^2*SUMSQ(K28:K$78))</f>
        <v>8.3124372040383366E-4</v>
      </c>
      <c r="R27" s="340">
        <f t="shared" si="15"/>
        <v>0.693474470155652</v>
      </c>
      <c r="S27" s="343">
        <f t="shared" si="16"/>
        <v>1.7137294462882526E-7</v>
      </c>
      <c r="T27" s="344">
        <f t="shared" si="17"/>
        <v>2.2090025431449761E-9</v>
      </c>
      <c r="U27" s="344">
        <f>IF(P27&lt;=0.85, (1/(3*H27*$J$79))*SQRT( ((1-P27)*(1/SQRT(1-PI()*P27/3)-1) + (1-P26)*(1-1/SQRT(1-PI()*P26/3)))^2*SUMSQ(K$8:K26) + ( (1-P27)*(1/SQRT(1-PI()*P27/3)-1) -P26*(1-1/SQRT(1-PI()*P26/3)) )^2*K27^2 + ( P27*(1-1/SQRT(1-PI()*P27/3)) - P26*(1-1/SQRT(1-PI()*P26/3)) )^2*SUMSQ(K28:K$78) ), (1/(PI()^2*H27*$J$79))*SQRT((1+P26/(1-P26))^2*K27^2+(P26/(1-P26)-P27/(1-P27))^2*SUMSQ(K28:K$78)) )</f>
        <v>2.5063748459502712E-9</v>
      </c>
      <c r="V27" s="345">
        <f t="shared" si="18"/>
        <v>3.3408991460433549E-9</v>
      </c>
      <c r="W27" s="340">
        <f t="shared" si="19"/>
        <v>1.9494904246871472</v>
      </c>
      <c r="X27" s="345">
        <f t="shared" si="20"/>
        <v>6.6817982920867098E-9</v>
      </c>
      <c r="Y27" s="338">
        <f t="shared" si="8"/>
        <v>-15.579423692548982</v>
      </c>
      <c r="Z27" s="346">
        <f t="shared" si="21"/>
        <v>1.9494904246871472E-2</v>
      </c>
      <c r="AA27" s="346">
        <f t="shared" si="22"/>
        <v>0.12513238378769495</v>
      </c>
      <c r="AB27" s="346">
        <f t="shared" si="9"/>
        <v>3.8989808493742943E-2</v>
      </c>
      <c r="AC27" s="336">
        <f t="shared" si="2"/>
        <v>2.2115609955172048E-11</v>
      </c>
      <c r="AD27" s="337">
        <f t="shared" si="3"/>
        <v>8.9010444116193943E-13</v>
      </c>
      <c r="AE27" s="308">
        <f t="shared" si="10"/>
        <v>4.0247790721855079</v>
      </c>
      <c r="AF27" s="337">
        <f t="shared" si="11"/>
        <v>1.7802088823238789E-12</v>
      </c>
      <c r="AG27" s="338">
        <f t="shared" si="23"/>
        <v>-24.534737423927247</v>
      </c>
      <c r="AH27" s="339">
        <f t="shared" si="24"/>
        <v>4.0247790721855081E-2</v>
      </c>
      <c r="AI27" s="340">
        <f t="shared" si="25"/>
        <v>0.1640441062255015</v>
      </c>
      <c r="AJ27" s="341">
        <f t="shared" si="12"/>
        <v>8.0495581443710162E-2</v>
      </c>
    </row>
    <row r="28" spans="1:39" x14ac:dyDescent="0.2">
      <c r="A28" s="309">
        <v>21</v>
      </c>
      <c r="B28" s="309">
        <f t="shared" si="13"/>
        <v>13.93291111111111</v>
      </c>
      <c r="C28" s="1">
        <v>500.03</v>
      </c>
      <c r="D28" s="1">
        <v>0.21</v>
      </c>
      <c r="E28" s="326">
        <f t="shared" si="4"/>
        <v>12.933598903230815</v>
      </c>
      <c r="F28" s="327">
        <f t="shared" si="0"/>
        <v>3.4237907049237291E-3</v>
      </c>
      <c r="G28" s="309">
        <f t="shared" si="5"/>
        <v>0.64425833333333327</v>
      </c>
      <c r="H28" s="1">
        <v>2319.33</v>
      </c>
      <c r="I28" s="324">
        <v>30</v>
      </c>
      <c r="J28" s="1">
        <v>0.25419000000000003</v>
      </c>
      <c r="K28" s="1">
        <v>7.5000000000000002E-4</v>
      </c>
      <c r="L28" s="328">
        <f t="shared" si="6"/>
        <v>0.29505488020771864</v>
      </c>
      <c r="M28" s="329">
        <f t="shared" si="1"/>
        <v>2.1026935720560712E-2</v>
      </c>
      <c r="N28" s="342">
        <f>(1/$J$79)*SQRT(((1-J29/$J$79)*K28)^2+(J29/$J$79)^2*(SUMSQ(K$8:K27)+SUMSQ(K29:K$78)))</f>
        <v>1.762119153898619E-4</v>
      </c>
      <c r="O28" s="340">
        <f t="shared" si="14"/>
        <v>0.83802945769961656</v>
      </c>
      <c r="P28" s="332">
        <f t="shared" si="7"/>
        <v>0.14089345657709043</v>
      </c>
      <c r="Q28" s="342">
        <f>SQRT(((1-P28)/$J$79)^2*SUMSQ(K$8:K28)+(P28/$J$79)^2*SUMSQ(K29:K$78))</f>
        <v>9.7461352633173052E-4</v>
      </c>
      <c r="R28" s="340">
        <f t="shared" si="15"/>
        <v>0.69173796286165123</v>
      </c>
      <c r="S28" s="343">
        <f t="shared" si="16"/>
        <v>2.3022366265103183E-7</v>
      </c>
      <c r="T28" s="344">
        <f t="shared" si="17"/>
        <v>2.9778901146154062E-9</v>
      </c>
      <c r="U28" s="344">
        <f>IF(P28&lt;=0.85, (1/(3*H28*$J$79))*SQRT( ((1-P28)*(1/SQRT(1-PI()*P28/3)-1) + (1-P27)*(1-1/SQRT(1-PI()*P27/3)))^2*SUMSQ(K$8:K27) + ( (1-P28)*(1/SQRT(1-PI()*P28/3)-1) -P27*(1-1/SQRT(1-PI()*P27/3)) )^2*K28^2 + ( P28*(1-1/SQRT(1-PI()*P28/3)) - P27*(1-1/SQRT(1-PI()*P27/3)) )^2*SUMSQ(K29:K$78) ), (1/(PI()^2*H28*$J$79))*SQRT((1+P27/(1-P27))^2*K28^2+(P27/(1-P27)-P28/(1-P28))^2*SUMSQ(K29:K$78)) )</f>
        <v>3.4194088066557801E-9</v>
      </c>
      <c r="V28" s="345">
        <f t="shared" si="18"/>
        <v>4.5343341431525824E-9</v>
      </c>
      <c r="W28" s="340">
        <f t="shared" si="19"/>
        <v>1.9695343610381313</v>
      </c>
      <c r="X28" s="345">
        <f t="shared" si="20"/>
        <v>9.0686682863051648E-9</v>
      </c>
      <c r="Y28" s="338">
        <f t="shared" si="8"/>
        <v>-15.284214554233985</v>
      </c>
      <c r="Z28" s="346">
        <f t="shared" si="21"/>
        <v>1.9695343610381312E-2</v>
      </c>
      <c r="AA28" s="346">
        <f t="shared" si="22"/>
        <v>0.12886068525467911</v>
      </c>
      <c r="AB28" s="346">
        <f t="shared" si="9"/>
        <v>3.9390687220762624E-2</v>
      </c>
      <c r="AC28" s="336">
        <f t="shared" si="2"/>
        <v>2.9710271575650596E-11</v>
      </c>
      <c r="AD28" s="337">
        <f t="shared" si="3"/>
        <v>1.1986686026186745E-12</v>
      </c>
      <c r="AE28" s="308">
        <f t="shared" si="10"/>
        <v>4.0345259031595573</v>
      </c>
      <c r="AF28" s="337">
        <f t="shared" si="11"/>
        <v>2.3973372052373489E-12</v>
      </c>
      <c r="AG28" s="338">
        <f t="shared" si="23"/>
        <v>-24.239528285612248</v>
      </c>
      <c r="AH28" s="339">
        <f t="shared" si="24"/>
        <v>4.0345259031595575E-2</v>
      </c>
      <c r="AI28" s="340">
        <f t="shared" si="25"/>
        <v>0.16644407661820357</v>
      </c>
      <c r="AJ28" s="341">
        <f t="shared" si="12"/>
        <v>8.069051806319115E-2</v>
      </c>
    </row>
    <row r="29" spans="1:39" x14ac:dyDescent="0.2">
      <c r="A29" s="309">
        <v>22</v>
      </c>
      <c r="B29" s="309">
        <f t="shared" si="13"/>
        <v>14.578291666666665</v>
      </c>
      <c r="C29" s="1">
        <v>510.02</v>
      </c>
      <c r="D29" s="1">
        <v>0.22</v>
      </c>
      <c r="E29" s="326">
        <f t="shared" si="4"/>
        <v>12.768619839881508</v>
      </c>
      <c r="F29" s="327">
        <f t="shared" si="0"/>
        <v>3.4969556280785054E-3</v>
      </c>
      <c r="G29" s="309">
        <f t="shared" si="5"/>
        <v>0.64538055555555551</v>
      </c>
      <c r="H29" s="1">
        <v>2323.37</v>
      </c>
      <c r="I29" s="324">
        <v>30</v>
      </c>
      <c r="J29" s="1">
        <v>0.29215999999999998</v>
      </c>
      <c r="K29" s="1">
        <v>7.2000000000000005E-4</v>
      </c>
      <c r="L29" s="328">
        <f t="shared" si="6"/>
        <v>0.24644030668127057</v>
      </c>
      <c r="M29" s="329">
        <f t="shared" si="1"/>
        <v>2.416786474731113E-2</v>
      </c>
      <c r="N29" s="342">
        <f>(1/$J$79)*SQRT(((1-J30/$J$79)*K29)^2+(J30/$J$79)^2*(SUMSQ(K$8:K28)+SUMSQ(K30:K$78)))</f>
        <v>2.0376871097667663E-4</v>
      </c>
      <c r="O29" s="340">
        <f t="shared" si="14"/>
        <v>0.84313907375432295</v>
      </c>
      <c r="P29" s="332">
        <f t="shared" si="7"/>
        <v>0.16506132132440157</v>
      </c>
      <c r="Q29" s="342">
        <f>SQRT(((1-P29)/$J$79)^2*SUMSQ(K$8:K29)+(P29/$J$79)^2*SUMSQ(K30:K$78))</f>
        <v>1.1391575555623776E-3</v>
      </c>
      <c r="R29" s="340">
        <f t="shared" si="15"/>
        <v>0.69014203110827277</v>
      </c>
      <c r="S29" s="343">
        <f t="shared" si="16"/>
        <v>3.1639204225394406E-7</v>
      </c>
      <c r="T29" s="344">
        <f t="shared" si="17"/>
        <v>4.0853420968757964E-9</v>
      </c>
      <c r="U29" s="344">
        <f>IF(P29&lt;=0.85, (1/(3*H29*$J$79))*SQRT( ((1-P29)*(1/SQRT(1-PI()*P29/3)-1) + (1-P28)*(1-1/SQRT(1-PI()*P28/3)))^2*SUMSQ(K$8:K28) + ( (1-P29)*(1/SQRT(1-PI()*P29/3)-1) -P28*(1-1/SQRT(1-PI()*P28/3)) )^2*K29^2 + ( P29*(1-1/SQRT(1-PI()*P29/3)) - P28*(1-1/SQRT(1-PI()*P28/3)) )^2*SUMSQ(K30:K$78) ), (1/(PI()^2*H29*$J$79))*SQRT((1+P28/(1-P28))^2*K29^2+(P28/(1-P28)-P29/(1-P29))^2*SUMSQ(K30:K$78)) )</f>
        <v>4.7161948126240871E-9</v>
      </c>
      <c r="V29" s="345">
        <f t="shared" si="18"/>
        <v>6.2395924193113667E-9</v>
      </c>
      <c r="W29" s="340">
        <f t="shared" si="19"/>
        <v>1.9721078870571958</v>
      </c>
      <c r="X29" s="345">
        <f t="shared" si="20"/>
        <v>1.2479184838622733E-8</v>
      </c>
      <c r="Y29" s="338">
        <f t="shared" si="8"/>
        <v>-14.966283752273297</v>
      </c>
      <c r="Z29" s="346">
        <f t="shared" si="21"/>
        <v>1.9721078870571958E-2</v>
      </c>
      <c r="AA29" s="346">
        <f t="shared" si="22"/>
        <v>0.13177004523635624</v>
      </c>
      <c r="AB29" s="346">
        <f t="shared" si="9"/>
        <v>3.9442157741143916E-2</v>
      </c>
      <c r="AC29" s="336">
        <f t="shared" si="2"/>
        <v>4.0830266496054579E-11</v>
      </c>
      <c r="AD29" s="337">
        <f t="shared" si="3"/>
        <v>1.6478208913291191E-12</v>
      </c>
      <c r="AE29" s="308">
        <f t="shared" si="10"/>
        <v>4.0357828462578063</v>
      </c>
      <c r="AF29" s="337">
        <f t="shared" si="11"/>
        <v>3.2956417826582381E-12</v>
      </c>
      <c r="AG29" s="338">
        <f t="shared" si="23"/>
        <v>-23.92159748365156</v>
      </c>
      <c r="AH29" s="339">
        <f t="shared" si="24"/>
        <v>4.0357828462578064E-2</v>
      </c>
      <c r="AI29" s="340">
        <f t="shared" si="25"/>
        <v>0.16870875153784906</v>
      </c>
      <c r="AJ29" s="341">
        <f t="shared" si="12"/>
        <v>8.0715656925156129E-2</v>
      </c>
    </row>
    <row r="30" spans="1:39" x14ac:dyDescent="0.2">
      <c r="A30" s="309">
        <v>23</v>
      </c>
      <c r="B30" s="309">
        <f t="shared" si="13"/>
        <v>15.224769444444442</v>
      </c>
      <c r="C30" s="1">
        <v>520.02</v>
      </c>
      <c r="D30" s="1">
        <v>0.2</v>
      </c>
      <c r="E30" s="326">
        <f t="shared" si="4"/>
        <v>12.607637706922855</v>
      </c>
      <c r="F30" s="327">
        <f t="shared" si="0"/>
        <v>3.1003808018071795E-3</v>
      </c>
      <c r="G30" s="309">
        <f t="shared" si="5"/>
        <v>0.64647777777777782</v>
      </c>
      <c r="H30" s="1">
        <v>2327.3200000000002</v>
      </c>
      <c r="I30" s="324">
        <v>30</v>
      </c>
      <c r="J30" s="1">
        <v>0.34494000000000002</v>
      </c>
      <c r="K30" s="1">
        <v>5.4000000000000001E-4</v>
      </c>
      <c r="L30" s="328">
        <f t="shared" si="6"/>
        <v>0.15654896503739779</v>
      </c>
      <c r="M30" s="329">
        <f t="shared" si="1"/>
        <v>2.8533896720760895E-2</v>
      </c>
      <c r="N30" s="342">
        <f>(1/$J$79)*SQRT(((1-J31/$J$79)*K30)^2+(J31/$J$79)^2*(SUMSQ(K$8:K29)+SUMSQ(K31:K$78)))</f>
        <v>2.3590627780363063E-4</v>
      </c>
      <c r="O30" s="340">
        <f t="shared" si="14"/>
        <v>0.8267580138537064</v>
      </c>
      <c r="P30" s="332">
        <f t="shared" si="7"/>
        <v>0.19359521804516247</v>
      </c>
      <c r="Q30" s="342">
        <f>SQRT(((1-P30)/$J$79)^2*SUMSQ(K$8:K30)+(P30/$J$79)^2*SUMSQ(K31:K$78))</f>
        <v>1.3330597779602075E-3</v>
      </c>
      <c r="R30" s="340">
        <f t="shared" si="15"/>
        <v>0.68858094297000005</v>
      </c>
      <c r="S30" s="343">
        <f t="shared" si="16"/>
        <v>4.4810498016667089E-7</v>
      </c>
      <c r="T30" s="344">
        <f t="shared" si="17"/>
        <v>5.7762359301686722E-9</v>
      </c>
      <c r="U30" s="344">
        <f>IF(P30&lt;=0.85, (1/(3*H30*$J$79))*SQRT( ((1-P30)*(1/SQRT(1-PI()*P30/3)-1) + (1-P29)*(1-1/SQRT(1-PI()*P29/3)))^2*SUMSQ(K$8:K29) + ( (1-P30)*(1/SQRT(1-PI()*P30/3)-1) -P29*(1-1/SQRT(1-PI()*P29/3)) )^2*K30^2 + ( P30*(1-1/SQRT(1-PI()*P30/3)) - P29*(1-1/SQRT(1-PI()*P29/3)) )^2*SUMSQ(K31:K$78) ), (1/(PI()^2*H30*$J$79))*SQRT((1+P29/(1-P29))^2*K30^2+(P29/(1-P29)-P30/(1-P30))^2*SUMSQ(K31:K$78)) )</f>
        <v>6.7071247606561685E-9</v>
      </c>
      <c r="V30" s="345">
        <f t="shared" si="18"/>
        <v>8.8515774908192843E-9</v>
      </c>
      <c r="W30" s="340">
        <f t="shared" si="19"/>
        <v>1.9753356652110796</v>
      </c>
      <c r="X30" s="345">
        <f t="shared" si="20"/>
        <v>1.7703154981638569E-8</v>
      </c>
      <c r="Y30" s="338">
        <f t="shared" si="8"/>
        <v>-14.618238301253406</v>
      </c>
      <c r="Z30" s="346">
        <f t="shared" si="21"/>
        <v>1.9753356652110796E-2</v>
      </c>
      <c r="AA30" s="346">
        <f t="shared" si="22"/>
        <v>0.13512816144485132</v>
      </c>
      <c r="AB30" s="346">
        <f t="shared" si="9"/>
        <v>3.9506713304221591E-2</v>
      </c>
      <c r="AC30" s="336">
        <f t="shared" si="2"/>
        <v>5.7827768448516805E-11</v>
      </c>
      <c r="AD30" s="337">
        <f t="shared" si="3"/>
        <v>2.3347158285116042E-12</v>
      </c>
      <c r="AE30" s="308">
        <f t="shared" si="10"/>
        <v>4.0373611002993606</v>
      </c>
      <c r="AF30" s="337">
        <f t="shared" si="11"/>
        <v>4.6694316570232085E-12</v>
      </c>
      <c r="AG30" s="338">
        <f t="shared" si="23"/>
        <v>-23.573552032631671</v>
      </c>
      <c r="AH30" s="339">
        <f t="shared" si="24"/>
        <v>4.0373611002993602E-2</v>
      </c>
      <c r="AI30" s="340">
        <f t="shared" si="25"/>
        <v>0.17126655731434304</v>
      </c>
      <c r="AJ30" s="341">
        <f t="shared" si="12"/>
        <v>8.0747222005987204E-2</v>
      </c>
    </row>
    <row r="31" spans="1:39" x14ac:dyDescent="0.2">
      <c r="A31" s="309">
        <v>24</v>
      </c>
      <c r="B31" s="309">
        <f t="shared" si="13"/>
        <v>15.871805555555554</v>
      </c>
      <c r="C31" s="1">
        <v>530.02</v>
      </c>
      <c r="D31" s="1">
        <v>0.2</v>
      </c>
      <c r="E31" s="326">
        <f t="shared" si="4"/>
        <v>12.450664242937361</v>
      </c>
      <c r="F31" s="327">
        <f t="shared" si="0"/>
        <v>3.0246698777901013E-3</v>
      </c>
      <c r="G31" s="309">
        <f t="shared" si="5"/>
        <v>0.64703611111111115</v>
      </c>
      <c r="H31" s="1">
        <v>2329.33</v>
      </c>
      <c r="I31" s="324">
        <v>30</v>
      </c>
      <c r="J31" s="1">
        <v>0.40944999999999998</v>
      </c>
      <c r="K31" s="1">
        <v>1.01E-3</v>
      </c>
      <c r="L31" s="328">
        <f t="shared" si="6"/>
        <v>0.24667236536817685</v>
      </c>
      <c r="M31" s="329">
        <f t="shared" si="1"/>
        <v>3.3870249934236527E-2</v>
      </c>
      <c r="N31" s="342">
        <f>(1/$J$79)*SQRT(((1-J32/$J$79)*K31)^2+(J32/$J$79)^2*(SUMSQ(K$8:K30)+SUMSQ(K32:K$78)))</f>
        <v>2.4741325301299872E-4</v>
      </c>
      <c r="O31" s="340">
        <f t="shared" si="14"/>
        <v>0.73047365606508241</v>
      </c>
      <c r="P31" s="332">
        <f t="shared" si="7"/>
        <v>0.22746546797939898</v>
      </c>
      <c r="Q31" s="342">
        <f>SQRT(((1-P31)/$J$79)^2*SUMSQ(K$8:K31)+(P31/$J$79)^2*SUMSQ(K32:K$78))</f>
        <v>1.5644147884495479E-3</v>
      </c>
      <c r="R31" s="340">
        <f t="shared" si="15"/>
        <v>0.68775924642382791</v>
      </c>
      <c r="S31" s="343">
        <f t="shared" si="16"/>
        <v>6.4313499226219494E-7</v>
      </c>
      <c r="T31" s="344">
        <f t="shared" si="17"/>
        <v>8.2830898875924903E-9</v>
      </c>
      <c r="U31" s="344">
        <f>IF(P31&lt;=0.85, (1/(3*H31*$J$79))*SQRT( ((1-P31)*(1/SQRT(1-PI()*P31/3)-1) + (1-P30)*(1-1/SQRT(1-PI()*P30/3)))^2*SUMSQ(K$8:K30) + ( (1-P31)*(1/SQRT(1-PI()*P31/3)-1) -P30*(1-1/SQRT(1-PI()*P30/3)) )^2*K31^2 + ( P31*(1-1/SQRT(1-PI()*P31/3)) - P30*(1-1/SQRT(1-PI()*P30/3)) )^2*SUMSQ(K32:K$78) ), (1/(PI()^2*H31*$J$79))*SQRT((1+P30/(1-P30))^2*K31^2+(P30/(1-P30)-P31/(1-P31))^2*SUMSQ(K32:K$78)) )</f>
        <v>9.8652474311378398E-9</v>
      </c>
      <c r="V31" s="345">
        <f t="shared" si="18"/>
        <v>1.2881486131790413E-8</v>
      </c>
      <c r="W31" s="340">
        <f t="shared" si="19"/>
        <v>2.0029210487335534</v>
      </c>
      <c r="X31" s="345">
        <f t="shared" si="20"/>
        <v>2.5762972263580826E-8</v>
      </c>
      <c r="Y31" s="338">
        <f t="shared" si="8"/>
        <v>-14.256911193433595</v>
      </c>
      <c r="Z31" s="346">
        <f t="shared" si="21"/>
        <v>2.0029210487335535E-2</v>
      </c>
      <c r="AA31" s="346">
        <f t="shared" si="22"/>
        <v>0.14048772707906412</v>
      </c>
      <c r="AB31" s="346">
        <f t="shared" si="9"/>
        <v>4.005842097467107E-2</v>
      </c>
      <c r="AC31" s="336">
        <f t="shared" si="2"/>
        <v>8.2996313497439352E-11</v>
      </c>
      <c r="AD31" s="337">
        <f t="shared" si="3"/>
        <v>3.3621217967700492E-12</v>
      </c>
      <c r="AE31" s="308">
        <f t="shared" si="10"/>
        <v>4.0509290775593056</v>
      </c>
      <c r="AF31" s="337">
        <f t="shared" si="11"/>
        <v>6.7242435935400984E-12</v>
      </c>
      <c r="AG31" s="338">
        <f t="shared" si="23"/>
        <v>-23.21222492481186</v>
      </c>
      <c r="AH31" s="339">
        <f t="shared" si="24"/>
        <v>4.0509290775593051E-2</v>
      </c>
      <c r="AI31" s="340">
        <f t="shared" si="25"/>
        <v>0.17451705257384495</v>
      </c>
      <c r="AJ31" s="341">
        <f t="shared" si="12"/>
        <v>8.1018581551186103E-2</v>
      </c>
    </row>
    <row r="32" spans="1:39" x14ac:dyDescent="0.2">
      <c r="A32" s="309">
        <v>25</v>
      </c>
      <c r="B32" s="309">
        <f t="shared" si="13"/>
        <v>16.516622222222221</v>
      </c>
      <c r="C32" s="1">
        <v>540.01</v>
      </c>
      <c r="D32" s="1">
        <v>0.19</v>
      </c>
      <c r="E32" s="326">
        <f t="shared" si="4"/>
        <v>12.297702789118993</v>
      </c>
      <c r="F32" s="327">
        <f t="shared" si="0"/>
        <v>2.8039094249159872E-3</v>
      </c>
      <c r="G32" s="309">
        <f t="shared" si="5"/>
        <v>0.6448166666666667</v>
      </c>
      <c r="H32" s="1">
        <v>2321.34</v>
      </c>
      <c r="I32" s="324">
        <v>30</v>
      </c>
      <c r="J32" s="1">
        <v>0.41293000000000002</v>
      </c>
      <c r="K32" s="1">
        <v>9.6999999999999897E-4</v>
      </c>
      <c r="L32" s="328">
        <f t="shared" si="6"/>
        <v>0.23490664277238246</v>
      </c>
      <c r="M32" s="329">
        <f t="shared" si="1"/>
        <v>3.4158120174244203E-2</v>
      </c>
      <c r="N32" s="342">
        <f>(1/$J$79)*SQRT(((1-J33/$J$79)*K32)^2+(J33/$J$79)^2*(SUMSQ(K$8:K31)+SUMSQ(K33:K$78)))</f>
        <v>2.9761669006063613E-4</v>
      </c>
      <c r="O32" s="340">
        <f t="shared" si="14"/>
        <v>0.87129118506071679</v>
      </c>
      <c r="P32" s="332">
        <f t="shared" si="7"/>
        <v>0.26162358815364317</v>
      </c>
      <c r="Q32" s="342">
        <f>SQRT(((1-P32)/$J$79)^2*SUMSQ(K$8:K32)+(P32/$J$79)^2*SUMSQ(K33:K$78))</f>
        <v>1.7975401030552788E-3</v>
      </c>
      <c r="R32" s="340">
        <f t="shared" si="15"/>
        <v>0.68707111455089476</v>
      </c>
      <c r="S32" s="343">
        <f t="shared" si="16"/>
        <v>7.8233042835127818E-7</v>
      </c>
      <c r="T32" s="344">
        <f t="shared" si="17"/>
        <v>1.0110502059387406E-8</v>
      </c>
      <c r="U32" s="344">
        <f>IF(P32&lt;=0.85, (1/(3*H32*$J$79))*SQRT( ((1-P32)*(1/SQRT(1-PI()*P32/3)-1) + (1-P31)*(1-1/SQRT(1-PI()*P31/3)))^2*SUMSQ(K$8:K31) + ( (1-P32)*(1/SQRT(1-PI()*P32/3)-1) -P31*(1-1/SQRT(1-PI()*P31/3)) )^2*K32^2 + ( P32*(1-1/SQRT(1-PI()*P32/3)) - P31*(1-1/SQRT(1-PI()*P31/3)) )^2*SUMSQ(K33:K$78) ), (1/(PI()^2*H32*$J$79))*SQRT((1+P31/(1-P31))^2*K32^2+(P31/(1-P31)-P32/(1-P32))^2*SUMSQ(K33:K$78)) )</f>
        <v>1.2212362525446349E-8</v>
      </c>
      <c r="V32" s="345">
        <f t="shared" si="18"/>
        <v>1.5854464681779807E-8</v>
      </c>
      <c r="W32" s="340">
        <f t="shared" si="19"/>
        <v>2.026568839357596</v>
      </c>
      <c r="X32" s="345">
        <f t="shared" si="20"/>
        <v>3.1708929363559614E-8</v>
      </c>
      <c r="Y32" s="338">
        <f t="shared" si="8"/>
        <v>-14.060988642998412</v>
      </c>
      <c r="Z32" s="346">
        <f t="shared" si="21"/>
        <v>2.026568839357596E-2</v>
      </c>
      <c r="AA32" s="346">
        <f t="shared" si="22"/>
        <v>0.14412705186037642</v>
      </c>
      <c r="AB32" s="346">
        <f t="shared" si="9"/>
        <v>4.0531376787151921E-2</v>
      </c>
      <c r="AC32" s="336">
        <f t="shared" si="2"/>
        <v>1.009594288465611E-10</v>
      </c>
      <c r="AD32" s="337">
        <f t="shared" si="3"/>
        <v>4.1016518319063412E-12</v>
      </c>
      <c r="AE32" s="308">
        <f t="shared" si="10"/>
        <v>4.0626733716372962</v>
      </c>
      <c r="AF32" s="337">
        <f t="shared" si="11"/>
        <v>8.2033036638126824E-12</v>
      </c>
      <c r="AG32" s="338">
        <f t="shared" si="23"/>
        <v>-23.016302374376675</v>
      </c>
      <c r="AH32" s="339">
        <f t="shared" si="24"/>
        <v>4.0626733716372966E-2</v>
      </c>
      <c r="AI32" s="340">
        <f t="shared" si="25"/>
        <v>0.17651286056096235</v>
      </c>
      <c r="AJ32" s="341">
        <f t="shared" si="12"/>
        <v>8.1253467432745932E-2</v>
      </c>
    </row>
    <row r="33" spans="1:36" x14ac:dyDescent="0.2">
      <c r="A33" s="309">
        <v>26</v>
      </c>
      <c r="B33" s="309">
        <f t="shared" si="13"/>
        <v>17.162547222222219</v>
      </c>
      <c r="C33" s="1">
        <v>550.03</v>
      </c>
      <c r="D33" s="1">
        <v>0.23</v>
      </c>
      <c r="E33" s="326">
        <f t="shared" si="4"/>
        <v>12.148011370538644</v>
      </c>
      <c r="F33" s="327">
        <f t="shared" si="0"/>
        <v>3.3132191524757638E-3</v>
      </c>
      <c r="G33" s="309">
        <f t="shared" si="5"/>
        <v>0.64592499999999997</v>
      </c>
      <c r="H33" s="1">
        <v>2325.33</v>
      </c>
      <c r="I33" s="324">
        <v>30</v>
      </c>
      <c r="J33" s="1">
        <v>0.50761999999999996</v>
      </c>
      <c r="K33" s="1">
        <v>5.9000000000000003E-4</v>
      </c>
      <c r="L33" s="328">
        <f t="shared" si="6"/>
        <v>0.11622867499310509</v>
      </c>
      <c r="M33" s="329">
        <f t="shared" si="1"/>
        <v>4.1991003227786407E-2</v>
      </c>
      <c r="N33" s="342">
        <f>(1/$J$79)*SQRT(((1-J34/$J$79)*K33)^2+(J34/$J$79)^2*(SUMSQ(K$8:K32)+SUMSQ(K34:K$78)))</f>
        <v>2.6352837618818668E-4</v>
      </c>
      <c r="O33" s="340">
        <f t="shared" si="14"/>
        <v>0.62758294856314345</v>
      </c>
      <c r="P33" s="332">
        <f t="shared" si="7"/>
        <v>0.3036145913814296</v>
      </c>
      <c r="Q33" s="342">
        <f>SQRT(((1-P33)/$J$79)^2*SUMSQ(K$8:K33)+(P33/$J$79)^2*SUMSQ(K34:K$78))</f>
        <v>2.0835516189715089E-3</v>
      </c>
      <c r="R33" s="340">
        <f t="shared" si="15"/>
        <v>0.68624884248529172</v>
      </c>
      <c r="S33" s="343">
        <f t="shared" si="16"/>
        <v>1.1553444436158018E-6</v>
      </c>
      <c r="T33" s="344">
        <f t="shared" si="17"/>
        <v>1.490555461309753E-8</v>
      </c>
      <c r="U33" s="344">
        <f>IF(P33&lt;=0.85, (1/(3*H33*$J$79))*SQRT( ((1-P33)*(1/SQRT(1-PI()*P33/3)-1) + (1-P32)*(1-1/SQRT(1-PI()*P32/3)))^2*SUMSQ(K$8:K32) + ( (1-P33)*(1/SQRT(1-PI()*P33/3)-1) -P32*(1-1/SQRT(1-PI()*P32/3)) )^2*K33^2 + ( P33*(1-1/SQRT(1-PI()*P33/3)) - P32*(1-1/SQRT(1-PI()*P32/3)) )^2*SUMSQ(K34:K$78) ), (1/(PI()^2*H33*$J$79))*SQRT((1+P32/(1-P32))^2*K33^2+(P32/(1-P32)-P33/(1-P33))^2*SUMSQ(K34:K$78)) )</f>
        <v>1.8303728126409714E-8</v>
      </c>
      <c r="V33" s="345">
        <f t="shared" si="18"/>
        <v>2.3605127020407137E-8</v>
      </c>
      <c r="W33" s="340">
        <f t="shared" si="19"/>
        <v>2.0431246413867536</v>
      </c>
      <c r="X33" s="345">
        <f t="shared" si="20"/>
        <v>4.7210254040814275E-8</v>
      </c>
      <c r="Y33" s="338">
        <f t="shared" si="8"/>
        <v>-13.671112038868356</v>
      </c>
      <c r="Z33" s="346">
        <f t="shared" si="21"/>
        <v>2.0431246413867538E-2</v>
      </c>
      <c r="AA33" s="346">
        <f t="shared" si="22"/>
        <v>0.14944831375662371</v>
      </c>
      <c r="AB33" s="346">
        <f t="shared" si="9"/>
        <v>4.0862492827735075E-2</v>
      </c>
      <c r="AC33" s="336">
        <f t="shared" si="2"/>
        <v>1.4909673831084178E-10</v>
      </c>
      <c r="AD33" s="337">
        <f t="shared" si="3"/>
        <v>6.0696643006754728E-12</v>
      </c>
      <c r="AE33" s="308">
        <f t="shared" si="10"/>
        <v>4.0709571312158666</v>
      </c>
      <c r="AF33" s="337">
        <f t="shared" si="11"/>
        <v>1.2139328601350946E-11</v>
      </c>
      <c r="AG33" s="338">
        <f t="shared" si="23"/>
        <v>-22.62642577024662</v>
      </c>
      <c r="AH33" s="339">
        <f t="shared" si="24"/>
        <v>4.0709571312158667E-2</v>
      </c>
      <c r="AI33" s="340">
        <f t="shared" si="25"/>
        <v>0.17992046877192194</v>
      </c>
      <c r="AJ33" s="341">
        <f t="shared" si="12"/>
        <v>8.1419142624317334E-2</v>
      </c>
    </row>
    <row r="34" spans="1:36" x14ac:dyDescent="0.2">
      <c r="A34" s="309">
        <v>27</v>
      </c>
      <c r="B34" s="309">
        <f t="shared" si="13"/>
        <v>17.809591666666662</v>
      </c>
      <c r="C34" s="1">
        <v>560.03</v>
      </c>
      <c r="D34" s="1">
        <v>0.21</v>
      </c>
      <c r="E34" s="326">
        <f t="shared" si="4"/>
        <v>12.002208406346769</v>
      </c>
      <c r="F34" s="327">
        <f t="shared" si="0"/>
        <v>2.9537837807351143E-3</v>
      </c>
      <c r="G34" s="309">
        <f t="shared" si="5"/>
        <v>0.64704444444444453</v>
      </c>
      <c r="H34" s="1">
        <v>2329.36</v>
      </c>
      <c r="I34" s="324">
        <v>30</v>
      </c>
      <c r="J34" s="1">
        <v>0.45779999999999998</v>
      </c>
      <c r="K34" s="1">
        <v>7.6999999999999996E-4</v>
      </c>
      <c r="L34" s="328">
        <f t="shared" si="6"/>
        <v>0.16819571865443425</v>
      </c>
      <c r="M34" s="329">
        <f t="shared" si="1"/>
        <v>3.7869826401009846E-2</v>
      </c>
      <c r="N34" s="342">
        <f>(1/$J$79)*SQRT(((1-J35/$J$79)*K34)^2+(J35/$J$79)^2*(SUMSQ(K$8:K33)+SUMSQ(K35:K$78)))</f>
        <v>2.6703278257861227E-4</v>
      </c>
      <c r="O34" s="340">
        <f t="shared" si="14"/>
        <v>0.70513336858468278</v>
      </c>
      <c r="P34" s="332">
        <f t="shared" si="7"/>
        <v>0.34148441778243943</v>
      </c>
      <c r="Q34" s="342">
        <f>SQRT(((1-P34)/$J$79)^2*SUMSQ(K$8:K34)+(P34/$J$79)^2*SUMSQ(K35:K$78))</f>
        <v>2.3418693002530519E-3</v>
      </c>
      <c r="R34" s="340">
        <f t="shared" si="15"/>
        <v>0.68579096974933207</v>
      </c>
      <c r="S34" s="343">
        <f t="shared" si="16"/>
        <v>1.2408960235025285E-6</v>
      </c>
      <c r="T34" s="344">
        <f t="shared" si="17"/>
        <v>1.5981591812805172E-8</v>
      </c>
      <c r="U34" s="344">
        <f>IF(P34&lt;=0.85, (1/(3*H34*$J$79))*SQRT( ((1-P34)*(1/SQRT(1-PI()*P34/3)-1) + (1-P33)*(1-1/SQRT(1-PI()*P33/3)))^2*SUMSQ(K$8:K33) + ( (1-P34)*(1/SQRT(1-PI()*P34/3)-1) -P33*(1-1/SQRT(1-PI()*P33/3)) )^2*K34^2 + ( P34*(1-1/SQRT(1-PI()*P34/3)) - P33*(1-1/SQRT(1-PI()*P33/3)) )^2*SUMSQ(K35:K$78) ), (1/(PI()^2*H34*$J$79))*SQRT((1+P33/(1-P33))^2*K34^2+(P33/(1-P33)-P34/(1-P34))^2*SUMSQ(K35:K$78)) )</f>
        <v>2.0244746023642951E-8</v>
      </c>
      <c r="V34" s="345">
        <f t="shared" si="18"/>
        <v>2.5792654350278266E-8</v>
      </c>
      <c r="W34" s="340">
        <f t="shared" si="19"/>
        <v>2.0785508102021661</v>
      </c>
      <c r="X34" s="345">
        <f t="shared" si="20"/>
        <v>5.1585308700556533E-8</v>
      </c>
      <c r="Y34" s="338">
        <f t="shared" si="8"/>
        <v>-13.599676839697905</v>
      </c>
      <c r="Z34" s="346">
        <f t="shared" si="21"/>
        <v>2.078550810202166E-2</v>
      </c>
      <c r="AA34" s="346">
        <f t="shared" si="22"/>
        <v>0.15283825010715019</v>
      </c>
      <c r="AB34" s="346">
        <f t="shared" si="9"/>
        <v>4.1571016204043319E-2</v>
      </c>
      <c r="AC34" s="336">
        <f t="shared" si="2"/>
        <v>1.6013713547459189E-10</v>
      </c>
      <c r="AD34" s="337">
        <f t="shared" si="3"/>
        <v>6.5477697727296941E-12</v>
      </c>
      <c r="AE34" s="308">
        <f t="shared" si="10"/>
        <v>4.0888515667052099</v>
      </c>
      <c r="AF34" s="337">
        <f t="shared" si="11"/>
        <v>1.3095539545459388E-11</v>
      </c>
      <c r="AG34" s="338">
        <f t="shared" si="23"/>
        <v>-22.554990571076168</v>
      </c>
      <c r="AH34" s="339">
        <f t="shared" si="24"/>
        <v>4.0888515667052094E-2</v>
      </c>
      <c r="AI34" s="340">
        <f t="shared" si="25"/>
        <v>0.18128367439659354</v>
      </c>
      <c r="AJ34" s="341">
        <f t="shared" si="12"/>
        <v>8.1777031334104189E-2</v>
      </c>
    </row>
    <row r="35" spans="1:36" x14ac:dyDescent="0.2">
      <c r="A35" s="309">
        <v>28</v>
      </c>
      <c r="B35" s="309">
        <f t="shared" si="13"/>
        <v>18.454422222222217</v>
      </c>
      <c r="C35" s="1">
        <v>570.03</v>
      </c>
      <c r="D35" s="1">
        <v>0.24</v>
      </c>
      <c r="E35" s="326">
        <f t="shared" si="4"/>
        <v>11.859863848763016</v>
      </c>
      <c r="F35" s="327">
        <f t="shared" si="0"/>
        <v>3.297005932410339E-3</v>
      </c>
      <c r="G35" s="309">
        <f t="shared" si="5"/>
        <v>0.64483055555555557</v>
      </c>
      <c r="H35" s="1">
        <v>2321.39</v>
      </c>
      <c r="I35" s="324">
        <v>30</v>
      </c>
      <c r="J35" s="1">
        <v>0.45885999999999999</v>
      </c>
      <c r="K35" s="1">
        <v>9.5999999999999905E-4</v>
      </c>
      <c r="L35" s="328">
        <f t="shared" si="6"/>
        <v>0.20921413938892017</v>
      </c>
      <c r="M35" s="329">
        <f t="shared" si="1"/>
        <v>3.7957511014345517E-2</v>
      </c>
      <c r="N35" s="342">
        <f>(1/$J$79)*SQRT(((1-J36/$J$79)*K35)^2+(J36/$J$79)^2*(SUMSQ(K$8:K34)+SUMSQ(K36:K$78)))</f>
        <v>3.0794081302486952E-4</v>
      </c>
      <c r="O35" s="340">
        <f t="shared" si="14"/>
        <v>0.81127767547373586</v>
      </c>
      <c r="P35" s="332">
        <f t="shared" si="7"/>
        <v>0.37944192879678496</v>
      </c>
      <c r="Q35" s="342">
        <f>SQRT(((1-P35)/$J$79)^2*SUMSQ(K$8:K35)+(P35/$J$79)^2*SUMSQ(K36:K$78))</f>
        <v>2.6009700657632544E-3</v>
      </c>
      <c r="R35" s="340">
        <f t="shared" si="15"/>
        <v>0.68547249746778449</v>
      </c>
      <c r="S35" s="343">
        <f t="shared" si="16"/>
        <v>1.4584494579080181E-6</v>
      </c>
      <c r="T35" s="344">
        <f t="shared" si="17"/>
        <v>1.88479676991977E-8</v>
      </c>
      <c r="U35" s="344">
        <f>IF(P35&lt;=0.85, (1/(3*H35*$J$79))*SQRT( ((1-P35)*(1/SQRT(1-PI()*P35/3)-1) + (1-P34)*(1-1/SQRT(1-PI()*P34/3)))^2*SUMSQ(K$8:K34) + ( (1-P35)*(1/SQRT(1-PI()*P35/3)-1) -P34*(1-1/SQRT(1-PI()*P34/3)) )^2*K35^2 + ( P35*(1-1/SQRT(1-PI()*P35/3)) - P34*(1-1/SQRT(1-PI()*P34/3)) )^2*SUMSQ(K36:K$78) ), (1/(PI()^2*H35*$J$79))*SQRT((1+P34/(1-P34))^2*K35^2+(P34/(1-P34)-P35/(1-P35))^2*SUMSQ(K36:K$78)) )</f>
        <v>2.4524445931142735E-8</v>
      </c>
      <c r="V35" s="345">
        <f t="shared" si="18"/>
        <v>3.0930475822714773E-8</v>
      </c>
      <c r="W35" s="340">
        <f t="shared" si="19"/>
        <v>2.1207780396504838</v>
      </c>
      <c r="X35" s="345">
        <f t="shared" si="20"/>
        <v>6.1860951645429545E-8</v>
      </c>
      <c r="Y35" s="338">
        <f t="shared" si="8"/>
        <v>-13.438136701713185</v>
      </c>
      <c r="Z35" s="346">
        <f t="shared" si="21"/>
        <v>2.1207780396504838E-2</v>
      </c>
      <c r="AA35" s="346">
        <f t="shared" si="22"/>
        <v>0.15781786468804954</v>
      </c>
      <c r="AB35" s="346">
        <f t="shared" si="9"/>
        <v>4.2415560793009677E-2</v>
      </c>
      <c r="AC35" s="336">
        <f t="shared" si="2"/>
        <v>1.8821231916324657E-10</v>
      </c>
      <c r="AD35" s="337">
        <f t="shared" si="3"/>
        <v>7.7364268353630724E-12</v>
      </c>
      <c r="AE35" s="308">
        <f t="shared" si="10"/>
        <v>4.1104784584546019</v>
      </c>
      <c r="AF35" s="337">
        <f t="shared" si="11"/>
        <v>1.5472853670726145E-11</v>
      </c>
      <c r="AG35" s="338">
        <f t="shared" si="23"/>
        <v>-22.393450433091449</v>
      </c>
      <c r="AH35" s="339">
        <f t="shared" si="24"/>
        <v>4.1104784584546014E-2</v>
      </c>
      <c r="AI35" s="340">
        <f t="shared" si="25"/>
        <v>0.18355717314471684</v>
      </c>
      <c r="AJ35" s="341">
        <f t="shared" si="12"/>
        <v>8.2209569169092028E-2</v>
      </c>
    </row>
    <row r="36" spans="1:36" x14ac:dyDescent="0.2">
      <c r="A36" s="309">
        <v>29</v>
      </c>
      <c r="B36" s="309">
        <f t="shared" si="13"/>
        <v>19.099799999999995</v>
      </c>
      <c r="C36" s="1">
        <v>580.04</v>
      </c>
      <c r="D36" s="1">
        <v>0.33</v>
      </c>
      <c r="E36" s="326">
        <f t="shared" si="4"/>
        <v>11.720718714471571</v>
      </c>
      <c r="F36" s="327">
        <f t="shared" si="0"/>
        <v>4.4294668236985859E-3</v>
      </c>
      <c r="G36" s="309">
        <f t="shared" si="5"/>
        <v>0.64537777777777783</v>
      </c>
      <c r="H36" s="1">
        <v>2323.36</v>
      </c>
      <c r="I36" s="324">
        <v>30</v>
      </c>
      <c r="J36" s="1">
        <v>0.52688000000000001</v>
      </c>
      <c r="K36" s="1">
        <v>1.14E-3</v>
      </c>
      <c r="L36" s="328">
        <f t="shared" si="6"/>
        <v>0.21636805344670512</v>
      </c>
      <c r="M36" s="329">
        <f t="shared" si="1"/>
        <v>4.3584216107828894E-2</v>
      </c>
      <c r="N36" s="342">
        <f>(1/$J$79)*SQRT(((1-J37/$J$79)*K36)^2+(J37/$J$79)^2*(SUMSQ(K$8:K35)+SUMSQ(K37:K$78)))</f>
        <v>3.0789303117893769E-4</v>
      </c>
      <c r="O36" s="340">
        <f t="shared" si="14"/>
        <v>0.70643241676573798</v>
      </c>
      <c r="P36" s="332">
        <f t="shared" si="7"/>
        <v>0.42302614490461388</v>
      </c>
      <c r="Q36" s="342">
        <f>SQRT(((1-P36)/$J$79)^2*SUMSQ(K$8:K36)+(P36/$J$79)^2*SUMSQ(K37:K$78))</f>
        <v>2.8984997844504769E-3</v>
      </c>
      <c r="R36" s="340">
        <f t="shared" si="15"/>
        <v>0.68518218539519482</v>
      </c>
      <c r="S36" s="343">
        <f t="shared" si="16"/>
        <v>1.9604088640480991E-6</v>
      </c>
      <c r="T36" s="344">
        <f t="shared" si="17"/>
        <v>2.5313453757249412E-8</v>
      </c>
      <c r="U36" s="344">
        <f>IF(P36&lt;=0.85, (1/(3*H36*$J$79))*SQRT( ((1-P36)*(1/SQRT(1-PI()*P36/3)-1) + (1-P35)*(1-1/SQRT(1-PI()*P35/3)))^2*SUMSQ(K$8:K35) + ( (1-P36)*(1/SQRT(1-PI()*P36/3)-1) -P35*(1-1/SQRT(1-PI()*P35/3)) )^2*K36^2 + ( P36*(1-1/SQRT(1-PI()*P36/3)) - P35*(1-1/SQRT(1-PI()*P35/3)) )^2*SUMSQ(K37:K$78) ), (1/(PI()^2*H36*$J$79))*SQRT((1+P35/(1-P35))^2*K36^2+(P35/(1-P35)-P36/(1-P36))^2*SUMSQ(K37:K$78)) )</f>
        <v>3.4072299862012144E-8</v>
      </c>
      <c r="V36" s="345">
        <f t="shared" si="18"/>
        <v>4.2446349183496066E-8</v>
      </c>
      <c r="W36" s="340">
        <f t="shared" si="19"/>
        <v>2.1651783952786006</v>
      </c>
      <c r="X36" s="345">
        <f t="shared" si="20"/>
        <v>8.4892698366992133E-8</v>
      </c>
      <c r="Y36" s="338">
        <f t="shared" si="8"/>
        <v>-13.142357502370487</v>
      </c>
      <c r="Z36" s="346">
        <f t="shared" si="21"/>
        <v>2.1651783952786004E-2</v>
      </c>
      <c r="AA36" s="346">
        <f t="shared" si="22"/>
        <v>0.16474809750747285</v>
      </c>
      <c r="AB36" s="346">
        <f t="shared" si="9"/>
        <v>4.3303567905572007E-2</v>
      </c>
      <c r="AC36" s="336">
        <f t="shared" si="2"/>
        <v>2.5298997974186158E-10</v>
      </c>
      <c r="AD36" s="337">
        <f t="shared" si="3"/>
        <v>1.0457496546231239E-11</v>
      </c>
      <c r="AE36" s="308">
        <f t="shared" si="10"/>
        <v>4.1335615572211797</v>
      </c>
      <c r="AF36" s="337">
        <f t="shared" si="11"/>
        <v>2.0914993092462477E-11</v>
      </c>
      <c r="AG36" s="338">
        <f t="shared" si="23"/>
        <v>-22.097671233748748</v>
      </c>
      <c r="AH36" s="339">
        <f t="shared" si="24"/>
        <v>4.1335615572211791E-2</v>
      </c>
      <c r="AI36" s="340">
        <f t="shared" si="25"/>
        <v>0.18705869561984351</v>
      </c>
      <c r="AJ36" s="341">
        <f t="shared" si="12"/>
        <v>8.2671231144423582E-2</v>
      </c>
    </row>
    <row r="37" spans="1:36" x14ac:dyDescent="0.2">
      <c r="A37" s="309">
        <v>30</v>
      </c>
      <c r="B37" s="309">
        <f t="shared" si="13"/>
        <v>19.745736111111107</v>
      </c>
      <c r="C37" s="1">
        <v>589.99</v>
      </c>
      <c r="D37" s="1">
        <v>0.14000000000000001</v>
      </c>
      <c r="E37" s="326">
        <f t="shared" si="4"/>
        <v>11.585606043052112</v>
      </c>
      <c r="F37" s="327">
        <f t="shared" si="0"/>
        <v>1.8363282650443679E-3</v>
      </c>
      <c r="G37" s="309">
        <f t="shared" si="5"/>
        <v>0.64593611111111104</v>
      </c>
      <c r="H37" s="1">
        <v>2325.37</v>
      </c>
      <c r="I37" s="324">
        <v>30</v>
      </c>
      <c r="J37" s="1">
        <v>0.51973000000000003</v>
      </c>
      <c r="K37" s="1">
        <v>9.3000000000000005E-4</v>
      </c>
      <c r="L37" s="328">
        <f t="shared" si="6"/>
        <v>0.17893906451426703</v>
      </c>
      <c r="M37" s="329">
        <f t="shared" si="1"/>
        <v>4.2992758574479789E-2</v>
      </c>
      <c r="N37" s="342">
        <f>(1/$J$79)*SQRT(((1-J38/$J$79)*K37)^2+(J38/$J$79)^2*(SUMSQ(K$8:K36)+SUMSQ(K38:K$78)))</f>
        <v>4.1437593846961032E-4</v>
      </c>
      <c r="O37" s="340">
        <f t="shared" si="14"/>
        <v>0.96382728675517249</v>
      </c>
      <c r="P37" s="332">
        <f t="shared" si="7"/>
        <v>0.46601890347909369</v>
      </c>
      <c r="Q37" s="342">
        <f>SQRT(((1-P37)/$J$79)^2*SUMSQ(K$8:K37)+(P37/$J$79)^2*SUMSQ(K38:K$78))</f>
        <v>3.1918914642073207E-3</v>
      </c>
      <c r="R37" s="340">
        <f t="shared" si="15"/>
        <v>0.68492746546933025</v>
      </c>
      <c r="S37" s="343">
        <f t="shared" si="16"/>
        <v>2.268660454811396E-6</v>
      </c>
      <c r="T37" s="344">
        <f t="shared" si="17"/>
        <v>2.9268380362842011E-8</v>
      </c>
      <c r="U37" s="344">
        <f>IF(P37&lt;=0.85, (1/(3*H37*$J$79))*SQRT( ((1-P37)*(1/SQRT(1-PI()*P37/3)-1) + (1-P36)*(1-1/SQRT(1-PI()*P36/3)))^2*SUMSQ(K$8:K36) + ( (1-P37)*(1/SQRT(1-PI()*P37/3)-1) -P36*(1-1/SQRT(1-PI()*P36/3)) )^2*K37^2 + ( P37*(1-1/SQRT(1-PI()*P37/3)) - P36*(1-1/SQRT(1-PI()*P36/3)) )^2*SUMSQ(K38:K$78) ), (1/(PI()^2*H37*$J$79))*SQRT((1+P36/(1-P36))^2*K37^2+(P36/(1-P36)-P37/(1-P37))^2*SUMSQ(K38:K$78)) )</f>
        <v>4.0886063322745305E-8</v>
      </c>
      <c r="V37" s="345">
        <f t="shared" si="18"/>
        <v>5.0282285778348767E-8</v>
      </c>
      <c r="W37" s="340">
        <f t="shared" si="19"/>
        <v>2.2163865761273192</v>
      </c>
      <c r="X37" s="345">
        <f t="shared" si="20"/>
        <v>1.0056457155669753E-7</v>
      </c>
      <c r="Y37" s="338">
        <f t="shared" si="8"/>
        <v>-12.996321008665825</v>
      </c>
      <c r="Z37" s="346">
        <f t="shared" si="21"/>
        <v>2.2163865761273192E-2</v>
      </c>
      <c r="AA37" s="346">
        <f t="shared" si="22"/>
        <v>0.17053953766219326</v>
      </c>
      <c r="AB37" s="346">
        <f t="shared" si="9"/>
        <v>4.4327731522546383E-2</v>
      </c>
      <c r="AC37" s="336">
        <f t="shared" si="2"/>
        <v>2.9276972422922874E-10</v>
      </c>
      <c r="AD37" s="337">
        <f t="shared" si="3"/>
        <v>1.2181016115143231E-11</v>
      </c>
      <c r="AE37" s="308">
        <f t="shared" si="10"/>
        <v>4.1606133104138561</v>
      </c>
      <c r="AF37" s="337">
        <f t="shared" si="11"/>
        <v>2.4362032230286463E-11</v>
      </c>
      <c r="AG37" s="338">
        <f t="shared" si="23"/>
        <v>-21.951634740044089</v>
      </c>
      <c r="AH37" s="339">
        <f t="shared" si="24"/>
        <v>4.1606133104138562E-2</v>
      </c>
      <c r="AI37" s="340">
        <f t="shared" si="25"/>
        <v>0.18953546556713069</v>
      </c>
      <c r="AJ37" s="341">
        <f t="shared" si="12"/>
        <v>8.3212266208277125E-2</v>
      </c>
    </row>
    <row r="38" spans="1:36" x14ac:dyDescent="0.2">
      <c r="A38" s="309">
        <v>31</v>
      </c>
      <c r="B38" s="309">
        <f t="shared" si="13"/>
        <v>20.392774999999997</v>
      </c>
      <c r="C38" s="1">
        <v>600</v>
      </c>
      <c r="D38" s="1">
        <v>0.22</v>
      </c>
      <c r="E38" s="326">
        <f t="shared" si="4"/>
        <v>11.452785890167783</v>
      </c>
      <c r="F38" s="327">
        <f t="shared" si="0"/>
        <v>2.9189263473067724E-3</v>
      </c>
      <c r="G38" s="309">
        <f t="shared" si="5"/>
        <v>0.64703888888888883</v>
      </c>
      <c r="H38" s="1">
        <v>2329.34</v>
      </c>
      <c r="I38" s="324">
        <v>30</v>
      </c>
      <c r="J38" s="1">
        <v>0.72035000000000005</v>
      </c>
      <c r="K38" s="1">
        <v>7.6999999999999996E-4</v>
      </c>
      <c r="L38" s="328">
        <f t="shared" si="6"/>
        <v>0.10689248282085095</v>
      </c>
      <c r="M38" s="329">
        <f t="shared" si="1"/>
        <v>5.9588312468255668E-2</v>
      </c>
      <c r="N38" s="342">
        <f>(1/$J$79)*SQRT(((1-J39/$J$79)*K38)^2+(J39/$J$79)^2*(SUMSQ(K$8:K37)+SUMSQ(K39:K$78)))</f>
        <v>5.1759793739064228E-4</v>
      </c>
      <c r="O38" s="340">
        <f t="shared" si="14"/>
        <v>0.86862325169282295</v>
      </c>
      <c r="P38" s="332">
        <f t="shared" si="7"/>
        <v>0.52560721594734938</v>
      </c>
      <c r="Q38" s="342">
        <f>SQRT(((1-P38)/$J$79)^2*SUMSQ(K$8:K38)+(P38/$J$79)^2*SUMSQ(K39:K$78))</f>
        <v>3.5986020243564468E-3</v>
      </c>
      <c r="R38" s="340">
        <f t="shared" si="15"/>
        <v>0.68465613012377724</v>
      </c>
      <c r="S38" s="343">
        <f t="shared" si="16"/>
        <v>3.7771811521217591E-6</v>
      </c>
      <c r="T38" s="344">
        <f t="shared" si="17"/>
        <v>4.8647013559056522E-8</v>
      </c>
      <c r="U38" s="344">
        <f>IF(P38&lt;=0.85, (1/(3*H38*$J$79))*SQRT( ((1-P38)*(1/SQRT(1-PI()*P38/3)-1) + (1-P37)*(1-1/SQRT(1-PI()*P37/3)))^2*SUMSQ(K$8:K37) + ( (1-P38)*(1/SQRT(1-PI()*P38/3)-1) -P37*(1-1/SQRT(1-PI()*P37/3)) )^2*K38^2 + ( P38*(1-1/SQRT(1-PI()*P38/3)) - P37*(1-1/SQRT(1-PI()*P37/3)) )^2*SUMSQ(K39:K$78) ), (1/(PI()^2*H38*$J$79))*SQRT((1+P37/(1-P37))^2*K38^2+(P37/(1-P37)-P38/(1-P38))^2*SUMSQ(K39:K$78)) )</f>
        <v>7.1592070326011096E-8</v>
      </c>
      <c r="V38" s="345">
        <f t="shared" si="18"/>
        <v>8.6556088530960935E-8</v>
      </c>
      <c r="W38" s="340">
        <f t="shared" si="19"/>
        <v>2.2915524843795145</v>
      </c>
      <c r="X38" s="345">
        <f t="shared" si="20"/>
        <v>1.7311217706192187E-7</v>
      </c>
      <c r="Y38" s="338">
        <f t="shared" si="8"/>
        <v>-12.48653255347735</v>
      </c>
      <c r="Z38" s="346">
        <f t="shared" si="21"/>
        <v>2.2915524843795144E-2</v>
      </c>
      <c r="AA38" s="346">
        <f t="shared" si="22"/>
        <v>0.1835219244866618</v>
      </c>
      <c r="AB38" s="346">
        <f t="shared" si="9"/>
        <v>4.5831049687590289E-2</v>
      </c>
      <c r="AC38" s="336">
        <f t="shared" si="2"/>
        <v>4.8744371680885212E-10</v>
      </c>
      <c r="AD38" s="337">
        <f t="shared" si="3"/>
        <v>2.0478175068995448E-11</v>
      </c>
      <c r="AE38" s="308">
        <f t="shared" si="10"/>
        <v>4.2011363287355357</v>
      </c>
      <c r="AF38" s="337">
        <f t="shared" si="11"/>
        <v>4.0956350137990896E-11</v>
      </c>
      <c r="AG38" s="338">
        <f t="shared" si="23"/>
        <v>-21.441846284855611</v>
      </c>
      <c r="AH38" s="339">
        <f t="shared" si="24"/>
        <v>4.2011363287355351E-2</v>
      </c>
      <c r="AI38" s="340">
        <f t="shared" si="25"/>
        <v>0.19593165033100721</v>
      </c>
      <c r="AJ38" s="341">
        <f t="shared" si="12"/>
        <v>8.4022726574710702E-2</v>
      </c>
    </row>
    <row r="39" spans="1:36" x14ac:dyDescent="0.2">
      <c r="A39" s="309">
        <v>32</v>
      </c>
      <c r="B39" s="309">
        <f t="shared" si="13"/>
        <v>22.03982222222222</v>
      </c>
      <c r="C39" s="1">
        <v>595.01</v>
      </c>
      <c r="D39" s="1">
        <v>0.13</v>
      </c>
      <c r="E39" s="326">
        <f t="shared" si="4"/>
        <v>11.518614080353853</v>
      </c>
      <c r="F39" s="327">
        <f t="shared" si="0"/>
        <v>1.7652935673527343E-3</v>
      </c>
      <c r="G39" s="309">
        <f t="shared" si="5"/>
        <v>1.6470472222222223</v>
      </c>
      <c r="H39" s="1">
        <v>5929.37</v>
      </c>
      <c r="I39" s="324">
        <v>30</v>
      </c>
      <c r="J39" s="1">
        <v>0.90786999999999995</v>
      </c>
      <c r="K39" s="1">
        <v>1.1099999999999899E-3</v>
      </c>
      <c r="L39" s="328">
        <f t="shared" si="6"/>
        <v>0.12226420082170245</v>
      </c>
      <c r="M39" s="329">
        <f t="shared" si="1"/>
        <v>7.5100216895335969E-2</v>
      </c>
      <c r="N39" s="342">
        <f>(1/$J$79)*SQRT(((1-J40/$J$79)*K39)^2+(J40/$J$79)^2*(SUMSQ(K$8:K38)+SUMSQ(K40:K$78)))</f>
        <v>2.6621203804064891E-4</v>
      </c>
      <c r="O39" s="340">
        <f t="shared" si="14"/>
        <v>0.35447572463293614</v>
      </c>
      <c r="P39" s="332">
        <f t="shared" si="7"/>
        <v>0.60070743284268535</v>
      </c>
      <c r="Q39" s="342">
        <f>SQRT(((1-P39)/$J$79)^2*SUMSQ(K$8:K39)+(P39/$J$79)^2*SUMSQ(K40:K$78))</f>
        <v>4.1113123248913194E-3</v>
      </c>
      <c r="R39" s="340">
        <f t="shared" si="15"/>
        <v>0.6844117618847575</v>
      </c>
      <c r="S39" s="343">
        <f t="shared" si="16"/>
        <v>2.3771045763664931E-6</v>
      </c>
      <c r="T39" s="344">
        <f t="shared" si="17"/>
        <v>1.2027101916560242E-8</v>
      </c>
      <c r="U39" s="344">
        <f>IF(P39&lt;=0.85, (1/(3*H39*$J$79))*SQRT( ((1-P39)*(1/SQRT(1-PI()*P39/3)-1) + (1-P38)*(1-1/SQRT(1-PI()*P38/3)))^2*SUMSQ(K$8:K38) + ( (1-P39)*(1/SQRT(1-PI()*P39/3)-1) -P38*(1-1/SQRT(1-PI()*P38/3)) )^2*K39^2 + ( P39*(1-1/SQRT(1-PI()*P39/3)) - P38*(1-1/SQRT(1-PI()*P38/3)) )^2*SUMSQ(K40:K$78) ), (1/(PI()^2*H39*$J$79))*SQRT((1+P38/(1-P38))^2*K39^2+(P38/(1-P38)-P39/(1-P39))^2*SUMSQ(K40:K$78)) )</f>
        <v>4.9038496904296475E-8</v>
      </c>
      <c r="V39" s="345">
        <f t="shared" si="18"/>
        <v>5.0491834578910101E-8</v>
      </c>
      <c r="W39" s="340">
        <f t="shared" si="19"/>
        <v>2.124089746867134</v>
      </c>
      <c r="X39" s="345">
        <f t="shared" si="20"/>
        <v>1.009836691578202E-7</v>
      </c>
      <c r="Y39" s="338">
        <f t="shared" si="8"/>
        <v>-12.949627375448172</v>
      </c>
      <c r="Z39" s="346">
        <f t="shared" si="21"/>
        <v>2.1240897468671339E-2</v>
      </c>
      <c r="AA39" s="346">
        <f t="shared" si="22"/>
        <v>0.1640270940069132</v>
      </c>
      <c r="AB39" s="346">
        <f t="shared" si="9"/>
        <v>4.2481794937342679E-2</v>
      </c>
      <c r="AC39" s="336">
        <f t="shared" si="2"/>
        <v>3.0676439473826539E-10</v>
      </c>
      <c r="AD39" s="337">
        <f t="shared" si="3"/>
        <v>1.2614728915665463E-11</v>
      </c>
      <c r="AE39" s="308">
        <f t="shared" si="10"/>
        <v>4.1121880935460204</v>
      </c>
      <c r="AF39" s="337">
        <f t="shared" si="11"/>
        <v>2.5229457831330926E-11</v>
      </c>
      <c r="AG39" s="338">
        <f t="shared" si="23"/>
        <v>-21.904941106826435</v>
      </c>
      <c r="AH39" s="339">
        <f t="shared" si="24"/>
        <v>4.1121880935460202E-2</v>
      </c>
      <c r="AI39" s="340">
        <f t="shared" si="25"/>
        <v>0.18772879020726982</v>
      </c>
      <c r="AJ39" s="341">
        <f t="shared" si="12"/>
        <v>8.2243761870920404E-2</v>
      </c>
    </row>
    <row r="40" spans="1:36" x14ac:dyDescent="0.2">
      <c r="A40" s="309">
        <v>33</v>
      </c>
      <c r="B40" s="309">
        <f t="shared" si="13"/>
        <v>23.685755555555552</v>
      </c>
      <c r="C40" s="1">
        <v>585</v>
      </c>
      <c r="D40" s="1">
        <v>0.13</v>
      </c>
      <c r="E40" s="326">
        <f t="shared" si="4"/>
        <v>11.652974421721146</v>
      </c>
      <c r="F40" s="327">
        <f t="shared" si="0"/>
        <v>1.807165884681082E-3</v>
      </c>
      <c r="G40" s="309">
        <f t="shared" si="5"/>
        <v>1.6459333333333332</v>
      </c>
      <c r="H40" s="1">
        <v>5925.36</v>
      </c>
      <c r="I40" s="324">
        <v>30</v>
      </c>
      <c r="J40" s="1">
        <v>0.44330999999999998</v>
      </c>
      <c r="K40" s="1">
        <v>1.0300000000000001E-3</v>
      </c>
      <c r="L40" s="328">
        <f t="shared" si="6"/>
        <v>0.23234305564954547</v>
      </c>
      <c r="M40" s="329">
        <f t="shared" si="1"/>
        <v>3.6671194280977884E-2</v>
      </c>
      <c r="N40" s="342">
        <f>(1/$J$79)*SQRT(((1-J41/$J$79)*K40)^2+(J41/$J$79)^2*(SUMSQ(K$8:K39)+SUMSQ(K41:K$78)))</f>
        <v>1.7341728866491338E-4</v>
      </c>
      <c r="O40" s="340">
        <f t="shared" si="14"/>
        <v>0.47289784820252923</v>
      </c>
      <c r="P40" s="332">
        <f t="shared" si="7"/>
        <v>0.63737862712366322</v>
      </c>
      <c r="Q40" s="342">
        <f>SQRT(((1-P40)/$J$79)^2*SUMSQ(K$8:K40)+(P40/$J$79)^2*SUMSQ(K41:K$78))</f>
        <v>4.3615949298061478E-3</v>
      </c>
      <c r="R40" s="340">
        <f t="shared" si="15"/>
        <v>0.68430203715630988</v>
      </c>
      <c r="S40" s="343">
        <f t="shared" si="16"/>
        <v>1.4167366085104222E-6</v>
      </c>
      <c r="T40" s="344">
        <f t="shared" si="17"/>
        <v>7.1729140938799775E-9</v>
      </c>
      <c r="U40" s="344">
        <f>IF(P40&lt;=0.85, (1/(3*H40*$J$79))*SQRT( ((1-P40)*(1/SQRT(1-PI()*P40/3)-1) + (1-P39)*(1-1/SQRT(1-PI()*P39/3)))^2*SUMSQ(K$8:K39) + ( (1-P40)*(1/SQRT(1-PI()*P40/3)-1) -P39*(1-1/SQRT(1-PI()*P39/3)) )^2*K40^2 + ( P40*(1-1/SQRT(1-PI()*P40/3)) - P39*(1-1/SQRT(1-PI()*P39/3)) )^2*SUMSQ(K41:K$78) ), (1/(PI()^2*H40*$J$79))*SQRT((1+P39/(1-P39))^2*K40^2+(P39/(1-P39)-P40/(1-P40))^2*SUMSQ(K41:K$78)) )</f>
        <v>3.1831750410218913E-8</v>
      </c>
      <c r="V40" s="345">
        <f t="shared" si="18"/>
        <v>3.2629910063876269E-8</v>
      </c>
      <c r="W40" s="340">
        <f t="shared" si="19"/>
        <v>2.3031740598687458</v>
      </c>
      <c r="X40" s="345">
        <f t="shared" si="20"/>
        <v>6.5259820127752539E-8</v>
      </c>
      <c r="Y40" s="338">
        <f t="shared" si="8"/>
        <v>-13.467154494201512</v>
      </c>
      <c r="Z40" s="346">
        <f t="shared" si="21"/>
        <v>2.3031740598687456E-2</v>
      </c>
      <c r="AA40" s="346">
        <f t="shared" si="22"/>
        <v>0.17102158149744343</v>
      </c>
      <c r="AB40" s="346">
        <f t="shared" si="9"/>
        <v>4.6063481197374911E-2</v>
      </c>
      <c r="AC40" s="336">
        <f t="shared" si="2"/>
        <v>1.8282929263362659E-10</v>
      </c>
      <c r="AD40" s="337">
        <f t="shared" si="3"/>
        <v>7.6925181893689546E-12</v>
      </c>
      <c r="AE40" s="308">
        <f t="shared" si="10"/>
        <v>4.2074867099026996</v>
      </c>
      <c r="AF40" s="337">
        <f t="shared" si="11"/>
        <v>1.5385036378737909E-11</v>
      </c>
      <c r="AG40" s="338">
        <f t="shared" si="23"/>
        <v>-22.422468225579777</v>
      </c>
      <c r="AH40" s="339">
        <f t="shared" si="24"/>
        <v>4.2074867099026997E-2</v>
      </c>
      <c r="AI40" s="340">
        <f t="shared" si="25"/>
        <v>0.18764601058070657</v>
      </c>
      <c r="AJ40" s="341">
        <f t="shared" si="12"/>
        <v>8.4149734198053994E-2</v>
      </c>
    </row>
    <row r="41" spans="1:36" x14ac:dyDescent="0.2">
      <c r="A41" s="309">
        <v>34</v>
      </c>
      <c r="B41" s="309">
        <f t="shared" si="13"/>
        <v>25.330024999999996</v>
      </c>
      <c r="C41" s="1">
        <v>575</v>
      </c>
      <c r="D41" s="1">
        <v>0.11</v>
      </c>
      <c r="E41" s="326">
        <f t="shared" si="4"/>
        <v>11.790367269940459</v>
      </c>
      <c r="F41" s="327">
        <f t="shared" si="0"/>
        <v>1.5658465020104812E-3</v>
      </c>
      <c r="G41" s="309">
        <f t="shared" si="5"/>
        <v>1.6442694444444443</v>
      </c>
      <c r="H41" s="1">
        <v>5919.37</v>
      </c>
      <c r="I41" s="324">
        <v>30</v>
      </c>
      <c r="J41" s="1">
        <v>0.26852999999999999</v>
      </c>
      <c r="K41" s="1">
        <v>7.3999999999999999E-4</v>
      </c>
      <c r="L41" s="328">
        <f t="shared" si="6"/>
        <v>0.27557442371429636</v>
      </c>
      <c r="M41" s="329">
        <f t="shared" si="1"/>
        <v>2.2213159640592339E-2</v>
      </c>
      <c r="N41" s="342">
        <f>(1/$J$79)*SQRT(((1-J42/$J$79)*K41)^2+(J42/$J$79)^2*(SUMSQ(K$8:K40)+SUMSQ(K42:K$78)))</f>
        <v>1.1742262136401038E-4</v>
      </c>
      <c r="O41" s="340">
        <f t="shared" si="14"/>
        <v>0.52861737485302285</v>
      </c>
      <c r="P41" s="332">
        <f t="shared" si="7"/>
        <v>0.65959178676425556</v>
      </c>
      <c r="Q41" s="342">
        <f>SQRT(((1-P41)/$J$79)^2*SUMSQ(K$8:K41)+(P41/$J$79)^2*SUMSQ(K42:K$78))</f>
        <v>4.5132110927507858E-3</v>
      </c>
      <c r="R41" s="340">
        <f t="shared" si="15"/>
        <v>0.68424307023153563</v>
      </c>
      <c r="S41" s="343">
        <f t="shared" si="16"/>
        <v>9.5761242355922281E-7</v>
      </c>
      <c r="T41" s="344">
        <f t="shared" si="17"/>
        <v>4.8532821409671442E-9</v>
      </c>
      <c r="U41" s="344">
        <f>IF(P41&lt;=0.85, (1/(3*H41*$J$79))*SQRT( ((1-P41)*(1/SQRT(1-PI()*P41/3)-1) + (1-P40)*(1-1/SQRT(1-PI()*P40/3)))^2*SUMSQ(K$8:K40) + ( (1-P41)*(1/SQRT(1-PI()*P41/3)-1) -P40*(1-1/SQRT(1-PI()*P40/3)) )^2*K41^2 + ( P41*(1-1/SQRT(1-PI()*P41/3)) - P40*(1-1/SQRT(1-PI()*P40/3)) )^2*SUMSQ(K42:K$78) ), (1/(PI()^2*H41*$J$79))*SQRT((1+P40/(1-P40))^2*K41^2+(P40/(1-P40)-P41/(1-P41))^2*SUMSQ(K42:K$78)) )</f>
        <v>2.2694615358451706E-8</v>
      </c>
      <c r="V41" s="345">
        <f t="shared" si="18"/>
        <v>2.3207755466824074E-8</v>
      </c>
      <c r="W41" s="340">
        <f t="shared" si="19"/>
        <v>2.4235019195517786</v>
      </c>
      <c r="X41" s="345">
        <f t="shared" si="20"/>
        <v>4.6415510933648147E-8</v>
      </c>
      <c r="Y41" s="338">
        <f t="shared" si="8"/>
        <v>-13.858822709145176</v>
      </c>
      <c r="Z41" s="346">
        <f t="shared" si="21"/>
        <v>2.4235019195517786E-2</v>
      </c>
      <c r="AA41" s="346">
        <f t="shared" si="22"/>
        <v>0.17487069215140152</v>
      </c>
      <c r="AB41" s="346">
        <f t="shared" si="9"/>
        <v>4.8470038391035572E-2</v>
      </c>
      <c r="AC41" s="336">
        <f t="shared" si="2"/>
        <v>1.2357950021534828E-10</v>
      </c>
      <c r="AD41" s="337">
        <f t="shared" si="3"/>
        <v>5.2824556030930763E-12</v>
      </c>
      <c r="AE41" s="308">
        <f t="shared" si="10"/>
        <v>4.2745403516666824</v>
      </c>
      <c r="AF41" s="337">
        <f t="shared" si="11"/>
        <v>1.0564911206186153E-11</v>
      </c>
      <c r="AG41" s="338">
        <f t="shared" si="23"/>
        <v>-22.814136440523441</v>
      </c>
      <c r="AH41" s="339">
        <f t="shared" si="24"/>
        <v>4.2745403516666822E-2</v>
      </c>
      <c r="AI41" s="340">
        <f t="shared" si="25"/>
        <v>0.18736367088933778</v>
      </c>
      <c r="AJ41" s="341">
        <f t="shared" si="12"/>
        <v>8.5490807033333643E-2</v>
      </c>
    </row>
    <row r="42" spans="1:36" x14ac:dyDescent="0.2">
      <c r="A42" s="309">
        <v>35</v>
      </c>
      <c r="B42" s="309">
        <f t="shared" si="13"/>
        <v>26.975961111111108</v>
      </c>
      <c r="C42" s="1">
        <v>565</v>
      </c>
      <c r="D42" s="1">
        <v>0.1</v>
      </c>
      <c r="E42" s="326">
        <f t="shared" si="4"/>
        <v>11.931038596909861</v>
      </c>
      <c r="F42" s="327">
        <f t="shared" si="0"/>
        <v>1.4580821308429759E-3</v>
      </c>
      <c r="G42" s="309">
        <f t="shared" si="5"/>
        <v>1.645936111111111</v>
      </c>
      <c r="H42" s="1">
        <v>5925.37</v>
      </c>
      <c r="I42" s="324">
        <v>30</v>
      </c>
      <c r="J42" s="1">
        <v>0.17787</v>
      </c>
      <c r="K42" s="1">
        <v>5.6999999999999998E-4</v>
      </c>
      <c r="L42" s="328">
        <f t="shared" si="6"/>
        <v>0.32045876201720358</v>
      </c>
      <c r="M42" s="329">
        <f t="shared" si="1"/>
        <v>1.4713643560392358E-2</v>
      </c>
      <c r="N42" s="342">
        <f>(1/$J$79)*SQRT(((1-J43/$J$79)*K42)^2+(J43/$J$79)^2*(SUMSQ(K$8:K41)+SUMSQ(K43:K$78)))</f>
        <v>8.5514704880468618E-5</v>
      </c>
      <c r="O42" s="340">
        <f t="shared" si="14"/>
        <v>0.58119326140715799</v>
      </c>
      <c r="P42" s="332">
        <f t="shared" si="7"/>
        <v>0.67430543032464796</v>
      </c>
      <c r="Q42" s="342">
        <f>SQRT(((1-P42)/$J$79)^2*SUMSQ(K$8:K42)+(P42/$J$79)^2*SUMSQ(K43:K$78))</f>
        <v>4.6136469275039008E-3</v>
      </c>
      <c r="R42" s="340">
        <f t="shared" si="15"/>
        <v>0.68420729242572409</v>
      </c>
      <c r="S42" s="343">
        <f t="shared" si="16"/>
        <v>6.7965964066788299E-7</v>
      </c>
      <c r="T42" s="344">
        <f t="shared" si="17"/>
        <v>3.4410997490513652E-9</v>
      </c>
      <c r="U42" s="344">
        <f>IF(P42&lt;=0.85, (1/(3*H42*$J$79))*SQRT( ((1-P42)*(1/SQRT(1-PI()*P42/3)-1) + (1-P41)*(1-1/SQRT(1-PI()*P41/3)))^2*SUMSQ(K$8:K41) + ( (1-P42)*(1/SQRT(1-PI()*P42/3)-1) -P41*(1-1/SQRT(1-PI()*P41/3)) )^2*K42^2 + ( P42*(1-1/SQRT(1-PI()*P42/3)) - P41*(1-1/SQRT(1-PI()*P41/3)) )^2*SUMSQ(K43:K$78) ), (1/(PI()^2*H42*$J$79))*SQRT((1+P41/(1-P41))^2*K42^2+(P41/(1-P41)-P42/(1-P42))^2*SUMSQ(K43:K$78)) )</f>
        <v>1.6730406786972258E-8</v>
      </c>
      <c r="V42" s="345">
        <f t="shared" si="18"/>
        <v>1.7080622902590197E-8</v>
      </c>
      <c r="W42" s="340">
        <f t="shared" si="19"/>
        <v>2.5131141943054813</v>
      </c>
      <c r="X42" s="345">
        <f t="shared" si="20"/>
        <v>3.4161245805180394E-8</v>
      </c>
      <c r="Y42" s="338">
        <f t="shared" si="8"/>
        <v>-14.201673692512012</v>
      </c>
      <c r="Z42" s="346">
        <f t="shared" si="21"/>
        <v>2.5131141943054814E-2</v>
      </c>
      <c r="AA42" s="346">
        <f t="shared" si="22"/>
        <v>0.17695901544552095</v>
      </c>
      <c r="AB42" s="346">
        <f t="shared" si="9"/>
        <v>5.0262283886109628E-2</v>
      </c>
      <c r="AC42" s="336">
        <f t="shared" si="2"/>
        <v>8.7709804764334031E-11</v>
      </c>
      <c r="AD42" s="337">
        <f t="shared" si="3"/>
        <v>3.7943059416222807E-12</v>
      </c>
      <c r="AE42" s="308">
        <f t="shared" si="10"/>
        <v>4.325976955275566</v>
      </c>
      <c r="AF42" s="337">
        <f t="shared" si="11"/>
        <v>7.5886118832445615E-12</v>
      </c>
      <c r="AG42" s="338">
        <f t="shared" si="23"/>
        <v>-23.156987423890275</v>
      </c>
      <c r="AH42" s="339">
        <f t="shared" si="24"/>
        <v>4.3259769552755664E-2</v>
      </c>
      <c r="AI42" s="340">
        <f t="shared" si="25"/>
        <v>0.18681086948350645</v>
      </c>
      <c r="AJ42" s="341">
        <f t="shared" si="12"/>
        <v>8.6519539105511328E-2</v>
      </c>
    </row>
    <row r="43" spans="1:36" x14ac:dyDescent="0.2">
      <c r="A43" s="309">
        <v>36</v>
      </c>
      <c r="B43" s="309">
        <f t="shared" si="13"/>
        <v>28.620222222222218</v>
      </c>
      <c r="C43" s="1">
        <v>555</v>
      </c>
      <c r="D43" s="1">
        <v>0.12</v>
      </c>
      <c r="E43" s="326">
        <f t="shared" si="4"/>
        <v>12.075107166576103</v>
      </c>
      <c r="F43" s="327">
        <f t="shared" si="0"/>
        <v>1.792732024594386E-3</v>
      </c>
      <c r="G43" s="309">
        <f t="shared" si="5"/>
        <v>1.6442611111111112</v>
      </c>
      <c r="H43" s="1">
        <v>5919.34</v>
      </c>
      <c r="I43" s="324">
        <v>30</v>
      </c>
      <c r="J43" s="1">
        <v>0.12651999999999999</v>
      </c>
      <c r="K43" s="1">
        <v>5.6999999999999998E-4</v>
      </c>
      <c r="L43" s="328">
        <f t="shared" si="6"/>
        <v>0.45052165665507432</v>
      </c>
      <c r="M43" s="329">
        <f t="shared" si="1"/>
        <v>1.0465903093612419E-2</v>
      </c>
      <c r="N43" s="342">
        <f>(1/$J$79)*SQRT(((1-J44/$J$79)*K43)^2+(J44/$J$79)^2*(SUMSQ(K$8:K42)+SUMSQ(K44:K$78)))</f>
        <v>6.9157553563080237E-5</v>
      </c>
      <c r="O43" s="340">
        <f t="shared" si="14"/>
        <v>0.66078916405492694</v>
      </c>
      <c r="P43" s="332">
        <f t="shared" si="7"/>
        <v>0.68477133341826035</v>
      </c>
      <c r="Q43" s="342">
        <f>SQRT(((1-P43)/$J$79)^2*SUMSQ(K$8:K43)+(P43/$J$79)^2*SUMSQ(K44:K$78))</f>
        <v>4.6850620238059913E-3</v>
      </c>
      <c r="R43" s="340">
        <f t="shared" si="15"/>
        <v>0.68417905294296855</v>
      </c>
      <c r="S43" s="343">
        <f t="shared" si="16"/>
        <v>5.0815777360531948E-7</v>
      </c>
      <c r="T43" s="344">
        <f t="shared" si="17"/>
        <v>2.5754109762506601E-9</v>
      </c>
      <c r="U43" s="344">
        <f>IF(P43&lt;=0.85, (1/(3*H43*$J$79))*SQRT( ((1-P43)*(1/SQRT(1-PI()*P43/3)-1) + (1-P42)*(1-1/SQRT(1-PI()*P42/3)))^2*SUMSQ(K$8:K42) + ( (1-P43)*(1/SQRT(1-PI()*P43/3)-1) -P42*(1-1/SQRT(1-PI()*P42/3)) )^2*K43^2 + ( P43*(1-1/SQRT(1-PI()*P43/3)) - P42*(1-1/SQRT(1-PI()*P42/3)) )^2*SUMSQ(K44:K$78) ), (1/(PI()^2*H43*$J$79))*SQRT((1+P42/(1-P42))^2*K43^2+(P42/(1-P42)-P43/(1-P43))^2*SUMSQ(K44:K$78)) )</f>
        <v>1.2937555446256706E-8</v>
      </c>
      <c r="V43" s="345">
        <f t="shared" si="18"/>
        <v>1.3191401844442422E-8</v>
      </c>
      <c r="W43" s="340">
        <f t="shared" si="19"/>
        <v>2.5959264090069865</v>
      </c>
      <c r="X43" s="345">
        <f t="shared" si="20"/>
        <v>2.6382803688884844E-8</v>
      </c>
      <c r="Y43" s="338">
        <f t="shared" si="8"/>
        <v>-14.492473859624054</v>
      </c>
      <c r="Z43" s="346">
        <f t="shared" si="21"/>
        <v>2.5959264090069864E-2</v>
      </c>
      <c r="AA43" s="346">
        <f t="shared" si="22"/>
        <v>0.17912237994364938</v>
      </c>
      <c r="AB43" s="346">
        <f t="shared" si="9"/>
        <v>5.1918528180139728E-2</v>
      </c>
      <c r="AC43" s="336">
        <f t="shared" si="2"/>
        <v>6.5577557420657039E-11</v>
      </c>
      <c r="AD43" s="337">
        <f t="shared" si="3"/>
        <v>2.8687590067829075E-12</v>
      </c>
      <c r="AE43" s="308">
        <f t="shared" si="10"/>
        <v>4.3746048490047054</v>
      </c>
      <c r="AF43" s="337">
        <f t="shared" si="11"/>
        <v>5.737518013565815E-12</v>
      </c>
      <c r="AG43" s="338">
        <f t="shared" si="23"/>
        <v>-23.447787591002317</v>
      </c>
      <c r="AH43" s="339">
        <f t="shared" si="24"/>
        <v>4.3746048490047047E-2</v>
      </c>
      <c r="AI43" s="340">
        <f t="shared" si="25"/>
        <v>0.18656791528951686</v>
      </c>
      <c r="AJ43" s="341">
        <f t="shared" si="12"/>
        <v>8.7492096980094095E-2</v>
      </c>
    </row>
    <row r="44" spans="1:36" x14ac:dyDescent="0.2">
      <c r="A44" s="309">
        <v>37</v>
      </c>
      <c r="B44" s="309">
        <f t="shared" si="13"/>
        <v>30.266149999999996</v>
      </c>
      <c r="C44" s="1">
        <v>545</v>
      </c>
      <c r="D44" s="1">
        <v>0.1</v>
      </c>
      <c r="E44" s="326">
        <f t="shared" si="4"/>
        <v>12.222697549349142</v>
      </c>
      <c r="F44" s="327">
        <f t="shared" si="0"/>
        <v>1.5311440303590034E-3</v>
      </c>
      <c r="G44" s="309">
        <f t="shared" si="5"/>
        <v>1.6459277777777779</v>
      </c>
      <c r="H44" s="1">
        <v>5925.34</v>
      </c>
      <c r="I44" s="324">
        <v>30</v>
      </c>
      <c r="J44" s="1">
        <v>8.9889999999999998E-2</v>
      </c>
      <c r="K44" s="1">
        <v>3.7999999999999899E-4</v>
      </c>
      <c r="L44" s="328">
        <f t="shared" si="6"/>
        <v>0.42273890310379236</v>
      </c>
      <c r="M44" s="329">
        <f t="shared" si="1"/>
        <v>7.4358206535316187E-3</v>
      </c>
      <c r="N44" s="342">
        <f>(1/$J$79)*SQRT(((1-J45/$J$79)*K44)^2+(J45/$J$79)^2*(SUMSQ(K$8:K43)+SUMSQ(K45:K$78)))</f>
        <v>4.9556581130635859E-5</v>
      </c>
      <c r="O44" s="340">
        <f t="shared" si="14"/>
        <v>0.66645745560174485</v>
      </c>
      <c r="P44" s="332">
        <f t="shared" si="7"/>
        <v>0.69220715407179201</v>
      </c>
      <c r="Q44" s="342">
        <f>SQRT(((1-P44)/$J$79)^2*SUMSQ(K$8:K44)+(P44/$J$79)^2*SUMSQ(K45:K$78))</f>
        <v>4.7358237082187372E-3</v>
      </c>
      <c r="R44" s="340">
        <f t="shared" si="15"/>
        <v>0.68416277993676489</v>
      </c>
      <c r="S44" s="343">
        <f t="shared" si="16"/>
        <v>3.7363064380734468E-7</v>
      </c>
      <c r="T44" s="344">
        <f t="shared" si="17"/>
        <v>1.8916921753385191E-9</v>
      </c>
      <c r="U44" s="344">
        <f>IF(P44&lt;=0.85, (1/(3*H44*$J$79))*SQRT( ((1-P44)*(1/SQRT(1-PI()*P44/3)-1) + (1-P43)*(1-1/SQRT(1-PI()*P43/3)))^2*SUMSQ(K$8:K43) + ( (1-P44)*(1/SQRT(1-PI()*P44/3)-1) -P43*(1-1/SQRT(1-PI()*P43/3)) )^2*K44^2 + ( P44*(1-1/SQRT(1-PI()*P44/3)) - P43*(1-1/SQRT(1-PI()*P43/3)) )^2*SUMSQ(K45:K$78) ), (1/(PI()^2*H44*$J$79))*SQRT((1+P43/(1-P43))^2*K44^2+(P43/(1-P43)-P44/(1-P44))^2*SUMSQ(K45:K$78)) )</f>
        <v>9.6818345796603671E-9</v>
      </c>
      <c r="V44" s="345">
        <f t="shared" si="18"/>
        <v>9.8649085203130097E-9</v>
      </c>
      <c r="W44" s="340">
        <f t="shared" si="19"/>
        <v>2.6402835751876004</v>
      </c>
      <c r="X44" s="345">
        <f t="shared" si="20"/>
        <v>1.9729817040626019E-8</v>
      </c>
      <c r="Y44" s="338">
        <f t="shared" si="8"/>
        <v>-14.799998110916498</v>
      </c>
      <c r="Z44" s="346">
        <f t="shared" si="21"/>
        <v>2.6402835751876005E-2</v>
      </c>
      <c r="AA44" s="346">
        <f t="shared" si="22"/>
        <v>0.17839756163483048</v>
      </c>
      <c r="AB44" s="346">
        <f t="shared" si="9"/>
        <v>5.2805671503752011E-2</v>
      </c>
      <c r="AC44" s="336">
        <f t="shared" si="2"/>
        <v>4.8216885131080301E-11</v>
      </c>
      <c r="AD44" s="337">
        <f t="shared" si="3"/>
        <v>2.1220596265713186E-12</v>
      </c>
      <c r="AE44" s="308">
        <f t="shared" si="10"/>
        <v>4.4010715764869106</v>
      </c>
      <c r="AF44" s="337">
        <f t="shared" si="11"/>
        <v>4.2441192531426371E-12</v>
      </c>
      <c r="AG44" s="338">
        <f t="shared" si="23"/>
        <v>-23.755311842294763</v>
      </c>
      <c r="AH44" s="339">
        <f t="shared" si="24"/>
        <v>4.4010715764869104E-2</v>
      </c>
      <c r="AI44" s="340">
        <f t="shared" si="25"/>
        <v>0.18526684076826527</v>
      </c>
      <c r="AJ44" s="341">
        <f t="shared" si="12"/>
        <v>8.8021431529738209E-2</v>
      </c>
    </row>
    <row r="45" spans="1:36" x14ac:dyDescent="0.2">
      <c r="A45" s="309">
        <v>38</v>
      </c>
      <c r="B45" s="309">
        <f t="shared" si="13"/>
        <v>31.91096944444444</v>
      </c>
      <c r="C45" s="1">
        <v>535</v>
      </c>
      <c r="D45" s="1">
        <v>0.12</v>
      </c>
      <c r="E45" s="326">
        <f t="shared" si="4"/>
        <v>12.373940481346285</v>
      </c>
      <c r="F45" s="327">
        <f t="shared" si="0"/>
        <v>1.8837020485836663E-3</v>
      </c>
      <c r="G45" s="309">
        <f t="shared" si="5"/>
        <v>1.6448194444444446</v>
      </c>
      <c r="H45" s="1">
        <v>5921.35</v>
      </c>
      <c r="I45" s="324">
        <v>30</v>
      </c>
      <c r="J45" s="1">
        <v>6.7889999999999895E-2</v>
      </c>
      <c r="K45" s="1">
        <v>1.8999999999999901E-4</v>
      </c>
      <c r="L45" s="328">
        <f t="shared" si="6"/>
        <v>0.27986448666961156</v>
      </c>
      <c r="M45" s="329">
        <f t="shared" si="1"/>
        <v>5.615951320149748E-3</v>
      </c>
      <c r="N45" s="342">
        <f>(1/$J$79)*SQRT(((1-J46/$J$79)*K45)^2+(J46/$J$79)^2*(SUMSQ(K$8:K44)+SUMSQ(K46:K$78)))</f>
        <v>3.2191123927928274E-5</v>
      </c>
      <c r="O45" s="340">
        <f t="shared" si="14"/>
        <v>0.57320874225579832</v>
      </c>
      <c r="P45" s="332">
        <f t="shared" si="7"/>
        <v>0.6978231053919417</v>
      </c>
      <c r="Q45" s="342">
        <f>SQRT(((1-P45)/$J$79)^2*SUMSQ(K$8:K45)+(P45/$J$79)^2*SUMSQ(K46:K$78))</f>
        <v>4.7741826436500986E-3</v>
      </c>
      <c r="R45" s="340">
        <f t="shared" si="15"/>
        <v>0.68415370697257361</v>
      </c>
      <c r="S45" s="343">
        <f t="shared" si="16"/>
        <v>2.8983834713795408E-7</v>
      </c>
      <c r="T45" s="344">
        <f t="shared" si="17"/>
        <v>1.4684405438183224E-9</v>
      </c>
      <c r="U45" s="344">
        <f>IF(P45&lt;=0.85, (1/(3*H45*$J$79))*SQRT( ((1-P45)*(1/SQRT(1-PI()*P45/3)-1) + (1-P44)*(1-1/SQRT(1-PI()*P44/3)))^2*SUMSQ(K$8:K44) + ( (1-P45)*(1/SQRT(1-PI()*P45/3)-1) -P44*(1-1/SQRT(1-PI()*P44/3)) )^2*K45^2 + ( P45*(1-1/SQRT(1-PI()*P45/3)) - P44*(1-1/SQRT(1-PI()*P44/3)) )^2*SUMSQ(K46:K$78) ), (1/(PI()^2*H45*$J$79))*SQRT((1+P44/(1-P44))^2*K45^2+(P44/(1-P44)-P45/(1-P45))^2*SUMSQ(K46:K$78)) )</f>
        <v>7.5676116107723109E-9</v>
      </c>
      <c r="V45" s="345">
        <f t="shared" si="18"/>
        <v>7.708765343569963E-9</v>
      </c>
      <c r="W45" s="340">
        <f t="shared" si="19"/>
        <v>2.659677513238381</v>
      </c>
      <c r="X45" s="345">
        <f t="shared" si="20"/>
        <v>1.5417530687139926E-8</v>
      </c>
      <c r="Y45" s="338">
        <f t="shared" si="8"/>
        <v>-15.053942493046447</v>
      </c>
      <c r="Z45" s="346">
        <f t="shared" si="21"/>
        <v>2.6596775132383808E-2</v>
      </c>
      <c r="AA45" s="346">
        <f t="shared" si="22"/>
        <v>0.17667647624314428</v>
      </c>
      <c r="AB45" s="346">
        <f t="shared" si="9"/>
        <v>5.3193550264767617E-2</v>
      </c>
      <c r="AC45" s="336">
        <f t="shared" si="2"/>
        <v>3.7403522762814114E-11</v>
      </c>
      <c r="AD45" s="337">
        <f t="shared" si="3"/>
        <v>1.6505178298381447E-12</v>
      </c>
      <c r="AE45" s="308">
        <f t="shared" si="10"/>
        <v>4.4127336355576077</v>
      </c>
      <c r="AF45" s="337">
        <f t="shared" si="11"/>
        <v>3.3010356596762895E-12</v>
      </c>
      <c r="AG45" s="338">
        <f t="shared" si="23"/>
        <v>-24.009256224424711</v>
      </c>
      <c r="AH45" s="339">
        <f t="shared" si="24"/>
        <v>4.4127336355576079E-2</v>
      </c>
      <c r="AI45" s="340">
        <f t="shared" si="25"/>
        <v>0.18379301692271988</v>
      </c>
      <c r="AJ45" s="341">
        <f t="shared" si="12"/>
        <v>8.8254672711152157E-2</v>
      </c>
    </row>
    <row r="46" spans="1:36" x14ac:dyDescent="0.2">
      <c r="A46" s="309">
        <v>39</v>
      </c>
      <c r="B46" s="309">
        <f t="shared" si="13"/>
        <v>33.555788888888884</v>
      </c>
      <c r="C46" s="1">
        <v>525</v>
      </c>
      <c r="D46" s="1">
        <v>0.12</v>
      </c>
      <c r="E46" s="326">
        <f t="shared" si="4"/>
        <v>12.52897325064211</v>
      </c>
      <c r="F46" s="327">
        <f t="shared" si="0"/>
        <v>1.9317568713673699E-3</v>
      </c>
      <c r="G46" s="309">
        <f t="shared" si="5"/>
        <v>1.6448194444444446</v>
      </c>
      <c r="H46" s="1">
        <v>5921.35</v>
      </c>
      <c r="I46" s="324">
        <v>30</v>
      </c>
      <c r="J46" s="1">
        <v>4.9660000000000003E-2</v>
      </c>
      <c r="K46" s="1">
        <v>3.2000000000000003E-4</v>
      </c>
      <c r="L46" s="328">
        <f t="shared" si="6"/>
        <v>0.64438179621425695</v>
      </c>
      <c r="M46" s="329">
        <f t="shared" si="1"/>
        <v>4.1079414134428767E-3</v>
      </c>
      <c r="N46" s="342">
        <f>(1/$J$79)*SQRT(((1-J47/$J$79)*K46)^2+(J47/$J$79)^2*(SUMSQ(K$8:K45)+SUMSQ(K47:K$78)))</f>
        <v>3.3173740311341901E-5</v>
      </c>
      <c r="O46" s="340">
        <f t="shared" si="14"/>
        <v>0.80755144663903333</v>
      </c>
      <c r="P46" s="332">
        <f t="shared" si="7"/>
        <v>0.70193104680538454</v>
      </c>
      <c r="Q46" s="342">
        <f>SQRT(((1-P46)/$J$79)^2*SUMSQ(K$8:K46)+(P46/$J$79)^2*SUMSQ(K47:K$78))</f>
        <v>4.8022200869535072E-3</v>
      </c>
      <c r="R46" s="340">
        <f t="shared" si="15"/>
        <v>0.68414413478493108</v>
      </c>
      <c r="S46" s="343">
        <f t="shared" si="16"/>
        <v>2.1621218434586159E-7</v>
      </c>
      <c r="T46" s="344">
        <f t="shared" si="17"/>
        <v>1.0954200529230407E-9</v>
      </c>
      <c r="U46" s="344">
        <f>IF(P46&lt;=0.85, (1/(3*H46*$J$79))*SQRT( ((1-P46)*(1/SQRT(1-PI()*P46/3)-1) + (1-P45)*(1-1/SQRT(1-PI()*P45/3)))^2*SUMSQ(K$8:K45) + ( (1-P46)*(1/SQRT(1-PI()*P46/3)-1) -P45*(1-1/SQRT(1-PI()*P45/3)) )^2*K46^2 + ( P46*(1-1/SQRT(1-PI()*P46/3)) - P45*(1-1/SQRT(1-PI()*P45/3)) )^2*SUMSQ(K47:K$78) ), (1/(PI()^2*H46*$J$79))*SQRT((1+P45/(1-P45))^2*K46^2+(P45/(1-P45)-P46/(1-P46))^2*SUMSQ(K47:K$78)) )</f>
        <v>5.8444166314070037E-9</v>
      </c>
      <c r="V46" s="345">
        <f t="shared" si="18"/>
        <v>5.9461879262105986E-9</v>
      </c>
      <c r="W46" s="340">
        <f t="shared" si="19"/>
        <v>2.750163199266717</v>
      </c>
      <c r="X46" s="345">
        <f t="shared" si="20"/>
        <v>1.1892375852421197E-8</v>
      </c>
      <c r="Y46" s="338">
        <f t="shared" si="8"/>
        <v>-15.347005576502918</v>
      </c>
      <c r="Z46" s="346">
        <f t="shared" si="21"/>
        <v>2.7501631992667169E-2</v>
      </c>
      <c r="AA46" s="346">
        <f t="shared" si="22"/>
        <v>0.1791986837795487</v>
      </c>
      <c r="AB46" s="346">
        <f t="shared" si="9"/>
        <v>5.5003263985334339E-2</v>
      </c>
      <c r="AC46" s="336">
        <f t="shared" si="2"/>
        <v>2.7902095904959701E-11</v>
      </c>
      <c r="AD46" s="337">
        <f t="shared" si="3"/>
        <v>1.2466252802188958E-12</v>
      </c>
      <c r="AE46" s="308">
        <f t="shared" si="10"/>
        <v>4.4678553341123868</v>
      </c>
      <c r="AF46" s="337">
        <f t="shared" si="11"/>
        <v>2.4932505604377915E-12</v>
      </c>
      <c r="AG46" s="338">
        <f t="shared" si="23"/>
        <v>-24.302319307881181</v>
      </c>
      <c r="AH46" s="339">
        <f t="shared" si="24"/>
        <v>4.4678553341123868E-2</v>
      </c>
      <c r="AI46" s="340">
        <f t="shared" si="25"/>
        <v>0.18384481240288339</v>
      </c>
      <c r="AJ46" s="341">
        <f t="shared" si="12"/>
        <v>8.9357106682247736E-2</v>
      </c>
    </row>
    <row r="47" spans="1:36" x14ac:dyDescent="0.2">
      <c r="A47" s="309">
        <v>40</v>
      </c>
      <c r="B47" s="309">
        <f t="shared" si="13"/>
        <v>35.202838888888884</v>
      </c>
      <c r="C47" s="1">
        <v>515.01</v>
      </c>
      <c r="D47" s="1">
        <v>0.13</v>
      </c>
      <c r="E47" s="326">
        <f t="shared" si="4"/>
        <v>12.687779131140886</v>
      </c>
      <c r="F47" s="327">
        <f t="shared" si="0"/>
        <v>2.1468690078243697E-3</v>
      </c>
      <c r="G47" s="309">
        <f t="shared" si="5"/>
        <v>1.6470500000000001</v>
      </c>
      <c r="H47" s="1">
        <v>5929.38</v>
      </c>
      <c r="I47" s="324">
        <v>30</v>
      </c>
      <c r="J47" s="1">
        <v>3.5479999999999998E-2</v>
      </c>
      <c r="K47" s="1">
        <v>2.1000000000000001E-4</v>
      </c>
      <c r="L47" s="328">
        <f t="shared" si="6"/>
        <v>0.59188275084554687</v>
      </c>
      <c r="M47" s="329">
        <f t="shared" si="1"/>
        <v>2.9349529067449307E-3</v>
      </c>
      <c r="N47" s="342">
        <f>(1/$J$79)*SQRT(((1-J48/$J$79)*K47)^2+(J48/$J$79)^2*(SUMSQ(K$8:K46)+SUMSQ(K48:K$78)))</f>
        <v>2.2366434957776392E-5</v>
      </c>
      <c r="O47" s="340">
        <f t="shared" si="14"/>
        <v>0.76207134044213143</v>
      </c>
      <c r="P47" s="332">
        <f t="shared" si="7"/>
        <v>0.70486599971212949</v>
      </c>
      <c r="Q47" s="342">
        <f>SQRT(((1-P47)/$J$79)^2*SUMSQ(K$8:K47)+(P47/$J$79)^2*SUMSQ(K48:K$78))</f>
        <v>4.8222600455485364E-3</v>
      </c>
      <c r="R47" s="340">
        <f t="shared" si="15"/>
        <v>0.68413855222382258</v>
      </c>
      <c r="S47" s="343">
        <f t="shared" si="16"/>
        <v>1.5649121582754545E-7</v>
      </c>
      <c r="T47" s="344">
        <f t="shared" si="17"/>
        <v>7.9177527411404983E-10</v>
      </c>
      <c r="U47" s="344">
        <f>IF(P47&lt;=0.85, (1/(3*H47*$J$79))*SQRT( ((1-P47)*(1/SQRT(1-PI()*P47/3)-1) + (1-P46)*(1-1/SQRT(1-PI()*P46/3)))^2*SUMSQ(K$8:K46) + ( (1-P47)*(1/SQRT(1-PI()*P47/3)-1) -P46*(1-1/SQRT(1-PI()*P46/3)) )^2*K47^2 + ( P47*(1-1/SQRT(1-PI()*P47/3)) - P46*(1-1/SQRT(1-PI()*P46/3)) )^2*SUMSQ(K48:K$78) ), (1/(PI()^2*H47*$J$79))*SQRT((1+P46/(1-P46))^2*K47^2+(P46/(1-P46)-P47/(1-P47))^2*SUMSQ(K48:K$78)) )</f>
        <v>4.246334744055256E-9</v>
      </c>
      <c r="V47" s="345">
        <f t="shared" si="18"/>
        <v>4.3195215988890705E-9</v>
      </c>
      <c r="W47" s="340">
        <f t="shared" si="19"/>
        <v>2.760232627784819</v>
      </c>
      <c r="X47" s="345">
        <f t="shared" si="20"/>
        <v>8.6390431977781409E-9</v>
      </c>
      <c r="Y47" s="338">
        <f t="shared" si="8"/>
        <v>-15.670265957438962</v>
      </c>
      <c r="Z47" s="346">
        <f t="shared" si="21"/>
        <v>2.7602326277848189E-2</v>
      </c>
      <c r="AA47" s="346">
        <f t="shared" si="22"/>
        <v>0.17614459354306528</v>
      </c>
      <c r="AB47" s="346">
        <f t="shared" si="9"/>
        <v>5.5204652555696378E-2</v>
      </c>
      <c r="AC47" s="336">
        <f t="shared" si="2"/>
        <v>2.0195128806058408E-11</v>
      </c>
      <c r="AD47" s="337">
        <f t="shared" si="3"/>
        <v>9.035422913483015E-13</v>
      </c>
      <c r="AE47" s="308">
        <f t="shared" si="10"/>
        <v>4.4740605520537438</v>
      </c>
      <c r="AF47" s="337">
        <f t="shared" si="11"/>
        <v>1.807084582696603E-12</v>
      </c>
      <c r="AG47" s="338">
        <f t="shared" si="23"/>
        <v>-24.625579688817226</v>
      </c>
      <c r="AH47" s="339">
        <f t="shared" si="24"/>
        <v>4.4740605520537442E-2</v>
      </c>
      <c r="AI47" s="340">
        <f t="shared" si="25"/>
        <v>0.18168346120540135</v>
      </c>
      <c r="AJ47" s="341">
        <f t="shared" si="12"/>
        <v>8.9481211041074885E-2</v>
      </c>
    </row>
    <row r="48" spans="1:36" x14ac:dyDescent="0.2">
      <c r="A48" s="309">
        <v>41</v>
      </c>
      <c r="B48" s="309">
        <f t="shared" si="13"/>
        <v>36.84878333333333</v>
      </c>
      <c r="C48" s="1">
        <v>505.01</v>
      </c>
      <c r="D48" s="1">
        <v>0.12</v>
      </c>
      <c r="E48" s="326">
        <f t="shared" si="4"/>
        <v>12.850827593297009</v>
      </c>
      <c r="F48" s="327">
        <f t="shared" si="0"/>
        <v>2.0336577626658271E-3</v>
      </c>
      <c r="G48" s="309">
        <f t="shared" si="5"/>
        <v>1.6459444444444444</v>
      </c>
      <c r="H48" s="1">
        <v>5925.4</v>
      </c>
      <c r="I48" s="324">
        <v>30</v>
      </c>
      <c r="J48" s="1">
        <v>2.495E-2</v>
      </c>
      <c r="K48" s="1">
        <v>2.0000000000000001E-4</v>
      </c>
      <c r="L48" s="328">
        <f t="shared" si="6"/>
        <v>0.80160320641282579</v>
      </c>
      <c r="M48" s="329">
        <f t="shared" si="1"/>
        <v>2.0638972667217032E-3</v>
      </c>
      <c r="N48" s="342">
        <f>(1/$J$79)*SQRT(((1-J49/$J$79)*K48)^2+(J49/$J$79)^2*(SUMSQ(K$8:K47)+SUMSQ(K49:K$78)))</f>
        <v>1.9427599823119161E-5</v>
      </c>
      <c r="O48" s="340">
        <f t="shared" si="14"/>
        <v>0.94130653382655927</v>
      </c>
      <c r="P48" s="332">
        <f t="shared" si="7"/>
        <v>0.70692989697885122</v>
      </c>
      <c r="Q48" s="342">
        <f>SQRT(((1-P48)/$J$79)^2*SUMSQ(K$8:K48)+(P48/$J$79)^2*SUMSQ(K49:K$78))</f>
        <v>4.8363498410635185E-3</v>
      </c>
      <c r="R48" s="340">
        <f t="shared" si="15"/>
        <v>0.68413429135367365</v>
      </c>
      <c r="S48" s="343">
        <f t="shared" si="16"/>
        <v>1.1125253500507576E-7</v>
      </c>
      <c r="T48" s="344">
        <f t="shared" si="17"/>
        <v>5.6326594831610916E-10</v>
      </c>
      <c r="U48" s="344">
        <f>IF(P48&lt;=0.85, (1/(3*H48*$J$79))*SQRT( ((1-P48)*(1/SQRT(1-PI()*P48/3)-1) + (1-P47)*(1-1/SQRT(1-PI()*P47/3)))^2*SUMSQ(K$8:K47) + ( (1-P48)*(1/SQRT(1-PI()*P48/3)-1) -P47*(1-1/SQRT(1-PI()*P47/3)) )^2*K48^2 + ( P48*(1-1/SQRT(1-PI()*P48/3)) - P47*(1-1/SQRT(1-PI()*P47/3)) )^2*SUMSQ(K49:K$78) ), (1/(PI()^2*H48*$J$79))*SQRT((1+P47/(1-P47))^2*K48^2+(P47/(1-P47)-P48/(1-P48))^2*SUMSQ(K49:K$78)) )</f>
        <v>3.0953090545572348E-9</v>
      </c>
      <c r="V48" s="345">
        <f t="shared" si="18"/>
        <v>3.1461415530386502E-9</v>
      </c>
      <c r="W48" s="340">
        <f t="shared" si="19"/>
        <v>2.8279279684684142</v>
      </c>
      <c r="X48" s="345">
        <f t="shared" si="20"/>
        <v>6.2922831060773004E-9</v>
      </c>
      <c r="Y48" s="338">
        <f t="shared" si="8"/>
        <v>-16.011463129597193</v>
      </c>
      <c r="Z48" s="346">
        <f t="shared" si="21"/>
        <v>2.827927968468414E-2</v>
      </c>
      <c r="AA48" s="346">
        <f t="shared" si="22"/>
        <v>0.17661896015242909</v>
      </c>
      <c r="AB48" s="346">
        <f t="shared" si="9"/>
        <v>5.655855936936828E-2</v>
      </c>
      <c r="AC48" s="336">
        <f t="shared" si="2"/>
        <v>1.4357095141391022E-11</v>
      </c>
      <c r="AD48" s="337">
        <f t="shared" si="3"/>
        <v>6.4838635373765966E-13</v>
      </c>
      <c r="AE48" s="308">
        <f t="shared" si="10"/>
        <v>4.516138866199916</v>
      </c>
      <c r="AF48" s="337">
        <f t="shared" si="11"/>
        <v>1.2967727074753193E-12</v>
      </c>
      <c r="AG48" s="338">
        <f t="shared" si="23"/>
        <v>-24.966776860975457</v>
      </c>
      <c r="AH48" s="339">
        <f t="shared" si="24"/>
        <v>4.5161388661999154E-2</v>
      </c>
      <c r="AI48" s="340">
        <f t="shared" si="25"/>
        <v>0.18088593859541824</v>
      </c>
      <c r="AJ48" s="341">
        <f t="shared" si="12"/>
        <v>9.0322777323998307E-2</v>
      </c>
    </row>
    <row r="49" spans="1:36" x14ac:dyDescent="0.2">
      <c r="A49" s="309">
        <v>42</v>
      </c>
      <c r="B49" s="309">
        <f t="shared" si="13"/>
        <v>38.493602777777774</v>
      </c>
      <c r="C49" s="1">
        <v>495.01</v>
      </c>
      <c r="D49" s="1">
        <v>0.13</v>
      </c>
      <c r="E49" s="326">
        <f t="shared" si="4"/>
        <v>13.018121224744846</v>
      </c>
      <c r="F49" s="327">
        <f t="shared" si="0"/>
        <v>2.2615109989585981E-3</v>
      </c>
      <c r="G49" s="309">
        <f t="shared" si="5"/>
        <v>1.6448194444444446</v>
      </c>
      <c r="H49" s="1">
        <v>5921.35</v>
      </c>
      <c r="I49" s="324">
        <v>30</v>
      </c>
      <c r="J49" s="1">
        <v>1.805E-2</v>
      </c>
      <c r="K49" s="1">
        <v>1.1E-4</v>
      </c>
      <c r="L49" s="328">
        <f t="shared" si="6"/>
        <v>0.60941828254847652</v>
      </c>
      <c r="M49" s="329">
        <f t="shared" si="1"/>
        <v>1.4931200667064825E-3</v>
      </c>
      <c r="N49" s="342">
        <f>(1/$J$79)*SQRT(((1-J50/$J$79)*K49)^2+(J50/$J$79)^2*(SUMSQ(K$8:K48)+SUMSQ(K50:K$78)))</f>
        <v>1.1422155552514417E-5</v>
      </c>
      <c r="O49" s="340">
        <f t="shared" si="14"/>
        <v>0.76498573739681608</v>
      </c>
      <c r="P49" s="332">
        <f t="shared" si="7"/>
        <v>0.70842301704555766</v>
      </c>
      <c r="Q49" s="342">
        <f>SQRT(((1-P49)/$J$79)^2*SUMSQ(K$8:K49)+(P49/$J$79)^2*SUMSQ(K50:K$78))</f>
        <v>4.8465480253928666E-3</v>
      </c>
      <c r="R49" s="340">
        <f t="shared" si="15"/>
        <v>0.68413192524505351</v>
      </c>
      <c r="S49" s="343">
        <f t="shared" si="16"/>
        <v>8.113108815276782E-8</v>
      </c>
      <c r="T49" s="344">
        <f t="shared" si="17"/>
        <v>4.1104353645419281E-10</v>
      </c>
      <c r="U49" s="344">
        <f>IF(P49&lt;=0.85, (1/(3*H49*$J$79))*SQRT( ((1-P49)*(1/SQRT(1-PI()*P49/3)-1) + (1-P48)*(1-1/SQRT(1-PI()*P48/3)))^2*SUMSQ(K$8:K48) + ( (1-P49)*(1/SQRT(1-PI()*P49/3)-1) -P48*(1-1/SQRT(1-PI()*P48/3)) )^2*K49^2 + ( P49*(1-1/SQRT(1-PI()*P49/3)) - P48*(1-1/SQRT(1-PI()*P48/3)) )^2*SUMSQ(K50:K$78) ), (1/(PI()^2*H49*$J$79))*SQRT((1+P48/(1-P48))^2*K49^2+(P48/(1-P48)-P49/(1-P49))^2*SUMSQ(K50:K$78)) )</f>
        <v>2.2271428474347284E-9</v>
      </c>
      <c r="V49" s="345">
        <f t="shared" si="18"/>
        <v>2.2647565104753401E-9</v>
      </c>
      <c r="W49" s="340">
        <f t="shared" si="19"/>
        <v>2.7914780413284483</v>
      </c>
      <c r="X49" s="345">
        <f t="shared" si="20"/>
        <v>4.5295130209506801E-9</v>
      </c>
      <c r="Y49" s="338">
        <f t="shared" si="8"/>
        <v>-16.327199618170763</v>
      </c>
      <c r="Z49" s="346">
        <f t="shared" si="21"/>
        <v>2.7914780413284483E-2</v>
      </c>
      <c r="AA49" s="346">
        <f t="shared" si="22"/>
        <v>0.17097102421788085</v>
      </c>
      <c r="AB49" s="346">
        <f t="shared" si="9"/>
        <v>5.5829560826568966E-2</v>
      </c>
      <c r="AC49" s="336">
        <f t="shared" si="2"/>
        <v>1.0469934473679426E-11</v>
      </c>
      <c r="AD49" s="337">
        <f t="shared" si="3"/>
        <v>4.7045649884829034E-13</v>
      </c>
      <c r="AE49" s="308">
        <f t="shared" si="10"/>
        <v>4.4934044241726649</v>
      </c>
      <c r="AF49" s="337">
        <f t="shared" si="11"/>
        <v>9.4091299769658067E-13</v>
      </c>
      <c r="AG49" s="338">
        <f t="shared" si="23"/>
        <v>-25.282513349549028</v>
      </c>
      <c r="AH49" s="339">
        <f t="shared" si="24"/>
        <v>4.4934044241726645E-2</v>
      </c>
      <c r="AI49" s="340">
        <f t="shared" si="25"/>
        <v>0.17772775839364147</v>
      </c>
      <c r="AJ49" s="341">
        <f t="shared" si="12"/>
        <v>8.986808848345329E-2</v>
      </c>
    </row>
    <row r="50" spans="1:36" x14ac:dyDescent="0.2">
      <c r="A50" s="309">
        <v>43</v>
      </c>
      <c r="B50" s="309">
        <f t="shared" si="13"/>
        <v>40.140655555555554</v>
      </c>
      <c r="C50" s="1">
        <v>485.03</v>
      </c>
      <c r="D50" s="1">
        <v>0.51</v>
      </c>
      <c r="E50" s="326">
        <f t="shared" si="4"/>
        <v>13.189480070695614</v>
      </c>
      <c r="F50" s="327">
        <f t="shared" si="0"/>
        <v>9.111561598428566E-3</v>
      </c>
      <c r="G50" s="309">
        <f t="shared" si="5"/>
        <v>1.6470527777777777</v>
      </c>
      <c r="H50" s="1">
        <v>5929.39</v>
      </c>
      <c r="I50" s="324">
        <v>30</v>
      </c>
      <c r="J50" s="1">
        <v>1.22099999999999E-2</v>
      </c>
      <c r="K50" s="1">
        <v>1.19999999999999E-4</v>
      </c>
      <c r="L50" s="328">
        <f t="shared" si="6"/>
        <v>0.9828009828009826</v>
      </c>
      <c r="M50" s="329">
        <f t="shared" si="1"/>
        <v>1.0100274800269253E-3</v>
      </c>
      <c r="N50" s="342">
        <f>(1/$J$79)*SQRT(((1-J51/$J$79)*K50)^2+(J51/$J$79)^2*(SUMSQ(K$8:K49)+SUMSQ(K51:K$78)))</f>
        <v>1.2753020214364787E-5</v>
      </c>
      <c r="O50" s="340">
        <f t="shared" si="14"/>
        <v>1.2626409148813276</v>
      </c>
      <c r="P50" s="332">
        <f t="shared" si="7"/>
        <v>0.70943304452558453</v>
      </c>
      <c r="Q50" s="342">
        <f>SQRT(((1-P50)/$J$79)^2*SUMSQ(K$8:K50)+(P50/$J$79)^2*SUMSQ(K51:K$78))</f>
        <v>4.8534448292661975E-3</v>
      </c>
      <c r="R50" s="340">
        <f t="shared" si="15"/>
        <v>0.68413007636426304</v>
      </c>
      <c r="S50" s="343">
        <f t="shared" si="16"/>
        <v>5.5090488231369136E-8</v>
      </c>
      <c r="T50" s="344">
        <f t="shared" si="17"/>
        <v>2.7873266001073876E-10</v>
      </c>
      <c r="U50" s="344">
        <f>IF(P50&lt;=0.85, (1/(3*H50*$J$79))*SQRT( ((1-P50)*(1/SQRT(1-PI()*P50/3)-1) + (1-P49)*(1-1/SQRT(1-PI()*P49/3)))^2*SUMSQ(K$8:K49) + ( (1-P50)*(1/SQRT(1-PI()*P50/3)-1) -P49*(1-1/SQRT(1-PI()*P49/3)) )^2*K50^2 + ( P50*(1-1/SQRT(1-PI()*P50/3)) - P49*(1-1/SQRT(1-PI()*P49/3)) )^2*SUMSQ(K51:K$78) ), (1/(PI()^2*H50*$J$79))*SQRT((1+P49/(1-P49))^2*K50^2+(P49/(1-P49)-P50/(1-P50))^2*SUMSQ(K51:K$78)) )</f>
        <v>1.5750239056731601E-9</v>
      </c>
      <c r="V50" s="345">
        <f t="shared" si="18"/>
        <v>1.5994974833361251E-9</v>
      </c>
      <c r="W50" s="340">
        <f t="shared" si="19"/>
        <v>2.9034004502166555</v>
      </c>
      <c r="X50" s="345">
        <f t="shared" si="20"/>
        <v>3.1989949666722503E-9</v>
      </c>
      <c r="Y50" s="338">
        <f t="shared" si="8"/>
        <v>-16.714288763069234</v>
      </c>
      <c r="Z50" s="346">
        <f t="shared" si="21"/>
        <v>2.9034004502166557E-2</v>
      </c>
      <c r="AA50" s="346">
        <f t="shared" si="22"/>
        <v>0.17370768755843286</v>
      </c>
      <c r="AB50" s="346">
        <f t="shared" si="9"/>
        <v>5.8068009004333114E-2</v>
      </c>
      <c r="AC50" s="336">
        <f t="shared" si="2"/>
        <v>7.1094054700628945E-12</v>
      </c>
      <c r="AD50" s="337">
        <f t="shared" si="3"/>
        <v>3.2445746879228675E-13</v>
      </c>
      <c r="AE50" s="308">
        <f t="shared" si="10"/>
        <v>4.5637778033416394</v>
      </c>
      <c r="AF50" s="337">
        <f t="shared" si="11"/>
        <v>6.4891493758457349E-13</v>
      </c>
      <c r="AG50" s="338">
        <f t="shared" si="23"/>
        <v>-25.669602494447499</v>
      </c>
      <c r="AH50" s="339">
        <f t="shared" si="24"/>
        <v>4.5637778033416398E-2</v>
      </c>
      <c r="AI50" s="340">
        <f t="shared" si="25"/>
        <v>0.17778918876242103</v>
      </c>
      <c r="AJ50" s="341">
        <f t="shared" si="12"/>
        <v>9.1275556066832797E-2</v>
      </c>
    </row>
    <row r="51" spans="1:36" x14ac:dyDescent="0.2">
      <c r="A51" s="309">
        <v>44</v>
      </c>
      <c r="B51" s="309">
        <f t="shared" si="13"/>
        <v>42.78713888888889</v>
      </c>
      <c r="C51" s="1">
        <v>475</v>
      </c>
      <c r="D51" s="1">
        <v>0.32</v>
      </c>
      <c r="E51" s="326">
        <f t="shared" si="4"/>
        <v>13.366303548753592</v>
      </c>
      <c r="F51" s="327">
        <f t="shared" si="0"/>
        <v>5.8728507377751125E-3</v>
      </c>
      <c r="G51" s="309">
        <f t="shared" si="5"/>
        <v>2.6464833333333337</v>
      </c>
      <c r="H51" s="1">
        <v>9527.34</v>
      </c>
      <c r="I51" s="324">
        <v>30</v>
      </c>
      <c r="J51" s="1">
        <v>1.41599999999999E-2</v>
      </c>
      <c r="K51" s="1">
        <v>1.4999999999999999E-4</v>
      </c>
      <c r="L51" s="328">
        <f t="shared" si="6"/>
        <v>1.0593220338983125</v>
      </c>
      <c r="M51" s="329">
        <f t="shared" si="1"/>
        <v>1.1713340800312269E-3</v>
      </c>
      <c r="N51" s="342">
        <f>(1/$J$79)*SQRT(((1-J52/$J$79)*K51)^2+(J52/$J$79)^2*(SUMSQ(K$8:K50)+SUMSQ(K52:K$78)))</f>
        <v>1.3367836596003242E-5</v>
      </c>
      <c r="O51" s="340">
        <f t="shared" si="14"/>
        <v>1.1412488395835685</v>
      </c>
      <c r="P51" s="332">
        <f t="shared" si="7"/>
        <v>0.71060437860561576</v>
      </c>
      <c r="Q51" s="342">
        <f>SQRT(((1-P51)/$J$79)^2*SUMSQ(K$8:K51)+(P51/$J$79)^2*SUMSQ(K52:K$78))</f>
        <v>4.8614413868653273E-3</v>
      </c>
      <c r="R51" s="340">
        <f t="shared" si="15"/>
        <v>0.68412769935427309</v>
      </c>
      <c r="S51" s="343">
        <f t="shared" si="16"/>
        <v>3.994108696788395E-8</v>
      </c>
      <c r="T51" s="344">
        <f t="shared" si="17"/>
        <v>1.25767801824698E-10</v>
      </c>
      <c r="U51" s="344">
        <f>IF(P51&lt;=0.85, (1/(3*H51*$J$79))*SQRT( ((1-P51)*(1/SQRT(1-PI()*P51/3)-1) + (1-P50)*(1-1/SQRT(1-PI()*P50/3)))^2*SUMSQ(K$8:K50) + ( (1-P51)*(1/SQRT(1-PI()*P51/3)-1) -P50*(1-1/SQRT(1-PI()*P50/3)) )^2*K51^2 + ( P51*(1-1/SQRT(1-PI()*P51/3)) - P50*(1-1/SQRT(1-PI()*P50/3)) )^2*SUMSQ(K52:K$78) ), (1/(PI()^2*H51*$J$79))*SQRT((1+P50/(1-P50))^2*K51^2+(P50/(1-P50)-P51/(1-P51))^2*SUMSQ(K52:K$78)) )</f>
        <v>1.1554354816325038E-9</v>
      </c>
      <c r="V51" s="345">
        <f t="shared" si="18"/>
        <v>1.1622601654496952E-9</v>
      </c>
      <c r="W51" s="340">
        <f t="shared" si="19"/>
        <v>2.9099362428074422</v>
      </c>
      <c r="X51" s="345">
        <f t="shared" si="20"/>
        <v>2.3245203308993904E-9</v>
      </c>
      <c r="Y51" s="338">
        <f t="shared" si="8"/>
        <v>-17.035860294309437</v>
      </c>
      <c r="Z51" s="346">
        <f t="shared" si="21"/>
        <v>2.9099362428074423E-2</v>
      </c>
      <c r="AA51" s="346">
        <f t="shared" si="22"/>
        <v>0.17081240351445362</v>
      </c>
      <c r="AB51" s="346">
        <f t="shared" si="9"/>
        <v>5.8198724856148847E-2</v>
      </c>
      <c r="AC51" s="336">
        <f t="shared" si="2"/>
        <v>5.1543812967706356E-12</v>
      </c>
      <c r="AD51" s="337">
        <f t="shared" si="3"/>
        <v>2.3544897029503695E-13</v>
      </c>
      <c r="AE51" s="308">
        <f t="shared" si="10"/>
        <v>4.567938550501732</v>
      </c>
      <c r="AF51" s="337">
        <f t="shared" si="11"/>
        <v>4.708979405900739E-13</v>
      </c>
      <c r="AG51" s="338">
        <f t="shared" si="23"/>
        <v>-25.991174025687698</v>
      </c>
      <c r="AH51" s="339">
        <f t="shared" si="24"/>
        <v>4.5679385505017323E-2</v>
      </c>
      <c r="AI51" s="340">
        <f t="shared" si="25"/>
        <v>0.17574960430749029</v>
      </c>
      <c r="AJ51" s="341">
        <f t="shared" si="12"/>
        <v>9.1358771010034645E-2</v>
      </c>
    </row>
    <row r="52" spans="1:36" x14ac:dyDescent="0.2">
      <c r="A52" s="309">
        <v>45</v>
      </c>
      <c r="B52" s="309">
        <f t="shared" si="13"/>
        <v>45.432511111111111</v>
      </c>
      <c r="C52" s="1">
        <v>465.01</v>
      </c>
      <c r="D52" s="1">
        <v>0.43</v>
      </c>
      <c r="E52" s="326">
        <f t="shared" si="4"/>
        <v>13.54719843936274</v>
      </c>
      <c r="F52" s="327">
        <f t="shared" si="0"/>
        <v>8.1098873042214376E-3</v>
      </c>
      <c r="G52" s="309">
        <f t="shared" si="5"/>
        <v>2.645372222222222</v>
      </c>
      <c r="H52" s="1">
        <v>9523.34</v>
      </c>
      <c r="I52" s="324">
        <v>30</v>
      </c>
      <c r="J52" s="1">
        <v>8.8199999999999997E-3</v>
      </c>
      <c r="K52" s="122">
        <v>9.0000000000000006E-5</v>
      </c>
      <c r="L52" s="328">
        <f t="shared" si="6"/>
        <v>1.0204081632653061</v>
      </c>
      <c r="M52" s="329">
        <f t="shared" si="1"/>
        <v>7.2960216001945568E-4</v>
      </c>
      <c r="N52" s="342">
        <f>(1/$J$79)*SQRT(((1-J53/$J$79)*K52)^2+(J53/$J$79)^2*(SUMSQ(K$8:K51)+SUMSQ(K53:K$78)))</f>
        <v>8.2210069698491123E-6</v>
      </c>
      <c r="O52" s="340">
        <f t="shared" si="14"/>
        <v>1.1267794176527506</v>
      </c>
      <c r="P52" s="332">
        <f t="shared" si="7"/>
        <v>0.71133398076563525</v>
      </c>
      <c r="Q52" s="342">
        <f>SQRT(((1-P52)/$J$79)^2*SUMSQ(K$8:K52)+(P52/$J$79)^2*SUMSQ(K53:K$78))</f>
        <v>4.8664240540971437E-3</v>
      </c>
      <c r="R52" s="340">
        <f t="shared" si="15"/>
        <v>0.68412647022137629</v>
      </c>
      <c r="S52" s="343">
        <f t="shared" si="16"/>
        <v>2.4987120751495091E-8</v>
      </c>
      <c r="T52" s="344">
        <f t="shared" si="17"/>
        <v>7.8713310933438544E-11</v>
      </c>
      <c r="U52" s="344">
        <f>IF(P52&lt;=0.85, (1/(3*H52*$J$79))*SQRT( ((1-P52)*(1/SQRT(1-PI()*P52/3)-1) + (1-P51)*(1-1/SQRT(1-PI()*P51/3)))^2*SUMSQ(K$8:K51) + ( (1-P52)*(1/SQRT(1-PI()*P52/3)-1) -P51*(1-1/SQRT(1-PI()*P51/3)) )^2*K52^2 + ( P52*(1-1/SQRT(1-PI()*P52/3)) - P51*(1-1/SQRT(1-PI()*P51/3)) )^2*SUMSQ(K53:K$78) ), (1/(PI()^2*H52*$J$79))*SQRT((1+P51/(1-P51))^2*K52^2+(P51/(1-P51)-P52/(1-P52))^2*SUMSQ(K53:K$78)) )</f>
        <v>7.2094554675780314E-10</v>
      </c>
      <c r="V52" s="345">
        <f t="shared" si="18"/>
        <v>7.2522980268878349E-10</v>
      </c>
      <c r="W52" s="340">
        <f t="shared" si="19"/>
        <v>2.9024144474324429</v>
      </c>
      <c r="X52" s="345">
        <f t="shared" si="20"/>
        <v>1.450459605377567E-9</v>
      </c>
      <c r="Y52" s="338">
        <f t="shared" si="8"/>
        <v>-17.504905314764034</v>
      </c>
      <c r="Z52" s="346">
        <f t="shared" si="21"/>
        <v>2.9024144474324429E-2</v>
      </c>
      <c r="AA52" s="346">
        <f t="shared" si="22"/>
        <v>0.16580577816576253</v>
      </c>
      <c r="AB52" s="346">
        <f t="shared" si="9"/>
        <v>5.8048288948648857E-2</v>
      </c>
      <c r="AC52" s="336">
        <f t="shared" si="2"/>
        <v>3.2245779381321409E-12</v>
      </c>
      <c r="AD52" s="337">
        <f t="shared" si="3"/>
        <v>1.4714234714388412E-13</v>
      </c>
      <c r="AE52" s="308">
        <f t="shared" si="10"/>
        <v>4.5631505879841541</v>
      </c>
      <c r="AF52" s="337">
        <f t="shared" si="11"/>
        <v>2.9428469428776824E-13</v>
      </c>
      <c r="AG52" s="338">
        <f t="shared" si="23"/>
        <v>-26.460219046142296</v>
      </c>
      <c r="AH52" s="339">
        <f t="shared" si="24"/>
        <v>4.563150587984155E-2</v>
      </c>
      <c r="AI52" s="340">
        <f t="shared" si="25"/>
        <v>0.17245324311286941</v>
      </c>
      <c r="AJ52" s="341">
        <f t="shared" si="12"/>
        <v>9.1263011759683099E-2</v>
      </c>
    </row>
    <row r="53" spans="1:36" x14ac:dyDescent="0.2">
      <c r="A53" s="309">
        <v>46</v>
      </c>
      <c r="B53" s="309">
        <f t="shared" si="13"/>
        <v>48.077888888888886</v>
      </c>
      <c r="C53" s="1">
        <v>455.01</v>
      </c>
      <c r="D53" s="1">
        <v>0.28999999999999998</v>
      </c>
      <c r="E53" s="326">
        <f t="shared" si="4"/>
        <v>13.733245440562515</v>
      </c>
      <c r="F53" s="327">
        <f t="shared" si="0"/>
        <v>5.6229946238015192E-3</v>
      </c>
      <c r="G53" s="309">
        <f t="shared" si="5"/>
        <v>2.6453777777777776</v>
      </c>
      <c r="H53" s="1">
        <v>9523.36</v>
      </c>
      <c r="I53" s="324">
        <v>30</v>
      </c>
      <c r="J53" s="1">
        <v>6.1700000000000001E-3</v>
      </c>
      <c r="K53" s="122">
        <v>6.9999999999999994E-5</v>
      </c>
      <c r="L53" s="328">
        <f t="shared" si="6"/>
        <v>1.1345218800648296</v>
      </c>
      <c r="M53" s="329">
        <f t="shared" si="1"/>
        <v>5.103906266802769E-4</v>
      </c>
      <c r="N53" s="342">
        <f>(1/$J$79)*SQRT(((1-J54/$J$79)*K53)^2+(J54/$J$79)^2*(SUMSQ(K$8:K52)+SUMSQ(K54:K$78)))</f>
        <v>6.1998786963912178E-6</v>
      </c>
      <c r="O53" s="340">
        <f t="shared" si="14"/>
        <v>1.2147320840739102</v>
      </c>
      <c r="P53" s="332">
        <f t="shared" si="7"/>
        <v>0.71184437139231549</v>
      </c>
      <c r="Q53" s="342">
        <f>SQRT(((1-P53)/$J$79)^2*SUMSQ(K$8:K53)+(P53/$J$79)^2*SUMSQ(K54:K$78))</f>
        <v>4.869909895957935E-3</v>
      </c>
      <c r="R53" s="340">
        <f t="shared" si="15"/>
        <v>0.68412564482777993</v>
      </c>
      <c r="S53" s="343">
        <f t="shared" si="16"/>
        <v>1.7524607989647756E-8</v>
      </c>
      <c r="T53" s="344">
        <f t="shared" si="17"/>
        <v>5.5205120849094498E-11</v>
      </c>
      <c r="U53" s="344">
        <f>IF(P53&lt;=0.85, (1/(3*H53*$J$79))*SQRT( ((1-P53)*(1/SQRT(1-PI()*P53/3)-1) + (1-P52)*(1-1/SQRT(1-PI()*P52/3)))^2*SUMSQ(K$8:K52) + ( (1-P53)*(1/SQRT(1-PI()*P53/3)-1) -P52*(1-1/SQRT(1-PI()*P52/3)) )^2*K53^2 + ( P53*(1-1/SQRT(1-PI()*P53/3)) - P52*(1-1/SQRT(1-PI()*P52/3)) )^2*SUMSQ(K54:K$78) ), (1/(PI()^2*H53*$J$79))*SQRT((1+P52/(1-P52))^2*K53^2+(P52/(1-P52)-P53/(1-P53))^2*SUMSQ(K54:K$78)) )</f>
        <v>5.1374698505711963E-10</v>
      </c>
      <c r="V53" s="345">
        <f t="shared" si="18"/>
        <v>5.1670452874272683E-10</v>
      </c>
      <c r="W53" s="340">
        <f t="shared" si="19"/>
        <v>2.9484512808957422</v>
      </c>
      <c r="X53" s="345">
        <f t="shared" si="20"/>
        <v>1.0334090574854537E-9</v>
      </c>
      <c r="Y53" s="338">
        <f t="shared" si="8"/>
        <v>-17.859659772912302</v>
      </c>
      <c r="Z53" s="346">
        <f t="shared" si="21"/>
        <v>2.9484512808957423E-2</v>
      </c>
      <c r="AA53" s="346">
        <f t="shared" si="22"/>
        <v>0.16509000274280983</v>
      </c>
      <c r="AB53" s="346">
        <f t="shared" si="9"/>
        <v>5.8969025617914846E-2</v>
      </c>
      <c r="AC53" s="336">
        <f t="shared" si="2"/>
        <v>2.2615436512208469E-12</v>
      </c>
      <c r="AD53" s="337">
        <f t="shared" si="3"/>
        <v>1.0386297382218308E-13</v>
      </c>
      <c r="AE53" s="308">
        <f t="shared" si="10"/>
        <v>4.5925699362961598</v>
      </c>
      <c r="AF53" s="337">
        <f t="shared" si="11"/>
        <v>2.0772594764436617E-13</v>
      </c>
      <c r="AG53" s="338">
        <f t="shared" si="23"/>
        <v>-26.814973504290563</v>
      </c>
      <c r="AH53" s="339">
        <f t="shared" si="24"/>
        <v>4.5925699362961592E-2</v>
      </c>
      <c r="AI53" s="340">
        <f t="shared" si="25"/>
        <v>0.17126885974962158</v>
      </c>
      <c r="AJ53" s="341">
        <f t="shared" si="12"/>
        <v>9.1851398725923183E-2</v>
      </c>
    </row>
    <row r="54" spans="1:36" x14ac:dyDescent="0.2">
      <c r="A54" s="309">
        <v>47</v>
      </c>
      <c r="B54" s="309">
        <f t="shared" si="13"/>
        <v>50.722497222222216</v>
      </c>
      <c r="C54" s="1">
        <v>445</v>
      </c>
      <c r="D54" s="1">
        <v>0.13</v>
      </c>
      <c r="E54" s="326">
        <f t="shared" si="4"/>
        <v>13.924667548562278</v>
      </c>
      <c r="F54" s="327">
        <f t="shared" si="0"/>
        <v>2.5922719933907374E-3</v>
      </c>
      <c r="G54" s="309">
        <f t="shared" si="5"/>
        <v>2.6446083333333332</v>
      </c>
      <c r="H54" s="1">
        <v>9520.59</v>
      </c>
      <c r="I54" s="324">
        <v>30</v>
      </c>
      <c r="J54" s="1">
        <v>3.9199999999999999E-3</v>
      </c>
      <c r="K54" s="122">
        <v>6.9999999999999994E-5</v>
      </c>
      <c r="L54" s="328">
        <f t="shared" si="6"/>
        <v>1.7857142857142856</v>
      </c>
      <c r="M54" s="329">
        <f t="shared" si="1"/>
        <v>3.2426762667531363E-4</v>
      </c>
      <c r="N54" s="342">
        <f>(1/$J$79)*SQRT(((1-J55/$J$79)*K54)^2+(J55/$J$79)^2*(SUMSQ(K$8:K53)+SUMSQ(K55:K$78)))</f>
        <v>5.9878116385174793E-6</v>
      </c>
      <c r="O54" s="340">
        <f t="shared" si="14"/>
        <v>1.8465647341703411</v>
      </c>
      <c r="P54" s="332">
        <f t="shared" si="7"/>
        <v>0.71216863901899086</v>
      </c>
      <c r="Q54" s="342">
        <f>SQRT(((1-P54)/$J$79)^2*SUMSQ(K$8:K54)+(P54/$J$79)^2*SUMSQ(K55:K$78))</f>
        <v>4.8721240343877568E-3</v>
      </c>
      <c r="R54" s="340">
        <f t="shared" si="15"/>
        <v>0.68412504671633478</v>
      </c>
      <c r="S54" s="343">
        <f t="shared" si="16"/>
        <v>1.1156496599729352E-8</v>
      </c>
      <c r="T54" s="344">
        <f t="shared" si="17"/>
        <v>3.5154848385644232E-11</v>
      </c>
      <c r="U54" s="344">
        <f>IF(P54&lt;=0.85, (1/(3*H54*$J$79))*SQRT( ((1-P54)*(1/SQRT(1-PI()*P54/3)-1) + (1-P53)*(1-1/SQRT(1-PI()*P53/3)))^2*SUMSQ(K$8:K53) + ( (1-P54)*(1/SQRT(1-PI()*P54/3)-1) -P53*(1-1/SQRT(1-PI()*P53/3)) )^2*K54^2 + ( P54*(1-1/SQRT(1-PI()*P54/3)) - P53*(1-1/SQRT(1-PI()*P53/3)) )^2*SUMSQ(K55:K$78) ), (1/(PI()^2*H54*$J$79))*SQRT((1+P53/(1-P53))^2*K54^2+(P53/(1-P53)-P54/(1-P54))^2*SUMSQ(K55:K$78)) )</f>
        <v>3.6168316186929558E-10</v>
      </c>
      <c r="V54" s="345">
        <f t="shared" si="18"/>
        <v>3.6338763455129938E-10</v>
      </c>
      <c r="W54" s="340">
        <f t="shared" si="19"/>
        <v>3.2571841106473771</v>
      </c>
      <c r="X54" s="345">
        <f t="shared" si="20"/>
        <v>7.2677526910259875E-10</v>
      </c>
      <c r="Y54" s="338">
        <f t="shared" si="8"/>
        <v>-18.311243854033371</v>
      </c>
      <c r="Z54" s="346">
        <f t="shared" si="21"/>
        <v>3.2571841106473771E-2</v>
      </c>
      <c r="AA54" s="346">
        <f t="shared" si="22"/>
        <v>0.17787891071801359</v>
      </c>
      <c r="AB54" s="346">
        <f t="shared" si="9"/>
        <v>6.5143682212947543E-2</v>
      </c>
      <c r="AC54" s="336">
        <f t="shared" si="2"/>
        <v>1.4397414235964329E-12</v>
      </c>
      <c r="AD54" s="337">
        <f t="shared" si="3"/>
        <v>6.9058952942442756E-14</v>
      </c>
      <c r="AE54" s="308">
        <f t="shared" si="10"/>
        <v>4.7966219357595108</v>
      </c>
      <c r="AF54" s="337">
        <f t="shared" si="11"/>
        <v>1.3811790588488551E-13</v>
      </c>
      <c r="AG54" s="338">
        <f t="shared" si="23"/>
        <v>-27.266557585411636</v>
      </c>
      <c r="AH54" s="339">
        <f t="shared" si="24"/>
        <v>4.7966219357595104E-2</v>
      </c>
      <c r="AI54" s="340">
        <f t="shared" si="25"/>
        <v>0.17591593367568467</v>
      </c>
      <c r="AJ54" s="341">
        <f t="shared" si="12"/>
        <v>9.5932438715190207E-2</v>
      </c>
    </row>
    <row r="55" spans="1:36" x14ac:dyDescent="0.2">
      <c r="A55" s="309">
        <v>48</v>
      </c>
      <c r="B55" s="309">
        <f t="shared" si="13"/>
        <v>53.368430555555548</v>
      </c>
      <c r="C55" s="1">
        <v>435.01</v>
      </c>
      <c r="D55" s="1">
        <v>0.12</v>
      </c>
      <c r="E55" s="326">
        <f t="shared" si="4"/>
        <v>14.121102575689111</v>
      </c>
      <c r="F55" s="327">
        <f t="shared" si="0"/>
        <v>2.4619051687521762E-3</v>
      </c>
      <c r="G55" s="309">
        <f t="shared" si="5"/>
        <v>2.6459333333333332</v>
      </c>
      <c r="H55" s="1">
        <v>9525.36</v>
      </c>
      <c r="I55" s="324">
        <v>30</v>
      </c>
      <c r="J55" s="1">
        <v>2.7000000000000001E-3</v>
      </c>
      <c r="K55" s="122">
        <v>5.0000000000000002E-5</v>
      </c>
      <c r="L55" s="328">
        <f t="shared" si="6"/>
        <v>1.8518518518518516</v>
      </c>
      <c r="M55" s="329">
        <f t="shared" si="1"/>
        <v>2.2334760000595585E-4</v>
      </c>
      <c r="N55" s="342">
        <f>(1/$J$79)*SQRT(((1-J56/$J$79)*K55)^2+(J56/$J$79)^2*(SUMSQ(K$8:K54)+SUMSQ(K56:K$78)))</f>
        <v>4.266139599613948E-6</v>
      </c>
      <c r="O55" s="340">
        <f t="shared" si="14"/>
        <v>1.9100897432970787</v>
      </c>
      <c r="P55" s="332">
        <f t="shared" si="7"/>
        <v>0.71239198661899683</v>
      </c>
      <c r="Q55" s="342">
        <f>SQRT(((1-P55)/$J$79)^2*SUMSQ(K$8:K55)+(P55/$J$79)^2*SUMSQ(K56:K$78))</f>
        <v>4.8736493403948719E-3</v>
      </c>
      <c r="R55" s="340">
        <f t="shared" si="15"/>
        <v>0.68412467180114545</v>
      </c>
      <c r="S55" s="343">
        <f t="shared" si="16"/>
        <v>7.6892137707761909E-9</v>
      </c>
      <c r="T55" s="344">
        <f t="shared" si="17"/>
        <v>2.4217080837184702E-11</v>
      </c>
      <c r="U55" s="344">
        <f>IF(P55&lt;=0.85, (1/(3*H55*$J$79))*SQRT( ((1-P55)*(1/SQRT(1-PI()*P55/3)-1) + (1-P54)*(1-1/SQRT(1-PI()*P54/3)))^2*SUMSQ(K$8:K54) + ( (1-P55)*(1/SQRT(1-PI()*P55/3)-1) -P54*(1-1/SQRT(1-PI()*P54/3)) )^2*K55^2 + ( P55*(1-1/SQRT(1-PI()*P55/3)) - P54*(1-1/SQRT(1-PI()*P54/3)) )^2*SUMSQ(K56:K$78) ), (1/(PI()^2*H55*$J$79))*SQRT((1+P54/(1-P54))^2*K55^2+(P54/(1-P54)-P55/(1-P55))^2*SUMSQ(K56:K$78)) )</f>
        <v>2.5224631527032589E-10</v>
      </c>
      <c r="V55" s="345">
        <f t="shared" si="18"/>
        <v>2.53406137596806E-10</v>
      </c>
      <c r="W55" s="340">
        <f t="shared" si="19"/>
        <v>3.295605313509522</v>
      </c>
      <c r="X55" s="345">
        <f t="shared" si="20"/>
        <v>5.0681227519361199E-10</v>
      </c>
      <c r="Y55" s="338">
        <f t="shared" si="8"/>
        <v>-18.683447299127007</v>
      </c>
      <c r="Z55" s="346">
        <f t="shared" si="21"/>
        <v>3.2956053135095219E-2</v>
      </c>
      <c r="AA55" s="346">
        <f t="shared" si="22"/>
        <v>0.17639171512333865</v>
      </c>
      <c r="AB55" s="346">
        <f t="shared" si="9"/>
        <v>6.5912106270190438E-2</v>
      </c>
      <c r="AC55" s="336">
        <f t="shared" si="2"/>
        <v>9.9228996143315914E-13</v>
      </c>
      <c r="AD55" s="337">
        <f t="shared" si="3"/>
        <v>4.7856106977351284E-14</v>
      </c>
      <c r="AE55" s="308">
        <f t="shared" si="10"/>
        <v>4.8227946303349638</v>
      </c>
      <c r="AF55" s="337">
        <f t="shared" si="11"/>
        <v>9.5712213954702568E-14</v>
      </c>
      <c r="AG55" s="338">
        <f t="shared" si="23"/>
        <v>-27.638761030505272</v>
      </c>
      <c r="AH55" s="339">
        <f t="shared" si="24"/>
        <v>4.8227946303349638E-2</v>
      </c>
      <c r="AI55" s="340">
        <f t="shared" si="25"/>
        <v>0.17449387926658436</v>
      </c>
      <c r="AJ55" s="341">
        <f t="shared" si="12"/>
        <v>9.6455892606699276E-2</v>
      </c>
    </row>
    <row r="56" spans="1:36" x14ac:dyDescent="0.2">
      <c r="A56" s="309">
        <v>49</v>
      </c>
      <c r="B56" s="309">
        <f t="shared" si="13"/>
        <v>56.013819444444437</v>
      </c>
      <c r="C56" s="1">
        <v>425.01</v>
      </c>
      <c r="D56" s="1">
        <v>0.12</v>
      </c>
      <c r="E56" s="326">
        <f t="shared" si="4"/>
        <v>14.323364271800161</v>
      </c>
      <c r="F56" s="327">
        <f t="shared" si="0"/>
        <v>2.5339754071132189E-3</v>
      </c>
      <c r="G56" s="309">
        <f t="shared" si="5"/>
        <v>2.6453888888888888</v>
      </c>
      <c r="H56" s="1">
        <v>9523.4</v>
      </c>
      <c r="I56" s="324">
        <v>30</v>
      </c>
      <c r="J56" s="1">
        <v>1.8500000000000001E-3</v>
      </c>
      <c r="K56" s="122">
        <v>2.9999999999999899E-5</v>
      </c>
      <c r="L56" s="328">
        <f t="shared" si="6"/>
        <v>1.6216216216216162</v>
      </c>
      <c r="M56" s="329">
        <f t="shared" si="1"/>
        <v>1.5303446667074754E-4</v>
      </c>
      <c r="N56" s="342">
        <f>(1/$J$79)*SQRT(((1-J57/$J$79)*K56)^2+(J57/$J$79)^2*(SUMSQ(K$8:K55)+SUMSQ(K57:K$78)))</f>
        <v>2.6191288419238914E-6</v>
      </c>
      <c r="O56" s="340">
        <f t="shared" si="14"/>
        <v>1.7114633709012277</v>
      </c>
      <c r="P56" s="332">
        <f t="shared" si="7"/>
        <v>0.71254502108566753</v>
      </c>
      <c r="Q56" s="342">
        <f>SQRT(((1-P56)/$J$79)^2*SUMSQ(K$8:K56)+(P56/$J$79)^2*SUMSQ(K57:K$78))</f>
        <v>4.8746947006030536E-3</v>
      </c>
      <c r="R56" s="340">
        <f t="shared" si="15"/>
        <v>0.68412444917175008</v>
      </c>
      <c r="S56" s="343">
        <f t="shared" si="16"/>
        <v>5.2737425358288332E-9</v>
      </c>
      <c r="T56" s="344">
        <f t="shared" si="17"/>
        <v>1.6613003347004748E-11</v>
      </c>
      <c r="U56" s="344">
        <f>IF(P56&lt;=0.85, (1/(3*H56*$J$79))*SQRT( ((1-P56)*(1/SQRT(1-PI()*P56/3)-1) + (1-P55)*(1-1/SQRT(1-PI()*P55/3)))^2*SUMSQ(K$8:K55) + ( (1-P56)*(1/SQRT(1-PI()*P56/3)-1) -P55*(1-1/SQRT(1-PI()*P55/3)) )^2*K56^2 + ( P56*(1-1/SQRT(1-PI()*P56/3)) - P55*(1-1/SQRT(1-PI()*P55/3)) )^2*SUMSQ(K57:K$78) ), (1/(PI()^2*H56*$J$79))*SQRT((1+P55/(1-P55))^2*K56^2+(P55/(1-P55)-P56/(1-P56))^2*SUMSQ(K57:K$78)) )</f>
        <v>1.6652483364540747E-10</v>
      </c>
      <c r="V56" s="345">
        <f t="shared" si="18"/>
        <v>1.6735146279862099E-10</v>
      </c>
      <c r="W56" s="340">
        <f t="shared" si="19"/>
        <v>3.173296035247569</v>
      </c>
      <c r="X56" s="345">
        <f t="shared" si="20"/>
        <v>3.3470292559724197E-10</v>
      </c>
      <c r="Y56" s="338">
        <f t="shared" si="8"/>
        <v>-19.060525567835143</v>
      </c>
      <c r="Z56" s="346">
        <f t="shared" si="21"/>
        <v>3.1732960352475692E-2</v>
      </c>
      <c r="AA56" s="346">
        <f t="shared" si="22"/>
        <v>0.1664852327368424</v>
      </c>
      <c r="AB56" s="346">
        <f t="shared" si="9"/>
        <v>6.3465920704951384E-2</v>
      </c>
      <c r="AC56" s="336">
        <f t="shared" si="2"/>
        <v>6.8057436475169649E-13</v>
      </c>
      <c r="AD56" s="337">
        <f t="shared" si="3"/>
        <v>3.2259613554633833E-14</v>
      </c>
      <c r="AE56" s="308">
        <f t="shared" si="10"/>
        <v>4.7400571084400989</v>
      </c>
      <c r="AF56" s="337">
        <f t="shared" si="11"/>
        <v>6.4519227109267667E-14</v>
      </c>
      <c r="AG56" s="338">
        <f t="shared" si="23"/>
        <v>-28.015839299213408</v>
      </c>
      <c r="AH56" s="339">
        <f t="shared" si="24"/>
        <v>4.7400571084400982E-2</v>
      </c>
      <c r="AI56" s="340">
        <f t="shared" si="25"/>
        <v>0.1691920437512355</v>
      </c>
      <c r="AJ56" s="341">
        <f t="shared" si="12"/>
        <v>9.4801142168801963E-2</v>
      </c>
    </row>
    <row r="57" spans="1:36" x14ac:dyDescent="0.2">
      <c r="A57" s="309">
        <v>50</v>
      </c>
      <c r="B57" s="309">
        <f t="shared" si="13"/>
        <v>58.660305555555546</v>
      </c>
      <c r="C57" s="1">
        <v>415.01</v>
      </c>
      <c r="D57" s="1">
        <v>0.11</v>
      </c>
      <c r="E57" s="326">
        <f t="shared" si="4"/>
        <v>14.531504301325274</v>
      </c>
      <c r="F57" s="327">
        <f t="shared" si="0"/>
        <v>2.3918191837856329E-3</v>
      </c>
      <c r="G57" s="309">
        <f t="shared" si="5"/>
        <v>2.6464861111111109</v>
      </c>
      <c r="H57" s="1">
        <v>9527.35</v>
      </c>
      <c r="I57" s="324">
        <v>30</v>
      </c>
      <c r="J57" s="1">
        <v>1.48E-3</v>
      </c>
      <c r="K57" s="122">
        <v>4.0000000000000003E-5</v>
      </c>
      <c r="L57" s="328">
        <f t="shared" si="6"/>
        <v>2.7027027027027026</v>
      </c>
      <c r="M57" s="329">
        <f t="shared" si="1"/>
        <v>1.2242757333659802E-4</v>
      </c>
      <c r="N57" s="342">
        <f>(1/$J$79)*SQRT(((1-J58/$J$79)*K57)^2+(J58/$J$79)^2*(SUMSQ(K$8:K56)+SUMSQ(K58:K$78)))</f>
        <v>3.3626040630192554E-6</v>
      </c>
      <c r="O57" s="340">
        <f t="shared" si="14"/>
        <v>2.7466068070909415</v>
      </c>
      <c r="P57" s="332">
        <f t="shared" si="7"/>
        <v>0.71266744865900411</v>
      </c>
      <c r="Q57" s="342">
        <f>SQRT(((1-P57)/$J$79)^2*SUMSQ(K$8:K57)+(P57/$J$79)^2*SUMSQ(K58:K$78))</f>
        <v>4.8755307266206754E-3</v>
      </c>
      <c r="R57" s="340">
        <f t="shared" si="15"/>
        <v>0.68412423435288838</v>
      </c>
      <c r="S57" s="343">
        <f t="shared" si="16"/>
        <v>4.219660246995809E-9</v>
      </c>
      <c r="T57" s="344">
        <f t="shared" si="17"/>
        <v>1.3286990339378136E-11</v>
      </c>
      <c r="U57" s="344">
        <f>IF(P57&lt;=0.85, (1/(3*H57*$J$79))*SQRT( ((1-P57)*(1/SQRT(1-PI()*P57/3)-1) + (1-P56)*(1-1/SQRT(1-PI()*P56/3)))^2*SUMSQ(K$8:K56) + ( (1-P57)*(1/SQRT(1-PI()*P57/3)-1) -P56*(1-1/SQRT(1-PI()*P56/3)) )^2*K57^2 + ( P57*(1-1/SQRT(1-PI()*P57/3)) - P56*(1-1/SQRT(1-PI()*P56/3)) )^2*SUMSQ(K58:K$78) ), (1/(PI()^2*H57*$J$79))*SQRT((1+P56/(1-P56))^2*K57^2+(P56/(1-P56)-P57/(1-P57))^2*SUMSQ(K58:K$78)) )</f>
        <v>1.6150254915954089E-10</v>
      </c>
      <c r="V57" s="345">
        <f t="shared" si="18"/>
        <v>1.6204819498318595E-10</v>
      </c>
      <c r="W57" s="340">
        <f t="shared" si="19"/>
        <v>3.8403138048509073</v>
      </c>
      <c r="X57" s="345">
        <f t="shared" si="20"/>
        <v>3.240963899663719E-10</v>
      </c>
      <c r="Y57" s="338">
        <f t="shared" si="8"/>
        <v>-19.283511222330176</v>
      </c>
      <c r="Z57" s="346">
        <f t="shared" si="21"/>
        <v>3.8403138048509075E-2</v>
      </c>
      <c r="AA57" s="346">
        <f t="shared" si="22"/>
        <v>0.19915013197409037</v>
      </c>
      <c r="AB57" s="346">
        <f t="shared" si="9"/>
        <v>7.680627609701815E-2</v>
      </c>
      <c r="AC57" s="336">
        <f t="shared" si="2"/>
        <v>5.4454546701071033E-13</v>
      </c>
      <c r="AD57" s="337">
        <f t="shared" si="3"/>
        <v>2.8371991400341666E-14</v>
      </c>
      <c r="AE57" s="308">
        <f t="shared" si="10"/>
        <v>5.2102153298768776</v>
      </c>
      <c r="AF57" s="337">
        <f t="shared" si="11"/>
        <v>5.6743982800683332E-14</v>
      </c>
      <c r="AG57" s="338">
        <f t="shared" si="23"/>
        <v>-28.238824953708441</v>
      </c>
      <c r="AH57" s="339">
        <f t="shared" si="24"/>
        <v>5.2102153298768779E-2</v>
      </c>
      <c r="AI57" s="340">
        <f t="shared" si="25"/>
        <v>0.18450538711925585</v>
      </c>
      <c r="AJ57" s="341">
        <f t="shared" si="12"/>
        <v>0.10420430659753756</v>
      </c>
    </row>
    <row r="58" spans="1:36" x14ac:dyDescent="0.2">
      <c r="A58" s="309">
        <v>51</v>
      </c>
      <c r="B58" s="309">
        <f t="shared" si="13"/>
        <v>61.306249999999991</v>
      </c>
      <c r="C58" s="1">
        <v>405.01</v>
      </c>
      <c r="D58" s="1">
        <v>0.11</v>
      </c>
      <c r="E58" s="326">
        <f t="shared" si="4"/>
        <v>14.745782706146043</v>
      </c>
      <c r="F58" s="327">
        <f t="shared" si="0"/>
        <v>2.2438720718628122E-3</v>
      </c>
      <c r="G58" s="309">
        <f t="shared" si="5"/>
        <v>2.6459444444444444</v>
      </c>
      <c r="H58" s="1">
        <v>9525.4</v>
      </c>
      <c r="I58" s="324">
        <v>30</v>
      </c>
      <c r="J58" s="1">
        <v>1.06E-3</v>
      </c>
      <c r="K58" s="122">
        <v>2.0000000000000002E-5</v>
      </c>
      <c r="L58" s="328">
        <f t="shared" si="6"/>
        <v>1.8867924528301889</v>
      </c>
      <c r="M58" s="329">
        <f t="shared" si="1"/>
        <v>8.7684613335671554E-5</v>
      </c>
      <c r="N58" s="342">
        <f>(1/$J$79)*SQRT(((1-J59/$J$79)*K58)^2+(J59/$J$79)^2*(SUMSQ(K$8:K57)+SUMSQ(K59:K$78)))</f>
        <v>2.0113280947198778E-6</v>
      </c>
      <c r="O58" s="340">
        <f t="shared" si="14"/>
        <v>2.2938210231026201</v>
      </c>
      <c r="P58" s="332">
        <f t="shared" si="7"/>
        <v>0.71275513327233975</v>
      </c>
      <c r="Q58" s="342">
        <f>SQRT(((1-P58)/$J$79)^2*SUMSQ(K$8:K58)+(P58/$J$79)^2*SUMSQ(K59:K$78))</f>
        <v>4.8761297248750609E-3</v>
      </c>
      <c r="R58" s="340">
        <f t="shared" si="15"/>
        <v>0.68412411180936661</v>
      </c>
      <c r="S58" s="343">
        <f t="shared" si="16"/>
        <v>3.0241285831865684E-9</v>
      </c>
      <c r="T58" s="344">
        <f t="shared" si="17"/>
        <v>9.5244144598228994E-12</v>
      </c>
      <c r="U58" s="344">
        <f>IF(P58&lt;=0.85, (1/(3*H58*$J$79))*SQRT( ((1-P58)*(1/SQRT(1-PI()*P58/3)-1) + (1-P57)*(1-1/SQRT(1-PI()*P57/3)))^2*SUMSQ(K$8:K57) + ( (1-P58)*(1/SQRT(1-PI()*P58/3)-1) -P57*(1-1/SQRT(1-PI()*P57/3)) )^2*K58^2 + ( P58*(1-1/SQRT(1-PI()*P58/3)) - P57*(1-1/SQRT(1-PI()*P57/3)) )^2*SUMSQ(K59:K$78) ), (1/(PI()^2*H58*$J$79))*SQRT((1+P57/(1-P57))^2*K58^2+(P57/(1-P57)-P58/(1-P58))^2*SUMSQ(K59:K$78)) )</f>
        <v>9.9889681954633306E-11</v>
      </c>
      <c r="V58" s="345">
        <f t="shared" si="18"/>
        <v>1.0034272784711545E-10</v>
      </c>
      <c r="W58" s="340">
        <f t="shared" si="19"/>
        <v>3.3180708123654865</v>
      </c>
      <c r="X58" s="345">
        <f t="shared" si="20"/>
        <v>2.006854556942309E-10</v>
      </c>
      <c r="Y58" s="338">
        <f t="shared" si="8"/>
        <v>-19.616642858638084</v>
      </c>
      <c r="Z58" s="346">
        <f t="shared" si="21"/>
        <v>3.3180708123654867E-2</v>
      </c>
      <c r="AA58" s="346">
        <f t="shared" si="22"/>
        <v>0.16914570124339048</v>
      </c>
      <c r="AB58" s="346">
        <f t="shared" si="9"/>
        <v>6.6361416247309735E-2</v>
      </c>
      <c r="AC58" s="336">
        <f t="shared" si="2"/>
        <v>3.9026258400879337E-13</v>
      </c>
      <c r="AD58" s="337">
        <f t="shared" si="3"/>
        <v>1.8881582841215256E-14</v>
      </c>
      <c r="AE58" s="308">
        <f t="shared" si="10"/>
        <v>4.8381739923061176</v>
      </c>
      <c r="AF58" s="337">
        <f t="shared" si="11"/>
        <v>3.7763165682430511E-14</v>
      </c>
      <c r="AG58" s="338">
        <f t="shared" si="23"/>
        <v>-28.571956590016345</v>
      </c>
      <c r="AH58" s="339">
        <f t="shared" si="24"/>
        <v>4.8381739923061176E-2</v>
      </c>
      <c r="AI58" s="340">
        <f t="shared" si="25"/>
        <v>0.16933296034744361</v>
      </c>
      <c r="AJ58" s="341">
        <f t="shared" si="12"/>
        <v>9.6763479846122352E-2</v>
      </c>
    </row>
    <row r="59" spans="1:36" x14ac:dyDescent="0.2">
      <c r="A59" s="309">
        <v>52</v>
      </c>
      <c r="B59" s="309">
        <f t="shared" si="13"/>
        <v>63.951630555555546</v>
      </c>
      <c r="C59" s="1">
        <v>427.01</v>
      </c>
      <c r="D59" s="1">
        <v>0.14000000000000001</v>
      </c>
      <c r="E59" s="326">
        <f t="shared" si="4"/>
        <v>14.282449725776965</v>
      </c>
      <c r="F59" s="327">
        <f t="shared" si="0"/>
        <v>2.775975455884649E-3</v>
      </c>
      <c r="G59" s="309">
        <f t="shared" si="5"/>
        <v>2.6453805555555556</v>
      </c>
      <c r="H59" s="1">
        <v>9523.3700000000008</v>
      </c>
      <c r="I59" s="324">
        <v>30</v>
      </c>
      <c r="J59" s="1">
        <v>2.0200000000000001E-3</v>
      </c>
      <c r="K59" s="122">
        <v>2.9999999999999899E-5</v>
      </c>
      <c r="L59" s="328">
        <f t="shared" si="6"/>
        <v>1.48514851485148</v>
      </c>
      <c r="M59" s="329">
        <f t="shared" si="1"/>
        <v>1.6709709333778919E-4</v>
      </c>
      <c r="N59" s="342">
        <f>(1/$J$79)*SQRT(((1-J60/$J$79)*K59)^2+(J60/$J$79)^2*(SUMSQ(K$8:K58)+SUMSQ(K60:K$78)))</f>
        <v>3.0232777630902762E-6</v>
      </c>
      <c r="O59" s="340">
        <f t="shared" si="14"/>
        <v>1.8092940473708161</v>
      </c>
      <c r="P59" s="332">
        <f t="shared" si="7"/>
        <v>0.71292223036567759</v>
      </c>
      <c r="Q59" s="342">
        <f>SQRT(((1-P59)/$J$79)^2*SUMSQ(K$8:K59)+(P59/$J$79)^2*SUMSQ(K60:K$78))</f>
        <v>4.8772711716707729E-3</v>
      </c>
      <c r="R59" s="340">
        <f t="shared" si="15"/>
        <v>0.68412387269353148</v>
      </c>
      <c r="S59" s="343">
        <f t="shared" si="16"/>
        <v>5.7672455776158269E-9</v>
      </c>
      <c r="T59" s="344">
        <f t="shared" si="17"/>
        <v>1.8167662007091482E-11</v>
      </c>
      <c r="U59" s="344">
        <f>IF(P59&lt;=0.85, (1/(3*H59*$J$79))*SQRT( ((1-P59)*(1/SQRT(1-PI()*P59/3)-1) + (1-P58)*(1-1/SQRT(1-PI()*P58/3)))^2*SUMSQ(K$8:K58) + ( (1-P59)*(1/SQRT(1-PI()*P59/3)-1) -P58*(1-1/SQRT(1-PI()*P58/3)) )^2*K59^2 + ( P59*(1-1/SQRT(1-PI()*P59/3)) - P58*(1-1/SQRT(1-PI()*P58/3)) )^2*SUMSQ(K60:K$78) ), (1/(PI()^2*H59*$J$79))*SQRT((1+P58/(1-P58))^2*K59^2+(P58/(1-P58)-P59/(1-P59))^2*SUMSQ(K60:K$78)) )</f>
        <v>1.7832530275063421E-10</v>
      </c>
      <c r="V59" s="345">
        <f t="shared" si="18"/>
        <v>1.7924836831589083E-10</v>
      </c>
      <c r="W59" s="340">
        <f t="shared" si="19"/>
        <v>3.1080411940771198</v>
      </c>
      <c r="X59" s="345">
        <f t="shared" si="20"/>
        <v>3.5849673663178166E-10</v>
      </c>
      <c r="Y59" s="338">
        <f t="shared" si="8"/>
        <v>-18.971071239967507</v>
      </c>
      <c r="Z59" s="346">
        <f t="shared" si="21"/>
        <v>3.1080411940771199E-2</v>
      </c>
      <c r="AA59" s="346">
        <f t="shared" si="22"/>
        <v>0.16383055836769095</v>
      </c>
      <c r="AB59" s="346">
        <f t="shared" si="9"/>
        <v>6.2160823881542399E-2</v>
      </c>
      <c r="AC59" s="336">
        <f t="shared" si="2"/>
        <v>7.4426073489309145E-13</v>
      </c>
      <c r="AD59" s="337">
        <f t="shared" si="3"/>
        <v>3.4955109860427553E-14</v>
      </c>
      <c r="AE59" s="308">
        <f t="shared" si="10"/>
        <v>4.6966215227582362</v>
      </c>
      <c r="AF59" s="337">
        <f t="shared" si="11"/>
        <v>6.9910219720855107E-14</v>
      </c>
      <c r="AG59" s="338">
        <f t="shared" si="23"/>
        <v>-27.926384971345772</v>
      </c>
      <c r="AH59" s="339">
        <f t="shared" si="24"/>
        <v>4.6966215227582368E-2</v>
      </c>
      <c r="AI59" s="340">
        <f t="shared" si="25"/>
        <v>0.16817864279881789</v>
      </c>
      <c r="AJ59" s="341">
        <f t="shared" si="12"/>
        <v>9.3932430455164737E-2</v>
      </c>
    </row>
    <row r="60" spans="1:36" x14ac:dyDescent="0.2">
      <c r="A60" s="309">
        <v>53</v>
      </c>
      <c r="B60" s="309">
        <f t="shared" si="13"/>
        <v>66.597002777777774</v>
      </c>
      <c r="C60" s="1">
        <v>437.01</v>
      </c>
      <c r="D60" s="1">
        <v>0.1</v>
      </c>
      <c r="E60" s="326">
        <f t="shared" si="4"/>
        <v>14.081333783936016</v>
      </c>
      <c r="F60" s="327">
        <f t="shared" si="0"/>
        <v>1.9281552925536655E-3</v>
      </c>
      <c r="G60" s="309">
        <f t="shared" si="5"/>
        <v>2.645372222222222</v>
      </c>
      <c r="H60" s="1">
        <v>9523.34</v>
      </c>
      <c r="I60" s="324">
        <v>30</v>
      </c>
      <c r="J60" s="1">
        <v>3.0500000000000002E-3</v>
      </c>
      <c r="K60" s="122">
        <v>6.9999999999999994E-5</v>
      </c>
      <c r="L60" s="328">
        <f t="shared" si="6"/>
        <v>2.2950819672131142</v>
      </c>
      <c r="M60" s="329">
        <f t="shared" si="1"/>
        <v>2.5230006667339457E-4</v>
      </c>
      <c r="N60" s="342">
        <f>(1/$J$79)*SQRT(((1-J61/$J$79)*K60)^2+(J61/$J$79)^2*(SUMSQ(K$8:K59)+SUMSQ(K61:K$78)))</f>
        <v>6.3111365026306712E-6</v>
      </c>
      <c r="O60" s="340">
        <f t="shared" si="14"/>
        <v>2.5014406796810369</v>
      </c>
      <c r="P60" s="332">
        <f t="shared" si="7"/>
        <v>0.71317453043235102</v>
      </c>
      <c r="Q60" s="342">
        <f>SQRT(((1-P60)/$J$79)^2*SUMSQ(K$8:K60)+(P60/$J$79)^2*SUMSQ(K61:K$78))</f>
        <v>4.8789935862658881E-3</v>
      </c>
      <c r="R60" s="340">
        <f t="shared" si="15"/>
        <v>0.6841233636467744</v>
      </c>
      <c r="S60" s="343">
        <f t="shared" si="16"/>
        <v>8.7155986030649485E-9</v>
      </c>
      <c r="T60" s="344">
        <f t="shared" si="17"/>
        <v>2.7455489155269945E-11</v>
      </c>
      <c r="U60" s="344">
        <f>IF(P60&lt;=0.85, (1/(3*H60*$J$79))*SQRT( ((1-P60)*(1/SQRT(1-PI()*P60/3)-1) + (1-P59)*(1-1/SQRT(1-PI()*P59/3)))^2*SUMSQ(K$8:K59) + ( (1-P60)*(1/SQRT(1-PI()*P60/3)-1) -P59*(1-1/SQRT(1-PI()*P59/3)) )^2*K60^2 + ( P60*(1-1/SQRT(1-PI()*P60/3)) - P59*(1-1/SQRT(1-PI()*P59/3)) )^2*SUMSQ(K61:K$78) ), (1/(PI()^2*H60*$J$79))*SQRT((1+P59/(1-P59))^2*K60^2+(P59/(1-P59)-P60/(1-P60))^2*SUMSQ(K61:K$78)) )</f>
        <v>3.0970112880554519E-10</v>
      </c>
      <c r="V60" s="345">
        <f t="shared" si="18"/>
        <v>3.1091573306634716E-10</v>
      </c>
      <c r="W60" s="340">
        <f t="shared" si="19"/>
        <v>3.5673480070205361</v>
      </c>
      <c r="X60" s="345">
        <f t="shared" si="20"/>
        <v>6.2183146613269432E-10</v>
      </c>
      <c r="Y60" s="338">
        <f t="shared" si="8"/>
        <v>-18.558151473808287</v>
      </c>
      <c r="Z60" s="346">
        <f t="shared" si="21"/>
        <v>3.5673480070205363E-2</v>
      </c>
      <c r="AA60" s="346">
        <f t="shared" si="22"/>
        <v>0.1922253955117916</v>
      </c>
      <c r="AB60" s="346">
        <f t="shared" si="9"/>
        <v>7.1346960140410726E-2</v>
      </c>
      <c r="AC60" s="336">
        <f t="shared" si="2"/>
        <v>1.1247445134860905E-12</v>
      </c>
      <c r="AD60" s="337">
        <f t="shared" si="3"/>
        <v>5.6376864203383341E-14</v>
      </c>
      <c r="AE60" s="308">
        <f t="shared" si="10"/>
        <v>5.0124151331617535</v>
      </c>
      <c r="AF60" s="337">
        <f t="shared" si="11"/>
        <v>1.1275372840676668E-13</v>
      </c>
      <c r="AG60" s="338">
        <f t="shared" si="23"/>
        <v>-27.513465205186552</v>
      </c>
      <c r="AH60" s="339">
        <f t="shared" si="24"/>
        <v>5.0124151331617538E-2</v>
      </c>
      <c r="AI60" s="340">
        <f t="shared" si="25"/>
        <v>0.18218043767954265</v>
      </c>
      <c r="AJ60" s="341">
        <f t="shared" si="12"/>
        <v>0.10024830266323508</v>
      </c>
    </row>
    <row r="61" spans="1:36" x14ac:dyDescent="0.2">
      <c r="A61" s="309">
        <v>54</v>
      </c>
      <c r="B61" s="309">
        <f t="shared" si="13"/>
        <v>69.241277777777768</v>
      </c>
      <c r="C61" s="1">
        <v>447.01</v>
      </c>
      <c r="D61" s="1">
        <v>0.12</v>
      </c>
      <c r="E61" s="326">
        <f t="shared" si="4"/>
        <v>13.885803154854477</v>
      </c>
      <c r="F61" s="327">
        <f t="shared" si="0"/>
        <v>2.2507195308387744E-3</v>
      </c>
      <c r="G61" s="309">
        <f t="shared" si="5"/>
        <v>2.6442749999999999</v>
      </c>
      <c r="H61" s="1">
        <v>9519.39</v>
      </c>
      <c r="I61" s="324">
        <v>30</v>
      </c>
      <c r="J61" s="1">
        <v>4.43999999999999E-3</v>
      </c>
      <c r="K61" s="122">
        <v>5.0000000000000002E-5</v>
      </c>
      <c r="L61" s="328">
        <f t="shared" si="6"/>
        <v>1.1261261261261286</v>
      </c>
      <c r="M61" s="329">
        <f t="shared" si="1"/>
        <v>3.6728272000979324E-4</v>
      </c>
      <c r="N61" s="342">
        <f>(1/$J$79)*SQRT(((1-J62/$J$79)*K61)^2+(J62/$J$79)^2*(SUMSQ(K$8:K60)+SUMSQ(K62:K$78)))</f>
        <v>5.3124011046910348E-6</v>
      </c>
      <c r="O61" s="340">
        <f t="shared" si="14"/>
        <v>1.4464064915848436</v>
      </c>
      <c r="P61" s="332">
        <f t="shared" si="7"/>
        <v>0.71354181315236076</v>
      </c>
      <c r="Q61" s="342">
        <f>SQRT(((1-P61)/$J$79)^2*SUMSQ(K$8:K61)+(P61/$J$79)^2*SUMSQ(K62:K$78))</f>
        <v>4.8815023574316453E-3</v>
      </c>
      <c r="R61" s="340">
        <f t="shared" si="15"/>
        <v>0.684122817675621</v>
      </c>
      <c r="S61" s="343">
        <f t="shared" si="16"/>
        <v>1.2709270944154072E-8</v>
      </c>
      <c r="T61" s="344">
        <f t="shared" si="17"/>
        <v>4.0052789971271495E-11</v>
      </c>
      <c r="U61" s="344">
        <f>IF(P61&lt;=0.85, (1/(3*H61*$J$79))*SQRT( ((1-P61)*(1/SQRT(1-PI()*P61/3)-1) + (1-P60)*(1-1/SQRT(1-PI()*P60/3)))^2*SUMSQ(K$8:K60) + ( (1-P61)*(1/SQRT(1-PI()*P61/3)-1) -P60*(1-1/SQRT(1-PI()*P60/3)) )^2*K61^2 + ( P61*(1-1/SQRT(1-PI()*P61/3)) - P60*(1-1/SQRT(1-PI()*P60/3)) )^2*SUMSQ(K62:K$78) ), (1/(PI()^2*H61*$J$79))*SQRT((1+P60/(1-P60))^2*K61^2+(P60/(1-P60)-P61/(1-P61))^2*SUMSQ(K62:K$78)) )</f>
        <v>3.7362911619165704E-10</v>
      </c>
      <c r="V61" s="345">
        <f t="shared" si="18"/>
        <v>3.7576979981185495E-10</v>
      </c>
      <c r="W61" s="340">
        <f t="shared" si="19"/>
        <v>2.9566589733040436</v>
      </c>
      <c r="X61" s="345">
        <f t="shared" si="20"/>
        <v>7.515395996237099E-10</v>
      </c>
      <c r="Y61" s="338">
        <f t="shared" si="8"/>
        <v>-18.180934114196372</v>
      </c>
      <c r="Z61" s="346">
        <f t="shared" si="21"/>
        <v>2.9566589733040438E-2</v>
      </c>
      <c r="AA61" s="346">
        <f t="shared" si="22"/>
        <v>0.16262415092277194</v>
      </c>
      <c r="AB61" s="346">
        <f t="shared" si="9"/>
        <v>5.9133179466080876E-2</v>
      </c>
      <c r="AC61" s="336">
        <f t="shared" si="2"/>
        <v>1.6401263316347053E-12</v>
      </c>
      <c r="AD61" s="337">
        <f t="shared" si="3"/>
        <v>7.5410443889018617E-14</v>
      </c>
      <c r="AE61" s="308">
        <f t="shared" si="10"/>
        <v>4.5978436193910399</v>
      </c>
      <c r="AF61" s="337">
        <f t="shared" si="11"/>
        <v>1.5082088777803723E-13</v>
      </c>
      <c r="AG61" s="338">
        <f t="shared" si="23"/>
        <v>-27.136247845574637</v>
      </c>
      <c r="AH61" s="339">
        <f t="shared" si="24"/>
        <v>4.5978436193910392E-2</v>
      </c>
      <c r="AI61" s="340">
        <f t="shared" si="25"/>
        <v>0.16943549622468726</v>
      </c>
      <c r="AJ61" s="341">
        <f t="shared" si="12"/>
        <v>9.1956872387820784E-2</v>
      </c>
    </row>
    <row r="62" spans="1:36" x14ac:dyDescent="0.2">
      <c r="A62" s="309">
        <v>55</v>
      </c>
      <c r="B62" s="309">
        <f t="shared" si="13"/>
        <v>72.254441666666651</v>
      </c>
      <c r="C62" s="1">
        <v>457.03</v>
      </c>
      <c r="D62" s="1">
        <v>2.9</v>
      </c>
      <c r="E62" s="326">
        <f t="shared" si="4"/>
        <v>13.695253225232136</v>
      </c>
      <c r="F62" s="327">
        <f t="shared" si="0"/>
        <v>5.2932609638012933E-2</v>
      </c>
      <c r="G62" s="309">
        <f t="shared" si="5"/>
        <v>3.0131638888888888</v>
      </c>
      <c r="H62" s="1">
        <v>10847.39</v>
      </c>
      <c r="I62" s="324">
        <v>30</v>
      </c>
      <c r="J62" s="1">
        <v>5.8900000000000003E-3</v>
      </c>
      <c r="K62" s="122">
        <v>5.0000000000000002E-5</v>
      </c>
      <c r="L62" s="328">
        <f t="shared" si="6"/>
        <v>0.84889643463497455</v>
      </c>
      <c r="M62" s="329">
        <f t="shared" si="1"/>
        <v>4.8722865334632591E-4</v>
      </c>
      <c r="N62" s="342">
        <f>(1/$J$79)*SQRT(((1-J63/$J$79)*K62)^2+(J63/$J$79)^2*(SUMSQ(K$8:K61)+SUMSQ(K63:K$78)))</f>
        <v>5.4243221487458229E-6</v>
      </c>
      <c r="O62" s="340">
        <f t="shared" si="14"/>
        <v>1.1133011393092624</v>
      </c>
      <c r="P62" s="332">
        <f t="shared" si="7"/>
        <v>0.71402904180570703</v>
      </c>
      <c r="Q62" s="342">
        <f>SQRT(((1-P62)/$J$79)^2*SUMSQ(K$8:K62)+(P62/$J$79)^2*SUMSQ(K63:K$78))</f>
        <v>4.8848306852073949E-3</v>
      </c>
      <c r="R62" s="340">
        <f t="shared" si="15"/>
        <v>0.6841221293820422</v>
      </c>
      <c r="S62" s="343">
        <f t="shared" si="16"/>
        <v>1.4822105863906299E-8</v>
      </c>
      <c r="T62" s="344">
        <f t="shared" si="17"/>
        <v>4.0992642093368902E-11</v>
      </c>
      <c r="U62" s="344">
        <f>IF(P62&lt;=0.85, (1/(3*H62*$J$79))*SQRT( ((1-P62)*(1/SQRT(1-PI()*P62/3)-1) + (1-P61)*(1-1/SQRT(1-PI()*P61/3)))^2*SUMSQ(K$8:K61) + ( (1-P62)*(1/SQRT(1-PI()*P62/3)-1) -P61*(1-1/SQRT(1-PI()*P61/3)) )^2*K62^2 + ( P62*(1-1/SQRT(1-PI()*P62/3)) - P61*(1-1/SQRT(1-PI()*P61/3)) )^2*SUMSQ(K63:K$78) ), (1/(PI()^2*H62*$J$79))*SQRT((1+P61/(1-P61))^2*K62^2+(P61/(1-P61)-P62/(1-P62))^2*SUMSQ(K63:K$78)) )</f>
        <v>4.2214912465854472E-10</v>
      </c>
      <c r="V62" s="345">
        <f t="shared" si="18"/>
        <v>4.2413474292466372E-10</v>
      </c>
      <c r="W62" s="340">
        <f t="shared" si="19"/>
        <v>2.861501238885936</v>
      </c>
      <c r="X62" s="345">
        <f t="shared" si="20"/>
        <v>8.4826948584932743E-10</v>
      </c>
      <c r="Y62" s="338">
        <f t="shared" si="8"/>
        <v>-18.027146131093115</v>
      </c>
      <c r="Z62" s="346">
        <f t="shared" si="21"/>
        <v>2.861501238885936E-2</v>
      </c>
      <c r="AA62" s="346">
        <f t="shared" si="22"/>
        <v>0.15873290303840359</v>
      </c>
      <c r="AB62" s="346">
        <f t="shared" si="9"/>
        <v>5.723002477771872E-2</v>
      </c>
      <c r="AC62" s="336">
        <f t="shared" si="2"/>
        <v>1.9127868328947622E-12</v>
      </c>
      <c r="AD62" s="337">
        <f t="shared" si="3"/>
        <v>8.6787679100944393E-14</v>
      </c>
      <c r="AE62" s="308">
        <f t="shared" si="10"/>
        <v>4.5372373757718814</v>
      </c>
      <c r="AF62" s="337">
        <f t="shared" si="11"/>
        <v>1.7357535820188879E-13</v>
      </c>
      <c r="AG62" s="338">
        <f t="shared" si="23"/>
        <v>-26.98245986247138</v>
      </c>
      <c r="AH62" s="339">
        <f t="shared" si="24"/>
        <v>4.5372373757718819E-2</v>
      </c>
      <c r="AI62" s="340">
        <f t="shared" si="25"/>
        <v>0.16815506810342778</v>
      </c>
      <c r="AJ62" s="341">
        <f t="shared" si="12"/>
        <v>9.0744747515437638E-2</v>
      </c>
    </row>
    <row r="63" spans="1:36" x14ac:dyDescent="0.2">
      <c r="A63" s="309">
        <v>56</v>
      </c>
      <c r="B63" s="309">
        <f t="shared" si="13"/>
        <v>74.901480555555537</v>
      </c>
      <c r="C63" s="1">
        <v>467.03</v>
      </c>
      <c r="D63" s="1">
        <v>0.61</v>
      </c>
      <c r="E63" s="326">
        <f t="shared" si="4"/>
        <v>13.510227242022212</v>
      </c>
      <c r="F63" s="327">
        <f t="shared" si="0"/>
        <v>1.0840686014257112E-2</v>
      </c>
      <c r="G63" s="309">
        <f t="shared" si="5"/>
        <v>2.6470388888888889</v>
      </c>
      <c r="H63" s="1">
        <v>9529.34</v>
      </c>
      <c r="I63" s="324">
        <v>30</v>
      </c>
      <c r="J63" s="1">
        <v>6.1999999999999998E-3</v>
      </c>
      <c r="K63" s="1">
        <v>1.1E-4</v>
      </c>
      <c r="L63" s="328">
        <f t="shared" si="6"/>
        <v>1.7741935483870968</v>
      </c>
      <c r="M63" s="329">
        <f t="shared" si="1"/>
        <v>5.12872266680343E-4</v>
      </c>
      <c r="N63" s="342">
        <f>(1/$J$79)*SQRT(((1-J64/$J$79)*K63)^2+(J64/$J$79)^2*(SUMSQ(K$8:K62)+SUMSQ(K64:K$78)))</f>
        <v>1.0070838655608195E-5</v>
      </c>
      <c r="O63" s="340">
        <f t="shared" si="14"/>
        <v>1.9636153697281178</v>
      </c>
      <c r="P63" s="332">
        <f t="shared" si="7"/>
        <v>0.71454191407238743</v>
      </c>
      <c r="Q63" s="342">
        <f>SQRT(((1-P63)/$J$79)^2*SUMSQ(K$8:K63)+(P63/$J$79)^2*SUMSQ(K64:K$78))</f>
        <v>4.8883313526898895E-3</v>
      </c>
      <c r="R63" s="340">
        <f t="shared" si="15"/>
        <v>0.68412100905737383</v>
      </c>
      <c r="S63" s="343">
        <f t="shared" si="16"/>
        <v>1.7797309539002613E-8</v>
      </c>
      <c r="T63" s="344">
        <f t="shared" si="17"/>
        <v>5.6028989013937842E-11</v>
      </c>
      <c r="U63" s="344">
        <f>IF(P63&lt;=0.85, (1/(3*H63*$J$79))*SQRT( ((1-P63)*(1/SQRT(1-PI()*P63/3)-1) + (1-P62)*(1-1/SQRT(1-PI()*P62/3)))^2*SUMSQ(K$8:K62) + ( (1-P63)*(1/SQRT(1-PI()*P63/3)-1) -P62*(1-1/SQRT(1-PI()*P62/3)) )^2*K63^2 + ( P63*(1-1/SQRT(1-PI()*P63/3)) - P62*(1-1/SQRT(1-PI()*P62/3)) )^2*SUMSQ(K64:K$78) ), (1/(PI()^2*H63*$J$79))*SQRT((1+P62/(1-P62))^2*K63^2+(P62/(1-P62)-P63/(1-P63))^2*SUMSQ(K64:K$78)) )</f>
        <v>5.7815793869860069E-10</v>
      </c>
      <c r="V63" s="345">
        <f t="shared" si="18"/>
        <v>5.8086646459417749E-10</v>
      </c>
      <c r="W63" s="340">
        <f t="shared" si="19"/>
        <v>3.2637880648263993</v>
      </c>
      <c r="X63" s="345">
        <f t="shared" si="20"/>
        <v>1.161732929188355E-9</v>
      </c>
      <c r="Y63" s="338">
        <f t="shared" si="8"/>
        <v>-17.844218540566843</v>
      </c>
      <c r="Z63" s="346">
        <f t="shared" si="21"/>
        <v>3.2637880648263992E-2</v>
      </c>
      <c r="AA63" s="346">
        <f t="shared" si="22"/>
        <v>0.18290451091520432</v>
      </c>
      <c r="AB63" s="346">
        <f t="shared" si="9"/>
        <v>6.5275761296527984E-2</v>
      </c>
      <c r="AC63" s="336">
        <f t="shared" si="2"/>
        <v>2.2967356770844714E-12</v>
      </c>
      <c r="AD63" s="337">
        <f t="shared" si="3"/>
        <v>1.1026877986918231E-13</v>
      </c>
      <c r="AE63" s="308">
        <f t="shared" si="10"/>
        <v>4.8011088506780206</v>
      </c>
      <c r="AF63" s="337">
        <f t="shared" si="11"/>
        <v>2.2053755973836462E-13</v>
      </c>
      <c r="AG63" s="338">
        <f t="shared" si="23"/>
        <v>-26.799532271945107</v>
      </c>
      <c r="AH63" s="339">
        <f t="shared" si="24"/>
        <v>4.8011088506780202E-2</v>
      </c>
      <c r="AI63" s="340">
        <f t="shared" si="25"/>
        <v>0.17914897924185136</v>
      </c>
      <c r="AJ63" s="341">
        <f t="shared" si="12"/>
        <v>9.6022177013560403E-2</v>
      </c>
    </row>
    <row r="64" spans="1:36" x14ac:dyDescent="0.2">
      <c r="A64" s="309">
        <v>57</v>
      </c>
      <c r="B64" s="309">
        <f t="shared" si="13"/>
        <v>77.547949999999986</v>
      </c>
      <c r="C64" s="1">
        <v>476.98</v>
      </c>
      <c r="D64" s="1">
        <v>0.26</v>
      </c>
      <c r="E64" s="326">
        <f t="shared" si="4"/>
        <v>13.33102262274539</v>
      </c>
      <c r="F64" s="327">
        <f t="shared" si="0"/>
        <v>4.4996087049412707E-3</v>
      </c>
      <c r="G64" s="309">
        <f t="shared" si="5"/>
        <v>2.6464694444444445</v>
      </c>
      <c r="H64" s="1">
        <v>9527.2900000000009</v>
      </c>
      <c r="I64" s="324">
        <v>30</v>
      </c>
      <c r="J64" s="1">
        <v>7.6400000000000001E-3</v>
      </c>
      <c r="K64" s="1">
        <v>1.19999999999999E-4</v>
      </c>
      <c r="L64" s="328">
        <f t="shared" si="6"/>
        <v>1.5706806282722381</v>
      </c>
      <c r="M64" s="329">
        <f t="shared" si="1"/>
        <v>6.3199098668351953E-4</v>
      </c>
      <c r="N64" s="342">
        <f>(1/$J$79)*SQRT(((1-J65/$J$79)*K64)^2+(J65/$J$79)^2*(SUMSQ(K$8:K63)+SUMSQ(K65:K$78)))</f>
        <v>1.1584993583828597E-5</v>
      </c>
      <c r="O64" s="340">
        <f t="shared" si="14"/>
        <v>1.8330947478575328</v>
      </c>
      <c r="P64" s="332">
        <f t="shared" si="7"/>
        <v>0.71517390505907097</v>
      </c>
      <c r="Q64" s="342">
        <f>SQRT(((1-P64)/$J$79)^2*SUMSQ(K$8:K64)+(P64/$J$79)^2*SUMSQ(K65:K$78))</f>
        <v>4.8926452303638644E-3</v>
      </c>
      <c r="R64" s="340">
        <f t="shared" si="15"/>
        <v>0.68411965198307234</v>
      </c>
      <c r="S64" s="343">
        <f t="shared" si="16"/>
        <v>2.198808261787906E-8</v>
      </c>
      <c r="T64" s="344">
        <f t="shared" si="17"/>
        <v>6.9237157527100778E-11</v>
      </c>
      <c r="U64" s="344">
        <f>IF(P64&lt;=0.85, (1/(3*H64*$J$79))*SQRT( ((1-P64)*(1/SQRT(1-PI()*P64/3)-1) + (1-P63)*(1-1/SQRT(1-PI()*P63/3)))^2*SUMSQ(K$8:K63) + ( (1-P64)*(1/SQRT(1-PI()*P64/3)-1) -P63*(1-1/SQRT(1-PI()*P63/3)) )^2*K64^2 + ( P64*(1-1/SQRT(1-PI()*P64/3)) - P63*(1-1/SQRT(1-PI()*P63/3)) )^2*SUMSQ(K65:K$78) ), (1/(PI()^2*H64*$J$79))*SQRT((1+P63/(1-P63))^2*K64^2+(P63/(1-P63)-P64/(1-P64))^2*SUMSQ(K65:K$78)) )</f>
        <v>6.9165436766641938E-10</v>
      </c>
      <c r="V64" s="345">
        <f t="shared" si="18"/>
        <v>6.9511117693104823E-10</v>
      </c>
      <c r="W64" s="340">
        <f t="shared" si="19"/>
        <v>3.1613087371512605</v>
      </c>
      <c r="X64" s="345">
        <f t="shared" si="20"/>
        <v>1.3902223538620965E-9</v>
      </c>
      <c r="Y64" s="338">
        <f t="shared" si="8"/>
        <v>-17.632765229547424</v>
      </c>
      <c r="Z64" s="346">
        <f t="shared" si="21"/>
        <v>3.1613087371512603E-2</v>
      </c>
      <c r="AA64" s="346">
        <f t="shared" si="22"/>
        <v>0.17928604481467375</v>
      </c>
      <c r="AB64" s="346">
        <f t="shared" si="9"/>
        <v>6.3226174743025207E-2</v>
      </c>
      <c r="AC64" s="336">
        <f t="shared" si="2"/>
        <v>2.8375532666042453E-12</v>
      </c>
      <c r="AD64" s="337">
        <f t="shared" si="3"/>
        <v>1.3427416769173106E-13</v>
      </c>
      <c r="AE64" s="308">
        <f t="shared" si="10"/>
        <v>4.7320404262373383</v>
      </c>
      <c r="AF64" s="337">
        <f t="shared" si="11"/>
        <v>2.6854833538346211E-13</v>
      </c>
      <c r="AG64" s="338">
        <f t="shared" si="23"/>
        <v>-26.588078960925685</v>
      </c>
      <c r="AH64" s="339">
        <f t="shared" si="24"/>
        <v>4.732040426237339E-2</v>
      </c>
      <c r="AI64" s="340">
        <f t="shared" si="25"/>
        <v>0.1779760182445535</v>
      </c>
      <c r="AJ64" s="341">
        <f t="shared" si="12"/>
        <v>9.4640808524746781E-2</v>
      </c>
    </row>
    <row r="65" spans="1:36" x14ac:dyDescent="0.2">
      <c r="A65" s="309">
        <v>58</v>
      </c>
      <c r="B65" s="309">
        <f t="shared" si="13"/>
        <v>80.193891666666659</v>
      </c>
      <c r="C65" s="1">
        <v>487</v>
      </c>
      <c r="D65" s="1">
        <v>0.23</v>
      </c>
      <c r="E65" s="326">
        <f t="shared" si="4"/>
        <v>13.155298296388871</v>
      </c>
      <c r="F65" s="327">
        <f>SQRT((((-1)*10^4/(C90+273.15)^2)*D65)^2)</f>
        <v>3.0826585745538804E-2</v>
      </c>
      <c r="G65" s="309">
        <f t="shared" si="5"/>
        <v>2.6459416666666664</v>
      </c>
      <c r="H65" s="1">
        <v>9525.39</v>
      </c>
      <c r="I65" s="324">
        <v>30</v>
      </c>
      <c r="J65" s="1">
        <v>1.057E-2</v>
      </c>
      <c r="K65" s="1">
        <v>1.3999999999999999E-4</v>
      </c>
      <c r="L65" s="328">
        <f t="shared" si="6"/>
        <v>1.3245033112582782</v>
      </c>
      <c r="M65" s="329">
        <f t="shared" si="1"/>
        <v>8.7436449335664935E-4</v>
      </c>
      <c r="N65" s="342">
        <f>(1/$J$79)*SQRT(((1-J66/$J$79)*K65)^2+(J66/$J$79)^2*(SUMSQ(K$8:K64)+SUMSQ(K66:K$78)))</f>
        <v>1.4232487883316877E-5</v>
      </c>
      <c r="O65" s="340">
        <f t="shared" si="14"/>
        <v>1.6277522693858417</v>
      </c>
      <c r="P65" s="332">
        <f t="shared" si="7"/>
        <v>0.71604826955242762</v>
      </c>
      <c r="Q65" s="342">
        <f>SQRT(((1-P65)/$J$79)^2*SUMSQ(K$8:K65)+(P65/$J$79)^2*SUMSQ(K66:K$78))</f>
        <v>4.8986136094012738E-3</v>
      </c>
      <c r="R65" s="340">
        <f t="shared" si="15"/>
        <v>0.6841177917325596</v>
      </c>
      <c r="S65" s="343">
        <f t="shared" si="16"/>
        <v>3.0522717051343478E-8</v>
      </c>
      <c r="T65" s="344">
        <f t="shared" si="17"/>
        <v>9.6130605837693253E-11</v>
      </c>
      <c r="U65" s="344">
        <f>IF(P65&lt;=0.85, (1/(3*H65*$J$79))*SQRT( ((1-P65)*(1/SQRT(1-PI()*P65/3)-1) + (1-P64)*(1-1/SQRT(1-PI()*P64/3)))^2*SUMSQ(K$8:K64) + ( (1-P65)*(1/SQRT(1-PI()*P65/3)-1) -P64*(1-1/SQRT(1-PI()*P64/3)) )^2*K65^2 + ( P65*(1-1/SQRT(1-PI()*P65/3)) - P64*(1-1/SQRT(1-PI()*P64/3)) )^2*SUMSQ(K92:K$94) ), (1/(PI()^2*H65*$J$79))*SQRT((1+P64/(1-P64))^2*K65^2+(P64/(1-P64)-P65/(1-P65))^2*SUMSQ(K92:K$94)) )</f>
        <v>4.0360706629094001E-10</v>
      </c>
      <c r="V65" s="345">
        <f t="shared" si="18"/>
        <v>4.148972852872156E-10</v>
      </c>
      <c r="W65" s="340">
        <f t="shared" si="19"/>
        <v>1.3593065276243277</v>
      </c>
      <c r="X65" s="345">
        <f t="shared" si="20"/>
        <v>8.2979457057443121E-10</v>
      </c>
      <c r="Y65" s="338">
        <f t="shared" si="8"/>
        <v>-17.304794609219293</v>
      </c>
      <c r="Z65" s="346">
        <f t="shared" si="21"/>
        <v>1.3593065276243276E-2</v>
      </c>
      <c r="AA65" s="346">
        <f t="shared" si="22"/>
        <v>7.8550861672761152E-2</v>
      </c>
      <c r="AB65" s="346">
        <f t="shared" si="9"/>
        <v>2.7186130552486552E-2</v>
      </c>
      <c r="AC65" s="336">
        <f t="shared" si="2"/>
        <v>3.9389444263890555E-12</v>
      </c>
      <c r="AD65" s="337">
        <f t="shared" si="3"/>
        <v>1.4867127078435066E-13</v>
      </c>
      <c r="AE65" s="308">
        <f t="shared" si="10"/>
        <v>3.7743937129024676</v>
      </c>
      <c r="AF65" s="337">
        <f t="shared" si="11"/>
        <v>2.9734254156870133E-13</v>
      </c>
      <c r="AG65" s="338">
        <f t="shared" si="23"/>
        <v>-26.260108340597554</v>
      </c>
      <c r="AH65" s="339">
        <f t="shared" si="24"/>
        <v>3.7743937129024671E-2</v>
      </c>
      <c r="AI65" s="340">
        <f t="shared" si="25"/>
        <v>0.1437310792456761</v>
      </c>
      <c r="AJ65" s="341">
        <f t="shared" si="12"/>
        <v>7.5487874258049342E-2</v>
      </c>
    </row>
    <row r="66" spans="1:36" x14ac:dyDescent="0.2">
      <c r="A66" s="309">
        <v>59</v>
      </c>
      <c r="B66" s="309">
        <f t="shared" si="13"/>
        <v>82.83926944444444</v>
      </c>
      <c r="C66" s="1">
        <v>496.99</v>
      </c>
      <c r="D66" s="1">
        <v>0.52</v>
      </c>
      <c r="E66" s="326">
        <f t="shared" si="4"/>
        <v>12.984652141169139</v>
      </c>
      <c r="F66" s="327">
        <f t="shared" ref="F66:F71" si="26">SQRT((((-1)*10^4/(C67+273.15)^2)*D66)^2)</f>
        <v>8.5437221840486254E-3</v>
      </c>
      <c r="G66" s="309">
        <f t="shared" si="5"/>
        <v>2.6453777777777776</v>
      </c>
      <c r="H66" s="1">
        <v>9523.36</v>
      </c>
      <c r="I66" s="324">
        <v>30</v>
      </c>
      <c r="J66" s="1">
        <v>1.464E-2</v>
      </c>
      <c r="K66" s="1">
        <v>1.4999999999999999E-4</v>
      </c>
      <c r="L66" s="328">
        <f t="shared" si="6"/>
        <v>1.0245901639344261</v>
      </c>
      <c r="M66" s="329">
        <f t="shared" si="1"/>
        <v>1.2110403200322939E-3</v>
      </c>
      <c r="N66" s="342">
        <f>(1/$J$79)*SQRT(((1-J67/$J$79)*K66)^2+(J67/$J$79)^2*(SUMSQ(K$8:K65)+SUMSQ(K67:K$78)))</f>
        <v>1.6552308958671604E-5</v>
      </c>
      <c r="O66" s="340">
        <f t="shared" si="14"/>
        <v>1.3667842998183757</v>
      </c>
      <c r="P66" s="332">
        <f t="shared" si="7"/>
        <v>0.71725930987245989</v>
      </c>
      <c r="Q66" s="342">
        <f>SQRT(((1-P66)/$J$79)^2*SUMSQ(K$8:K66)+(P66/$J$79)^2*SUMSQ(K67:K$78))</f>
        <v>4.9068815300711607E-3</v>
      </c>
      <c r="R66" s="340">
        <f t="shared" si="15"/>
        <v>0.68411541858462344</v>
      </c>
      <c r="S66" s="343">
        <f t="shared" si="16"/>
        <v>4.2469659408932865E-8</v>
      </c>
      <c r="T66" s="344">
        <f t="shared" si="17"/>
        <v>1.3378574182515273E-10</v>
      </c>
      <c r="U66" s="344">
        <f>IF(P66&lt;=0.85, (1/(3*H66*$J$79))*SQRT( ((1-P66)*(1/SQRT(1-PI()*P66/3)-1) + (1-P65)*(1-1/SQRT(1-PI()*P65/3)))^2*SUMSQ(K$8:K65) + ( (1-P66)*(1/SQRT(1-PI()*P66/3)-1) -P65*(1-1/SQRT(1-PI()*P65/3)) )^2*K66^2 + ( P66*(1-1/SQRT(1-PI()*P66/3)) - P65*(1-1/SQRT(1-PI()*P65/3)) )^2*SUMSQ(K67:K$78) ), (1/(PI()^2*H66*$J$79))*SQRT((1+P65/(1-P65))^2*K66^2+(P65/(1-P65)-P66/(1-P66))^2*SUMSQ(K67:K$78)) )</f>
        <v>1.2417261048334165E-9</v>
      </c>
      <c r="V66" s="345">
        <f t="shared" si="18"/>
        <v>1.2489124645628593E-9</v>
      </c>
      <c r="W66" s="340">
        <f t="shared" si="19"/>
        <v>2.9407169304969023</v>
      </c>
      <c r="X66" s="345">
        <f t="shared" si="20"/>
        <v>2.4978249291257187E-9</v>
      </c>
      <c r="Y66" s="338">
        <f t="shared" si="8"/>
        <v>-16.97447591222172</v>
      </c>
      <c r="Z66" s="346">
        <f t="shared" si="21"/>
        <v>2.9407169304969023E-2</v>
      </c>
      <c r="AA66" s="346">
        <f t="shared" si="22"/>
        <v>0.17324345951556414</v>
      </c>
      <c r="AB66" s="346">
        <f t="shared" si="9"/>
        <v>5.8814338609938045E-2</v>
      </c>
      <c r="AC66" s="336">
        <f t="shared" si="2"/>
        <v>5.480692558859022E-12</v>
      </c>
      <c r="AD66" s="337">
        <f t="shared" si="3"/>
        <v>2.5143270562285196E-13</v>
      </c>
      <c r="AE66" s="308">
        <f t="shared" si="10"/>
        <v>4.5876082798411071</v>
      </c>
      <c r="AF66" s="337">
        <f t="shared" si="11"/>
        <v>5.0286541124570393E-13</v>
      </c>
      <c r="AG66" s="338">
        <f t="shared" si="23"/>
        <v>-25.929789643599985</v>
      </c>
      <c r="AH66" s="339">
        <f t="shared" si="24"/>
        <v>4.5876082798411079E-2</v>
      </c>
      <c r="AI66" s="340">
        <f t="shared" si="25"/>
        <v>0.17692423821777611</v>
      </c>
      <c r="AJ66" s="341">
        <f t="shared" si="12"/>
        <v>9.1752165596822158E-2</v>
      </c>
    </row>
    <row r="67" spans="1:36" x14ac:dyDescent="0.2">
      <c r="A67" s="309">
        <v>60</v>
      </c>
      <c r="B67" s="309">
        <f t="shared" si="13"/>
        <v>85.484083333333331</v>
      </c>
      <c r="C67" s="1">
        <v>507</v>
      </c>
      <c r="D67" s="1">
        <v>7.0000000000000007E-2</v>
      </c>
      <c r="E67" s="326">
        <f t="shared" si="4"/>
        <v>12.818047811318337</v>
      </c>
      <c r="F67" s="327">
        <f t="shared" si="26"/>
        <v>1.1211893172649394E-3</v>
      </c>
      <c r="G67" s="309">
        <f t="shared" si="5"/>
        <v>2.6448138888888888</v>
      </c>
      <c r="H67" s="1">
        <v>9521.33</v>
      </c>
      <c r="I67" s="324">
        <v>30</v>
      </c>
      <c r="J67" s="1">
        <v>1.9380000000000001E-2</v>
      </c>
      <c r="K67" s="1">
        <v>1.19999999999999E-4</v>
      </c>
      <c r="L67" s="328">
        <f t="shared" si="6"/>
        <v>0.61919504643962331</v>
      </c>
      <c r="M67" s="329">
        <f t="shared" si="1"/>
        <v>1.6031394400427498E-3</v>
      </c>
      <c r="N67" s="342">
        <f>(1/$J$79)*SQRT(((1-J68/$J$79)*K67)^2+(J68/$J$79)^2*(SUMSQ(K$8:K66)+SUMSQ(K68:K$78)))</f>
        <v>1.8182930607883139E-5</v>
      </c>
      <c r="O67" s="340">
        <f t="shared" si="14"/>
        <v>1.1342076773682437</v>
      </c>
      <c r="P67" s="332">
        <f t="shared" si="7"/>
        <v>0.71886244931250265</v>
      </c>
      <c r="Q67" s="342">
        <f>SQRT(((1-P67)/$J$79)^2*SUMSQ(K$8:K67)+(P67/$J$79)^2*SUMSQ(K68:K$78))</f>
        <v>4.9178310565051279E-3</v>
      </c>
      <c r="R67" s="340">
        <f t="shared" si="15"/>
        <v>0.68411294277624124</v>
      </c>
      <c r="S67" s="343">
        <f t="shared" si="16"/>
        <v>5.6565364728878946E-8</v>
      </c>
      <c r="T67" s="344">
        <f t="shared" si="17"/>
        <v>1.78227300373621E-10</v>
      </c>
      <c r="U67" s="344">
        <f>IF(P67&lt;=0.85, (1/(3*H67*$J$79))*SQRT( ((1-P67)*(1/SQRT(1-PI()*P67/3)-1) + (1-P66)*(1-1/SQRT(1-PI()*P66/3)))^2*SUMSQ(K$8:K66) + ( (1-P67)*(1/SQRT(1-PI()*P67/3)-1) -P66*(1-1/SQRT(1-PI()*P66/3)) )^2*K67^2 + ( P67*(1-1/SQRT(1-PI()*P67/3)) - P66*(1-1/SQRT(1-PI()*P66/3)) )^2*SUMSQ(K68:K$78) ), (1/(PI()^2*H67*$J$79))*SQRT((1+P66/(1-P66))^2*K67^2+(P66/(1-P66)-P67/(1-P67))^2*SUMSQ(K68:K$78)) )</f>
        <v>1.593953223274213E-9</v>
      </c>
      <c r="V67" s="345">
        <f t="shared" si="18"/>
        <v>1.6038864824496534E-9</v>
      </c>
      <c r="W67" s="340">
        <f t="shared" si="19"/>
        <v>2.8354568031819007</v>
      </c>
      <c r="X67" s="345">
        <f t="shared" si="20"/>
        <v>3.2077729648993067E-9</v>
      </c>
      <c r="Y67" s="338">
        <f t="shared" si="8"/>
        <v>-16.687868969628386</v>
      </c>
      <c r="Z67" s="346">
        <f t="shared" si="21"/>
        <v>2.8354568031819006E-2</v>
      </c>
      <c r="AA67" s="346">
        <f t="shared" si="22"/>
        <v>0.16991125759330802</v>
      </c>
      <c r="AB67" s="346">
        <f t="shared" si="9"/>
        <v>5.6709136063638012E-2</v>
      </c>
      <c r="AC67" s="336">
        <f t="shared" si="2"/>
        <v>7.2997376921159368E-12</v>
      </c>
      <c r="AD67" s="337">
        <f t="shared" si="3"/>
        <v>3.3001070996182348E-13</v>
      </c>
      <c r="AE67" s="308">
        <f t="shared" si="10"/>
        <v>4.5208571031018101</v>
      </c>
      <c r="AF67" s="337">
        <f t="shared" si="11"/>
        <v>6.6002141992364697E-13</v>
      </c>
      <c r="AG67" s="338">
        <f t="shared" si="23"/>
        <v>-25.643182701006651</v>
      </c>
      <c r="AH67" s="339">
        <f t="shared" si="24"/>
        <v>4.5208571031018101E-2</v>
      </c>
      <c r="AI67" s="340">
        <f t="shared" si="25"/>
        <v>0.17629859584178445</v>
      </c>
      <c r="AJ67" s="341">
        <f t="shared" si="12"/>
        <v>9.0417142062036202E-2</v>
      </c>
    </row>
    <row r="68" spans="1:36" x14ac:dyDescent="0.2">
      <c r="A68" s="309">
        <v>61</v>
      </c>
      <c r="B68" s="309">
        <f t="shared" si="13"/>
        <v>88.128913888888889</v>
      </c>
      <c r="C68" s="1">
        <v>517</v>
      </c>
      <c r="D68" s="1">
        <v>0.11</v>
      </c>
      <c r="E68" s="326">
        <f t="shared" si="4"/>
        <v>12.655824843384169</v>
      </c>
      <c r="F68" s="327">
        <f t="shared" si="26"/>
        <v>1.7181056499791061E-3</v>
      </c>
      <c r="G68" s="309">
        <f t="shared" si="5"/>
        <v>2.6448305555555556</v>
      </c>
      <c r="H68" s="1">
        <v>9521.39</v>
      </c>
      <c r="I68" s="324">
        <v>30</v>
      </c>
      <c r="J68" s="1">
        <v>2.6919999999999999E-2</v>
      </c>
      <c r="K68" s="1">
        <v>2.1000000000000001E-4</v>
      </c>
      <c r="L68" s="328">
        <f t="shared" si="6"/>
        <v>0.78008915304606241</v>
      </c>
      <c r="M68" s="329">
        <f t="shared" si="1"/>
        <v>2.226858293392715E-3</v>
      </c>
      <c r="N68" s="342">
        <f>(1/$J$79)*SQRT(((1-J69/$J$79)*K68)^2+(J69/$J$79)^2*(SUMSQ(K$8:K67)+SUMSQ(K69:K$78)))</f>
        <v>2.1776132253200182E-5</v>
      </c>
      <c r="O68" s="340">
        <f t="shared" si="14"/>
        <v>0.97788585460565169</v>
      </c>
      <c r="P68" s="332">
        <f t="shared" si="7"/>
        <v>0.7210893076058954</v>
      </c>
      <c r="Q68" s="342">
        <f>SQRT(((1-P68)/$J$79)^2*SUMSQ(K$8:K68)+(P68/$J$79)^2*SUMSQ(K69:K$78))</f>
        <v>4.933033326406812E-3</v>
      </c>
      <c r="R68" s="340">
        <f t="shared" si="15"/>
        <v>0.68410851116141014</v>
      </c>
      <c r="S68" s="343">
        <f t="shared" si="16"/>
        <v>7.9209072344317902E-8</v>
      </c>
      <c r="T68" s="344">
        <f t="shared" si="17"/>
        <v>2.4957198164653876E-10</v>
      </c>
      <c r="U68" s="344">
        <f>IF(P68&lt;=0.85, (1/(3*H68*$J$79))*SQRT( ((1-P68)*(1/SQRT(1-PI()*P68/3)-1) + (1-P67)*(1-1/SQRT(1-PI()*P67/3)))^2*SUMSQ(K$8:K67) + ( (1-P68)*(1/SQRT(1-PI()*P68/3)-1) -P67*(1-1/SQRT(1-PI()*P67/3)) )^2*K68^2 + ( P68*(1-1/SQRT(1-PI()*P68/3)) - P67*(1-1/SQRT(1-PI()*P67/3)) )^2*SUMSQ(K$78:K79) ), (1/(PI()^2*H68*$J$79))*SQRT((1+P67/(1-P67))^2*K68^2+(P67/(1-P67)-P68/(1-P68))^2*SUMSQ(K$78:K79)) )</f>
        <v>3.1577444521737521E-9</v>
      </c>
      <c r="V68" s="345">
        <f t="shared" si="18"/>
        <v>3.1675915455211535E-9</v>
      </c>
      <c r="W68" s="340">
        <f t="shared" si="19"/>
        <v>3.9990261869900339</v>
      </c>
      <c r="X68" s="345">
        <f t="shared" si="20"/>
        <v>6.3351830910423071E-9</v>
      </c>
      <c r="Y68" s="338">
        <f t="shared" si="8"/>
        <v>-16.351174994884364</v>
      </c>
      <c r="Z68" s="346">
        <f t="shared" si="21"/>
        <v>3.9990261869900338E-2</v>
      </c>
      <c r="AA68" s="346">
        <f t="shared" si="22"/>
        <v>0.24457118147418588</v>
      </c>
      <c r="AB68" s="346">
        <f t="shared" si="9"/>
        <v>7.9980523739800677E-2</v>
      </c>
      <c r="AC68" s="336">
        <f t="shared" si="2"/>
        <v>1.0221899102405288E-11</v>
      </c>
      <c r="AD68" s="337">
        <f t="shared" si="3"/>
        <v>5.4465117863794314E-13</v>
      </c>
      <c r="AE68" s="308">
        <f t="shared" si="10"/>
        <v>5.3282777806893309</v>
      </c>
      <c r="AF68" s="337">
        <f t="shared" si="11"/>
        <v>1.0893023572758863E-12</v>
      </c>
      <c r="AG68" s="338">
        <f t="shared" si="23"/>
        <v>-25.306488726262629</v>
      </c>
      <c r="AH68" s="339">
        <f t="shared" si="24"/>
        <v>5.3282777806893312E-2</v>
      </c>
      <c r="AI68" s="340">
        <f t="shared" si="25"/>
        <v>0.21054986483208704</v>
      </c>
      <c r="AJ68" s="341">
        <f t="shared" si="12"/>
        <v>0.10656555561378662</v>
      </c>
    </row>
    <row r="69" spans="1:36" x14ac:dyDescent="0.2">
      <c r="A69" s="309">
        <v>62</v>
      </c>
      <c r="B69" s="309">
        <f t="shared" si="13"/>
        <v>89.775947222222229</v>
      </c>
      <c r="C69" s="1">
        <v>527</v>
      </c>
      <c r="D69" s="1">
        <v>0.22</v>
      </c>
      <c r="E69" s="326">
        <f t="shared" si="4"/>
        <v>12.497656689370743</v>
      </c>
      <c r="F69" s="327">
        <f t="shared" si="26"/>
        <v>3.3519058245187637E-3</v>
      </c>
      <c r="G69" s="309">
        <f t="shared" si="5"/>
        <v>1.6470333333333331</v>
      </c>
      <c r="H69" s="1">
        <v>5929.32</v>
      </c>
      <c r="I69" s="324">
        <v>30</v>
      </c>
      <c r="J69" s="1">
        <v>2.3259999999999999E-2</v>
      </c>
      <c r="K69" s="1">
        <v>1.8999999999999901E-4</v>
      </c>
      <c r="L69" s="328">
        <f t="shared" si="6"/>
        <v>0.81685296646603189</v>
      </c>
      <c r="M69" s="329">
        <f t="shared" si="1"/>
        <v>1.9240982133846417E-3</v>
      </c>
      <c r="N69" s="342">
        <f>(1/$J$79)*SQRT(((1-J70/$J$79)*K69)^2+(J70/$J$79)^2*(SUMSQ(K$8:K68)+SUMSQ(K70:K$78)))</f>
        <v>2.3501468016721898E-5</v>
      </c>
      <c r="O69" s="340">
        <f t="shared" si="14"/>
        <v>1.2214276721031276</v>
      </c>
      <c r="P69" s="332">
        <f t="shared" si="7"/>
        <v>0.72301340581928009</v>
      </c>
      <c r="Q69" s="342">
        <f>SQRT(((1-P69)/$J$79)^2*SUMSQ(K$8:K69)+(P69/$J$79)^2*SUMSQ(K70:K$78))</f>
        <v>4.9461693495626976E-3</v>
      </c>
      <c r="R69" s="340">
        <f t="shared" si="15"/>
        <v>0.68410479110798272</v>
      </c>
      <c r="S69" s="343">
        <f t="shared" si="16"/>
        <v>1.1087131106765885E-7</v>
      </c>
      <c r="T69" s="344">
        <f t="shared" si="17"/>
        <v>5.6096471973679364E-10</v>
      </c>
      <c r="U69" s="344">
        <f>IF(P69&lt;=0.85, (1/(3*H69*$J$79))*SQRT( ((1-P69)*(1/SQRT(1-PI()*P69/3)-1) + (1-P68)*(1-1/SQRT(1-PI()*P68/3)))^2*SUMSQ(K$8:K68) + ( (1-P69)*(1/SQRT(1-PI()*P69/3)-1) -P68*(1-1/SQRT(1-PI()*P68/3)) )^2*K69^2 + ( P69*(1-1/SQRT(1-PI()*P69/3)) - P68*(1-1/SQRT(1-PI()*P68/3)) )^2*SUMSQ(K70:K$78) ), (1/(PI()^2*H69*$J$79))*SQRT((1+P68/(1-P68))^2*K69^2+(P68/(1-P68)-P69/(1-P69))^2*SUMSQ(K70:K$78)) )</f>
        <v>3.2104298051855349E-9</v>
      </c>
      <c r="V69" s="345">
        <f t="shared" si="18"/>
        <v>3.2590705654853519E-9</v>
      </c>
      <c r="W69" s="340">
        <f t="shared" si="19"/>
        <v>2.9395075552922023</v>
      </c>
      <c r="X69" s="345">
        <f t="shared" si="20"/>
        <v>6.5181411309707038E-9</v>
      </c>
      <c r="Y69" s="338">
        <f t="shared" si="8"/>
        <v>-16.014895667962303</v>
      </c>
      <c r="Z69" s="346">
        <f t="shared" si="21"/>
        <v>2.9395075552922024E-2</v>
      </c>
      <c r="AA69" s="346">
        <f t="shared" si="22"/>
        <v>0.1835483425079483</v>
      </c>
      <c r="AB69" s="346">
        <f t="shared" si="9"/>
        <v>5.8790151105844048E-2</v>
      </c>
      <c r="AC69" s="336">
        <f t="shared" si="2"/>
        <v>1.4307898344756948E-11</v>
      </c>
      <c r="AD69" s="337">
        <f t="shared" si="3"/>
        <v>6.5627942412159102E-13</v>
      </c>
      <c r="AE69" s="308">
        <f t="shared" si="10"/>
        <v>4.5868331484342777</v>
      </c>
      <c r="AF69" s="337">
        <f t="shared" si="11"/>
        <v>1.312558848243182E-12</v>
      </c>
      <c r="AG69" s="338">
        <f t="shared" si="23"/>
        <v>-24.970209399340568</v>
      </c>
      <c r="AH69" s="339">
        <f t="shared" si="24"/>
        <v>4.5868331484342773E-2</v>
      </c>
      <c r="AI69" s="340">
        <f t="shared" si="25"/>
        <v>0.18369221799779581</v>
      </c>
      <c r="AJ69" s="341">
        <f t="shared" si="12"/>
        <v>9.1736662968685545E-2</v>
      </c>
    </row>
    <row r="70" spans="1:36" x14ac:dyDescent="0.2">
      <c r="A70" s="309">
        <v>63</v>
      </c>
      <c r="B70" s="309">
        <f t="shared" si="13"/>
        <v>91.421869444444454</v>
      </c>
      <c r="C70" s="1">
        <v>537</v>
      </c>
      <c r="D70" s="1">
        <v>0.35</v>
      </c>
      <c r="E70" s="326">
        <f t="shared" si="4"/>
        <v>12.343393198790348</v>
      </c>
      <c r="F70" s="327">
        <f t="shared" si="26"/>
        <v>5.2034580369526148E-3</v>
      </c>
      <c r="G70" s="309">
        <f t="shared" si="5"/>
        <v>1.6459222222222221</v>
      </c>
      <c r="H70" s="1">
        <v>5925.32</v>
      </c>
      <c r="I70" s="324">
        <v>30</v>
      </c>
      <c r="J70" s="1">
        <v>3.091E-2</v>
      </c>
      <c r="K70" s="1">
        <v>2.7E-4</v>
      </c>
      <c r="L70" s="328">
        <f t="shared" si="6"/>
        <v>0.87350372047880942</v>
      </c>
      <c r="M70" s="329">
        <f t="shared" si="1"/>
        <v>2.5569164134015168E-3</v>
      </c>
      <c r="N70" s="342">
        <f>(1/$J$79)*SQRT(((1-J71/$J$79)*K70)^2+(J71/$J$79)^2*(SUMSQ(K$8:K69)+SUMSQ(K71:K$78)))</f>
        <v>3.2434599581150152E-5</v>
      </c>
      <c r="O70" s="340">
        <f t="shared" si="14"/>
        <v>1.2685044928004416</v>
      </c>
      <c r="P70" s="332">
        <f t="shared" si="7"/>
        <v>0.72557032223268159</v>
      </c>
      <c r="Q70" s="342">
        <f>SQRT(((1-P70)/$J$79)^2*SUMSQ(K$8:K70)+(P70/$J$79)^2*SUMSQ(K71:K$78))</f>
        <v>4.9636179654960963E-3</v>
      </c>
      <c r="R70" s="340">
        <f t="shared" si="15"/>
        <v>0.68409881349919999</v>
      </c>
      <c r="S70" s="343">
        <f t="shared" si="16"/>
        <v>1.4884719583786382E-7</v>
      </c>
      <c r="T70" s="344">
        <f t="shared" si="17"/>
        <v>7.5361598616377078E-10</v>
      </c>
      <c r="U70" s="344">
        <f>IF(P70&lt;=0.85, (1/(3*H70*$J$79))*SQRT( ((1-P70)*(1/SQRT(1-PI()*P70/3)-1) + (1-P69)*(1-1/SQRT(1-PI()*P69/3)))^2*SUMSQ(K$8:K69) + ( (1-P70)*(1/SQRT(1-PI()*P70/3)-1) -P69*(1-1/SQRT(1-PI()*P69/3)) )^2*K70^2 + ( P70*(1-1/SQRT(1-PI()*P70/3)) - P69*(1-1/SQRT(1-PI()*P69/3)) )^2*SUMSQ(K71:K$78) ), (1/(PI()^2*H70*$J$79))*SQRT((1+P69/(1-P69))^2*K70^2+(P69/(1-P69)-P70/(1-P70))^2*SUMSQ(K71:K$78)) )</f>
        <v>4.3580722457680628E-9</v>
      </c>
      <c r="V70" s="345">
        <f t="shared" si="18"/>
        <v>4.4227514913157264E-9</v>
      </c>
      <c r="W70" s="340">
        <f t="shared" si="19"/>
        <v>2.9713367903372117</v>
      </c>
      <c r="X70" s="345">
        <f t="shared" si="20"/>
        <v>8.8455029826314528E-9</v>
      </c>
      <c r="Y70" s="338">
        <f t="shared" si="8"/>
        <v>-15.720345588507469</v>
      </c>
      <c r="Z70" s="346">
        <f t="shared" si="21"/>
        <v>2.9713367903372118E-2</v>
      </c>
      <c r="AA70" s="346">
        <f t="shared" si="22"/>
        <v>0.1890121800190856</v>
      </c>
      <c r="AB70" s="346">
        <f t="shared" si="9"/>
        <v>5.9426735806744235E-2</v>
      </c>
      <c r="AC70" s="336">
        <f t="shared" si="2"/>
        <v>1.920867108399799E-11</v>
      </c>
      <c r="AD70" s="337">
        <f t="shared" si="3"/>
        <v>8.8500032520789138E-13</v>
      </c>
      <c r="AE70" s="308">
        <f t="shared" si="10"/>
        <v>4.6072959515931915</v>
      </c>
      <c r="AF70" s="337">
        <f t="shared" si="11"/>
        <v>1.7700006504157828E-12</v>
      </c>
      <c r="AG70" s="338">
        <f t="shared" si="23"/>
        <v>-24.675659319885732</v>
      </c>
      <c r="AH70" s="339">
        <f t="shared" si="24"/>
        <v>4.6072959515931912E-2</v>
      </c>
      <c r="AI70" s="340">
        <f t="shared" si="25"/>
        <v>0.18671419846845763</v>
      </c>
      <c r="AJ70" s="341">
        <f t="shared" si="12"/>
        <v>9.2145919031863824E-2</v>
      </c>
    </row>
    <row r="71" spans="1:36" x14ac:dyDescent="0.2">
      <c r="A71" s="309">
        <v>64</v>
      </c>
      <c r="B71" s="309">
        <f t="shared" si="13"/>
        <v>93.066127777777794</v>
      </c>
      <c r="C71" s="1">
        <v>546.99</v>
      </c>
      <c r="D71" s="1">
        <v>0.74</v>
      </c>
      <c r="E71" s="326">
        <f t="shared" si="4"/>
        <v>12.193040212646622</v>
      </c>
      <c r="F71" s="327">
        <f t="shared" si="26"/>
        <v>1.0737880717229052E-2</v>
      </c>
      <c r="G71" s="309">
        <f t="shared" si="5"/>
        <v>1.6442583333333334</v>
      </c>
      <c r="H71" s="1">
        <v>5919.33</v>
      </c>
      <c r="I71" s="324">
        <v>30</v>
      </c>
      <c r="J71" s="1">
        <v>4.165E-2</v>
      </c>
      <c r="K71" s="1">
        <v>1.8999999999999901E-4</v>
      </c>
      <c r="L71" s="328">
        <f t="shared" si="6"/>
        <v>0.45618247298919334</v>
      </c>
      <c r="M71" s="329">
        <f t="shared" si="1"/>
        <v>3.4453435334252077E-3</v>
      </c>
      <c r="N71" s="342">
        <f>(1/$J$79)*SQRT(((1-J72/$J$79)*K71)^2+(J72/$J$79)^2*(SUMSQ(K$8:K70)+SUMSQ(K72:K$78)))</f>
        <v>3.5186165558727702E-5</v>
      </c>
      <c r="O71" s="340">
        <f t="shared" si="14"/>
        <v>1.0212672616639531</v>
      </c>
      <c r="P71" s="332">
        <f t="shared" si="7"/>
        <v>0.72901566576610677</v>
      </c>
      <c r="Q71" s="342">
        <f>SQRT(((1-P71)/$J$79)^2*SUMSQ(K$8:K71)+(P71/$J$79)^2*SUMSQ(K72:K$78))</f>
        <v>4.9871486647765024E-3</v>
      </c>
      <c r="R71" s="340">
        <f t="shared" si="15"/>
        <v>0.68409348371624024</v>
      </c>
      <c r="S71" s="343">
        <f t="shared" si="16"/>
        <v>2.0336385112641796E-7</v>
      </c>
      <c r="T71" s="344">
        <f t="shared" si="17"/>
        <v>1.0306767039162436E-9</v>
      </c>
      <c r="U71" s="344">
        <f>IF(P71&lt;=0.85, (1/(3*H71*$J$79))*SQRT( ((1-P71)*(1/SQRT(1-PI()*P71/3)-1) + (1-P70)*(1-1/SQRT(1-PI()*P70/3)))^2*SUMSQ(K$8:K70) + ( (1-P71)*(1/SQRT(1-PI()*P71/3)-1) -P70*(1-1/SQRT(1-PI()*P70/3)) )^2*K71^2 + ( P71*(1-1/SQRT(1-PI()*P71/3)) - P70*(1-1/SQRT(1-PI()*P70/3)) )^2*SUMSQ(K$78:K98) ), (1/(PI()^2*H71*$J$79))*SQRT((1+P70/(1-P70))^2*K71^2+(P70/(1-P70)-P71/(1-P71))^2*SUMSQ(K$78:K98)) )</f>
        <v>8.1643925118133342E-9</v>
      </c>
      <c r="V71" s="345">
        <f t="shared" si="18"/>
        <v>8.2291919138484845E-9</v>
      </c>
      <c r="W71" s="340">
        <f t="shared" si="19"/>
        <v>4.0465362296531922</v>
      </c>
      <c r="X71" s="345">
        <f t="shared" si="20"/>
        <v>1.6458383827696969E-8</v>
      </c>
      <c r="Y71" s="338">
        <f t="shared" si="8"/>
        <v>-15.408269092202193</v>
      </c>
      <c r="Z71" s="346">
        <f t="shared" si="21"/>
        <v>4.0465362296531922E-2</v>
      </c>
      <c r="AA71" s="346">
        <f t="shared" si="22"/>
        <v>0.26262107738636659</v>
      </c>
      <c r="AB71" s="346">
        <f t="shared" si="9"/>
        <v>8.0930724593063844E-2</v>
      </c>
      <c r="AC71" s="336">
        <f t="shared" si="2"/>
        <v>2.6244023642323789E-11</v>
      </c>
      <c r="AD71" s="337">
        <f t="shared" si="3"/>
        <v>1.407736598827871E-12</v>
      </c>
      <c r="AE71" s="308">
        <f t="shared" si="10"/>
        <v>5.3640273229963542</v>
      </c>
      <c r="AF71" s="337">
        <f t="shared" si="11"/>
        <v>2.815473197655742E-12</v>
      </c>
      <c r="AG71" s="338">
        <f t="shared" si="23"/>
        <v>-24.363582823580458</v>
      </c>
      <c r="AH71" s="339">
        <f t="shared" si="24"/>
        <v>5.3640273229963543E-2</v>
      </c>
      <c r="AI71" s="340">
        <f t="shared" si="25"/>
        <v>0.22016578439377743</v>
      </c>
      <c r="AJ71" s="341">
        <f t="shared" si="12"/>
        <v>0.10728054645992709</v>
      </c>
    </row>
    <row r="72" spans="1:36" x14ac:dyDescent="0.2">
      <c r="A72" s="309">
        <v>65</v>
      </c>
      <c r="B72" s="309">
        <f t="shared" si="13"/>
        <v>94.712061111111126</v>
      </c>
      <c r="C72" s="1">
        <v>557</v>
      </c>
      <c r="D72" s="1">
        <v>0.1</v>
      </c>
      <c r="E72" s="326">
        <f t="shared" si="4"/>
        <v>12.046015780280673</v>
      </c>
      <c r="F72" s="327">
        <f t="shared" ref="F72" si="27">SQRT((((-1)*10^4/(C97+273.15)^2)*D72)^2)</f>
        <v>1.3402863367625568E-2</v>
      </c>
      <c r="G72" s="309">
        <f t="shared" si="5"/>
        <v>1.6459333333333332</v>
      </c>
      <c r="H72" s="1">
        <v>5925.36</v>
      </c>
      <c r="I72" s="324">
        <v>30</v>
      </c>
      <c r="J72" s="1">
        <v>5.5639999999999898E-2</v>
      </c>
      <c r="K72" s="1">
        <v>1.4999999999999999E-4</v>
      </c>
      <c r="L72" s="328">
        <f t="shared" si="6"/>
        <v>0.26959022286125134</v>
      </c>
      <c r="M72" s="329">
        <f t="shared" ref="M72:M73" si="28">J72/$J$79</f>
        <v>4.6026149867893929E-3</v>
      </c>
      <c r="N72" s="342">
        <f>(1/$J$79)*SQRT(((1-J73/$J$79)*K72)^2+(J73/$J$79)^2*(SUMSQ(K$8:K71)+SUMSQ(K73:K$78)))</f>
        <v>4.3063578650813007E-5</v>
      </c>
      <c r="O72" s="340">
        <f t="shared" si="14"/>
        <v>0.93563286901936804</v>
      </c>
      <c r="P72" s="332">
        <f t="shared" si="7"/>
        <v>0.73361828075289615</v>
      </c>
      <c r="Q72" s="342">
        <f>SQRT(((1-P72)/$J$79)^2*SUMSQ(K$8:K72)+(P72/$J$79)^2*SUMSQ(K73:K$78))</f>
        <v>5.0185917618472409E-3</v>
      </c>
      <c r="R72" s="340">
        <f t="shared" si="15"/>
        <v>0.68408760979848693</v>
      </c>
      <c r="S72" s="343">
        <f t="shared" si="16"/>
        <v>2.761497468851341E-7</v>
      </c>
      <c r="T72" s="344">
        <f t="shared" si="17"/>
        <v>1.3981416161303317E-9</v>
      </c>
      <c r="U72" s="344">
        <f>IF(P72&lt;=0.85, (1/(3*H72*$J$79))*SQRT( ((1-P72)*(1/SQRT(1-PI()*P72/3)-1) + (1-P71)*(1-1/SQRT(1-PI()*P71/3)))^2*SUMSQ(K$8:K71) + ( (1-P72)*(1/SQRT(1-PI()*P72/3)-1) -P71*(1-1/SQRT(1-PI()*P71/3)) )^2*K72^2 + ( P72*(1-1/SQRT(1-PI()*P72/3)) - P71*(1-1/SQRT(1-PI()*P71/3)) )^2*SUMSQ(K73:K$78) ), (1/(PI()^2*H72*$J$79))*SQRT((1+P71/(1-P71))^2*K72^2+(P71/(1-P71)-P72/(1-P72))^2*SUMSQ(K73:K$78)) )</f>
        <v>7.9083668413671319E-9</v>
      </c>
      <c r="V72" s="345">
        <f t="shared" si="18"/>
        <v>8.031006541921796E-9</v>
      </c>
      <c r="W72" s="340">
        <f t="shared" si="19"/>
        <v>2.9082070986877762</v>
      </c>
      <c r="X72" s="345">
        <f t="shared" si="20"/>
        <v>1.6062013083843592E-8</v>
      </c>
      <c r="Y72" s="338">
        <f t="shared" si="8"/>
        <v>-15.102322557184339</v>
      </c>
      <c r="Z72" s="346">
        <f t="shared" si="21"/>
        <v>2.9082070986877762E-2</v>
      </c>
      <c r="AA72" s="346">
        <f t="shared" si="22"/>
        <v>0.19256687755647958</v>
      </c>
      <c r="AB72" s="346">
        <f t="shared" si="9"/>
        <v>5.8164141973755523E-2</v>
      </c>
      <c r="AC72" s="336">
        <f t="shared" ref="AC72:AC77" si="29">S72*($AC$3^2)*10^(-8)</f>
        <v>3.5637014375627803E-11</v>
      </c>
      <c r="AD72" s="337">
        <f t="shared" ref="AD72:AD77" si="30">AC72*SQRT((V72/S72)^2+(2*$AD$3/$AC$3)^2)</f>
        <v>1.6274844365575133E-12</v>
      </c>
      <c r="AE72" s="308">
        <f t="shared" si="10"/>
        <v>4.566837219872582</v>
      </c>
      <c r="AF72" s="337">
        <f t="shared" si="11"/>
        <v>3.2549688731150266E-12</v>
      </c>
      <c r="AG72" s="338">
        <f t="shared" si="23"/>
        <v>-24.057636288562602</v>
      </c>
      <c r="AH72" s="339">
        <f t="shared" si="24"/>
        <v>4.5668372198725826E-2</v>
      </c>
      <c r="AI72" s="340">
        <f t="shared" si="25"/>
        <v>0.18982900751740656</v>
      </c>
      <c r="AJ72" s="341">
        <f t="shared" si="12"/>
        <v>9.1336744397451652E-2</v>
      </c>
    </row>
    <row r="73" spans="1:36" x14ac:dyDescent="0.2">
      <c r="A73" s="309">
        <v>66</v>
      </c>
      <c r="B73" s="309">
        <f t="shared" si="13"/>
        <v>96.358891666666679</v>
      </c>
      <c r="C73" s="1">
        <v>566.99</v>
      </c>
      <c r="D73" s="1">
        <v>0.12</v>
      </c>
      <c r="E73" s="326">
        <f t="shared" ref="E73:E77" si="31">10000/(C73+273.15)</f>
        <v>11.902778108410503</v>
      </c>
      <c r="F73" s="327">
        <f t="shared" ref="F73:F75" si="32">SQRT((((-1)*10^4/(C74+273.15)^2)*D73)^2)</f>
        <v>1.660313609235417E-3</v>
      </c>
      <c r="G73" s="309">
        <f t="shared" ref="G73:G77" si="33">H73/60/60</f>
        <v>1.6468305555555556</v>
      </c>
      <c r="H73" s="1">
        <v>5928.59</v>
      </c>
      <c r="I73" s="324">
        <v>30</v>
      </c>
      <c r="J73" s="1">
        <v>7.2840000000000002E-2</v>
      </c>
      <c r="K73" s="1">
        <v>2.1000000000000001E-4</v>
      </c>
      <c r="L73" s="328">
        <f t="shared" ref="L73:L77" si="34">100*(K73/J73)</f>
        <v>0.28830313014827019</v>
      </c>
      <c r="M73" s="329">
        <f t="shared" si="28"/>
        <v>6.0254219201606755E-3</v>
      </c>
      <c r="N73" s="342">
        <f>(1/$J$79)*SQRT(((1-J74/$J$79)*K73)^2+(J74/$J$79)^2*(SUMSQ(K$8:K72)+SUMSQ(K74:K$78)))</f>
        <v>5.4766455841125829E-5</v>
      </c>
      <c r="O73" s="340">
        <f t="shared" si="14"/>
        <v>0.90892316864783829</v>
      </c>
      <c r="P73" s="332">
        <f t="shared" ref="P73:P77" si="35">M73+P72</f>
        <v>0.73964370267305679</v>
      </c>
      <c r="Q73" s="342">
        <f>SQRT(((1-P73)/$J$79)^2*SUMSQ(K$8:K73)+(P73/$J$79)^2*SUMSQ(K74:K$78))</f>
        <v>5.0597510856523354E-3</v>
      </c>
      <c r="R73" s="340">
        <f t="shared" si="15"/>
        <v>0.68407951928293331</v>
      </c>
      <c r="S73" s="343">
        <f t="shared" si="16"/>
        <v>3.6979643027503394E-7</v>
      </c>
      <c r="T73" s="344">
        <f t="shared" si="17"/>
        <v>1.8712531830082729E-9</v>
      </c>
      <c r="U73" s="344">
        <f>IF(P73&lt;=0.85, (1/(3*H73*$J$79))*SQRT( ((1-P73)*(1/SQRT(1-PI()*P73/3)-1) + (1-P72)*(1-1/SQRT(1-PI()*P72/3)))^2*SUMSQ(K$8:K72) + ( (1-P73)*(1/SQRT(1-PI()*P73/3)-1) -P72*(1-1/SQRT(1-PI()*P72/3)) )^2*K73^2 + ( P73*(1-1/SQRT(1-PI()*P73/3)) - P72*(1-1/SQRT(1-PI()*P72/3)) )^2*SUMSQ(K74:K$78) ), (1/(PI()^2*H73*$J$79))*SQRT((1+P72/(1-P72))^2*K73^2+(P72/(1-P72)-P73/(1-P73))^2*SUMSQ(K74:K$78)) )</f>
        <v>1.0759142682442123E-8</v>
      </c>
      <c r="V73" s="345">
        <f t="shared" si="18"/>
        <v>1.0920656561583946E-8</v>
      </c>
      <c r="W73" s="340">
        <f t="shared" si="19"/>
        <v>2.9531535914129217</v>
      </c>
      <c r="X73" s="345">
        <f t="shared" si="20"/>
        <v>2.1841313123167892E-8</v>
      </c>
      <c r="Y73" s="338">
        <f t="shared" ref="Y73:Y77" si="36">LN(S73)</f>
        <v>-14.810313171163196</v>
      </c>
      <c r="Z73" s="346">
        <f t="shared" si="21"/>
        <v>2.9531535914129218E-2</v>
      </c>
      <c r="AA73" s="346">
        <f t="shared" si="22"/>
        <v>0.1993984568241903</v>
      </c>
      <c r="AB73" s="346">
        <f t="shared" ref="AB73:AB77" si="37">2*Z73</f>
        <v>5.9063071828258436E-2</v>
      </c>
      <c r="AC73" s="336">
        <f t="shared" si="29"/>
        <v>4.7722081408421019E-11</v>
      </c>
      <c r="AD73" s="337">
        <f t="shared" si="30"/>
        <v>2.1931113230301882E-12</v>
      </c>
      <c r="AE73" s="308">
        <f t="shared" ref="AE73:AE77" si="38">100*AD73/AC73</f>
        <v>4.5955902557158641</v>
      </c>
      <c r="AF73" s="337">
        <f t="shared" ref="AF73:AF77" si="39">2*AD73</f>
        <v>4.3862226460603764E-12</v>
      </c>
      <c r="AG73" s="338">
        <f t="shared" si="23"/>
        <v>-23.765626902541459</v>
      </c>
      <c r="AH73" s="339">
        <f t="shared" si="24"/>
        <v>4.5955902557158639E-2</v>
      </c>
      <c r="AI73" s="340">
        <f t="shared" si="25"/>
        <v>0.19337130362946237</v>
      </c>
      <c r="AJ73" s="341">
        <f t="shared" ref="AJ73:AJ77" si="40">2*AH73</f>
        <v>9.1911805114317277E-2</v>
      </c>
    </row>
    <row r="74" spans="1:36" x14ac:dyDescent="0.2">
      <c r="A74" s="309">
        <v>67</v>
      </c>
      <c r="B74" s="309">
        <f t="shared" ref="B74:B77" si="41">G74+B73</f>
        <v>98.0042638888889</v>
      </c>
      <c r="C74" s="1">
        <v>577</v>
      </c>
      <c r="D74" s="1">
        <v>0.22</v>
      </c>
      <c r="E74" s="326">
        <f t="shared" si="31"/>
        <v>11.762630124095748</v>
      </c>
      <c r="F74" s="327">
        <f t="shared" si="32"/>
        <v>2.9736126227658611E-3</v>
      </c>
      <c r="G74" s="309">
        <f t="shared" si="33"/>
        <v>1.6453722222222222</v>
      </c>
      <c r="H74" s="1">
        <v>5923.34</v>
      </c>
      <c r="I74" s="324">
        <v>30</v>
      </c>
      <c r="J74" s="1">
        <v>9.1770000000000004E-2</v>
      </c>
      <c r="K74" s="1">
        <v>4.6999999999999999E-4</v>
      </c>
      <c r="L74" s="328">
        <f t="shared" si="34"/>
        <v>0.51214994006756021</v>
      </c>
      <c r="M74" s="329">
        <f>J74/$J$79</f>
        <v>7.5913367602024329E-3</v>
      </c>
      <c r="N74" s="342">
        <f>(1/$J$79)*SQRT(((1-J75/$J$79)*K74)^2+(J75/$J$79)^2*(SUMSQ(K$8:K73)+SUMSQ(K75:K$78)))</f>
        <v>6.0087103053985256E-5</v>
      </c>
      <c r="O74" s="340">
        <f t="shared" ref="O74:O77" si="42">100*(N74/M74)</f>
        <v>0.7915220329704219</v>
      </c>
      <c r="P74" s="332">
        <f t="shared" si="35"/>
        <v>0.7472350394332592</v>
      </c>
      <c r="Q74" s="342">
        <f>SQRT(((1-P74)/$J$79)^2*SUMSQ(K$8:K74)+(P74/$J$79)^2*SUMSQ(K75:K$78))</f>
        <v>5.1115536561667455E-3</v>
      </c>
      <c r="R74" s="340">
        <f t="shared" ref="R74:R77" si="43">100*(Q74/P74)</f>
        <v>0.68406236142828714</v>
      </c>
      <c r="S74" s="343">
        <f t="shared" ref="S74:S77" si="44">IF(P74&lt;=0.85, (((-1)*PI()^2*(P74-P73)/3-2*PI()*(SQRT(1-PI()*P74/3)-SQRT(1-PI()*P73/3)))/PI()^2/H74), ((-1)*LN((1-P74)/(1-P73))/PI()^2/H74 ))</f>
        <v>4.8059697511227383E-7</v>
      </c>
      <c r="T74" s="344">
        <f t="shared" ref="T74:T77" si="45">IF(P74&lt;=0.85, ABS(((-1)*(P74-P73)/3-2*(SQRT(1-PI()*P74/3)-SQRT(1-PI()*P73/3))/PI())*(-1)*I74/H74^2), ABS((-1)*LN((1-P74)/(1-P73))*(-1)*I74/PI()^2/H74^2))</f>
        <v>2.4340843600685107E-9</v>
      </c>
      <c r="U74" s="344">
        <f>IF(P74&lt;=0.85, (1/(3*H74*$J$79))*SQRT( ((1-P74)*(1/SQRT(1-PI()*P74/3)-1) + (1-P73)*(1-1/SQRT(1-PI()*P73/3)))^2*SUMSQ(K$8:K73) + ( (1-P74)*(1/SQRT(1-PI()*P74/3)-1) -P73*(1-1/SQRT(1-PI()*P73/3)) )^2*K74^2 + ( P74*(1-1/SQRT(1-PI()*P74/3)) - P73*(1-1/SQRT(1-PI()*P73/3)) )^2*SUMSQ(K$78:K101) ), (1/(PI()^2*H74*$J$79))*SQRT((1+P73/(1-P73))^2*K74^2+(P73/(1-P73)-P74/(1-P74))^2*SUMSQ(K$78:K101)) )</f>
        <v>2.0242141532434418E-8</v>
      </c>
      <c r="V74" s="345">
        <f t="shared" ref="V74:V77" si="46">SQRT(T74^2+U74^2)</f>
        <v>2.03879636180526E-8</v>
      </c>
      <c r="W74" s="340">
        <f t="shared" ref="W74:W77" si="47">100*(V74/S74)</f>
        <v>4.2422163837568272</v>
      </c>
      <c r="X74" s="345">
        <f t="shared" ref="X74:X77" si="48">V74*2</f>
        <v>4.07759272361052E-8</v>
      </c>
      <c r="Y74" s="338">
        <f t="shared" si="36"/>
        <v>-14.548236807645802</v>
      </c>
      <c r="Z74" s="346">
        <f t="shared" ref="Z74:Z77" si="49">V74/S74</f>
        <v>4.2422163837568271E-2</v>
      </c>
      <c r="AA74" s="346">
        <f t="shared" ref="AA74:AA77" si="50">ABS(100*(Z74/Y74))</f>
        <v>0.29159659963242673</v>
      </c>
      <c r="AB74" s="346">
        <f t="shared" si="37"/>
        <v>8.4844327675136541E-2</v>
      </c>
      <c r="AC74" s="336">
        <f t="shared" si="29"/>
        <v>6.2020847399448892E-11</v>
      </c>
      <c r="AD74" s="337">
        <f t="shared" si="30"/>
        <v>3.4192973191474648E-12</v>
      </c>
      <c r="AE74" s="308">
        <f t="shared" si="38"/>
        <v>5.5131418910246106</v>
      </c>
      <c r="AF74" s="337">
        <f t="shared" si="39"/>
        <v>6.8385946382949296E-12</v>
      </c>
      <c r="AG74" s="338">
        <f t="shared" ref="AG74:AG77" si="51">LN(AC74)</f>
        <v>-23.503550539024065</v>
      </c>
      <c r="AH74" s="339">
        <f t="shared" ref="AH74:AH77" si="52">AD74/AC74</f>
        <v>5.5131418910246109E-2</v>
      </c>
      <c r="AI74" s="340">
        <f t="shared" ref="AI74:AI77" si="53">ABS(100*(AH74/AG74))</f>
        <v>0.23456634272642674</v>
      </c>
      <c r="AJ74" s="341">
        <f t="shared" si="40"/>
        <v>0.11026283782049222</v>
      </c>
    </row>
    <row r="75" spans="1:36" x14ac:dyDescent="0.2">
      <c r="A75" s="309">
        <v>68</v>
      </c>
      <c r="B75" s="309">
        <f t="shared" si="41"/>
        <v>99.150750000000016</v>
      </c>
      <c r="C75" s="1">
        <v>586.99</v>
      </c>
      <c r="D75" s="1">
        <v>0.5</v>
      </c>
      <c r="E75" s="326">
        <f t="shared" si="31"/>
        <v>11.626014369753761</v>
      </c>
      <c r="F75" s="327">
        <f t="shared" si="32"/>
        <v>6.6037669347877581E-3</v>
      </c>
      <c r="G75" s="309">
        <f t="shared" si="33"/>
        <v>1.1464861111111113</v>
      </c>
      <c r="H75" s="1">
        <v>4127.3500000000004</v>
      </c>
      <c r="I75" s="324">
        <v>30</v>
      </c>
      <c r="J75" s="1">
        <v>8.1269999999999995E-2</v>
      </c>
      <c r="K75" s="1">
        <v>2.7999999999999998E-4</v>
      </c>
      <c r="L75" s="328">
        <f t="shared" si="34"/>
        <v>0.34453057708871665</v>
      </c>
      <c r="M75" s="329">
        <f>J75/$J$79</f>
        <v>6.7227627601792704E-3</v>
      </c>
      <c r="N75" s="342">
        <f>(1/$J$79)*SQRT(((1-J78/$J$79)*K75)^2+(J78/$J$79)^2*(SUMSQ(K$8:K74)+SUMSQ(K78:K$78)))</f>
        <v>1.561146303874252E-3</v>
      </c>
      <c r="O75" s="340">
        <f t="shared" si="42"/>
        <v>23.221796745845932</v>
      </c>
      <c r="P75" s="332">
        <f t="shared" si="35"/>
        <v>0.75395780219343844</v>
      </c>
      <c r="Q75" s="342">
        <f>SQRT(((1-P75)/$J$79)^2*SUMSQ(K$8:K75)+(P75/$J$79)^2*SUMSQ(K78:K$78))</f>
        <v>5.1572554244003581E-3</v>
      </c>
      <c r="R75" s="340">
        <f t="shared" si="43"/>
        <v>0.6840244121616228</v>
      </c>
      <c r="S75" s="343">
        <f t="shared" si="44"/>
        <v>6.3083414158398679E-7</v>
      </c>
      <c r="T75" s="344">
        <f t="shared" si="45"/>
        <v>4.5852724502452187E-9</v>
      </c>
      <c r="U75" s="344">
        <f>IF(P75&lt;=0.85, (1/(3*H75*$J$79))*SQRT( ((1-P75)*(1/SQRT(1-PI()*P75/3)-1) + (1-P74)*(1-1/SQRT(1-PI()*P74/3)))^2*SUMSQ(K$8:K74) + ( (1-P75)*(1/SQRT(1-PI()*P75/3)-1) -P74*(1-1/SQRT(1-PI()*P74/3)) )^2*K75^2 + ( P75*(1-1/SQRT(1-PI()*P75/3)) - P74*(1-1/SQRT(1-PI()*P74/3)) )^2*SUMSQ(K78:K$93) ), (1/(PI()^2*H75*$J$79))*SQRT((1+P74/(1-P74))^2*K75^2+(P74/(1-P74)-P75/(1-P75))^2*SUMSQ(K78:K$93)) )</f>
        <v>2.7058815382248583E-8</v>
      </c>
      <c r="V75" s="345">
        <f t="shared" si="46"/>
        <v>2.744456618956821E-8</v>
      </c>
      <c r="W75" s="340">
        <f t="shared" si="47"/>
        <v>4.3505201098749255</v>
      </c>
      <c r="X75" s="345">
        <f t="shared" si="48"/>
        <v>5.4889132379136419E-8</v>
      </c>
      <c r="Y75" s="338">
        <f t="shared" si="36"/>
        <v>-14.276222859060958</v>
      </c>
      <c r="Z75" s="346">
        <f t="shared" si="49"/>
        <v>4.3505201098749259E-2</v>
      </c>
      <c r="AA75" s="346">
        <f t="shared" si="50"/>
        <v>0.3047388761596489</v>
      </c>
      <c r="AB75" s="346">
        <f t="shared" si="37"/>
        <v>8.7010402197498518E-2</v>
      </c>
      <c r="AC75" s="336">
        <f t="shared" si="29"/>
        <v>8.1408893637756854E-11</v>
      </c>
      <c r="AD75" s="337">
        <f t="shared" si="30"/>
        <v>4.5563794065473265E-12</v>
      </c>
      <c r="AE75" s="308">
        <f t="shared" si="38"/>
        <v>5.5969061891710945</v>
      </c>
      <c r="AF75" s="337">
        <f t="shared" si="39"/>
        <v>9.112758813094653E-12</v>
      </c>
      <c r="AG75" s="338">
        <f t="shared" si="51"/>
        <v>-23.231536590439223</v>
      </c>
      <c r="AH75" s="339">
        <f t="shared" si="52"/>
        <v>5.5969061891710942E-2</v>
      </c>
      <c r="AI75" s="340">
        <f t="shared" si="53"/>
        <v>0.24091846733351516</v>
      </c>
      <c r="AJ75" s="341">
        <f t="shared" si="40"/>
        <v>0.11193812378342188</v>
      </c>
    </row>
    <row r="76" spans="1:36" x14ac:dyDescent="0.2">
      <c r="B76" s="309">
        <f t="shared" si="41"/>
        <v>100.2972388888889</v>
      </c>
      <c r="C76" s="1">
        <v>596.99</v>
      </c>
      <c r="D76" s="1">
        <v>0.24</v>
      </c>
      <c r="E76" s="326">
        <f t="shared" si="31"/>
        <v>11.49240352127244</v>
      </c>
      <c r="F76" s="327">
        <f t="shared" ref="F76" si="54">SQRT((((-1)*10^4/(C101+273.15)^2)*D76)^2)</f>
        <v>3.2166872082301359E-2</v>
      </c>
      <c r="G76" s="309">
        <f t="shared" si="33"/>
        <v>1.1464888888888889</v>
      </c>
      <c r="H76" s="1">
        <v>4127.3599999999997</v>
      </c>
      <c r="J76" s="1">
        <v>0.10224</v>
      </c>
      <c r="K76" s="1">
        <v>5.0000000000000001E-4</v>
      </c>
      <c r="L76" s="328">
        <f t="shared" si="34"/>
        <v>0.4890453834115806</v>
      </c>
      <c r="M76" s="329">
        <f t="shared" ref="M76:M77" si="55">J76/$J$79</f>
        <v>8.4574291202255281E-3</v>
      </c>
      <c r="N76" s="342">
        <f>(1/$J$79)*SQRT(((1-J77/$J$79)*K76)^2+(J77/$J$79)^2*(SUMSQ(K$8:K75)+SUMSQ(K77:K$78)))</f>
        <v>7.8987144951598136E-5</v>
      </c>
      <c r="O76" s="340">
        <f t="shared" si="42"/>
        <v>0.93393800679575589</v>
      </c>
      <c r="P76" s="332">
        <f t="shared" si="35"/>
        <v>0.76241523131366395</v>
      </c>
      <c r="Q76" s="342">
        <f>SQRT(((1-P76)/$J$79)^2*SUMSQ(K$8:K76)+(P76/$J$79)^2*SUMSQ(K77:K$78))</f>
        <v>5.2151784229289341E-3</v>
      </c>
      <c r="R76" s="340">
        <f t="shared" si="43"/>
        <v>0.68403387140404159</v>
      </c>
      <c r="S76" s="343">
        <f t="shared" si="44"/>
        <v>8.2185555378775995E-7</v>
      </c>
      <c r="T76" s="344">
        <f t="shared" si="45"/>
        <v>0</v>
      </c>
      <c r="U76" s="344">
        <f>IF(P76&lt;=0.85, (1/(3*H76*$J$79))*SQRT( ((1-P76)*(1/SQRT(1-PI()*P76/3)-1) + (1-P75)*(1-1/SQRT(1-PI()*P75/3)))^2*SUMSQ(K$8:K75) + ( (1-P76)*(1/SQRT(1-PI()*P76/3)-1) -P75*(1-1/SQRT(1-PI()*P75/3)) )^2*K76^2 + ( P76*(1-1/SQRT(1-PI()*P76/3)) - P75*(1-1/SQRT(1-PI()*P75/3)) )^2*SUMSQ(K77:K$78) ), (1/(PI()^2*H76*$J$79))*SQRT((1+P75/(1-P75))^2*K76^2+(P75/(1-P75)-P76/(1-P76))^2*SUMSQ(K77:K$78)) )</f>
        <v>2.576341184633017E-8</v>
      </c>
      <c r="V76" s="345">
        <f t="shared" si="46"/>
        <v>2.576341184633017E-8</v>
      </c>
      <c r="W76" s="340">
        <f t="shared" si="47"/>
        <v>3.1347858790504008</v>
      </c>
      <c r="X76" s="345">
        <f t="shared" si="48"/>
        <v>5.1526823692660341E-8</v>
      </c>
      <c r="Y76" s="338">
        <f t="shared" si="36"/>
        <v>-14.011701182650761</v>
      </c>
      <c r="Z76" s="346">
        <f t="shared" si="49"/>
        <v>3.1347858790504009E-2</v>
      </c>
      <c r="AA76" s="346">
        <f t="shared" si="50"/>
        <v>0.22372628692166815</v>
      </c>
      <c r="AB76" s="346">
        <f t="shared" si="37"/>
        <v>6.2695717581008018E-2</v>
      </c>
      <c r="AC76" s="336">
        <f t="shared" si="29"/>
        <v>1.060601304740889E-10</v>
      </c>
      <c r="AD76" s="337">
        <f t="shared" si="30"/>
        <v>5.0000592873683438E-12</v>
      </c>
      <c r="AE76" s="308">
        <f t="shared" si="38"/>
        <v>4.7143627534852852</v>
      </c>
      <c r="AF76" s="337">
        <f t="shared" si="39"/>
        <v>1.0000118574736688E-11</v>
      </c>
      <c r="AG76" s="338">
        <f t="shared" si="51"/>
        <v>-22.967014914029026</v>
      </c>
      <c r="AH76" s="339">
        <f t="shared" si="52"/>
        <v>4.714362753485285E-2</v>
      </c>
      <c r="AI76" s="340">
        <f t="shared" si="53"/>
        <v>0.20526667358088377</v>
      </c>
      <c r="AJ76" s="341">
        <f t="shared" si="40"/>
        <v>9.42872550697057E-2</v>
      </c>
    </row>
    <row r="77" spans="1:36" x14ac:dyDescent="0.2">
      <c r="B77" s="309">
        <f t="shared" si="41"/>
        <v>101.44317500000001</v>
      </c>
      <c r="C77" s="1">
        <v>606.99</v>
      </c>
      <c r="D77" s="1">
        <v>0.16</v>
      </c>
      <c r="E77" s="326">
        <f t="shared" si="31"/>
        <v>11.361828799963643</v>
      </c>
      <c r="F77" s="327">
        <f t="shared" ref="F77" si="56">SQRT((((-1)*10^4/(C78+273.15)^2)*D77)^2)</f>
        <v>2.1444581388200906E-2</v>
      </c>
      <c r="G77" s="309">
        <f t="shared" si="33"/>
        <v>1.145936111111111</v>
      </c>
      <c r="H77" s="1">
        <v>4125.37</v>
      </c>
      <c r="J77" s="1">
        <v>0.11924</v>
      </c>
      <c r="K77" s="1">
        <v>5.5999999999999995E-4</v>
      </c>
      <c r="L77" s="328">
        <f t="shared" si="34"/>
        <v>0.4696410600469641</v>
      </c>
      <c r="M77" s="329">
        <f t="shared" si="55"/>
        <v>9.8636917869296941E-3</v>
      </c>
      <c r="N77" s="342">
        <f>(1/$J$79)*SQRT(((1-J78/$J$79)*K77)^2+(J78/$J$79)^2*(SUMSQ(K$8:K76)+SUMSQ(K78:K$78)))</f>
        <v>1.5614908978125977E-3</v>
      </c>
      <c r="O77" s="340">
        <f t="shared" si="42"/>
        <v>15.830694343893814</v>
      </c>
      <c r="P77" s="332">
        <f t="shared" si="35"/>
        <v>0.77227892310059365</v>
      </c>
      <c r="Q77" s="342">
        <f>SQRT(((1-P77)/$J$79)^2*SUMSQ(K$8:K77)+(P77/$J$79)^2*SUMSQ(K78:K$78))</f>
        <v>5.2824756255442197E-3</v>
      </c>
      <c r="R77" s="340">
        <f t="shared" si="43"/>
        <v>0.6840113678534443</v>
      </c>
      <c r="S77" s="343">
        <f t="shared" si="44"/>
        <v>1.0013889671076301E-6</v>
      </c>
      <c r="T77" s="344">
        <f t="shared" si="45"/>
        <v>0</v>
      </c>
      <c r="U77" s="344">
        <f>IF(P77&lt;=0.85, (1/(3*H77*$J$79))*SQRT( ((1-P77)*(1/SQRT(1-PI()*P77/3)-1) + (1-P76)*(1-1/SQRT(1-PI()*P76/3)))^2*SUMSQ(K$8:K76) + ( (1-P77)*(1/SQRT(1-PI()*P77/3)-1) -P76*(1-1/SQRT(1-PI()*P76/3)) )^2*K77^2 + ( P77*(1-1/SQRT(1-PI()*P77/3)) - P76*(1-1/SQRT(1-PI()*P76/3)) )^2*SUMSQ(K78:K$78) ), (1/(PI()^2*H77*$J$79))*SQRT((1+P76/(1-P76))^2*K77^2+(P76/(1-P76)-P77/(1-P77))^2*SUMSQ(K78:K$78)) )</f>
        <v>3.2345932390620284E-8</v>
      </c>
      <c r="V77" s="345">
        <f t="shared" si="46"/>
        <v>3.2345932390620284E-8</v>
      </c>
      <c r="W77" s="340">
        <f t="shared" si="47"/>
        <v>3.230106727064002</v>
      </c>
      <c r="X77" s="345">
        <f t="shared" si="48"/>
        <v>6.4691864781240567E-8</v>
      </c>
      <c r="Y77" s="338">
        <f t="shared" si="36"/>
        <v>-13.814122554579175</v>
      </c>
      <c r="Z77" s="346">
        <f t="shared" si="49"/>
        <v>3.230106727064002E-2</v>
      </c>
      <c r="AA77" s="346">
        <f t="shared" si="50"/>
        <v>0.23382641310021315</v>
      </c>
      <c r="AB77" s="346">
        <f t="shared" si="37"/>
        <v>6.460213454128004E-2</v>
      </c>
      <c r="AC77" s="336">
        <f t="shared" si="29"/>
        <v>1.2922884564965282E-10</v>
      </c>
      <c r="AD77" s="337">
        <f t="shared" si="30"/>
        <v>6.1749111331155209E-12</v>
      </c>
      <c r="AE77" s="308">
        <f t="shared" si="38"/>
        <v>4.7782761674247842</v>
      </c>
      <c r="AF77" s="337">
        <f t="shared" si="39"/>
        <v>1.2349822266231042E-11</v>
      </c>
      <c r="AG77" s="338">
        <f t="shared" si="51"/>
        <v>-22.769436285957436</v>
      </c>
      <c r="AH77" s="339">
        <f t="shared" si="52"/>
        <v>4.7782761674247845E-2</v>
      </c>
      <c r="AI77" s="340">
        <f t="shared" si="53"/>
        <v>0.20985482940443653</v>
      </c>
      <c r="AJ77" s="341">
        <f t="shared" si="40"/>
        <v>9.556552334849569E-2</v>
      </c>
    </row>
    <row r="78" spans="1:36" x14ac:dyDescent="0.2">
      <c r="J78" s="338">
        <v>2.7559999999999998</v>
      </c>
      <c r="K78" s="346">
        <f>IF(J78&lt;0.06,J78*0.1,IF(J78&lt;0.2,J78*0.06,J78*0.03))</f>
        <v>8.267999999999999E-2</v>
      </c>
      <c r="L78" s="328">
        <f>100*(K78/J78)</f>
        <v>3</v>
      </c>
      <c r="M78" s="329"/>
      <c r="N78" s="342"/>
      <c r="O78" s="340"/>
      <c r="P78" s="332"/>
      <c r="Q78" s="342"/>
      <c r="R78" s="340"/>
      <c r="S78" s="343"/>
      <c r="T78" s="344"/>
      <c r="U78" s="344"/>
      <c r="V78" s="345"/>
      <c r="W78" s="340"/>
      <c r="X78" s="345"/>
      <c r="Y78" s="338"/>
      <c r="Z78" s="346"/>
      <c r="AA78" s="346"/>
      <c r="AB78" s="346"/>
      <c r="AC78" s="336"/>
      <c r="AD78" s="337"/>
      <c r="AE78" s="308"/>
      <c r="AF78" s="337"/>
      <c r="AG78" s="338"/>
      <c r="AH78" s="339"/>
      <c r="AI78" s="340"/>
      <c r="AJ78" s="341"/>
    </row>
    <row r="79" spans="1:36" x14ac:dyDescent="0.2">
      <c r="J79" s="120">
        <f>SUM(J9:J78)</f>
        <v>12.088780000000005</v>
      </c>
      <c r="K79" s="346">
        <f>SQRT(SUMSQ(K8:K78))</f>
        <v>8.2779194245897303E-2</v>
      </c>
      <c r="L79" s="328">
        <f>100*(K79/J79)</f>
        <v>0.68476053204622189</v>
      </c>
      <c r="M79" s="329"/>
      <c r="N79" s="342"/>
      <c r="O79" s="340"/>
      <c r="P79" s="332"/>
      <c r="Q79" s="342"/>
      <c r="R79" s="340"/>
      <c r="S79" s="343"/>
      <c r="T79" s="344"/>
      <c r="U79" s="344"/>
      <c r="V79" s="345"/>
      <c r="W79" s="340"/>
      <c r="X79" s="345"/>
      <c r="Y79" s="338"/>
      <c r="Z79" s="346"/>
      <c r="AA79" s="346"/>
      <c r="AB79" s="346"/>
      <c r="AC79" s="336"/>
      <c r="AD79" s="337"/>
      <c r="AE79" s="308"/>
      <c r="AF79" s="337"/>
      <c r="AG79" s="338"/>
      <c r="AH79" s="339"/>
      <c r="AI79" s="340"/>
      <c r="AJ79" s="341"/>
    </row>
    <row r="80" spans="1:36" x14ac:dyDescent="0.2">
      <c r="M80" s="329"/>
      <c r="N80" s="342"/>
      <c r="O80" s="340"/>
      <c r="P80" s="332"/>
      <c r="Q80" s="342"/>
      <c r="R80" s="340"/>
      <c r="S80" s="343"/>
      <c r="T80" s="344"/>
      <c r="U80" s="344"/>
      <c r="V80" s="345"/>
      <c r="W80" s="340"/>
      <c r="X80" s="345"/>
      <c r="Y80" s="338"/>
      <c r="Z80" s="346"/>
      <c r="AA80" s="346"/>
      <c r="AB80" s="346"/>
      <c r="AC80" s="336"/>
      <c r="AD80" s="337"/>
      <c r="AE80" s="308"/>
      <c r="AF80" s="337"/>
      <c r="AG80" s="338"/>
      <c r="AH80" s="339"/>
      <c r="AI80" s="340"/>
      <c r="AJ80" s="341"/>
    </row>
    <row r="90" spans="1:36" x14ac:dyDescent="0.2">
      <c r="A90" s="309"/>
      <c r="B90" s="309"/>
      <c r="D90" s="347"/>
      <c r="E90" s="326"/>
      <c r="F90" s="327"/>
      <c r="G90" s="309"/>
      <c r="I90" s="324"/>
      <c r="M90" s="329"/>
      <c r="N90" s="342"/>
      <c r="O90" s="340"/>
      <c r="P90" s="332"/>
      <c r="Q90" s="342"/>
      <c r="R90" s="340"/>
      <c r="S90" s="343"/>
      <c r="T90" s="344"/>
      <c r="U90" s="344"/>
      <c r="V90" s="345"/>
      <c r="W90" s="340"/>
      <c r="X90" s="345"/>
      <c r="Y90" s="338"/>
      <c r="Z90" s="346"/>
      <c r="AA90" s="346"/>
      <c r="AB90" s="346"/>
      <c r="AC90" s="336"/>
      <c r="AD90" s="337"/>
      <c r="AE90" s="308"/>
      <c r="AF90" s="337"/>
      <c r="AG90" s="338"/>
      <c r="AH90" s="339"/>
      <c r="AI90" s="340"/>
      <c r="AJ90" s="341"/>
    </row>
    <row r="91" spans="1:36" x14ac:dyDescent="0.2">
      <c r="A91" s="309"/>
      <c r="B91" s="309"/>
      <c r="D91" s="347"/>
      <c r="E91" s="326"/>
      <c r="F91" s="327"/>
      <c r="G91" s="309"/>
      <c r="I91" s="324"/>
      <c r="M91" s="329"/>
      <c r="N91" s="342"/>
      <c r="O91" s="340"/>
      <c r="P91" s="332"/>
      <c r="Q91" s="342"/>
      <c r="R91" s="340"/>
      <c r="S91" s="343"/>
      <c r="T91" s="344"/>
      <c r="U91" s="344"/>
      <c r="V91" s="345"/>
      <c r="W91" s="340"/>
      <c r="X91" s="345"/>
      <c r="Y91" s="338"/>
      <c r="Z91" s="346"/>
      <c r="AA91" s="346"/>
      <c r="AB91" s="346"/>
      <c r="AC91" s="336"/>
      <c r="AD91" s="337"/>
      <c r="AE91" s="308"/>
      <c r="AF91" s="337"/>
      <c r="AG91" s="338"/>
      <c r="AH91" s="339"/>
      <c r="AI91" s="340"/>
      <c r="AJ91" s="341"/>
    </row>
    <row r="92" spans="1:36" x14ac:dyDescent="0.2">
      <c r="I92" s="302"/>
      <c r="L92" s="328"/>
      <c r="S92" s="343"/>
      <c r="T92" s="344"/>
      <c r="U92" s="344"/>
      <c r="V92" s="345"/>
      <c r="W92" s="340"/>
      <c r="X92" s="345"/>
      <c r="Y92" s="338"/>
      <c r="Z92" s="346"/>
      <c r="AA92" s="346"/>
      <c r="AB92" s="346"/>
      <c r="AC92" s="336"/>
      <c r="AD92" s="337"/>
      <c r="AE92" s="308"/>
      <c r="AF92" s="337"/>
      <c r="AG92" s="338"/>
      <c r="AH92" s="339"/>
      <c r="AI92" s="340"/>
      <c r="AJ92" s="341"/>
    </row>
    <row r="93" spans="1:36" x14ac:dyDescent="0.2">
      <c r="I93" s="348"/>
      <c r="L93" s="3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4F2A-1D84-C94E-AB09-5BE2927A3F1D}">
  <dimension ref="A1:AM72"/>
  <sheetViews>
    <sheetView topLeftCell="E7" zoomScale="89" zoomScaleNormal="100" workbookViewId="0">
      <selection activeCell="I18" sqref="I18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620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0.64538055555555551</v>
      </c>
      <c r="C8" s="1">
        <v>300.05</v>
      </c>
      <c r="D8" s="1">
        <v>0.28000000000000003</v>
      </c>
      <c r="E8" s="326">
        <f>10000/(C8+273.15)</f>
        <v>17.445917655268666</v>
      </c>
      <c r="F8" s="327">
        <f t="shared" ref="F8:F55" si="0">SQRT((((-1)*10^4/(C9+273.15)^2)*D8)^2)</f>
        <v>8.2312052035177011E-3</v>
      </c>
      <c r="G8" s="309">
        <f>H8/60/60</f>
        <v>0.64538055555555551</v>
      </c>
      <c r="H8" s="1">
        <v>2323.37</v>
      </c>
      <c r="I8" s="324">
        <v>30</v>
      </c>
      <c r="J8" s="1">
        <v>0.21662999999999999</v>
      </c>
      <c r="K8" s="1">
        <v>6.4000000000000005E-4</v>
      </c>
      <c r="L8" s="328">
        <f>100*(K8/J8)</f>
        <v>0.29543461201126348</v>
      </c>
      <c r="M8" s="329">
        <f t="shared" ref="M8:M56" si="1">J8/$J$58</f>
        <v>4.92299958685255E-3</v>
      </c>
      <c r="N8" s="330">
        <f>(1/$J$58)*SQRT(((1-J9/$J$58)*K8)^2+(J9/$J$58)^2*SUMSQ(K9:K$57))</f>
        <v>1.5014566901786872E-5</v>
      </c>
      <c r="O8" s="331">
        <f>100*(N8/M8)</f>
        <v>0.3049881812276613</v>
      </c>
      <c r="P8" s="332">
        <f>M8+P7</f>
        <v>4.92299958685255E-3</v>
      </c>
      <c r="Q8" s="330">
        <f>SQRT(((1-P8)/$J$58)^2*SUMSQ(K$8:K8)+(P8/$J$58)^2*SUMSQ(K9:K$57))</f>
        <v>1.7253788176044442E-5</v>
      </c>
      <c r="R8" s="331">
        <f>100*(Q8/P8)</f>
        <v>0.3504730778796471</v>
      </c>
      <c r="S8" s="333">
        <f>IF(P8&lt;=0.85, ((2*PI()-PI()^2*P8/3-2*PI()*SQRT(1-PI()*P8/3))/PI()^2/H8), ((-1)*LN((1-P8)*PI()^2/6)/PI()^2/H8 ))</f>
        <v>9.1266255893923243E-10</v>
      </c>
      <c r="T8" s="333">
        <f>IF(P8&lt;=0.85, ABS((2/PI()-P8/3-2*SQRT(1-PI()*P8/3)/PI())*(-1)*I8/H8^2), ABS((-1)*LN((1-P8)*PI()^2/6)*(-1)*I8/PI()^2/H8^2))</f>
        <v>1.178455294170461E-11</v>
      </c>
      <c r="U8" s="333">
        <f>IF(P8&lt;=0.85, ((1/(3*H8*$J$58))*((1/SQRT(1-PI()*P8/3))-1)*SQRT(((1-P8)*K8)^2+(-P8)^2*SUMSQ(K9:K$57))),  (1/(PI()^2*H8*$J$58))*SQRT(K8^2+(P8/(1-P8))^2*SUMSQ(K9:K$57)))</f>
        <v>6.4055501895880696E-12</v>
      </c>
      <c r="V8" s="334">
        <f>SQRT(T8^2+U8^2)</f>
        <v>1.3412932612488983E-11</v>
      </c>
      <c r="W8" s="331">
        <f>100*(V8/S8)</f>
        <v>1.4696486101148423</v>
      </c>
      <c r="X8" s="334">
        <f>V8*2</f>
        <v>2.6825865224977966E-11</v>
      </c>
      <c r="Y8" s="335">
        <f>LN(S8)</f>
        <v>-20.814654899555435</v>
      </c>
      <c r="Z8" s="335">
        <f>V8/S8</f>
        <v>1.4696486101148423E-2</v>
      </c>
      <c r="AA8" s="335">
        <f>ABS(100*(Z8/Y8))</f>
        <v>7.0606436532667724E-2</v>
      </c>
      <c r="AB8" s="335">
        <f>2*Z8</f>
        <v>2.9392972202296846E-2</v>
      </c>
      <c r="AC8" s="336">
        <f t="shared" ref="AC8:AC56" si="2">S8*($AC$3^2)*10^(-8)</f>
        <v>1.1777873816608437E-13</v>
      </c>
      <c r="AD8" s="337">
        <f t="shared" ref="AD8:AD56" si="3">AC8*SQRT((V8/S8)^2+(2*$AD$3/$AC$3)^2)</f>
        <v>4.4938725190881605E-15</v>
      </c>
      <c r="AE8" s="308">
        <f>100*AD8/AC8</f>
        <v>3.8155210261729722</v>
      </c>
      <c r="AF8" s="337">
        <f>2*AD8</f>
        <v>8.9877450381763211E-15</v>
      </c>
      <c r="AG8" s="338">
        <f>LN(AC8)</f>
        <v>-29.769968630933697</v>
      </c>
      <c r="AH8" s="339">
        <f>AD8/AC8</f>
        <v>3.8155210261729723E-2</v>
      </c>
      <c r="AI8" s="340">
        <f>ABS(100*(AH8/AG8))</f>
        <v>0.12816678020306344</v>
      </c>
      <c r="AJ8" s="341">
        <f>2*AH8</f>
        <v>7.6310420523459446E-2</v>
      </c>
    </row>
    <row r="9" spans="1:39" x14ac:dyDescent="0.2">
      <c r="A9" s="309">
        <v>2</v>
      </c>
      <c r="B9" s="309">
        <f>G9+B8</f>
        <v>1.2924194444444443</v>
      </c>
      <c r="C9" s="1">
        <v>310.08999999999997</v>
      </c>
      <c r="D9" s="1">
        <v>0.34</v>
      </c>
      <c r="E9" s="326">
        <f t="shared" ref="E9:E56" si="4">10000/(C9+273.15)</f>
        <v>17.145600438927371</v>
      </c>
      <c r="F9" s="327">
        <f t="shared" si="0"/>
        <v>9.6605849377629244E-3</v>
      </c>
      <c r="G9" s="309">
        <f t="shared" ref="G9:G56" si="5">H9/60/60</f>
        <v>0.64703888888888883</v>
      </c>
      <c r="H9" s="1">
        <v>2329.34</v>
      </c>
      <c r="I9" s="324">
        <v>30</v>
      </c>
      <c r="J9" s="1">
        <v>8.8579999999999895E-2</v>
      </c>
      <c r="K9" s="1">
        <v>5.0000000000000001E-4</v>
      </c>
      <c r="L9" s="328">
        <f t="shared" ref="L9:L56" si="6">100*(K9/J9)</f>
        <v>0.56446150372544668</v>
      </c>
      <c r="M9" s="329">
        <f t="shared" si="1"/>
        <v>2.0130143719863285E-3</v>
      </c>
      <c r="N9" s="342">
        <f>(1/$J$58)*SQRT(((1-J10/$J$58)*K9)^2+(J10/$J$58)^2*(SUMSQ(K$8:K8)+SUMSQ(K10:K$57)))</f>
        <v>1.2361327887056172E-5</v>
      </c>
      <c r="O9" s="340">
        <f>100*(N9/M9)</f>
        <v>0.61407052324513289</v>
      </c>
      <c r="P9" s="332">
        <f t="shared" ref="P9:P56" si="7">M9+P8</f>
        <v>6.9360139588388785E-3</v>
      </c>
      <c r="Q9" s="342">
        <f>SQRT(((1-P9)/$J$58)^2*SUMSQ(K$8:K9)+(P9/$J$58)^2*SUMSQ(K10:K$57))</f>
        <v>2.2607045748716602E-5</v>
      </c>
      <c r="R9" s="340">
        <f>100*(Q9/P9)</f>
        <v>0.32593714319025285</v>
      </c>
      <c r="S9" s="343">
        <f>IF(P9&lt;=0.85, (((-1)*PI()^2*(P9-P8)/3-2*PI()*(SQRT(1-PI()*P9/3)-SQRT(1-PI()*P8/3)))/PI()^2/H9), ((-1)*LN((1-P9)/(1-P8))/PI()^2/H9 ))</f>
        <v>8.9858230966938787E-10</v>
      </c>
      <c r="T9" s="344">
        <f>IF(P9&lt;=0.85, ABS(((-1)*(P9-P8)/3-2*(SQRT(1-PI()*P9/3)-SQRT(1-PI()*P8/3))/PI())*(-1)*I9/H9^2), ABS((-1)*LN((1-P9)/(1-P8))*(-1)*I9/PI()^2/H9^2))</f>
        <v>1.1573007500013535E-11</v>
      </c>
      <c r="U9" s="344">
        <f>IF(P9&lt;=0.85, (1/(3*H9*$J$58))*SQRT( ((1-P9)*(1/SQRT(1-PI()*P9/3)-1) + (1-P8)*(1-1/SQRT(1-PI()*P8/3)))^2*SUMSQ(K$8:K8) + ( (1-P9)*(1/SQRT(1-PI()*P9/3)-1) -P8*(1-1/SQRT(1-PI()*P8/3)) )^2*K9^2 + ( P9*(1-1/SQRT(1-PI()*P9/3)) - P8*(1-1/SQRT(1-PI()*P8/3)) )^2*SUMSQ(K10:K$57) ), (1/(PI()^2*H9*$J$58))*SQRT((1+P8/(1-P8))^2*K9^2+(P8/(1-P8)-P9/(1-P9))^2*SUMSQ(K10:K$57)) )</f>
        <v>7.1842928370760028E-12</v>
      </c>
      <c r="V9" s="345">
        <f>SQRT(T9^2+U9^2)</f>
        <v>1.3621621275172464E-11</v>
      </c>
      <c r="W9" s="340">
        <f>100*(V9/S9)</f>
        <v>1.515901340210472</v>
      </c>
      <c r="X9" s="345">
        <f>V9*2</f>
        <v>2.7243242550344928E-11</v>
      </c>
      <c r="Y9" s="338">
        <f t="shared" ref="Y9:Y56" si="8">LN(S9)</f>
        <v>-20.830202806032691</v>
      </c>
      <c r="Z9" s="346">
        <f>V9/S9</f>
        <v>1.515901340210472E-2</v>
      </c>
      <c r="AA9" s="346">
        <f>ABS(100*(Z9/Y9))</f>
        <v>7.2774199767822123E-2</v>
      </c>
      <c r="AB9" s="346">
        <f t="shared" ref="AB9:AB56" si="9">2*Z9</f>
        <v>3.031802680420944E-2</v>
      </c>
      <c r="AC9" s="336">
        <f t="shared" si="2"/>
        <v>1.1596168762991063E-13</v>
      </c>
      <c r="AD9" s="337">
        <f t="shared" si="3"/>
        <v>4.4454772466511225E-15</v>
      </c>
      <c r="AE9" s="308">
        <f t="shared" ref="AE9:AE56" si="10">100*AD9/AC9</f>
        <v>3.8335741204791476</v>
      </c>
      <c r="AF9" s="337">
        <f t="shared" ref="AF9:AF56" si="11">2*AD9</f>
        <v>8.8909544933022449E-15</v>
      </c>
      <c r="AG9" s="338">
        <f>LN(AC9)</f>
        <v>-29.785516537410953</v>
      </c>
      <c r="AH9" s="339">
        <f>AD9/AC9</f>
        <v>3.8335741204791475E-2</v>
      </c>
      <c r="AI9" s="340">
        <f>ABS(100*(AH9/AG9))</f>
        <v>0.12870598083011703</v>
      </c>
      <c r="AJ9" s="341">
        <f t="shared" ref="AJ9:AJ56" si="12">2*AH9</f>
        <v>7.667148240958295E-2</v>
      </c>
    </row>
    <row r="10" spans="1:39" x14ac:dyDescent="0.2">
      <c r="A10" s="309">
        <v>3</v>
      </c>
      <c r="B10" s="309">
        <f t="shared" ref="B10:B56" si="13">G10+B9</f>
        <v>1.9377972222222222</v>
      </c>
      <c r="C10" s="1">
        <v>320.10000000000002</v>
      </c>
      <c r="D10" s="1">
        <v>0.34</v>
      </c>
      <c r="E10" s="326">
        <f t="shared" si="4"/>
        <v>16.856300042140749</v>
      </c>
      <c r="F10" s="327">
        <f t="shared" si="0"/>
        <v>9.3435745128050904E-3</v>
      </c>
      <c r="G10" s="309">
        <f t="shared" si="5"/>
        <v>0.64537777777777783</v>
      </c>
      <c r="H10" s="1">
        <v>2323.36</v>
      </c>
      <c r="I10" s="324">
        <v>30</v>
      </c>
      <c r="J10" s="1">
        <v>0.11382</v>
      </c>
      <c r="K10" s="1">
        <v>5.0000000000000001E-4</v>
      </c>
      <c r="L10" s="328">
        <f t="shared" si="6"/>
        <v>0.43929010718678618</v>
      </c>
      <c r="M10" s="329">
        <f t="shared" si="1"/>
        <v>2.5866030234757758E-3</v>
      </c>
      <c r="N10" s="342">
        <f>(1/$J$58)*SQRT(((1-J11/$J$58)*K10)^2+(J11/$J$58)^2*(SUMSQ(K$8:K9)+SUMSQ(K11:K$57)))</f>
        <v>1.3244347104983113E-5</v>
      </c>
      <c r="O10" s="340">
        <f t="shared" ref="O10:O56" si="14">100*(N10/M10)</f>
        <v>0.51203632659432519</v>
      </c>
      <c r="P10" s="332">
        <f t="shared" si="7"/>
        <v>9.5226169823146543E-3</v>
      </c>
      <c r="Q10" s="342">
        <f>SQRT(((1-P10)/$J$58)^2*SUMSQ(K$8:K10)+(P10/$J$58)^2*SUMSQ(K11:K$57))</f>
        <v>2.812416923181849E-5</v>
      </c>
      <c r="R10" s="340">
        <f t="shared" ref="R10:R56" si="15">100*(Q10/P10)</f>
        <v>0.29534075857561559</v>
      </c>
      <c r="S10" s="343">
        <f t="shared" ref="S10:S56" si="16">IF(P10&lt;=0.85, (((-1)*PI()^2*(P10-P9)/3-2*PI()*(SQRT(1-PI()*P10/3)-SQRT(1-PI()*P9/3)))/PI()^2/H10), ((-1)*LN((1-P10)/(1-P9))/PI()^2/H10 ))</f>
        <v>1.609518349334347E-9</v>
      </c>
      <c r="T10" s="344">
        <f t="shared" ref="T10:T56" si="17">IF(P10&lt;=0.85, ABS(((-1)*(P10-P9)/3-2*(SQRT(1-PI()*P10/3)-SQRT(1-PI()*P9/3))/PI())*(-1)*I10/H10^2), ABS((-1)*LN((1-P10)/(1-P9))*(-1)*I10/PI()^2/H10^2))</f>
        <v>2.0782638282501174E-11</v>
      </c>
      <c r="U10" s="344">
        <f>IF(P10&lt;=0.85, (1/(3*H10*$J$58))*SQRT( ((1-P10)*(1/SQRT(1-PI()*P10/3)-1) + (1-P9)*(1-1/SQRT(1-PI()*P9/3)))^2*SUMSQ(K$8:K9) + ( (1-P10)*(1/SQRT(1-PI()*P10/3)-1) -P9*(1-1/SQRT(1-PI()*P9/3)) )^2*K10^2 + ( P10*(1-1/SQRT(1-PI()*P10/3)) - P9*(1-1/SQRT(1-PI()*P9/3)) )^2*SUMSQ(K11:K$57) ), (1/(PI()^2*H10*$J$58))*SQRT((1+P9/(1-P9))^2*K10^2+(P9/(1-P9)-P10/(1-P10))^2*SUMSQ(K11:K$57)) )</f>
        <v>1.0826390807006763E-11</v>
      </c>
      <c r="V10" s="345">
        <f t="shared" ref="V10:V56" si="18">SQRT(T10^2+U10^2)</f>
        <v>2.3433497218454696E-11</v>
      </c>
      <c r="W10" s="340">
        <f t="shared" ref="W10:W56" si="19">100*(V10/S10)</f>
        <v>1.4559322811166553</v>
      </c>
      <c r="X10" s="345">
        <f t="shared" ref="X10:X56" si="20">V10*2</f>
        <v>4.6866994436909392E-11</v>
      </c>
      <c r="Y10" s="338">
        <f t="shared" si="8"/>
        <v>-20.247330864612021</v>
      </c>
      <c r="Z10" s="346">
        <f t="shared" ref="Z10:Z56" si="21">V10/S10</f>
        <v>1.4559322811166554E-2</v>
      </c>
      <c r="AA10" s="346">
        <f t="shared" ref="AA10:AA56" si="22">ABS(100*(Z10/Y10))</f>
        <v>7.1907368474988076E-2</v>
      </c>
      <c r="AB10" s="346">
        <f t="shared" si="9"/>
        <v>2.9118645622333107E-2</v>
      </c>
      <c r="AC10" s="336">
        <f t="shared" si="2"/>
        <v>2.0770769917425773E-13</v>
      </c>
      <c r="AD10" s="337">
        <f t="shared" si="3"/>
        <v>7.9142009809647553E-15</v>
      </c>
      <c r="AE10" s="308">
        <f t="shared" si="10"/>
        <v>3.8102588456892414</v>
      </c>
      <c r="AF10" s="337">
        <f t="shared" si="11"/>
        <v>1.5828401961929511E-14</v>
      </c>
      <c r="AG10" s="338">
        <f t="shared" ref="AG10:AG56" si="23">LN(AC10)</f>
        <v>-29.202644595990286</v>
      </c>
      <c r="AH10" s="339">
        <f t="shared" ref="AH10:AH56" si="24">AD10/AC10</f>
        <v>3.8102588456892419E-2</v>
      </c>
      <c r="AI10" s="340">
        <f t="shared" ref="AI10:AI56" si="25">ABS(100*(AH10/AG10))</f>
        <v>0.13047649959115057</v>
      </c>
      <c r="AJ10" s="341">
        <f t="shared" si="12"/>
        <v>7.6205176913784839E-2</v>
      </c>
    </row>
    <row r="11" spans="1:39" x14ac:dyDescent="0.2">
      <c r="A11" s="309">
        <v>4</v>
      </c>
      <c r="B11" s="309">
        <f t="shared" si="13"/>
        <v>2.5842888888888886</v>
      </c>
      <c r="C11" s="1">
        <v>330.08</v>
      </c>
      <c r="D11" s="1">
        <v>0.33</v>
      </c>
      <c r="E11" s="326">
        <f t="shared" si="4"/>
        <v>16.577424862821807</v>
      </c>
      <c r="F11" s="327">
        <f t="shared" si="0"/>
        <v>8.7754046958768497E-3</v>
      </c>
      <c r="G11" s="309">
        <f t="shared" si="5"/>
        <v>0.64649166666666658</v>
      </c>
      <c r="H11" s="1">
        <v>2327.37</v>
      </c>
      <c r="I11" s="324">
        <v>30</v>
      </c>
      <c r="J11" s="1">
        <v>0.15848999999999999</v>
      </c>
      <c r="K11" s="1">
        <v>8.1999999999999998E-4</v>
      </c>
      <c r="L11" s="328">
        <f t="shared" si="6"/>
        <v>0.51738280017666727</v>
      </c>
      <c r="M11" s="329">
        <f t="shared" si="1"/>
        <v>3.6017458547766266E-3</v>
      </c>
      <c r="N11" s="342">
        <f>(1/$J$58)*SQRT(((1-J12/$J$58)*K11)^2+(J12/$J$58)^2*(SUMSQ(K$8:K10)+SUMSQ(K12:K$57)))</f>
        <v>2.0362047075815891E-5</v>
      </c>
      <c r="O11" s="340">
        <f t="shared" si="14"/>
        <v>0.56533825252583536</v>
      </c>
      <c r="P11" s="332">
        <f t="shared" si="7"/>
        <v>1.3124362837091281E-2</v>
      </c>
      <c r="Q11" s="342">
        <f>SQRT(((1-P11)/$J$58)^2*SUMSQ(K$8:K11)+(P11/$J$58)^2*SUMSQ(K12:K$57))</f>
        <v>3.7718838403531368E-5</v>
      </c>
      <c r="R11" s="340">
        <f t="shared" si="15"/>
        <v>0.28739557776422231</v>
      </c>
      <c r="S11" s="343">
        <f t="shared" si="16"/>
        <v>3.0861858439881005E-9</v>
      </c>
      <c r="T11" s="344">
        <f t="shared" si="17"/>
        <v>3.9781201665246106E-11</v>
      </c>
      <c r="U11" s="344">
        <f>IF(P11&lt;=0.85, (1/(3*H11*$J$58))*SQRT( ((1-P11)*(1/SQRT(1-PI()*P11/3)-1) + (1-P10)*(1-1/SQRT(1-PI()*P10/3)))^2*SUMSQ(K$8:K10) + ( (1-P11)*(1/SQRT(1-PI()*P11/3)-1) -P10*(1-1/SQRT(1-PI()*P10/3)) )^2*K11^2 + ( P11*(1-1/SQRT(1-PI()*P11/3)) - P10*(1-1/SQRT(1-PI()*P10/3)) )^2*SUMSQ(K12:K$57) ), (1/(PI()^2*H11*$J$58))*SQRT((1+P10/(1-P10))^2*K11^2+(P10/(1-P10)-P11/(1-P11))^2*SUMSQ(K12:K$57)) )</f>
        <v>2.2650389765892942E-11</v>
      </c>
      <c r="V11" s="345">
        <f t="shared" si="18"/>
        <v>4.5777550857137905E-11</v>
      </c>
      <c r="W11" s="340">
        <f t="shared" si="19"/>
        <v>1.4833050623413595</v>
      </c>
      <c r="X11" s="345">
        <f t="shared" si="20"/>
        <v>9.1555101714275811E-11</v>
      </c>
      <c r="Y11" s="338">
        <f t="shared" si="8"/>
        <v>-19.596329863176404</v>
      </c>
      <c r="Z11" s="346">
        <f t="shared" si="21"/>
        <v>1.4833050623413595E-2</v>
      </c>
      <c r="AA11" s="346">
        <f t="shared" si="22"/>
        <v>7.569300336838318E-2</v>
      </c>
      <c r="AB11" s="346">
        <f t="shared" si="9"/>
        <v>2.9666101246827191E-2</v>
      </c>
      <c r="AC11" s="336">
        <f t="shared" si="2"/>
        <v>3.9827104869232674E-13</v>
      </c>
      <c r="AD11" s="337">
        <f t="shared" si="3"/>
        <v>1.5217148010774072E-14</v>
      </c>
      <c r="AE11" s="308">
        <f t="shared" si="10"/>
        <v>3.8208019540304723</v>
      </c>
      <c r="AF11" s="337">
        <f t="shared" si="11"/>
        <v>3.0434296021548145E-14</v>
      </c>
      <c r="AG11" s="338">
        <f t="shared" si="23"/>
        <v>-28.551643594554669</v>
      </c>
      <c r="AH11" s="339">
        <f t="shared" si="24"/>
        <v>3.820801954030472E-2</v>
      </c>
      <c r="AI11" s="340">
        <f t="shared" si="25"/>
        <v>0.13382073579677109</v>
      </c>
      <c r="AJ11" s="341">
        <f t="shared" si="12"/>
        <v>7.6416039080609441E-2</v>
      </c>
    </row>
    <row r="12" spans="1:39" x14ac:dyDescent="0.2">
      <c r="A12" s="309">
        <v>5</v>
      </c>
      <c r="B12" s="309">
        <f t="shared" si="13"/>
        <v>3.2285499999999998</v>
      </c>
      <c r="C12" s="1">
        <v>340.08</v>
      </c>
      <c r="D12" s="1">
        <v>0.32</v>
      </c>
      <c r="E12" s="326">
        <f t="shared" si="4"/>
        <v>16.307095217128971</v>
      </c>
      <c r="F12" s="327">
        <f t="shared" si="0"/>
        <v>8.2385973399372921E-3</v>
      </c>
      <c r="G12" s="309">
        <f t="shared" si="5"/>
        <v>0.64426111111111117</v>
      </c>
      <c r="H12" s="1">
        <v>2319.34</v>
      </c>
      <c r="I12" s="324">
        <v>30</v>
      </c>
      <c r="J12" s="1">
        <v>0.19350999999999999</v>
      </c>
      <c r="K12" s="1">
        <v>5.8E-4</v>
      </c>
      <c r="L12" s="328">
        <f t="shared" si="6"/>
        <v>0.29972611234561519</v>
      </c>
      <c r="M12" s="329">
        <f t="shared" si="1"/>
        <v>4.3975887460270362E-3</v>
      </c>
      <c r="N12" s="342">
        <f>(1/$J$58)*SQRT(((1-J13/$J$58)*K12)^2+(J13/$J$58)^2*(SUMSQ(K$8:K11)+SUMSQ(K13:K$57)))</f>
        <v>1.6834407097180725E-5</v>
      </c>
      <c r="O12" s="340">
        <f t="shared" si="14"/>
        <v>0.3828099458456552</v>
      </c>
      <c r="P12" s="332">
        <f t="shared" si="7"/>
        <v>1.7521951583118318E-2</v>
      </c>
      <c r="Q12" s="342">
        <f>SQRT(((1-P12)/$J$58)^2*SUMSQ(K$8:K12)+(P12/$J$58)^2*SUMSQ(K13:K$57))</f>
        <v>4.5539585059784581E-5</v>
      </c>
      <c r="R12" s="340">
        <f t="shared" si="15"/>
        <v>0.25990018773742135</v>
      </c>
      <c r="S12" s="343">
        <f t="shared" si="16"/>
        <v>5.133081940877925E-9</v>
      </c>
      <c r="T12" s="344">
        <f t="shared" si="17"/>
        <v>6.6394947798225952E-11</v>
      </c>
      <c r="U12" s="344">
        <f>IF(P12&lt;=0.85, (1/(3*H12*$J$58))*SQRT( ((1-P12)*(1/SQRT(1-PI()*P12/3)-1) + (1-P11)*(1-1/SQRT(1-PI()*P11/3)))^2*SUMSQ(K$8:K11) + ( (1-P12)*(1/SQRT(1-PI()*P12/3)-1) -P11*(1-1/SQRT(1-PI()*P11/3)) )^2*K12^2 + ( P12*(1-1/SQRT(1-PI()*P12/3)) - P11*(1-1/SQRT(1-PI()*P11/3)) )^2*SUMSQ(K13:K$57) ), (1/(PI()^2*H12*$J$58))*SQRT((1+P11/(1-P11))^2*K12^2+(P11/(1-P11)-P12/(1-P12))^2*SUMSQ(K13:K$57)) )</f>
        <v>2.7971607945327044E-11</v>
      </c>
      <c r="V12" s="345">
        <f t="shared" si="18"/>
        <v>7.2046512366499963E-11</v>
      </c>
      <c r="W12" s="340">
        <f t="shared" si="19"/>
        <v>1.4035722241787876</v>
      </c>
      <c r="X12" s="345">
        <f t="shared" si="20"/>
        <v>1.4409302473299993E-10</v>
      </c>
      <c r="Y12" s="338">
        <f t="shared" si="8"/>
        <v>-19.087559589950381</v>
      </c>
      <c r="Z12" s="346">
        <f t="shared" si="21"/>
        <v>1.4035722241787875E-2</v>
      </c>
      <c r="AA12" s="346">
        <f t="shared" si="22"/>
        <v>7.3533351268109184E-2</v>
      </c>
      <c r="AB12" s="346">
        <f t="shared" si="9"/>
        <v>2.807144448357575E-2</v>
      </c>
      <c r="AC12" s="336">
        <f t="shared" si="2"/>
        <v>6.6242217123751987E-13</v>
      </c>
      <c r="AD12" s="337">
        <f t="shared" si="3"/>
        <v>2.5109512946225541E-14</v>
      </c>
      <c r="AE12" s="308">
        <f t="shared" si="10"/>
        <v>3.7905604667966655</v>
      </c>
      <c r="AF12" s="337">
        <f t="shared" si="11"/>
        <v>5.0219025892451082E-14</v>
      </c>
      <c r="AG12" s="338">
        <f t="shared" si="23"/>
        <v>-28.042873321328646</v>
      </c>
      <c r="AH12" s="339">
        <f t="shared" si="24"/>
        <v>3.7905604667966657E-2</v>
      </c>
      <c r="AI12" s="340">
        <f t="shared" si="25"/>
        <v>0.13517018828144364</v>
      </c>
      <c r="AJ12" s="341">
        <f t="shared" si="12"/>
        <v>7.5811209335933313E-2</v>
      </c>
    </row>
    <row r="13" spans="1:39" x14ac:dyDescent="0.2">
      <c r="A13" s="309">
        <v>6</v>
      </c>
      <c r="B13" s="309">
        <f t="shared" si="13"/>
        <v>3.8750333333333331</v>
      </c>
      <c r="C13" s="1">
        <v>350.08</v>
      </c>
      <c r="D13" s="1">
        <v>0.31</v>
      </c>
      <c r="E13" s="326">
        <f t="shared" si="4"/>
        <v>16.045440688028496</v>
      </c>
      <c r="F13" s="327">
        <f t="shared" si="0"/>
        <v>7.7312985994604936E-3</v>
      </c>
      <c r="G13" s="309">
        <f t="shared" si="5"/>
        <v>0.64648333333333341</v>
      </c>
      <c r="H13" s="1">
        <v>2327.34</v>
      </c>
      <c r="I13" s="324">
        <v>30</v>
      </c>
      <c r="J13" s="1">
        <v>0.24360999999999999</v>
      </c>
      <c r="K13" s="1">
        <v>6.4999999999999997E-4</v>
      </c>
      <c r="L13" s="328">
        <f t="shared" si="6"/>
        <v>0.26681991708057962</v>
      </c>
      <c r="M13" s="329">
        <f t="shared" si="1"/>
        <v>5.53613040369824E-3</v>
      </c>
      <c r="N13" s="342">
        <f>(1/$J$58)*SQRT(((1-J14/$J$58)*K13)^2+(J14/$J$58)^2*(SUMSQ(K$8:K12)+SUMSQ(K14:K$57)))</f>
        <v>2.0479172134592213E-5</v>
      </c>
      <c r="O13" s="340">
        <f t="shared" si="14"/>
        <v>0.36991852866962344</v>
      </c>
      <c r="P13" s="332">
        <f t="shared" si="7"/>
        <v>2.305808198681656E-2</v>
      </c>
      <c r="Q13" s="342">
        <f>SQRT(((1-P13)/$J$58)^2*SUMSQ(K$8:K13)+(P13/$J$58)^2*SUMSQ(K14:K$57))</f>
        <v>5.5578532967184893E-5</v>
      </c>
      <c r="R13" s="340">
        <f t="shared" si="15"/>
        <v>0.24103710360194691</v>
      </c>
      <c r="S13" s="343">
        <f t="shared" si="16"/>
        <v>8.5613048045365638E-9</v>
      </c>
      <c r="T13" s="344">
        <f t="shared" si="17"/>
        <v>1.1035737972797121E-10</v>
      </c>
      <c r="U13" s="344">
        <f>IF(P13&lt;=0.85, (1/(3*H13*$J$58))*SQRT( ((1-P13)*(1/SQRT(1-PI()*P13/3)-1) + (1-P12)*(1-1/SQRT(1-PI()*P12/3)))^2*SUMSQ(K$8:K12) + ( (1-P13)*(1/SQRT(1-PI()*P13/3)-1) -P12*(1-1/SQRT(1-PI()*P12/3)) )^2*K13^2 + ( P13*(1-1/SQRT(1-PI()*P13/3)) - P12*(1-1/SQRT(1-PI()*P12/3)) )^2*SUMSQ(K14:K$57) ), (1/(PI()^2*H13*$J$58))*SQRT((1+P12/(1-P12))^2*K13^2+(P12/(1-P12)-P13/(1-P13))^2*SUMSQ(K14:K$57)) )</f>
        <v>4.3771652470971462E-11</v>
      </c>
      <c r="V13" s="345">
        <f t="shared" si="18"/>
        <v>1.1872113889473573E-10</v>
      </c>
      <c r="W13" s="340">
        <f t="shared" si="19"/>
        <v>1.3867178146936947</v>
      </c>
      <c r="X13" s="345">
        <f t="shared" si="20"/>
        <v>2.3744227778947146E-10</v>
      </c>
      <c r="Y13" s="338">
        <f t="shared" si="8"/>
        <v>-18.576013227972584</v>
      </c>
      <c r="Z13" s="346">
        <f t="shared" si="21"/>
        <v>1.3867178146936948E-2</v>
      </c>
      <c r="AA13" s="346">
        <f t="shared" si="22"/>
        <v>7.4650991990332649E-2</v>
      </c>
      <c r="AB13" s="346">
        <f t="shared" si="9"/>
        <v>2.7734356293873896E-2</v>
      </c>
      <c r="AC13" s="336">
        <f t="shared" si="2"/>
        <v>1.1048329605035218E-12</v>
      </c>
      <c r="AD13" s="337">
        <f t="shared" si="3"/>
        <v>4.1810768093894966E-14</v>
      </c>
      <c r="AE13" s="308">
        <f t="shared" si="10"/>
        <v>3.7843519870044364</v>
      </c>
      <c r="AF13" s="337">
        <f t="shared" si="11"/>
        <v>8.3621536187789931E-14</v>
      </c>
      <c r="AG13" s="338">
        <f t="shared" si="23"/>
        <v>-27.531326959350849</v>
      </c>
      <c r="AH13" s="339">
        <f t="shared" si="24"/>
        <v>3.7843519870044362E-2</v>
      </c>
      <c r="AI13" s="340">
        <f t="shared" si="25"/>
        <v>0.13745621460933993</v>
      </c>
      <c r="AJ13" s="341">
        <f t="shared" si="12"/>
        <v>7.5687039740088724E-2</v>
      </c>
    </row>
    <row r="14" spans="1:39" x14ac:dyDescent="0.2">
      <c r="A14" s="309">
        <v>7</v>
      </c>
      <c r="B14" s="309">
        <f t="shared" si="13"/>
        <v>4.5192916666666667</v>
      </c>
      <c r="C14" s="1">
        <v>360.07</v>
      </c>
      <c r="D14" s="1">
        <v>0.26</v>
      </c>
      <c r="E14" s="326">
        <f t="shared" si="4"/>
        <v>15.792299674678626</v>
      </c>
      <c r="F14" s="327">
        <f t="shared" si="0"/>
        <v>6.2844571938634819E-3</v>
      </c>
      <c r="G14" s="309">
        <f t="shared" si="5"/>
        <v>0.64425833333333327</v>
      </c>
      <c r="H14" s="1">
        <v>2319.33</v>
      </c>
      <c r="I14" s="324">
        <v>30</v>
      </c>
      <c r="J14" s="1">
        <v>0.32976</v>
      </c>
      <c r="K14" s="1">
        <v>9.7999999999999997E-4</v>
      </c>
      <c r="L14" s="328">
        <f t="shared" si="6"/>
        <v>0.2971858321203299</v>
      </c>
      <c r="M14" s="329">
        <f t="shared" si="1"/>
        <v>7.493922096480159E-3</v>
      </c>
      <c r="N14" s="342">
        <f>(1/$J$58)*SQRT(((1-J15/$J$58)*K14)^2+(J15/$J$58)^2*(SUMSQ(K$8:K13)+SUMSQ(K15:K$57)))</f>
        <v>2.7256860146912922E-5</v>
      </c>
      <c r="O14" s="340">
        <f t="shared" si="14"/>
        <v>0.36371955560780744</v>
      </c>
      <c r="P14" s="332">
        <f t="shared" si="7"/>
        <v>3.0552004083296717E-2</v>
      </c>
      <c r="Q14" s="342">
        <f>SQRT(((1-P14)/$J$58)^2*SUMSQ(K$8:K14)+(P14/$J$58)^2*SUMSQ(K15:K$57))</f>
        <v>7.0705553496477053E-5</v>
      </c>
      <c r="R14" s="340">
        <f t="shared" si="15"/>
        <v>0.23142689200913316</v>
      </c>
      <c r="S14" s="343">
        <f t="shared" si="16"/>
        <v>1.544421764350957E-8</v>
      </c>
      <c r="T14" s="344">
        <f t="shared" si="17"/>
        <v>1.997674023555439E-10</v>
      </c>
      <c r="U14" s="344">
        <f>IF(P14&lt;=0.85, (1/(3*H14*$J$58))*SQRT( ((1-P14)*(1/SQRT(1-PI()*P14/3)-1) + (1-P13)*(1-1/SQRT(1-PI()*P13/3)))^2*SUMSQ(K$8:K13) + ( (1-P14)*(1/SQRT(1-PI()*P14/3)-1) -P13*(1-1/SQRT(1-PI()*P13/3)) )^2*K14^2 + ( P14*(1-1/SQRT(1-PI()*P14/3)) - P13*(1-1/SQRT(1-PI()*P13/3)) )^2*SUMSQ(K15:K$57) ), (1/(PI()^2*H14*$J$58))*SQRT((1+P13/(1-P13))^2*K14^2+(P13/(1-P13)-P14/(1-P14))^2*SUMSQ(K15:K$57)) )</f>
        <v>8.1263156488933224E-11</v>
      </c>
      <c r="V14" s="345">
        <f t="shared" si="18"/>
        <v>2.1566343140742849E-10</v>
      </c>
      <c r="W14" s="340">
        <f t="shared" si="19"/>
        <v>1.3964024360797649</v>
      </c>
      <c r="X14" s="345">
        <f t="shared" si="20"/>
        <v>4.3132686281485697E-10</v>
      </c>
      <c r="Y14" s="338">
        <f t="shared" si="8"/>
        <v>-17.986031166212381</v>
      </c>
      <c r="Z14" s="346">
        <f t="shared" si="21"/>
        <v>1.3964024360797649E-2</v>
      </c>
      <c r="AA14" s="346">
        <f t="shared" si="22"/>
        <v>7.7638163927068779E-2</v>
      </c>
      <c r="AB14" s="346">
        <f t="shared" si="9"/>
        <v>2.7928048721595298E-2</v>
      </c>
      <c r="AC14" s="336">
        <f t="shared" si="2"/>
        <v>1.9930701092078524E-12</v>
      </c>
      <c r="AD14" s="337">
        <f t="shared" si="3"/>
        <v>7.5495731595121891E-14</v>
      </c>
      <c r="AE14" s="308">
        <f t="shared" si="10"/>
        <v>3.7879114862210113</v>
      </c>
      <c r="AF14" s="337">
        <f t="shared" si="11"/>
        <v>1.5099146319024378E-13</v>
      </c>
      <c r="AG14" s="338">
        <f t="shared" si="23"/>
        <v>-26.941344897590646</v>
      </c>
      <c r="AH14" s="339">
        <f t="shared" si="24"/>
        <v>3.7879114862210107E-2</v>
      </c>
      <c r="AI14" s="340">
        <f t="shared" si="25"/>
        <v>0.14059845566803023</v>
      </c>
      <c r="AJ14" s="341">
        <f t="shared" si="12"/>
        <v>7.5758229724420215E-2</v>
      </c>
    </row>
    <row r="15" spans="1:39" x14ac:dyDescent="0.2">
      <c r="A15" s="309">
        <v>8</v>
      </c>
      <c r="B15" s="309">
        <f t="shared" si="13"/>
        <v>5.1646694444444448</v>
      </c>
      <c r="C15" s="1">
        <v>370.06</v>
      </c>
      <c r="D15" s="1">
        <v>0.26</v>
      </c>
      <c r="E15" s="326">
        <f t="shared" si="4"/>
        <v>15.54702196794204</v>
      </c>
      <c r="F15" s="327">
        <f t="shared" si="0"/>
        <v>6.0935123896730878E-3</v>
      </c>
      <c r="G15" s="309">
        <f t="shared" si="5"/>
        <v>0.64537777777777783</v>
      </c>
      <c r="H15" s="1">
        <v>2323.36</v>
      </c>
      <c r="I15" s="324">
        <v>30</v>
      </c>
      <c r="J15" s="1">
        <v>0.36843999999999999</v>
      </c>
      <c r="K15" s="1">
        <v>7.5999999999999896E-4</v>
      </c>
      <c r="L15" s="328">
        <f t="shared" si="6"/>
        <v>0.20627510585169878</v>
      </c>
      <c r="M15" s="329">
        <f t="shared" si="1"/>
        <v>8.3729398872730166E-3</v>
      </c>
      <c r="N15" s="342">
        <f>(1/$J$58)*SQRT(((1-J16/$J$58)*K15)^2+(J16/$J$58)^2*(SUMSQ(K$8:K14)+SUMSQ(K16:K$57)))</f>
        <v>2.5818150141753931E-5</v>
      </c>
      <c r="O15" s="340">
        <f t="shared" si="14"/>
        <v>0.30835226920711412</v>
      </c>
      <c r="P15" s="332">
        <f t="shared" si="7"/>
        <v>3.8924943970569732E-2</v>
      </c>
      <c r="Q15" s="342">
        <f>SQRT(((1-P15)/$J$58)^2*SUMSQ(K$8:K15)+(P15/$J$58)^2*SUMSQ(K16:K$57))</f>
        <v>8.5812676109328826E-5</v>
      </c>
      <c r="R15" s="340">
        <f t="shared" si="15"/>
        <v>0.22045677490045934</v>
      </c>
      <c r="S15" s="343">
        <f t="shared" si="16"/>
        <v>2.2467881521645513E-8</v>
      </c>
      <c r="T15" s="344">
        <f t="shared" si="17"/>
        <v>2.9011278736371683E-10</v>
      </c>
      <c r="U15" s="344">
        <f>IF(P15&lt;=0.85, (1/(3*H15*$J$58))*SQRT( ((1-P15)*(1/SQRT(1-PI()*P15/3)-1) + (1-P14)*(1-1/SQRT(1-PI()*P14/3)))^2*SUMSQ(K$8:K14) + ( (1-P15)*(1/SQRT(1-PI()*P15/3)-1) -P14*(1-1/SQRT(1-PI()*P14/3)) )^2*K15^2 + ( P15*(1-1/SQRT(1-PI()*P15/3)) - P14*(1-1/SQRT(1-PI()*P14/3)) )^2*SUMSQ(K16:K$57) ), (1/(PI()^2*H15*$J$58))*SQRT((1+P14/(1-P14))^2*K15^2+(P14/(1-P14)-P15/(1-P15))^2*SUMSQ(K16:K$57)) )</f>
        <v>1.0413887777922425E-10</v>
      </c>
      <c r="V15" s="345">
        <f t="shared" si="18"/>
        <v>3.0823746569335369E-10</v>
      </c>
      <c r="W15" s="340">
        <f t="shared" si="19"/>
        <v>1.3719026664636731</v>
      </c>
      <c r="X15" s="345">
        <f t="shared" si="20"/>
        <v>6.1647493138670738E-10</v>
      </c>
      <c r="Y15" s="338">
        <f t="shared" si="8"/>
        <v>-17.611179035494441</v>
      </c>
      <c r="Z15" s="346">
        <f t="shared" si="21"/>
        <v>1.3719026664636732E-2</v>
      </c>
      <c r="AA15" s="346">
        <f t="shared" si="22"/>
        <v>7.7899535499507039E-2</v>
      </c>
      <c r="AB15" s="346">
        <f t="shared" si="9"/>
        <v>2.7438053329273463E-2</v>
      </c>
      <c r="AC15" s="336">
        <f t="shared" si="2"/>
        <v>2.8994711232157446E-12</v>
      </c>
      <c r="AD15" s="337">
        <f t="shared" si="3"/>
        <v>1.0956951600927426E-13</v>
      </c>
      <c r="AE15" s="308">
        <f t="shared" si="10"/>
        <v>3.7789483444743857</v>
      </c>
      <c r="AF15" s="337">
        <f t="shared" si="11"/>
        <v>2.1913903201854852E-13</v>
      </c>
      <c r="AG15" s="338">
        <f t="shared" si="23"/>
        <v>-26.566492766872702</v>
      </c>
      <c r="AH15" s="339">
        <f t="shared" si="24"/>
        <v>3.7789483444743859E-2</v>
      </c>
      <c r="AI15" s="340">
        <f t="shared" si="25"/>
        <v>0.14224490893982722</v>
      </c>
      <c r="AJ15" s="341">
        <f t="shared" si="12"/>
        <v>7.5578966889487717E-2</v>
      </c>
    </row>
    <row r="16" spans="1:39" x14ac:dyDescent="0.2">
      <c r="A16" s="309">
        <v>9</v>
      </c>
      <c r="B16" s="309">
        <f t="shared" si="13"/>
        <v>5.8106</v>
      </c>
      <c r="C16" s="1">
        <v>380.06</v>
      </c>
      <c r="D16" s="1">
        <v>0.26</v>
      </c>
      <c r="E16" s="326">
        <f t="shared" si="4"/>
        <v>15.309012415609068</v>
      </c>
      <c r="F16" s="327">
        <f t="shared" si="0"/>
        <v>5.9111396012579984E-3</v>
      </c>
      <c r="G16" s="309">
        <f t="shared" si="5"/>
        <v>0.64593055555555556</v>
      </c>
      <c r="H16" s="1">
        <v>2325.35</v>
      </c>
      <c r="I16" s="324">
        <v>30</v>
      </c>
      <c r="J16" s="1">
        <v>0.44618000000000002</v>
      </c>
      <c r="K16" s="1">
        <v>5.9999999999999995E-4</v>
      </c>
      <c r="L16" s="328">
        <f t="shared" si="6"/>
        <v>0.13447487561074004</v>
      </c>
      <c r="M16" s="329">
        <f t="shared" si="1"/>
        <v>1.0139611114166417E-2</v>
      </c>
      <c r="N16" s="342">
        <f>(1/$J$58)*SQRT(((1-J17/$J$58)*K16)^2+(J17/$J$58)^2*(SUMSQ(K$8:K15)+SUMSQ(K17:K$57)))</f>
        <v>2.7114460460320784E-5</v>
      </c>
      <c r="O16" s="340">
        <f t="shared" si="14"/>
        <v>0.26741124639817981</v>
      </c>
      <c r="P16" s="332">
        <f t="shared" si="7"/>
        <v>4.9064555084736151E-2</v>
      </c>
      <c r="Q16" s="342">
        <f>SQRT(((1-P16)/$J$58)^2*SUMSQ(K$8:K16)+(P16/$J$58)^2*SUMSQ(K17:K$57))</f>
        <v>1.0363018464051439E-4</v>
      </c>
      <c r="R16" s="340">
        <f t="shared" si="15"/>
        <v>0.21121191145327117</v>
      </c>
      <c r="S16" s="343">
        <f t="shared" si="16"/>
        <v>3.4690947568029621E-8</v>
      </c>
      <c r="T16" s="344">
        <f t="shared" si="17"/>
        <v>4.475577556242674E-10</v>
      </c>
      <c r="U16" s="344">
        <f>IF(P16&lt;=0.85, (1/(3*H16*$J$58))*SQRT( ((1-P16)*(1/SQRT(1-PI()*P16/3)-1) + (1-P15)*(1-1/SQRT(1-PI()*P15/3)))^2*SUMSQ(K$8:K15) + ( (1-P16)*(1/SQRT(1-PI()*P16/3)-1) -P15*(1-1/SQRT(1-PI()*P15/3)) )^2*K16^2 + ( P16*(1-1/SQRT(1-PI()*P16/3)) - P15*(1-1/SQRT(1-PI()*P15/3)) )^2*SUMSQ(K17:K$57) ), (1/(PI()^2*H16*$J$58))*SQRT((1+P15/(1-P15))^2*K16^2+(P15/(1-P15)-P16/(1-P16))^2*SUMSQ(K17:K$57)) )</f>
        <v>1.4799137319174825E-10</v>
      </c>
      <c r="V16" s="345">
        <f t="shared" si="18"/>
        <v>4.7139091119644084E-10</v>
      </c>
      <c r="W16" s="340">
        <f t="shared" si="19"/>
        <v>1.3588297358324795</v>
      </c>
      <c r="X16" s="345">
        <f t="shared" si="20"/>
        <v>9.4278182239288169E-10</v>
      </c>
      <c r="Y16" s="338">
        <f t="shared" si="8"/>
        <v>-17.176787061029952</v>
      </c>
      <c r="Z16" s="346">
        <f t="shared" si="21"/>
        <v>1.3588297358324794E-2</v>
      </c>
      <c r="AA16" s="346">
        <f t="shared" si="22"/>
        <v>7.9108492816758566E-2</v>
      </c>
      <c r="AB16" s="346">
        <f t="shared" si="9"/>
        <v>2.7176594716649589E-2</v>
      </c>
      <c r="AC16" s="336">
        <f t="shared" si="2"/>
        <v>4.4768529072751952E-12</v>
      </c>
      <c r="AD16" s="337">
        <f t="shared" si="3"/>
        <v>1.6896636857744278E-13</v>
      </c>
      <c r="AE16" s="308">
        <f t="shared" si="10"/>
        <v>3.7742220277744831</v>
      </c>
      <c r="AF16" s="337">
        <f t="shared" si="11"/>
        <v>3.3793273715488557E-13</v>
      </c>
      <c r="AG16" s="338">
        <f t="shared" si="23"/>
        <v>-26.132100792408213</v>
      </c>
      <c r="AH16" s="339">
        <f t="shared" si="24"/>
        <v>3.7742220277744834E-2</v>
      </c>
      <c r="AI16" s="340">
        <f t="shared" si="25"/>
        <v>0.14442857303194523</v>
      </c>
      <c r="AJ16" s="341">
        <f t="shared" si="12"/>
        <v>7.5484440555489668E-2</v>
      </c>
    </row>
    <row r="17" spans="1:39" x14ac:dyDescent="0.2">
      <c r="A17" s="309">
        <v>10</v>
      </c>
      <c r="B17" s="309">
        <f t="shared" si="13"/>
        <v>6.4576388888888889</v>
      </c>
      <c r="C17" s="1">
        <v>390.06</v>
      </c>
      <c r="D17" s="1">
        <v>0.25</v>
      </c>
      <c r="E17" s="326">
        <f t="shared" si="4"/>
        <v>15.078180365193528</v>
      </c>
      <c r="F17" s="327">
        <f t="shared" si="0"/>
        <v>5.5163497545798051E-3</v>
      </c>
      <c r="G17" s="309">
        <f t="shared" si="5"/>
        <v>0.64703888888888883</v>
      </c>
      <c r="H17" s="1">
        <v>2329.34</v>
      </c>
      <c r="I17" s="324">
        <v>30</v>
      </c>
      <c r="J17" s="1">
        <v>0.54273000000000005</v>
      </c>
      <c r="K17" s="1">
        <v>8.8999999999999995E-4</v>
      </c>
      <c r="L17" s="328">
        <f t="shared" si="6"/>
        <v>0.16398577561586791</v>
      </c>
      <c r="M17" s="329">
        <f t="shared" si="1"/>
        <v>1.2333746783790263E-2</v>
      </c>
      <c r="N17" s="342">
        <f>(1/$J$58)*SQRT(((1-J18/$J$58)*K17)^2+(J18/$J$58)^2*(SUMSQ(K$8:K16)+SUMSQ(K18:K$57)))</f>
        <v>3.4711299087095138E-5</v>
      </c>
      <c r="O17" s="340">
        <f t="shared" si="14"/>
        <v>0.28143353107195918</v>
      </c>
      <c r="P17" s="332">
        <f t="shared" si="7"/>
        <v>6.1398301868526413E-2</v>
      </c>
      <c r="Q17" s="342">
        <f>SQRT(((1-P17)/$J$58)^2*SUMSQ(K$8:K17)+(P17/$J$58)^2*SUMSQ(K18:K$57))</f>
        <v>1.2650894681947745E-4</v>
      </c>
      <c r="R17" s="340">
        <f t="shared" si="15"/>
        <v>0.2060463285945171</v>
      </c>
      <c r="S17" s="343">
        <f t="shared" si="16"/>
        <v>5.3378995383854632E-8</v>
      </c>
      <c r="T17" s="344">
        <f t="shared" si="17"/>
        <v>6.8747793860734343E-10</v>
      </c>
      <c r="U17" s="344">
        <f>IF(P17&lt;=0.85, (1/(3*H17*$J$58))*SQRT( ((1-P17)*(1/SQRT(1-PI()*P17/3)-1) + (1-P16)*(1-1/SQRT(1-PI()*P16/3)))^2*SUMSQ(K$8:K16) + ( (1-P17)*(1/SQRT(1-PI()*P17/3)-1) -P16*(1-1/SQRT(1-PI()*P16/3)) )^2*K17^2 + ( P17*(1-1/SQRT(1-PI()*P17/3)) - P16*(1-1/SQRT(1-PI()*P16/3)) )^2*SUMSQ(K18:K$57) ), (1/(PI()^2*H17*$J$58))*SQRT((1+P16/(1-P16))^2*K17^2+(P16/(1-P16)-P17/(1-P17))^2*SUMSQ(K18:K$57)) )</f>
        <v>2.3304882308880511E-10</v>
      </c>
      <c r="V17" s="345">
        <f t="shared" si="18"/>
        <v>7.2590472516362605E-10</v>
      </c>
      <c r="W17" s="340">
        <f t="shared" si="19"/>
        <v>1.3599070569679323</v>
      </c>
      <c r="X17" s="345">
        <f t="shared" si="20"/>
        <v>1.4518094503272521E-9</v>
      </c>
      <c r="Y17" s="338">
        <f t="shared" si="8"/>
        <v>-16.745848513232286</v>
      </c>
      <c r="Z17" s="346">
        <f t="shared" si="21"/>
        <v>1.3599070569679324E-2</v>
      </c>
      <c r="AA17" s="346">
        <f t="shared" si="22"/>
        <v>8.1208608563092921E-2</v>
      </c>
      <c r="AB17" s="346">
        <f t="shared" si="9"/>
        <v>2.7198141139358648E-2</v>
      </c>
      <c r="AC17" s="336">
        <f t="shared" si="2"/>
        <v>6.888538002688287E-12</v>
      </c>
      <c r="AD17" s="337">
        <f t="shared" si="3"/>
        <v>2.6001544626918818E-13</v>
      </c>
      <c r="AE17" s="308">
        <f t="shared" si="10"/>
        <v>3.7746100285389415</v>
      </c>
      <c r="AF17" s="337">
        <f t="shared" si="11"/>
        <v>5.2003089253837636E-13</v>
      </c>
      <c r="AG17" s="338">
        <f t="shared" si="23"/>
        <v>-25.701162244610547</v>
      </c>
      <c r="AH17" s="339">
        <f t="shared" si="24"/>
        <v>3.7746100285389418E-2</v>
      </c>
      <c r="AI17" s="340">
        <f t="shared" si="25"/>
        <v>0.14686534377761323</v>
      </c>
      <c r="AJ17" s="341">
        <f t="shared" si="12"/>
        <v>7.5492200570778836E-2</v>
      </c>
      <c r="AM17" s="322"/>
    </row>
    <row r="18" spans="1:39" x14ac:dyDescent="0.2">
      <c r="A18" s="309">
        <v>11</v>
      </c>
      <c r="B18" s="309">
        <f t="shared" si="13"/>
        <v>7.1030083333333334</v>
      </c>
      <c r="C18" s="1">
        <v>400.05</v>
      </c>
      <c r="D18" s="1">
        <v>0.24</v>
      </c>
      <c r="E18" s="326">
        <f t="shared" si="4"/>
        <v>14.8544266191325</v>
      </c>
      <c r="F18" s="327">
        <f t="shared" si="0"/>
        <v>5.1418041013771808E-3</v>
      </c>
      <c r="G18" s="309">
        <f t="shared" si="5"/>
        <v>0.64536944444444444</v>
      </c>
      <c r="H18" s="1">
        <v>2323.33</v>
      </c>
      <c r="I18" s="324">
        <v>30</v>
      </c>
      <c r="J18" s="1">
        <v>0.65551999999999999</v>
      </c>
      <c r="K18" s="1">
        <v>9.5999999999999905E-4</v>
      </c>
      <c r="L18" s="328">
        <f t="shared" si="6"/>
        <v>0.14644862094215264</v>
      </c>
      <c r="M18" s="329">
        <f t="shared" si="1"/>
        <v>1.4896942663405731E-2</v>
      </c>
      <c r="N18" s="342">
        <f>(1/$J$58)*SQRT(((1-J19/$J$58)*K18)^2+(J19/$J$58)^2*(SUMSQ(K$8:K17)+SUMSQ(K19:K$57)))</f>
        <v>3.8700006994801865E-5</v>
      </c>
      <c r="O18" s="340">
        <f t="shared" si="14"/>
        <v>0.25978489592947318</v>
      </c>
      <c r="P18" s="332">
        <f t="shared" si="7"/>
        <v>7.6295244531932149E-2</v>
      </c>
      <c r="Q18" s="342">
        <f>SQRT(((1-P18)/$J$58)^2*SUMSQ(K$8:K18)+(P18/$J$58)^2*SUMSQ(K19:K$57))</f>
        <v>1.542683392993921E-4</v>
      </c>
      <c r="R18" s="340">
        <f t="shared" si="15"/>
        <v>0.20219915441102698</v>
      </c>
      <c r="S18" s="343">
        <f t="shared" si="16"/>
        <v>8.1498280227714011E-8</v>
      </c>
      <c r="T18" s="344">
        <f t="shared" si="17"/>
        <v>1.05234659167291E-9</v>
      </c>
      <c r="U18" s="344">
        <f>IF(P18&lt;=0.85, (1/(3*H18*$J$58))*SQRT( ((1-P18)*(1/SQRT(1-PI()*P18/3)-1) + (1-P17)*(1-1/SQRT(1-PI()*P17/3)))^2*SUMSQ(K$8:K17) + ( (1-P18)*(1/SQRT(1-PI()*P18/3)-1) -P17*(1-1/SQRT(1-PI()*P17/3)) )^2*K18^2 + ( P18*(1-1/SQRT(1-PI()*P18/3)) - P17*(1-1/SQRT(1-PI()*P17/3)) )^2*SUMSQ(K19:K$57) ), (1/(PI()^2*H18*$J$58))*SQRT((1+P17/(1-P17))^2*K18^2+(P17/(1-P17)-P18/(1-P18))^2*SUMSQ(K19:K$57)) )</f>
        <v>3.4950890798727551E-10</v>
      </c>
      <c r="V18" s="345">
        <f t="shared" si="18"/>
        <v>1.1088687143968163E-9</v>
      </c>
      <c r="W18" s="340">
        <f t="shared" si="19"/>
        <v>1.3606038204714637</v>
      </c>
      <c r="X18" s="345">
        <f t="shared" si="20"/>
        <v>2.2177374287936325E-9</v>
      </c>
      <c r="Y18" s="338">
        <f t="shared" si="8"/>
        <v>-16.322683918422676</v>
      </c>
      <c r="Z18" s="346">
        <f t="shared" si="21"/>
        <v>1.3606038204714637E-2</v>
      </c>
      <c r="AA18" s="346">
        <f t="shared" si="22"/>
        <v>8.3356623657694653E-2</v>
      </c>
      <c r="AB18" s="346">
        <f t="shared" si="9"/>
        <v>2.7212076409429273E-2</v>
      </c>
      <c r="AC18" s="336">
        <f t="shared" si="2"/>
        <v>1.0517320464074401E-11</v>
      </c>
      <c r="AD18" s="337">
        <f t="shared" si="3"/>
        <v>3.9701424029725338E-13</v>
      </c>
      <c r="AE18" s="308">
        <f t="shared" si="10"/>
        <v>3.774861112708269</v>
      </c>
      <c r="AF18" s="337">
        <f t="shared" si="11"/>
        <v>7.9402848059450675E-13</v>
      </c>
      <c r="AG18" s="338">
        <f t="shared" si="23"/>
        <v>-25.277997649800938</v>
      </c>
      <c r="AH18" s="339">
        <f t="shared" si="24"/>
        <v>3.7748611127082686E-2</v>
      </c>
      <c r="AI18" s="340">
        <f t="shared" si="25"/>
        <v>0.14933386595745629</v>
      </c>
      <c r="AJ18" s="341">
        <f t="shared" si="12"/>
        <v>7.5497222254165372E-2</v>
      </c>
    </row>
    <row r="19" spans="1:39" x14ac:dyDescent="0.2">
      <c r="A19" s="309">
        <v>12</v>
      </c>
      <c r="B19" s="309">
        <f t="shared" si="13"/>
        <v>7.7494972222222227</v>
      </c>
      <c r="C19" s="1">
        <v>410.05</v>
      </c>
      <c r="D19" s="1">
        <v>0.25</v>
      </c>
      <c r="E19" s="326">
        <f t="shared" si="4"/>
        <v>14.637002341920374</v>
      </c>
      <c r="F19" s="327">
        <f t="shared" si="0"/>
        <v>5.2026295171726722E-3</v>
      </c>
      <c r="G19" s="309">
        <f t="shared" si="5"/>
        <v>0.646488888888889</v>
      </c>
      <c r="H19" s="1">
        <v>2327.36</v>
      </c>
      <c r="I19" s="324">
        <v>30</v>
      </c>
      <c r="J19" s="1">
        <v>0.74292000000000002</v>
      </c>
      <c r="K19" s="1">
        <v>1.0199999999999901E-3</v>
      </c>
      <c r="L19" s="328">
        <f t="shared" si="6"/>
        <v>0.13729607494750309</v>
      </c>
      <c r="M19" s="329">
        <f t="shared" si="1"/>
        <v>1.6883141084173461E-2</v>
      </c>
      <c r="N19" s="342">
        <f>(1/$J$58)*SQRT(((1-J20/$J$58)*K19)^2+(J20/$J$58)^2*(SUMSQ(K$8:K18)+SUMSQ(K20:K$57)))</f>
        <v>4.4139788598993356E-5</v>
      </c>
      <c r="O19" s="340">
        <f t="shared" si="14"/>
        <v>0.26144298847547232</v>
      </c>
      <c r="P19" s="332">
        <f t="shared" si="7"/>
        <v>9.3178385616105613E-2</v>
      </c>
      <c r="Q19" s="342">
        <f>SQRT(((1-P19)/$J$58)^2*SUMSQ(K$8:K19)+(P19/$J$58)^2*SUMSQ(K20:K$57))</f>
        <v>1.8587535945148207E-4</v>
      </c>
      <c r="R19" s="340">
        <f t="shared" si="15"/>
        <v>0.19948334393481273</v>
      </c>
      <c r="S19" s="343">
        <f t="shared" si="16"/>
        <v>1.1502743546884064E-7</v>
      </c>
      <c r="T19" s="344">
        <f t="shared" si="17"/>
        <v>1.4827199333430241E-9</v>
      </c>
      <c r="U19" s="344">
        <f>IF(P19&lt;=0.85, (1/(3*H19*$J$58))*SQRT( ((1-P19)*(1/SQRT(1-PI()*P19/3)-1) + (1-P18)*(1-1/SQRT(1-PI()*P18/3)))^2*SUMSQ(K$8:K18) + ( (1-P19)*(1/SQRT(1-PI()*P19/3)-1) -P18*(1-1/SQRT(1-PI()*P18/3)) )^2*K19^2 + ( P19*(1-1/SQRT(1-PI()*P19/3)) - P18*(1-1/SQRT(1-PI()*P18/3)) )^2*SUMSQ(K20:K$57) ), (1/(PI()^2*H19*$J$58))*SQRT((1+P18/(1-P18))^2*K19^2+(P18/(1-P18)-P19/(1-P19))^2*SUMSQ(K20:K$57)) )</f>
        <v>4.8990123889580019E-10</v>
      </c>
      <c r="V19" s="345">
        <f t="shared" si="18"/>
        <v>1.5615574355765405E-9</v>
      </c>
      <c r="W19" s="340">
        <f t="shared" si="19"/>
        <v>1.3575521606752201</v>
      </c>
      <c r="X19" s="345">
        <f t="shared" si="20"/>
        <v>3.1231148711530811E-9</v>
      </c>
      <c r="Y19" s="338">
        <f t="shared" si="8"/>
        <v>-15.978095167742023</v>
      </c>
      <c r="Z19" s="346">
        <f t="shared" si="21"/>
        <v>1.3575521606752201E-2</v>
      </c>
      <c r="AA19" s="346">
        <f t="shared" si="22"/>
        <v>8.4963329259420434E-2</v>
      </c>
      <c r="AB19" s="346">
        <f t="shared" si="9"/>
        <v>2.7151043213504401E-2</v>
      </c>
      <c r="AC19" s="336">
        <f t="shared" si="2"/>
        <v>1.4844244536279697E-11</v>
      </c>
      <c r="AD19" s="337">
        <f t="shared" si="3"/>
        <v>5.6018649687105237E-13</v>
      </c>
      <c r="AE19" s="308">
        <f t="shared" si="10"/>
        <v>3.7737622517733582</v>
      </c>
      <c r="AF19" s="337">
        <f t="shared" si="11"/>
        <v>1.1203729937421047E-12</v>
      </c>
      <c r="AG19" s="338">
        <f t="shared" si="23"/>
        <v>-24.933408899120288</v>
      </c>
      <c r="AH19" s="339">
        <f t="shared" si="24"/>
        <v>3.7737622517733577E-2</v>
      </c>
      <c r="AI19" s="340">
        <f t="shared" si="25"/>
        <v>0.15135364229744397</v>
      </c>
      <c r="AJ19" s="341">
        <f t="shared" si="12"/>
        <v>7.5475245035467153E-2</v>
      </c>
    </row>
    <row r="20" spans="1:39" x14ac:dyDescent="0.2">
      <c r="A20" s="309">
        <v>13</v>
      </c>
      <c r="B20" s="309">
        <f t="shared" si="13"/>
        <v>8.3965444444444444</v>
      </c>
      <c r="C20" s="1">
        <v>420.05</v>
      </c>
      <c r="D20" s="1">
        <v>0.24</v>
      </c>
      <c r="E20" s="326">
        <f t="shared" si="4"/>
        <v>14.425851125216386</v>
      </c>
      <c r="F20" s="327">
        <f t="shared" si="0"/>
        <v>4.8536210964279852E-3</v>
      </c>
      <c r="G20" s="309">
        <f t="shared" si="5"/>
        <v>0.64704722222222211</v>
      </c>
      <c r="H20" s="1">
        <v>2329.37</v>
      </c>
      <c r="I20" s="324">
        <v>30</v>
      </c>
      <c r="J20" s="1">
        <v>0.872779999999999</v>
      </c>
      <c r="K20" s="1">
        <v>1.2600000000000001E-3</v>
      </c>
      <c r="L20" s="328">
        <f t="shared" si="6"/>
        <v>0.14436627787071216</v>
      </c>
      <c r="M20" s="329">
        <f t="shared" si="1"/>
        <v>1.9834259241163107E-2</v>
      </c>
      <c r="N20" s="342">
        <f>(1/$J$58)*SQRT(((1-J21/$J$58)*K20)^2+(J21/$J$58)^2*(SUMSQ(K$8:K19)+SUMSQ(K21:K$57)))</f>
        <v>5.0755686677336938E-5</v>
      </c>
      <c r="O20" s="340">
        <f t="shared" si="14"/>
        <v>0.25589907876166568</v>
      </c>
      <c r="P20" s="332">
        <f t="shared" si="7"/>
        <v>0.11301264485726872</v>
      </c>
      <c r="Q20" s="342">
        <f>SQRT(((1-P20)/$J$58)^2*SUMSQ(K$8:K20)+(P20/$J$58)^2*SUMSQ(K21:K$57))</f>
        <v>2.234525106334161E-4</v>
      </c>
      <c r="R20" s="340">
        <f t="shared" si="15"/>
        <v>0.19772345910108491</v>
      </c>
      <c r="S20" s="343">
        <f t="shared" si="16"/>
        <v>1.6690229078408986E-7</v>
      </c>
      <c r="T20" s="344">
        <f t="shared" si="17"/>
        <v>2.1495377391838509E-9</v>
      </c>
      <c r="U20" s="344">
        <f>IF(P20&lt;=0.85, (1/(3*H20*$J$58))*SQRT( ((1-P20)*(1/SQRT(1-PI()*P20/3)-1) + (1-P19)*(1-1/SQRT(1-PI()*P19/3)))^2*SUMSQ(K$8:K19) + ( (1-P20)*(1/SQRT(1-PI()*P20/3)-1) -P19*(1-1/SQRT(1-PI()*P19/3)) )^2*K20^2 + ( P20*(1-1/SQRT(1-PI()*P20/3)) - P19*(1-1/SQRT(1-PI()*P19/3)) )^2*SUMSQ(K21:K$57) ), (1/(PI()^2*H20*$J$58))*SQRT((1+P19/(1-P19))^2*K20^2+(P19/(1-P19)-P20/(1-P20))^2*SUMSQ(K21:K$57)) )</f>
        <v>7.1802371694390636E-10</v>
      </c>
      <c r="V20" s="345">
        <f t="shared" si="18"/>
        <v>2.2662900410736405E-9</v>
      </c>
      <c r="W20" s="340">
        <f t="shared" si="19"/>
        <v>1.3578543652258108</v>
      </c>
      <c r="X20" s="345">
        <f t="shared" si="20"/>
        <v>4.5325800821472811E-9</v>
      </c>
      <c r="Y20" s="338">
        <f t="shared" si="8"/>
        <v>-15.60585728088396</v>
      </c>
      <c r="Z20" s="346">
        <f t="shared" si="21"/>
        <v>1.3578543652258109E-2</v>
      </c>
      <c r="AA20" s="346">
        <f t="shared" si="22"/>
        <v>8.7009277400549076E-2</v>
      </c>
      <c r="AB20" s="346">
        <f t="shared" si="9"/>
        <v>2.7157087304516218E-2</v>
      </c>
      <c r="AC20" s="336">
        <f t="shared" si="2"/>
        <v>2.1538673864770482E-11</v>
      </c>
      <c r="AD20" s="337">
        <f t="shared" si="3"/>
        <v>8.12841761530044E-13</v>
      </c>
      <c r="AE20" s="308">
        <f t="shared" si="10"/>
        <v>3.7738709756850932</v>
      </c>
      <c r="AF20" s="337">
        <f t="shared" si="11"/>
        <v>1.625683523060088E-12</v>
      </c>
      <c r="AG20" s="338">
        <f t="shared" si="23"/>
        <v>-24.561171012262225</v>
      </c>
      <c r="AH20" s="339">
        <f t="shared" si="24"/>
        <v>3.7738709756850931E-2</v>
      </c>
      <c r="AI20" s="340">
        <f t="shared" si="25"/>
        <v>0.1536519156110667</v>
      </c>
      <c r="AJ20" s="341">
        <f t="shared" si="12"/>
        <v>7.5477419513701863E-2</v>
      </c>
    </row>
    <row r="21" spans="1:39" x14ac:dyDescent="0.2">
      <c r="A21" s="309">
        <v>14</v>
      </c>
      <c r="B21" s="309">
        <f t="shared" si="13"/>
        <v>9.041919444444444</v>
      </c>
      <c r="C21" s="1">
        <v>430.04</v>
      </c>
      <c r="D21" s="1">
        <v>0.25</v>
      </c>
      <c r="E21" s="326">
        <f t="shared" si="4"/>
        <v>14.220907578321647</v>
      </c>
      <c r="F21" s="327">
        <f t="shared" si="0"/>
        <v>4.915205698515529E-3</v>
      </c>
      <c r="G21" s="309">
        <f t="shared" si="5"/>
        <v>0.64537499999999992</v>
      </c>
      <c r="H21" s="1">
        <v>2323.35</v>
      </c>
      <c r="I21" s="324">
        <v>30</v>
      </c>
      <c r="J21" s="1">
        <v>0.97640000000000005</v>
      </c>
      <c r="K21" s="1">
        <v>1.4499999999999999E-3</v>
      </c>
      <c r="L21" s="328">
        <f t="shared" si="6"/>
        <v>0.14850471118394099</v>
      </c>
      <c r="M21" s="329">
        <f t="shared" si="1"/>
        <v>2.218906336427471E-2</v>
      </c>
      <c r="N21" s="342">
        <f>(1/$J$58)*SQRT(((1-J22/$J$58)*K21)^2+(J22/$J$58)^2*(SUMSQ(K$8:K20)+SUMSQ(K22:K$57)))</f>
        <v>5.75574760566374E-5</v>
      </c>
      <c r="O21" s="340">
        <f t="shared" si="14"/>
        <v>0.25939569918623634</v>
      </c>
      <c r="P21" s="332">
        <f t="shared" si="7"/>
        <v>0.13520170822154343</v>
      </c>
      <c r="Q21" s="342">
        <f>SQRT(((1-P21)/$J$58)^2*SUMSQ(K$8:K21)+(P21/$J$58)^2*SUMSQ(K22:K$57))</f>
        <v>2.656679113327266E-4</v>
      </c>
      <c r="R21" s="340">
        <f t="shared" si="15"/>
        <v>0.1964974517166598</v>
      </c>
      <c r="S21" s="343">
        <f t="shared" si="16"/>
        <v>2.295762185129723E-7</v>
      </c>
      <c r="T21" s="344">
        <f t="shared" si="17"/>
        <v>2.9643775390660753E-9</v>
      </c>
      <c r="U21" s="344">
        <f>IF(P21&lt;=0.85, (1/(3*H21*$J$58))*SQRT( ((1-P21)*(1/SQRT(1-PI()*P21/3)-1) + (1-P20)*(1-1/SQRT(1-PI()*P20/3)))^2*SUMSQ(K$8:K20) + ( (1-P21)*(1/SQRT(1-PI()*P21/3)-1) -P20*(1-1/SQRT(1-PI()*P20/3)) )^2*K21^2 + ( P21*(1-1/SQRT(1-PI()*P21/3)) - P20*(1-1/SQRT(1-PI()*P20/3)) )^2*SUMSQ(K22:K$57) ), (1/(PI()^2*H21*$J$58))*SQRT((1+P20/(1-P20))^2*K21^2+(P20/(1-P20)-P21/(1-P21))^2*SUMSQ(K22:K$57)) )</f>
        <v>9.9689283200928938E-10</v>
      </c>
      <c r="V21" s="345">
        <f t="shared" si="18"/>
        <v>3.1275117126288979E-9</v>
      </c>
      <c r="W21" s="340">
        <f t="shared" si="19"/>
        <v>1.3622977732130286</v>
      </c>
      <c r="X21" s="345">
        <f t="shared" si="20"/>
        <v>6.2550234252577958E-9</v>
      </c>
      <c r="Y21" s="338">
        <f t="shared" si="8"/>
        <v>-15.287030755770735</v>
      </c>
      <c r="Z21" s="346">
        <f t="shared" si="21"/>
        <v>1.3622977732130285E-2</v>
      </c>
      <c r="AA21" s="346">
        <f t="shared" si="22"/>
        <v>8.911460930362633E-2</v>
      </c>
      <c r="AB21" s="346">
        <f t="shared" si="9"/>
        <v>2.724595546426057E-2</v>
      </c>
      <c r="AC21" s="336">
        <f t="shared" si="2"/>
        <v>2.9626719168611667E-11</v>
      </c>
      <c r="AD21" s="337">
        <f t="shared" si="3"/>
        <v>1.1185484892435104E-12</v>
      </c>
      <c r="AE21" s="308">
        <f t="shared" si="10"/>
        <v>3.7754720084853948</v>
      </c>
      <c r="AF21" s="337">
        <f t="shared" si="11"/>
        <v>2.2370969784870208E-12</v>
      </c>
      <c r="AG21" s="338">
        <f t="shared" si="23"/>
        <v>-24.242344487148998</v>
      </c>
      <c r="AH21" s="339">
        <f t="shared" si="24"/>
        <v>3.7754720084853949E-2</v>
      </c>
      <c r="AI21" s="340">
        <f t="shared" si="25"/>
        <v>0.15573873271567418</v>
      </c>
      <c r="AJ21" s="341">
        <f t="shared" si="12"/>
        <v>7.5509440169707898E-2</v>
      </c>
    </row>
    <row r="22" spans="1:39" x14ac:dyDescent="0.2">
      <c r="A22" s="309">
        <v>15</v>
      </c>
      <c r="B22" s="309">
        <f t="shared" si="13"/>
        <v>9.6884055555555548</v>
      </c>
      <c r="C22" s="1">
        <v>440.03</v>
      </c>
      <c r="D22" s="1">
        <v>0.23</v>
      </c>
      <c r="E22" s="326">
        <f t="shared" si="4"/>
        <v>14.021705600269218</v>
      </c>
      <c r="F22" s="327">
        <f t="shared" si="0"/>
        <v>4.3979170410158516E-3</v>
      </c>
      <c r="G22" s="309">
        <f t="shared" si="5"/>
        <v>0.64648611111111109</v>
      </c>
      <c r="H22" s="1">
        <v>2327.35</v>
      </c>
      <c r="I22" s="324">
        <v>30</v>
      </c>
      <c r="J22" s="1">
        <v>1.1014999999999999</v>
      </c>
      <c r="K22" s="1">
        <v>1.66E-3</v>
      </c>
      <c r="L22" s="328">
        <f t="shared" si="6"/>
        <v>0.15070358601906492</v>
      </c>
      <c r="M22" s="329">
        <f t="shared" si="1"/>
        <v>2.5032008701094417E-2</v>
      </c>
      <c r="N22" s="342">
        <f>(1/$J$58)*SQRT(((1-J23/$J$58)*K22)^2+(J23/$J$58)^2*(SUMSQ(K$8:K21)+SUMSQ(K23:K$57)))</f>
        <v>6.4628978680604486E-5</v>
      </c>
      <c r="O22" s="340">
        <f t="shared" si="14"/>
        <v>0.25818534761766387</v>
      </c>
      <c r="P22" s="332">
        <f t="shared" si="7"/>
        <v>0.16023371692263785</v>
      </c>
      <c r="Q22" s="342">
        <f>SQRT(((1-P22)/$J$58)^2*SUMSQ(K$8:K22)+(P22/$J$58)^2*SUMSQ(K23:K$57))</f>
        <v>3.1336254092119838E-4</v>
      </c>
      <c r="R22" s="340">
        <f t="shared" si="15"/>
        <v>0.19556591892110473</v>
      </c>
      <c r="S22" s="343">
        <f t="shared" si="16"/>
        <v>3.1438408462588046E-7</v>
      </c>
      <c r="T22" s="344">
        <f t="shared" si="17"/>
        <v>4.0524727861200225E-9</v>
      </c>
      <c r="U22" s="344">
        <f>IF(P22&lt;=0.85, (1/(3*H22*$J$58))*SQRT( ((1-P22)*(1/SQRT(1-PI()*P22/3)-1) + (1-P21)*(1-1/SQRT(1-PI()*P21/3)))^2*SUMSQ(K$8:K21) + ( (1-P22)*(1/SQRT(1-PI()*P22/3)-1) -P21*(1-1/SQRT(1-PI()*P21/3)) )^2*K22^2 + ( P22*(1-1/SQRT(1-PI()*P22/3)) - P21*(1-1/SQRT(1-PI()*P21/3)) )^2*SUMSQ(K23:K$57) ), (1/(PI()^2*H22*$J$58))*SQRT((1+P21/(1-P21))^2*K22^2+(P21/(1-P21)-P22/(1-P22))^2*SUMSQ(K23:K$57)) )</f>
        <v>1.3782747463320162E-9</v>
      </c>
      <c r="V22" s="345">
        <f t="shared" si="18"/>
        <v>4.2804412107421778E-9</v>
      </c>
      <c r="W22" s="340">
        <f t="shared" si="19"/>
        <v>1.3615324121244676</v>
      </c>
      <c r="X22" s="345">
        <f t="shared" si="20"/>
        <v>8.5608824214843557E-9</v>
      </c>
      <c r="Y22" s="338">
        <f t="shared" si="8"/>
        <v>-14.972650399091622</v>
      </c>
      <c r="Z22" s="346">
        <f t="shared" si="21"/>
        <v>1.3615324121244677E-2</v>
      </c>
      <c r="AA22" s="346">
        <f t="shared" si="22"/>
        <v>9.093462919611553E-2</v>
      </c>
      <c r="AB22" s="346">
        <f t="shared" si="9"/>
        <v>2.7230648242489355E-2</v>
      </c>
      <c r="AC22" s="336">
        <f t="shared" si="2"/>
        <v>4.0571140367336022E-11</v>
      </c>
      <c r="AD22" s="337">
        <f t="shared" si="3"/>
        <v>1.5316400325585882E-12</v>
      </c>
      <c r="AE22" s="308">
        <f t="shared" si="10"/>
        <v>3.7751959118992802</v>
      </c>
      <c r="AF22" s="337">
        <f t="shared" si="11"/>
        <v>3.0632800651171763E-12</v>
      </c>
      <c r="AG22" s="338">
        <f t="shared" si="23"/>
        <v>-23.927964130469885</v>
      </c>
      <c r="AH22" s="339">
        <f t="shared" si="24"/>
        <v>3.7751959118992803E-2</v>
      </c>
      <c r="AI22" s="340">
        <f t="shared" si="25"/>
        <v>0.15777338562171878</v>
      </c>
      <c r="AJ22" s="341">
        <f t="shared" si="12"/>
        <v>7.5503918237985607E-2</v>
      </c>
    </row>
    <row r="23" spans="1:39" x14ac:dyDescent="0.2">
      <c r="A23" s="309">
        <v>16</v>
      </c>
      <c r="B23" s="309">
        <f t="shared" si="13"/>
        <v>10.332672222222222</v>
      </c>
      <c r="C23" s="1">
        <v>450.02</v>
      </c>
      <c r="D23" s="1">
        <v>0.23</v>
      </c>
      <c r="E23" s="326">
        <f t="shared" si="4"/>
        <v>13.828007245875797</v>
      </c>
      <c r="F23" s="327">
        <f t="shared" si="0"/>
        <v>4.2788820093032209E-3</v>
      </c>
      <c r="G23" s="309">
        <f t="shared" si="5"/>
        <v>0.64426666666666665</v>
      </c>
      <c r="H23" s="1">
        <v>2319.36</v>
      </c>
      <c r="I23" s="324">
        <v>30</v>
      </c>
      <c r="J23" s="1">
        <v>1.2275</v>
      </c>
      <c r="K23" s="1">
        <v>1.41E-3</v>
      </c>
      <c r="L23" s="328">
        <f t="shared" si="6"/>
        <v>0.11486761710794297</v>
      </c>
      <c r="M23" s="329">
        <f t="shared" si="1"/>
        <v>2.7895406882063913E-2</v>
      </c>
      <c r="N23" s="342">
        <f>(1/$J$58)*SQRT(((1-J24/$J$58)*K23)^2+(J24/$J$58)^2*(SUMSQ(K$8:K22)+SUMSQ(K24:K$57)))</f>
        <v>6.7098110577729211E-5</v>
      </c>
      <c r="O23" s="340">
        <f t="shared" si="14"/>
        <v>0.2405346186969286</v>
      </c>
      <c r="P23" s="332">
        <f t="shared" si="7"/>
        <v>0.18812912380470176</v>
      </c>
      <c r="Q23" s="342">
        <f>SQRT(((1-P23)/$J$58)^2*SUMSQ(K$8:K23)+(P23/$J$58)^2*SUMSQ(K24:K$57))</f>
        <v>3.6582877679908139E-4</v>
      </c>
      <c r="R23" s="340">
        <f t="shared" si="15"/>
        <v>0.19445621677314084</v>
      </c>
      <c r="S23" s="343">
        <f t="shared" si="16"/>
        <v>4.2488332319134936E-7</v>
      </c>
      <c r="T23" s="344">
        <f t="shared" si="17"/>
        <v>5.4956969576695618E-9</v>
      </c>
      <c r="U23" s="344">
        <f>IF(P23&lt;=0.85, (1/(3*H23*$J$58))*SQRT( ((1-P23)*(1/SQRT(1-PI()*P23/3)-1) + (1-P22)*(1-1/SQRT(1-PI()*P22/3)))^2*SUMSQ(K$8:K22) + ( (1-P23)*(1/SQRT(1-PI()*P23/3)-1) -P22*(1-1/SQRT(1-PI()*P22/3)) )^2*K23^2 + ( P23*(1-1/SQRT(1-PI()*P23/3)) - P22*(1-1/SQRT(1-PI()*P22/3)) )^2*SUMSQ(K24:K$57) ), (1/(PI()^2*H23*$J$58))*SQRT((1+P22/(1-P22))^2*K23^2+(P22/(1-P22)-P23/(1-P23))^2*SUMSQ(K24:K$57)) )</f>
        <v>1.8315125503423537E-9</v>
      </c>
      <c r="V23" s="345">
        <f t="shared" si="18"/>
        <v>5.7928510487151344E-9</v>
      </c>
      <c r="W23" s="340">
        <f t="shared" si="19"/>
        <v>1.3633980748418975</v>
      </c>
      <c r="X23" s="345">
        <f t="shared" si="20"/>
        <v>1.1585702097430269E-8</v>
      </c>
      <c r="Y23" s="338">
        <f t="shared" si="8"/>
        <v>-14.671451239380673</v>
      </c>
      <c r="Z23" s="346">
        <f t="shared" si="21"/>
        <v>1.3633980748418975E-2</v>
      </c>
      <c r="AA23" s="346">
        <f t="shared" si="22"/>
        <v>9.2928644385383286E-2</v>
      </c>
      <c r="AB23" s="346">
        <f t="shared" si="9"/>
        <v>2.726796149683795E-2</v>
      </c>
      <c r="AC23" s="336">
        <f t="shared" si="2"/>
        <v>5.4831022904514356E-11</v>
      </c>
      <c r="AD23" s="337">
        <f t="shared" si="3"/>
        <v>2.0703476883930617E-12</v>
      </c>
      <c r="AE23" s="308">
        <f t="shared" si="10"/>
        <v>3.7758691680774854</v>
      </c>
      <c r="AF23" s="337">
        <f t="shared" si="11"/>
        <v>4.1406953767861233E-12</v>
      </c>
      <c r="AG23" s="338">
        <f t="shared" si="23"/>
        <v>-23.626764970758938</v>
      </c>
      <c r="AH23" s="339">
        <f t="shared" si="24"/>
        <v>3.775869168077485E-2</v>
      </c>
      <c r="AI23" s="340">
        <f t="shared" si="25"/>
        <v>0.15981321068502577</v>
      </c>
      <c r="AJ23" s="341">
        <f t="shared" si="12"/>
        <v>7.55173833615497E-2</v>
      </c>
    </row>
    <row r="24" spans="1:39" x14ac:dyDescent="0.2">
      <c r="A24" s="309">
        <v>17</v>
      </c>
      <c r="B24" s="309">
        <f t="shared" si="13"/>
        <v>10.979166666666666</v>
      </c>
      <c r="C24" s="1">
        <v>460.01</v>
      </c>
      <c r="D24" s="1">
        <v>0.22</v>
      </c>
      <c r="E24" s="326">
        <f t="shared" si="4"/>
        <v>13.639587538872824</v>
      </c>
      <c r="F24" s="327">
        <f t="shared" si="0"/>
        <v>3.9836521086637818E-3</v>
      </c>
      <c r="G24" s="309">
        <f t="shared" si="5"/>
        <v>0.64649444444444448</v>
      </c>
      <c r="H24" s="1">
        <v>2327.38</v>
      </c>
      <c r="I24" s="324">
        <v>30</v>
      </c>
      <c r="J24" s="1">
        <v>1.37199</v>
      </c>
      <c r="K24" s="1">
        <v>1.2899999999999999E-3</v>
      </c>
      <c r="L24" s="328">
        <f t="shared" si="6"/>
        <v>9.402400892134781E-2</v>
      </c>
      <c r="M24" s="329">
        <f t="shared" si="1"/>
        <v>3.1178997383399486E-2</v>
      </c>
      <c r="N24" s="342">
        <f>(1/$J$58)*SQRT(((1-J25/$J$58)*K24)^2+(J25/$J$58)^2*(SUMSQ(K$8:K23)+SUMSQ(K25:K$57)))</f>
        <v>1.0315705890194712E-4</v>
      </c>
      <c r="O24" s="340">
        <f t="shared" si="14"/>
        <v>0.3308543171977385</v>
      </c>
      <c r="P24" s="332">
        <f t="shared" si="7"/>
        <v>0.21930812118810125</v>
      </c>
      <c r="Q24" s="342">
        <f>SQRT(((1-P24)/$J$58)^2*SUMSQ(K$8:K24)+(P24/$J$58)^2*SUMSQ(K25:K$57))</f>
        <v>4.2434495839000251E-4</v>
      </c>
      <c r="R24" s="340">
        <f t="shared" si="15"/>
        <v>0.19349258754811025</v>
      </c>
      <c r="S24" s="343">
        <f t="shared" si="16"/>
        <v>5.6948967119350968E-7</v>
      </c>
      <c r="T24" s="344">
        <f t="shared" si="17"/>
        <v>7.3407394305207054E-9</v>
      </c>
      <c r="U24" s="344">
        <f>IF(P24&lt;=0.85, (1/(3*H24*$J$58))*SQRT( ((1-P24)*(1/SQRT(1-PI()*P24/3)-1) + (1-P23)*(1-1/SQRT(1-PI()*P23/3)))^2*SUMSQ(K$8:K23) + ( (1-P24)*(1/SQRT(1-PI()*P24/3)-1) -P23*(1-1/SQRT(1-PI()*P23/3)) )^2*K24^2 + ( P24*(1-1/SQRT(1-PI()*P24/3)) - P23*(1-1/SQRT(1-PI()*P23/3)) )^2*SUMSQ(K25:K$57) ), (1/(PI()^2*H24*$J$58))*SQRT((1+P23/(1-P23))^2*K24^2+(P23/(1-P23)-P24/(1-P24))^2*SUMSQ(K25:K$57)) )</f>
        <v>2.4570867233946393E-9</v>
      </c>
      <c r="V24" s="345">
        <f t="shared" si="18"/>
        <v>7.7410419552592315E-9</v>
      </c>
      <c r="W24" s="340">
        <f t="shared" si="19"/>
        <v>1.3592945310203643</v>
      </c>
      <c r="X24" s="345">
        <f t="shared" si="20"/>
        <v>1.5482083910518463E-8</v>
      </c>
      <c r="Y24" s="338">
        <f t="shared" si="8"/>
        <v>-14.378525190846103</v>
      </c>
      <c r="Z24" s="346">
        <f t="shared" si="21"/>
        <v>1.3592945310203643E-2</v>
      </c>
      <c r="AA24" s="346">
        <f t="shared" si="22"/>
        <v>9.4536436315856717E-2</v>
      </c>
      <c r="AB24" s="346">
        <f t="shared" si="9"/>
        <v>2.7185890620407285E-2</v>
      </c>
      <c r="AC24" s="336">
        <f t="shared" si="2"/>
        <v>7.3492414271653953E-11</v>
      </c>
      <c r="AD24" s="337">
        <f t="shared" si="3"/>
        <v>2.7738898885420811E-12</v>
      </c>
      <c r="AE24" s="308">
        <f t="shared" si="10"/>
        <v>3.7743893924736271</v>
      </c>
      <c r="AF24" s="337">
        <f t="shared" si="11"/>
        <v>5.5477797770841622E-12</v>
      </c>
      <c r="AG24" s="338">
        <f t="shared" si="23"/>
        <v>-23.333838922224366</v>
      </c>
      <c r="AH24" s="339">
        <f t="shared" si="24"/>
        <v>3.7743893924736274E-2</v>
      </c>
      <c r="AI24" s="340">
        <f t="shared" si="25"/>
        <v>0.16175604044642231</v>
      </c>
      <c r="AJ24" s="341">
        <f t="shared" si="12"/>
        <v>7.5487787849472548E-2</v>
      </c>
    </row>
    <row r="25" spans="1:39" x14ac:dyDescent="0.2">
      <c r="A25" s="309">
        <v>18</v>
      </c>
      <c r="B25" s="309">
        <f t="shared" si="13"/>
        <v>12.019416666666666</v>
      </c>
      <c r="C25" s="1">
        <v>469.99</v>
      </c>
      <c r="D25" s="1">
        <v>0.21</v>
      </c>
      <c r="E25" s="326">
        <f t="shared" si="4"/>
        <v>13.45641467287456</v>
      </c>
      <c r="F25" s="327">
        <f t="shared" si="0"/>
        <v>3.7022681143091623E-3</v>
      </c>
      <c r="G25" s="309">
        <f t="shared" si="5"/>
        <v>1.0402499999999999</v>
      </c>
      <c r="H25" s="1">
        <v>3744.9</v>
      </c>
      <c r="I25" s="324">
        <v>30</v>
      </c>
      <c r="J25" s="1">
        <v>2.2912599999999999</v>
      </c>
      <c r="K25" s="1">
        <v>2.7799999999999999E-3</v>
      </c>
      <c r="L25" s="328">
        <f t="shared" si="6"/>
        <v>0.12133062157939299</v>
      </c>
      <c r="M25" s="329">
        <f t="shared" si="1"/>
        <v>5.20697596518108E-2</v>
      </c>
      <c r="N25" s="342">
        <f>(1/$J$58)*SQRT(((1-J26/$J$58)*K25)^2+(J26/$J$58)^2*(SUMSQ(K$8:K24)+SUMSQ(K26:K$57)))</f>
        <v>1.1109764531821461E-4</v>
      </c>
      <c r="O25" s="340">
        <f t="shared" si="14"/>
        <v>0.21336308456409597</v>
      </c>
      <c r="P25" s="332">
        <f t="shared" si="7"/>
        <v>0.27137788083991204</v>
      </c>
      <c r="Q25" s="342">
        <f>SQRT(((1-P25)/$J$58)^2*SUMSQ(K$8:K25)+(P25/$J$58)^2*SUMSQ(K26:K$57))</f>
        <v>5.2344956963360878E-4</v>
      </c>
      <c r="R25" s="340">
        <f t="shared" si="15"/>
        <v>0.19288586380494135</v>
      </c>
      <c r="S25" s="343">
        <f t="shared" si="16"/>
        <v>7.4277073129261116E-7</v>
      </c>
      <c r="T25" s="344">
        <f t="shared" si="17"/>
        <v>5.9502582014949213E-9</v>
      </c>
      <c r="U25" s="344">
        <f>IF(P25&lt;=0.85, (1/(3*H25*$J$58))*SQRT( ((1-P25)*(1/SQRT(1-PI()*P25/3)-1) + (1-P24)*(1-1/SQRT(1-PI()*P24/3)))^2*SUMSQ(K$8:K24) + ( (1-P25)*(1/SQRT(1-PI()*P25/3)-1) -P24*(1-1/SQRT(1-PI()*P24/3)) )^2*K25^2 + ( P25*(1-1/SQRT(1-PI()*P25/3)) - P24*(1-1/SQRT(1-PI()*P24/3)) )^2*SUMSQ(K26:K$57) ), (1/(PI()^2*H25*$J$58))*SQRT((1+P24/(1-P24))^2*K25^2+(P24/(1-P24)-P25/(1-P25))^2*SUMSQ(K26:K$57)) )</f>
        <v>3.3254250514143633E-9</v>
      </c>
      <c r="V25" s="345">
        <f t="shared" si="18"/>
        <v>6.8164524818289313E-9</v>
      </c>
      <c r="W25" s="340">
        <f t="shared" si="19"/>
        <v>0.91770612312180899</v>
      </c>
      <c r="X25" s="345">
        <f t="shared" si="20"/>
        <v>1.3632904963657863E-8</v>
      </c>
      <c r="Y25" s="338">
        <f t="shared" si="8"/>
        <v>-14.112878411458228</v>
      </c>
      <c r="Z25" s="346">
        <f t="shared" si="21"/>
        <v>9.1770612312180901E-3</v>
      </c>
      <c r="AA25" s="346">
        <f t="shared" si="22"/>
        <v>6.5026148200690553E-2</v>
      </c>
      <c r="AB25" s="346">
        <f t="shared" si="9"/>
        <v>1.835412246243618E-2</v>
      </c>
      <c r="AC25" s="336">
        <f t="shared" si="2"/>
        <v>9.5854265765018943E-11</v>
      </c>
      <c r="AD25" s="337">
        <f t="shared" si="3"/>
        <v>3.487899285897086E-12</v>
      </c>
      <c r="AE25" s="308">
        <f t="shared" si="10"/>
        <v>3.6387522851069187</v>
      </c>
      <c r="AF25" s="337">
        <f t="shared" si="11"/>
        <v>6.9757985717941721E-12</v>
      </c>
      <c r="AG25" s="338">
        <f t="shared" si="23"/>
        <v>-23.068192142836491</v>
      </c>
      <c r="AH25" s="339">
        <f t="shared" si="24"/>
        <v>3.6387522851069193E-2</v>
      </c>
      <c r="AI25" s="340">
        <f t="shared" si="25"/>
        <v>0.15773894471556513</v>
      </c>
      <c r="AJ25" s="341">
        <f t="shared" si="12"/>
        <v>7.2775045702138386E-2</v>
      </c>
    </row>
    <row r="26" spans="1:39" x14ac:dyDescent="0.2">
      <c r="A26" s="309">
        <v>19</v>
      </c>
      <c r="B26" s="309">
        <f t="shared" si="13"/>
        <v>13.05855</v>
      </c>
      <c r="C26" s="1">
        <v>479.99</v>
      </c>
      <c r="D26" s="1">
        <v>0.19</v>
      </c>
      <c r="E26" s="326">
        <f t="shared" si="4"/>
        <v>13.277743845765727</v>
      </c>
      <c r="F26" s="327">
        <f t="shared" si="0"/>
        <v>3.262459773965427E-3</v>
      </c>
      <c r="G26" s="309">
        <f t="shared" si="5"/>
        <v>1.0391333333333332</v>
      </c>
      <c r="H26" s="1">
        <v>3740.88</v>
      </c>
      <c r="I26" s="324">
        <v>30</v>
      </c>
      <c r="J26" s="1">
        <v>2.1562700000000001</v>
      </c>
      <c r="K26" s="1">
        <v>2.2799999999999999E-3</v>
      </c>
      <c r="L26" s="328">
        <f t="shared" si="6"/>
        <v>0.10573814967513344</v>
      </c>
      <c r="M26" s="329">
        <f t="shared" si="1"/>
        <v>4.9002060283167378E-2</v>
      </c>
      <c r="N26" s="342">
        <f>(1/$J$58)*SQRT(((1-J27/$J$58)*K26)^2+(J27/$J$58)^2*(SUMSQ(K$8:K25)+SUMSQ(K27:K$57)))</f>
        <v>1.0583854934246744E-4</v>
      </c>
      <c r="O26" s="340">
        <f t="shared" si="14"/>
        <v>0.21598795791617742</v>
      </c>
      <c r="P26" s="332">
        <f t="shared" si="7"/>
        <v>0.32037994112307944</v>
      </c>
      <c r="Q26" s="342">
        <f>SQRT(((1-P26)/$J$58)^2*SUMSQ(K$8:K26)+(P26/$J$58)^2*SUMSQ(K27:K$57))</f>
        <v>6.1586084330145598E-4</v>
      </c>
      <c r="R26" s="340">
        <f t="shared" si="15"/>
        <v>0.19222827781994709</v>
      </c>
      <c r="S26" s="343">
        <f t="shared" si="16"/>
        <v>8.9043244919165481E-7</v>
      </c>
      <c r="T26" s="344">
        <f t="shared" si="17"/>
        <v>7.1408260825660437E-9</v>
      </c>
      <c r="U26" s="344">
        <f>IF(P26&lt;=0.85, (1/(3*H26*$J$58))*SQRT( ((1-P26)*(1/SQRT(1-PI()*P26/3)-1) + (1-P25)*(1-1/SQRT(1-PI()*P25/3)))^2*SUMSQ(K$8:K25) + ( (1-P26)*(1/SQRT(1-PI()*P26/3)-1) -P25*(1-1/SQRT(1-PI()*P25/3)) )^2*K26^2 + ( P26*(1-1/SQRT(1-PI()*P26/3)) - P25*(1-1/SQRT(1-PI()*P25/3)) )^2*SUMSQ(K27:K$57) ), (1/(PI()^2*H26*$J$58))*SQRT((1+P25/(1-P25))^2*K26^2+(P25/(1-P25)-P26/(1-P26))^2*SUMSQ(K27:K$57)) )</f>
        <v>4.0633012602626344E-9</v>
      </c>
      <c r="V26" s="345">
        <f t="shared" si="18"/>
        <v>8.2159487749807337E-9</v>
      </c>
      <c r="W26" s="340">
        <f t="shared" si="19"/>
        <v>0.92269197763842381</v>
      </c>
      <c r="X26" s="345">
        <f t="shared" si="20"/>
        <v>1.6431897549961467E-8</v>
      </c>
      <c r="Y26" s="338">
        <f t="shared" si="8"/>
        <v>-13.931558594262267</v>
      </c>
      <c r="Z26" s="346">
        <f t="shared" si="21"/>
        <v>9.2269197763842382E-3</v>
      </c>
      <c r="AA26" s="346">
        <f t="shared" si="22"/>
        <v>6.6230348269750369E-2</v>
      </c>
      <c r="AB26" s="346">
        <f t="shared" si="9"/>
        <v>1.8453839552768476E-2</v>
      </c>
      <c r="AC26" s="336">
        <f t="shared" si="2"/>
        <v>1.1490995139520337E-10</v>
      </c>
      <c r="AD26" s="337">
        <f t="shared" si="3"/>
        <v>4.1827370916390292E-12</v>
      </c>
      <c r="AE26" s="308">
        <f t="shared" si="10"/>
        <v>3.6400129326080517</v>
      </c>
      <c r="AF26" s="337">
        <f t="shared" si="11"/>
        <v>8.3654741832780583E-12</v>
      </c>
      <c r="AG26" s="338">
        <f t="shared" si="23"/>
        <v>-22.886872325640528</v>
      </c>
      <c r="AH26" s="339">
        <f t="shared" si="24"/>
        <v>3.640012932608052E-2</v>
      </c>
      <c r="AI26" s="340">
        <f t="shared" si="25"/>
        <v>0.15904370334298965</v>
      </c>
      <c r="AJ26" s="341">
        <f t="shared" si="12"/>
        <v>7.280025865216104E-2</v>
      </c>
    </row>
    <row r="27" spans="1:39" x14ac:dyDescent="0.2">
      <c r="A27" s="309">
        <v>20</v>
      </c>
      <c r="B27" s="309">
        <f t="shared" si="13"/>
        <v>14.098797222222222</v>
      </c>
      <c r="C27" s="1">
        <v>489.99</v>
      </c>
      <c r="D27" s="1">
        <v>0.2</v>
      </c>
      <c r="E27" s="326">
        <f t="shared" si="4"/>
        <v>13.103755536336715</v>
      </c>
      <c r="F27" s="327">
        <f t="shared" si="0"/>
        <v>3.3459057996665718E-3</v>
      </c>
      <c r="G27" s="309">
        <f t="shared" si="5"/>
        <v>1.0402472222222223</v>
      </c>
      <c r="H27" s="1">
        <v>3744.89</v>
      </c>
      <c r="I27" s="324">
        <v>30</v>
      </c>
      <c r="J27" s="1">
        <v>2.1609799999999999</v>
      </c>
      <c r="K27" s="1">
        <v>3.1199999999999999E-3</v>
      </c>
      <c r="L27" s="328">
        <f t="shared" si="6"/>
        <v>0.14437893918499942</v>
      </c>
      <c r="M27" s="329">
        <f t="shared" si="1"/>
        <v>4.9109096834217901E-2</v>
      </c>
      <c r="N27" s="342">
        <f>(1/$J$58)*SQRT(((1-J28/$J$58)*K27)^2+(J28/$J$58)^2*(SUMSQ(K$8:K26)+SUMSQ(K28:K$57)))</f>
        <v>1.1231814909711086E-4</v>
      </c>
      <c r="O27" s="340">
        <f t="shared" si="14"/>
        <v>0.22871149407669533</v>
      </c>
      <c r="P27" s="332">
        <f t="shared" si="7"/>
        <v>0.36948903795729732</v>
      </c>
      <c r="Q27" s="342">
        <f>SQRT(((1-P27)/$J$58)^2*SUMSQ(K$8:K27)+(P27/$J$58)^2*SUMSQ(K28:K$57))</f>
        <v>7.0881883824795277E-4</v>
      </c>
      <c r="R27" s="340">
        <f t="shared" si="15"/>
        <v>0.19183758256175182</v>
      </c>
      <c r="S27" s="343">
        <f t="shared" si="16"/>
        <v>1.099102957777377E-6</v>
      </c>
      <c r="T27" s="344">
        <f t="shared" si="17"/>
        <v>8.8048216992545377E-9</v>
      </c>
      <c r="U27" s="344">
        <f>IF(P27&lt;=0.85, (1/(3*H27*$J$58))*SQRT( ((1-P27)*(1/SQRT(1-PI()*P27/3)-1) + (1-P26)*(1-1/SQRT(1-PI()*P26/3)))^2*SUMSQ(K$8:K26) + ( (1-P27)*(1/SQRT(1-PI()*P27/3)-1) -P26*(1-1/SQRT(1-PI()*P26/3)) )^2*K27^2 + ( P27*(1-1/SQRT(1-PI()*P27/3)) - P26*(1-1/SQRT(1-PI()*P26/3)) )^2*SUMSQ(K28:K$57) ), (1/(PI()^2*H27*$J$58))*SQRT((1+P26/(1-P26))^2*K27^2+(P26/(1-P26)-P27/(1-P27))^2*SUMSQ(K28:K$57)) )</f>
        <v>5.2819940833429717E-9</v>
      </c>
      <c r="V27" s="345">
        <f t="shared" si="18"/>
        <v>1.0267635884278997E-8</v>
      </c>
      <c r="W27" s="340">
        <f t="shared" si="19"/>
        <v>0.93418326387205519</v>
      </c>
      <c r="X27" s="345">
        <f t="shared" si="20"/>
        <v>2.0535271768557994E-8</v>
      </c>
      <c r="Y27" s="338">
        <f t="shared" si="8"/>
        <v>-13.721016203784851</v>
      </c>
      <c r="Z27" s="346">
        <f t="shared" si="21"/>
        <v>9.3418326387205517E-3</v>
      </c>
      <c r="AA27" s="346">
        <f t="shared" si="22"/>
        <v>6.8084116365547828E-2</v>
      </c>
      <c r="AB27" s="346">
        <f t="shared" si="9"/>
        <v>1.8683665277441103E-2</v>
      </c>
      <c r="AC27" s="336">
        <f t="shared" si="2"/>
        <v>1.4183879705998739E-10</v>
      </c>
      <c r="AD27" s="337">
        <f t="shared" si="3"/>
        <v>5.1671062042958745E-12</v>
      </c>
      <c r="AE27" s="308">
        <f t="shared" si="10"/>
        <v>3.6429427712296287</v>
      </c>
      <c r="AF27" s="337">
        <f t="shared" si="11"/>
        <v>1.0334212408591749E-11</v>
      </c>
      <c r="AG27" s="338">
        <f t="shared" si="23"/>
        <v>-22.676329935163114</v>
      </c>
      <c r="AH27" s="339">
        <f t="shared" si="24"/>
        <v>3.6429427712296292E-2</v>
      </c>
      <c r="AI27" s="340">
        <f t="shared" si="25"/>
        <v>0.16064957520223277</v>
      </c>
      <c r="AJ27" s="341">
        <f t="shared" si="12"/>
        <v>7.2858855424592583E-2</v>
      </c>
    </row>
    <row r="28" spans="1:39" x14ac:dyDescent="0.2">
      <c r="A28" s="309">
        <v>21</v>
      </c>
      <c r="B28" s="309">
        <f t="shared" si="13"/>
        <v>15.138505555555556</v>
      </c>
      <c r="C28" s="1">
        <v>499.99</v>
      </c>
      <c r="D28" s="1">
        <v>0.21</v>
      </c>
      <c r="E28" s="326">
        <f t="shared" si="4"/>
        <v>12.934268049771063</v>
      </c>
      <c r="F28" s="327">
        <f t="shared" si="0"/>
        <v>3.4240530224876166E-3</v>
      </c>
      <c r="G28" s="309">
        <f t="shared" si="5"/>
        <v>1.0397083333333332</v>
      </c>
      <c r="H28" s="1">
        <v>3742.95</v>
      </c>
      <c r="I28" s="324">
        <v>30</v>
      </c>
      <c r="J28" s="1">
        <v>2.0705399999999998</v>
      </c>
      <c r="K28" s="1">
        <v>2.1700000000000001E-3</v>
      </c>
      <c r="L28" s="328">
        <f t="shared" si="6"/>
        <v>0.10480357781061946</v>
      </c>
      <c r="M28" s="329">
        <f t="shared" si="1"/>
        <v>4.7053813250988681E-2</v>
      </c>
      <c r="N28" s="342">
        <f>(1/$J$58)*SQRT(((1-J29/$J$58)*K28)^2+(J29/$J$58)^2*(SUMSQ(K$8:K27)+SUMSQ(K29:K$57)))</f>
        <v>1.0314426152404142E-4</v>
      </c>
      <c r="O28" s="340">
        <f t="shared" si="14"/>
        <v>0.2192048941365537</v>
      </c>
      <c r="P28" s="332">
        <f t="shared" si="7"/>
        <v>0.41654285120828599</v>
      </c>
      <c r="Q28" s="342">
        <f>SQRT(((1-P28)/$J$58)^2*SUMSQ(K$8:K28)+(P28/$J$58)^2*SUMSQ(K29:K$57))</f>
        <v>7.9722028311286167E-4</v>
      </c>
      <c r="R28" s="340">
        <f t="shared" si="15"/>
        <v>0.19138974076744475</v>
      </c>
      <c r="S28" s="343">
        <f t="shared" si="16"/>
        <v>1.2734973612714953E-6</v>
      </c>
      <c r="T28" s="344">
        <f t="shared" si="17"/>
        <v>1.0207168366701369E-8</v>
      </c>
      <c r="U28" s="344">
        <f>IF(P28&lt;=0.85, (1/(3*H28*$J$58))*SQRT( ((1-P28)*(1/SQRT(1-PI()*P28/3)-1) + (1-P27)*(1-1/SQRT(1-PI()*P27/3)))^2*SUMSQ(K$8:K27) + ( (1-P28)*(1/SQRT(1-PI()*P28/3)-1) -P27*(1-1/SQRT(1-PI()*P27/3)) )^2*K28^2 + ( P28*(1-1/SQRT(1-PI()*P28/3)) - P27*(1-1/SQRT(1-PI()*P27/3)) )^2*SUMSQ(K29:K$57) ), (1/(PI()^2*H28*$J$58))*SQRT((1+P27/(1-P27))^2*K28^2+(P27/(1-P27)-P28/(1-P28))^2*SUMSQ(K29:K$57)) )</f>
        <v>6.2069967803925509E-9</v>
      </c>
      <c r="V28" s="345">
        <f t="shared" si="18"/>
        <v>1.1946258623434895E-8</v>
      </c>
      <c r="W28" s="340">
        <f t="shared" si="19"/>
        <v>0.93806701032402751</v>
      </c>
      <c r="X28" s="345">
        <f t="shared" si="20"/>
        <v>2.389251724686979E-8</v>
      </c>
      <c r="Y28" s="338">
        <f t="shared" si="8"/>
        <v>-13.573743614557712</v>
      </c>
      <c r="Z28" s="346">
        <f t="shared" si="21"/>
        <v>9.3806701032402746E-3</v>
      </c>
      <c r="AA28" s="346">
        <f t="shared" si="22"/>
        <v>6.9108938326929895E-2</v>
      </c>
      <c r="AB28" s="346">
        <f t="shared" si="9"/>
        <v>1.8761340206480549E-2</v>
      </c>
      <c r="AC28" s="336">
        <f t="shared" si="2"/>
        <v>1.6434432507314193E-10</v>
      </c>
      <c r="AD28" s="337">
        <f t="shared" si="3"/>
        <v>5.9886096490631829E-12</v>
      </c>
      <c r="AE28" s="308">
        <f t="shared" si="10"/>
        <v>3.6439406388981999</v>
      </c>
      <c r="AF28" s="337">
        <f t="shared" si="11"/>
        <v>1.1977219298126366E-11</v>
      </c>
      <c r="AG28" s="338">
        <f t="shared" si="23"/>
        <v>-22.529057345935975</v>
      </c>
      <c r="AH28" s="339">
        <f t="shared" si="24"/>
        <v>3.6439406388982E-2</v>
      </c>
      <c r="AI28" s="340">
        <f t="shared" si="25"/>
        <v>0.16174403495650616</v>
      </c>
      <c r="AJ28" s="341">
        <f t="shared" si="12"/>
        <v>7.2878812777964E-2</v>
      </c>
    </row>
    <row r="29" spans="1:39" x14ac:dyDescent="0.2">
      <c r="A29" s="309">
        <v>22</v>
      </c>
      <c r="B29" s="309">
        <f t="shared" si="13"/>
        <v>16.178752777777778</v>
      </c>
      <c r="C29" s="1">
        <v>509.99</v>
      </c>
      <c r="D29" s="1">
        <v>0.22</v>
      </c>
      <c r="E29" s="326">
        <f t="shared" si="4"/>
        <v>12.769108971575964</v>
      </c>
      <c r="F29" s="327">
        <f t="shared" si="0"/>
        <v>3.4972201731850268E-3</v>
      </c>
      <c r="G29" s="309">
        <f t="shared" si="5"/>
        <v>1.0402472222222223</v>
      </c>
      <c r="H29" s="1">
        <v>3744.89</v>
      </c>
      <c r="I29" s="324">
        <v>30</v>
      </c>
      <c r="J29" s="1">
        <v>2.11876</v>
      </c>
      <c r="K29" s="1">
        <v>2.2000000000000001E-3</v>
      </c>
      <c r="L29" s="328">
        <f t="shared" si="6"/>
        <v>0.10383431818610886</v>
      </c>
      <c r="M29" s="329">
        <f t="shared" si="1"/>
        <v>4.8149631189769233E-2</v>
      </c>
      <c r="N29" s="342">
        <f>(1/$J$58)*SQRT(((1-J30/$J$58)*K29)^2+(J30/$J$58)^2*(SUMSQ(K$8:K28)+SUMSQ(K30:K$57)))</f>
        <v>1.0540728585312801E-4</v>
      </c>
      <c r="O29" s="340">
        <f t="shared" si="14"/>
        <v>0.21891608149124264</v>
      </c>
      <c r="P29" s="332">
        <f t="shared" si="7"/>
        <v>0.46469248239805522</v>
      </c>
      <c r="Q29" s="342">
        <f>SQRT(((1-P29)/$J$58)^2*SUMSQ(K$8:K29)+(P29/$J$58)^2*SUMSQ(K30:K$57))</f>
        <v>8.8770136268434259E-4</v>
      </c>
      <c r="R29" s="340">
        <f t="shared" si="15"/>
        <v>0.19102985228066124</v>
      </c>
      <c r="S29" s="343">
        <f t="shared" si="16"/>
        <v>1.5556883246053581E-6</v>
      </c>
      <c r="T29" s="344">
        <f t="shared" si="17"/>
        <v>1.2462488814934684E-8</v>
      </c>
      <c r="U29" s="344">
        <f>IF(P29&lt;=0.85, (1/(3*H29*$J$58))*SQRT( ((1-P29)*(1/SQRT(1-PI()*P29/3)-1) + (1-P28)*(1-1/SQRT(1-PI()*P28/3)))^2*SUMSQ(K$8:K28) + ( (1-P29)*(1/SQRT(1-PI()*P29/3)-1) -P28*(1-1/SQRT(1-PI()*P28/3)) )^2*K29^2 + ( P29*(1-1/SQRT(1-PI()*P29/3)) - P28*(1-1/SQRT(1-PI()*P28/3)) )^2*SUMSQ(K30:K$57) ), (1/(PI()^2*H29*$J$58))*SQRT((1+P28/(1-P28))^2*K29^2+(P28/(1-P28)-P29/(1-P29))^2*SUMSQ(K30:K$57)) )</f>
        <v>7.8864556845960242E-9</v>
      </c>
      <c r="V29" s="345">
        <f t="shared" si="18"/>
        <v>1.4748213814813951E-8</v>
      </c>
      <c r="W29" s="340">
        <f t="shared" si="19"/>
        <v>0.94801854468858537</v>
      </c>
      <c r="X29" s="345">
        <f t="shared" si="20"/>
        <v>2.9496427629627901E-8</v>
      </c>
      <c r="Y29" s="338">
        <f t="shared" si="8"/>
        <v>-13.373592457795453</v>
      </c>
      <c r="Z29" s="346">
        <f t="shared" si="21"/>
        <v>9.4801854468858533E-3</v>
      </c>
      <c r="AA29" s="346">
        <f t="shared" si="22"/>
        <v>7.0887351149689498E-2</v>
      </c>
      <c r="AB29" s="346">
        <f t="shared" si="9"/>
        <v>1.8960370893771707E-2</v>
      </c>
      <c r="AC29" s="336">
        <f t="shared" si="2"/>
        <v>2.0076095601499161E-10</v>
      </c>
      <c r="AD29" s="337">
        <f t="shared" si="3"/>
        <v>7.3207787000039702E-12</v>
      </c>
      <c r="AE29" s="308">
        <f t="shared" si="10"/>
        <v>3.6465151617714446</v>
      </c>
      <c r="AF29" s="337">
        <f t="shared" si="11"/>
        <v>1.464155740000794E-11</v>
      </c>
      <c r="AG29" s="338">
        <f t="shared" si="23"/>
        <v>-22.328906189173718</v>
      </c>
      <c r="AH29" s="339">
        <f t="shared" si="24"/>
        <v>3.6465151617714443E-2</v>
      </c>
      <c r="AI29" s="340">
        <f t="shared" si="25"/>
        <v>0.16330917112005583</v>
      </c>
      <c r="AJ29" s="341">
        <f t="shared" si="12"/>
        <v>7.2930303235428887E-2</v>
      </c>
    </row>
    <row r="30" spans="1:39" x14ac:dyDescent="0.2">
      <c r="A30" s="309">
        <v>23</v>
      </c>
      <c r="B30" s="309">
        <f t="shared" si="13"/>
        <v>17.221225</v>
      </c>
      <c r="C30" s="1">
        <v>519.99</v>
      </c>
      <c r="D30" s="1">
        <v>0.2</v>
      </c>
      <c r="E30" s="326">
        <f t="shared" si="4"/>
        <v>12.608114582545326</v>
      </c>
      <c r="F30" s="327">
        <f t="shared" si="0"/>
        <v>3.1006124255868444E-3</v>
      </c>
      <c r="G30" s="309">
        <f t="shared" si="5"/>
        <v>1.0424722222222222</v>
      </c>
      <c r="H30" s="1">
        <v>3752.9</v>
      </c>
      <c r="I30" s="324">
        <v>30</v>
      </c>
      <c r="J30" s="1">
        <v>2.17042</v>
      </c>
      <c r="K30" s="1">
        <v>2.6099999999999999E-3</v>
      </c>
      <c r="L30" s="328">
        <f t="shared" si="6"/>
        <v>0.12025322287852119</v>
      </c>
      <c r="M30" s="329">
        <f t="shared" si="1"/>
        <v>4.9323624443966728E-2</v>
      </c>
      <c r="N30" s="342">
        <f>(1/$J$58)*SQRT(((1-J31/$J$58)*K30)^2+(J31/$J$58)^2*(SUMSQ(K$8:K29)+SUMSQ(K31:K$57)))</f>
        <v>1.0776464754981715E-4</v>
      </c>
      <c r="O30" s="340">
        <f t="shared" si="14"/>
        <v>0.2184848513560502</v>
      </c>
      <c r="P30" s="332">
        <f t="shared" si="7"/>
        <v>0.51401610684202192</v>
      </c>
      <c r="Q30" s="342">
        <f>SQRT(((1-P30)/$J$58)^2*SUMSQ(K$8:K30)+(P30/$J$58)^2*SUMSQ(K31:K$57))</f>
        <v>9.8038917245773746E-4</v>
      </c>
      <c r="R30" s="340">
        <f t="shared" si="15"/>
        <v>0.19073121628055345</v>
      </c>
      <c r="S30" s="343">
        <f t="shared" si="16"/>
        <v>1.8954556327474762E-6</v>
      </c>
      <c r="T30" s="344">
        <f t="shared" si="17"/>
        <v>1.5151927571324665E-8</v>
      </c>
      <c r="U30" s="344">
        <f>IF(P30&lt;=0.85, (1/(3*H30*$J$58))*SQRT( ((1-P30)*(1/SQRT(1-PI()*P30/3)-1) + (1-P29)*(1-1/SQRT(1-PI()*P29/3)))^2*SUMSQ(K$8:K29) + ( (1-P30)*(1/SQRT(1-PI()*P30/3)-1) -P29*(1-1/SQRT(1-PI()*P29/3)) )^2*K30^2 + ( P30*(1-1/SQRT(1-PI()*P30/3)) - P29*(1-1/SQRT(1-PI()*P29/3)) )^2*SUMSQ(K31:K$57) ), (1/(PI()^2*H30*$J$58))*SQRT((1+P29/(1-P29))^2*K30^2+(P29/(1-P29)-P30/(1-P30))^2*SUMSQ(K31:K$57)) )</f>
        <v>1.0127962716536574E-8</v>
      </c>
      <c r="V30" s="345">
        <f t="shared" si="18"/>
        <v>1.8225162219147006E-8</v>
      </c>
      <c r="W30" s="340">
        <f t="shared" si="19"/>
        <v>0.96151879813348651</v>
      </c>
      <c r="X30" s="345">
        <f t="shared" si="20"/>
        <v>3.6450324438294012E-8</v>
      </c>
      <c r="Y30" s="338">
        <f t="shared" si="8"/>
        <v>-13.176051308886237</v>
      </c>
      <c r="Z30" s="346">
        <f t="shared" si="21"/>
        <v>9.6151879813348648E-3</v>
      </c>
      <c r="AA30" s="346">
        <f t="shared" si="22"/>
        <v>7.2974730865309825E-2</v>
      </c>
      <c r="AB30" s="346">
        <f t="shared" si="9"/>
        <v>1.923037596266973E-2</v>
      </c>
      <c r="AC30" s="336">
        <f t="shared" si="2"/>
        <v>2.4460779122380868E-10</v>
      </c>
      <c r="AD30" s="337">
        <f t="shared" si="3"/>
        <v>8.9283023479061837E-12</v>
      </c>
      <c r="AE30" s="308">
        <f t="shared" si="10"/>
        <v>3.6500482275059909</v>
      </c>
      <c r="AF30" s="337">
        <f t="shared" si="11"/>
        <v>1.7856604695812367E-11</v>
      </c>
      <c r="AG30" s="338">
        <f t="shared" si="23"/>
        <v>-22.131365040264502</v>
      </c>
      <c r="AH30" s="339">
        <f t="shared" si="24"/>
        <v>3.6500482275059913E-2</v>
      </c>
      <c r="AI30" s="340">
        <f t="shared" si="25"/>
        <v>0.16492648423923731</v>
      </c>
      <c r="AJ30" s="341">
        <f t="shared" si="12"/>
        <v>7.3000964550119826E-2</v>
      </c>
    </row>
    <row r="31" spans="1:39" x14ac:dyDescent="0.2">
      <c r="A31" s="309">
        <v>24</v>
      </c>
      <c r="B31" s="309">
        <f t="shared" si="13"/>
        <v>18.263697222222223</v>
      </c>
      <c r="C31" s="1">
        <v>529.99</v>
      </c>
      <c r="D31" s="1">
        <v>0.2</v>
      </c>
      <c r="E31" s="326">
        <f t="shared" si="4"/>
        <v>12.451129317429091</v>
      </c>
      <c r="F31" s="327">
        <f t="shared" si="0"/>
        <v>3.0248930690885099E-3</v>
      </c>
      <c r="G31" s="309">
        <f t="shared" si="5"/>
        <v>1.0424722222222222</v>
      </c>
      <c r="H31" s="1">
        <v>3752.9</v>
      </c>
      <c r="I31" s="324">
        <v>30</v>
      </c>
      <c r="J31" s="1">
        <v>2.1178499999999998</v>
      </c>
      <c r="K31" s="1">
        <v>2.3899999999999898E-3</v>
      </c>
      <c r="L31" s="328">
        <f t="shared" si="6"/>
        <v>0.11285029629104941</v>
      </c>
      <c r="M31" s="329">
        <f t="shared" si="1"/>
        <v>4.812895109179556E-2</v>
      </c>
      <c r="N31" s="342">
        <f>(1/$J$58)*SQRT(((1-J32/$J$58)*K31)^2+(J32/$J$58)^2*(SUMSQ(K$8:K30)+SUMSQ(K32:K$57)))</f>
        <v>1.0341058050572822E-4</v>
      </c>
      <c r="O31" s="340">
        <f t="shared" si="14"/>
        <v>0.21486148806462643</v>
      </c>
      <c r="P31" s="332">
        <f t="shared" si="7"/>
        <v>0.56214505793381753</v>
      </c>
      <c r="Q31" s="342">
        <f>SQRT(((1-P31)/$J$58)^2*SUMSQ(K$8:K31)+(P31/$J$58)^2*SUMSQ(K32:K$57))</f>
        <v>1.0707876368464535E-3</v>
      </c>
      <c r="R31" s="340">
        <f t="shared" si="15"/>
        <v>0.19048244251798074</v>
      </c>
      <c r="S31" s="343">
        <f t="shared" si="16"/>
        <v>2.1980272348694673E-6</v>
      </c>
      <c r="T31" s="344">
        <f t="shared" si="17"/>
        <v>1.7570629925146961E-8</v>
      </c>
      <c r="U31" s="344">
        <f>IF(P31&lt;=0.85, (1/(3*H31*$J$58))*SQRT( ((1-P31)*(1/SQRT(1-PI()*P31/3)-1) + (1-P30)*(1-1/SQRT(1-PI()*P30/3)))^2*SUMSQ(K$8:K30) + ( (1-P31)*(1/SQRT(1-PI()*P31/3)-1) -P30*(1-1/SQRT(1-PI()*P30/3)) )^2*K31^2 + ( P31*(1-1/SQRT(1-PI()*P31/3)) - P30*(1-1/SQRT(1-PI()*P30/3)) )^2*SUMSQ(K32:K$57) ), (1/(PI()^2*H31*$J$58))*SQRT((1+P30/(1-P30))^2*K31^2+(P30/(1-P30)-P31/(1-P31))^2*SUMSQ(K32:K$57)) )</f>
        <v>1.2363504362425847E-8</v>
      </c>
      <c r="V31" s="345">
        <f t="shared" si="18"/>
        <v>2.1484489197702439E-8</v>
      </c>
      <c r="W31" s="340">
        <f t="shared" si="19"/>
        <v>0.97744417616273638</v>
      </c>
      <c r="X31" s="345">
        <f t="shared" si="20"/>
        <v>4.2968978395404878E-8</v>
      </c>
      <c r="Y31" s="338">
        <f t="shared" si="8"/>
        <v>-13.027950311309169</v>
      </c>
      <c r="Z31" s="346">
        <f t="shared" si="21"/>
        <v>9.7744417616273636E-3</v>
      </c>
      <c r="AA31" s="346">
        <f t="shared" si="22"/>
        <v>7.502670433999481E-2</v>
      </c>
      <c r="AB31" s="346">
        <f t="shared" si="9"/>
        <v>1.9548883523254727E-2</v>
      </c>
      <c r="AC31" s="336">
        <f t="shared" si="2"/>
        <v>2.8365453544901079E-10</v>
      </c>
      <c r="AD31" s="337">
        <f t="shared" si="3"/>
        <v>1.0365518718114115E-11</v>
      </c>
      <c r="AE31" s="308">
        <f t="shared" si="10"/>
        <v>3.6542756849299178</v>
      </c>
      <c r="AF31" s="337">
        <f t="shared" si="11"/>
        <v>2.073103743622823E-11</v>
      </c>
      <c r="AG31" s="338">
        <f t="shared" si="23"/>
        <v>-21.983264042687434</v>
      </c>
      <c r="AH31" s="339">
        <f t="shared" si="24"/>
        <v>3.6542756849299175E-2</v>
      </c>
      <c r="AI31" s="340">
        <f t="shared" si="25"/>
        <v>0.16622989551660708</v>
      </c>
      <c r="AJ31" s="341">
        <f t="shared" si="12"/>
        <v>7.3085513698598351E-2</v>
      </c>
    </row>
    <row r="32" spans="1:39" x14ac:dyDescent="0.2">
      <c r="A32" s="309">
        <v>25</v>
      </c>
      <c r="B32" s="309">
        <f t="shared" si="13"/>
        <v>19.307280555555558</v>
      </c>
      <c r="C32" s="1">
        <v>539.98</v>
      </c>
      <c r="D32" s="1">
        <v>0.19</v>
      </c>
      <c r="E32" s="326">
        <f t="shared" si="4"/>
        <v>12.2981565063397</v>
      </c>
      <c r="F32" s="327">
        <f t="shared" si="0"/>
        <v>2.8042500751881065E-3</v>
      </c>
      <c r="G32" s="309">
        <f t="shared" si="5"/>
        <v>1.0435833333333333</v>
      </c>
      <c r="H32" s="1">
        <v>3756.9</v>
      </c>
      <c r="I32" s="324">
        <v>30</v>
      </c>
      <c r="J32" s="1">
        <v>2.0653299999999999</v>
      </c>
      <c r="K32" s="1">
        <v>2.9199999999999999E-3</v>
      </c>
      <c r="L32" s="328">
        <f t="shared" si="6"/>
        <v>0.14138176465746394</v>
      </c>
      <c r="M32" s="329">
        <f t="shared" si="1"/>
        <v>4.6935414008743834E-2</v>
      </c>
      <c r="N32" s="342">
        <f>(1/$J$58)*SQRT(((1-J33/$J$58)*K32)^2+(J33/$J$58)^2*(SUMSQ(K$8:K31)+SUMSQ(K33:K$57)))</f>
        <v>1.0702278171650374E-4</v>
      </c>
      <c r="O32" s="340">
        <f t="shared" si="14"/>
        <v>0.22802138635991562</v>
      </c>
      <c r="P32" s="332">
        <f t="shared" si="7"/>
        <v>0.60908047194256132</v>
      </c>
      <c r="Q32" s="342">
        <f>SQRT(((1-P32)/$J$58)^2*SUMSQ(K$8:K32)+(P32/$J$58)^2*SUMSQ(K33:K$57))</f>
        <v>1.1587823226578873E-3</v>
      </c>
      <c r="R32" s="340">
        <f t="shared" si="15"/>
        <v>0.19025110408845369</v>
      </c>
      <c r="S32" s="343">
        <f t="shared" si="16"/>
        <v>2.5353262930869836E-6</v>
      </c>
      <c r="T32" s="344">
        <f t="shared" si="17"/>
        <v>2.0245358884348668E-8</v>
      </c>
      <c r="U32" s="344">
        <f>IF(P32&lt;=0.85, (1/(3*H32*$J$58))*SQRT( ((1-P32)*(1/SQRT(1-PI()*P32/3)-1) + (1-P31)*(1-1/SQRT(1-PI()*P31/3)))^2*SUMSQ(K$8:K31) + ( (1-P32)*(1/SQRT(1-PI()*P32/3)-1) -P31*(1-1/SQRT(1-PI()*P31/3)) )^2*K32^2 + ( P32*(1-1/SQRT(1-PI()*P32/3)) - P31*(1-1/SQRT(1-PI()*P31/3)) )^2*SUMSQ(K33:K$57) ), (1/(PI()^2*H32*$J$58))*SQRT((1+P31/(1-P31))^2*K32^2+(P31/(1-P31)-P32/(1-P32))^2*SUMSQ(K33:K$57)) )</f>
        <v>1.5309498544662439E-8</v>
      </c>
      <c r="V32" s="345">
        <f t="shared" si="18"/>
        <v>2.5382184737431428E-8</v>
      </c>
      <c r="W32" s="340">
        <f t="shared" si="19"/>
        <v>1.0011407528348699</v>
      </c>
      <c r="X32" s="345">
        <f t="shared" si="20"/>
        <v>5.0764369474862855E-8</v>
      </c>
      <c r="Y32" s="338">
        <f t="shared" si="8"/>
        <v>-12.885188213982531</v>
      </c>
      <c r="Z32" s="346">
        <f t="shared" si="21"/>
        <v>1.00114075283487E-2</v>
      </c>
      <c r="AA32" s="346">
        <f t="shared" si="22"/>
        <v>7.7697022054242795E-2</v>
      </c>
      <c r="AB32" s="346">
        <f t="shared" si="9"/>
        <v>2.00228150566974E-2</v>
      </c>
      <c r="AC32" s="336">
        <f t="shared" si="2"/>
        <v>3.27182843992358E-10</v>
      </c>
      <c r="AD32" s="337">
        <f t="shared" si="3"/>
        <v>1.1977134097766506E-11</v>
      </c>
      <c r="AE32" s="308">
        <f t="shared" si="10"/>
        <v>3.6606852460901815</v>
      </c>
      <c r="AF32" s="337">
        <f t="shared" si="11"/>
        <v>2.3954268195533012E-11</v>
      </c>
      <c r="AG32" s="338">
        <f t="shared" si="23"/>
        <v>-21.840501945360796</v>
      </c>
      <c r="AH32" s="339">
        <f t="shared" si="24"/>
        <v>3.6606852460901819E-2</v>
      </c>
      <c r="AI32" s="340">
        <f t="shared" si="25"/>
        <v>0.16760994116564976</v>
      </c>
      <c r="AJ32" s="341">
        <f t="shared" si="12"/>
        <v>7.3213704921803638E-2</v>
      </c>
    </row>
    <row r="33" spans="1:36" x14ac:dyDescent="0.2">
      <c r="A33" s="309">
        <v>26</v>
      </c>
      <c r="B33" s="309">
        <f t="shared" si="13"/>
        <v>20.351975000000003</v>
      </c>
      <c r="C33" s="1">
        <v>549.98</v>
      </c>
      <c r="D33" s="1">
        <v>0.23</v>
      </c>
      <c r="E33" s="326">
        <f t="shared" si="4"/>
        <v>12.14874928626098</v>
      </c>
      <c r="F33" s="327">
        <f t="shared" si="0"/>
        <v>3.3136168477422056E-3</v>
      </c>
      <c r="G33" s="309">
        <f t="shared" si="5"/>
        <v>1.0446944444444444</v>
      </c>
      <c r="H33" s="1">
        <v>3760.9</v>
      </c>
      <c r="I33" s="324">
        <v>30</v>
      </c>
      <c r="J33" s="1">
        <v>1.99034</v>
      </c>
      <c r="K33" s="1">
        <v>2.33E-3</v>
      </c>
      <c r="L33" s="328">
        <f t="shared" si="6"/>
        <v>0.1170654260076168</v>
      </c>
      <c r="M33" s="329">
        <f t="shared" si="1"/>
        <v>4.5231237583419216E-2</v>
      </c>
      <c r="N33" s="342">
        <f>(1/$J$58)*SQRT(((1-J34/$J$58)*K33)^2+(J34/$J$58)^2*(SUMSQ(K$8:K32)+SUMSQ(K34:K$57)))</f>
        <v>9.6785733469676287E-5</v>
      </c>
      <c r="O33" s="340">
        <f t="shared" si="14"/>
        <v>0.21397984808878154</v>
      </c>
      <c r="P33" s="332">
        <f t="shared" si="7"/>
        <v>0.6543117095259805</v>
      </c>
      <c r="Q33" s="342">
        <f>SQRT(((1-P33)/$J$58)^2*SUMSQ(K$8:K33)+(P33/$J$58)^2*SUMSQ(K34:K$57))</f>
        <v>1.2436574015258731E-3</v>
      </c>
      <c r="R33" s="340">
        <f t="shared" si="15"/>
        <v>0.19007109049398599</v>
      </c>
      <c r="S33" s="343">
        <f t="shared" si="16"/>
        <v>2.8858578042812378E-6</v>
      </c>
      <c r="T33" s="344">
        <f t="shared" si="17"/>
        <v>2.3019951109691066E-8</v>
      </c>
      <c r="U33" s="344">
        <f>IF(P33&lt;=0.85, (1/(3*H33*$J$58))*SQRT( ((1-P33)*(1/SQRT(1-PI()*P33/3)-1) + (1-P32)*(1-1/SQRT(1-PI()*P32/3)))^2*SUMSQ(K$8:K32) + ( (1-P33)*(1/SQRT(1-PI()*P33/3)-1) -P32*(1-1/SQRT(1-PI()*P32/3)) )^2*K33^2 + ( P33*(1-1/SQRT(1-PI()*P33/3)) - P32*(1-1/SQRT(1-PI()*P32/3)) )^2*SUMSQ(K34:K$57) ), (1/(PI()^2*H33*$J$58))*SQRT((1+P32/(1-P32))^2*K33^2+(P32/(1-P32)-P33/(1-P33))^2*SUMSQ(K34:K$57)) )</f>
        <v>1.8582317332965322E-8</v>
      </c>
      <c r="V33" s="345">
        <f t="shared" si="18"/>
        <v>2.9584128625930332E-8</v>
      </c>
      <c r="W33" s="340">
        <f t="shared" si="19"/>
        <v>1.0251415915933759</v>
      </c>
      <c r="X33" s="345">
        <f t="shared" si="20"/>
        <v>5.9168257251860664E-8</v>
      </c>
      <c r="Y33" s="338">
        <f t="shared" si="8"/>
        <v>-12.755688369692265</v>
      </c>
      <c r="Z33" s="346">
        <f t="shared" si="21"/>
        <v>1.0251415915933759E-2</v>
      </c>
      <c r="AA33" s="346">
        <f t="shared" si="22"/>
        <v>8.0367406437204122E-2</v>
      </c>
      <c r="AB33" s="346">
        <f t="shared" si="9"/>
        <v>2.0502831831867518E-2</v>
      </c>
      <c r="AC33" s="336">
        <f t="shared" si="2"/>
        <v>3.7241879529937197E-10</v>
      </c>
      <c r="AD33" s="337">
        <f t="shared" si="3"/>
        <v>1.3657795546473585E-11</v>
      </c>
      <c r="AE33" s="308">
        <f t="shared" si="10"/>
        <v>3.667321767553287</v>
      </c>
      <c r="AF33" s="337">
        <f t="shared" si="11"/>
        <v>2.7315591092947171E-11</v>
      </c>
      <c r="AG33" s="338">
        <f t="shared" si="23"/>
        <v>-21.71100210107053</v>
      </c>
      <c r="AH33" s="339">
        <f t="shared" si="24"/>
        <v>3.6673217675532867E-2</v>
      </c>
      <c r="AI33" s="340">
        <f t="shared" si="25"/>
        <v>0.1689153614596379</v>
      </c>
      <c r="AJ33" s="341">
        <f t="shared" si="12"/>
        <v>7.3346435351065734E-2</v>
      </c>
    </row>
    <row r="34" spans="1:36" x14ac:dyDescent="0.2">
      <c r="A34" s="309">
        <v>27</v>
      </c>
      <c r="B34" s="309">
        <f t="shared" si="13"/>
        <v>21.396675000000002</v>
      </c>
      <c r="C34" s="1">
        <v>559.98</v>
      </c>
      <c r="D34" s="1">
        <v>0.21</v>
      </c>
      <c r="E34" s="326">
        <f t="shared" si="4"/>
        <v>12.002928714606364</v>
      </c>
      <c r="F34" s="327">
        <f t="shared" si="0"/>
        <v>2.9541341266324976E-3</v>
      </c>
      <c r="G34" s="309">
        <f t="shared" si="5"/>
        <v>1.0447</v>
      </c>
      <c r="H34" s="1">
        <v>3760.92</v>
      </c>
      <c r="I34" s="324">
        <v>30</v>
      </c>
      <c r="J34" s="1">
        <v>1.90255</v>
      </c>
      <c r="K34" s="1">
        <v>2.48E-3</v>
      </c>
      <c r="L34" s="328">
        <f t="shared" si="6"/>
        <v>0.13035137052902684</v>
      </c>
      <c r="M34" s="329">
        <f t="shared" si="1"/>
        <v>4.3236176263519915E-2</v>
      </c>
      <c r="N34" s="342">
        <f>(1/$J$58)*SQRT(((1-J35/$J$58)*K34)^2+(J35/$J$58)^2*(SUMSQ(K$8:K33)+SUMSQ(K35:K$57)))</f>
        <v>9.4697358003739777E-5</v>
      </c>
      <c r="O34" s="340">
        <f t="shared" si="14"/>
        <v>0.21902343404876834</v>
      </c>
      <c r="P34" s="332">
        <f t="shared" si="7"/>
        <v>0.69754788578950044</v>
      </c>
      <c r="Q34" s="342">
        <f>SQRT(((1-P34)/$J$58)^2*SUMSQ(K$8:K34)+(P34/$J$58)^2*SUMSQ(K35:K$57))</f>
        <v>1.3247087383731159E-3</v>
      </c>
      <c r="R34" s="340">
        <f t="shared" si="15"/>
        <v>0.1899093618316656</v>
      </c>
      <c r="S34" s="343">
        <f t="shared" si="16"/>
        <v>3.262778118375136E-6</v>
      </c>
      <c r="T34" s="344">
        <f t="shared" si="17"/>
        <v>2.6026435965469641E-8</v>
      </c>
      <c r="U34" s="344">
        <f>IF(P34&lt;=0.85, (1/(3*H34*$J$58))*SQRT( ((1-P34)*(1/SQRT(1-PI()*P34/3)-1) + (1-P33)*(1-1/SQRT(1-PI()*P33/3)))^2*SUMSQ(K$8:K33) + ( (1-P34)*(1/SQRT(1-PI()*P34/3)-1) -P33*(1-1/SQRT(1-PI()*P33/3)) )^2*K34^2 + ( P34*(1-1/SQRT(1-PI()*P34/3)) - P33*(1-1/SQRT(1-PI()*P33/3)) )^2*SUMSQ(K35:K$57) ), (1/(PI()^2*H34*$J$58))*SQRT((1+P33/(1-P33))^2*K34^2+(P33/(1-P33)-P34/(1-P34))^2*SUMSQ(K35:K$57)) )</f>
        <v>2.2907122249934429E-8</v>
      </c>
      <c r="V34" s="345">
        <f t="shared" si="18"/>
        <v>3.4671481347616694E-8</v>
      </c>
      <c r="W34" s="340">
        <f t="shared" si="19"/>
        <v>1.0626368110156108</v>
      </c>
      <c r="X34" s="345">
        <f t="shared" si="20"/>
        <v>6.9342962695233389E-8</v>
      </c>
      <c r="Y34" s="338">
        <f t="shared" si="8"/>
        <v>-12.632931541937246</v>
      </c>
      <c r="Z34" s="346">
        <f t="shared" si="21"/>
        <v>1.0626368110156107E-2</v>
      </c>
      <c r="AA34" s="346">
        <f t="shared" si="22"/>
        <v>8.4116406986612741E-2</v>
      </c>
      <c r="AB34" s="346">
        <f t="shared" si="9"/>
        <v>2.1252736220312214E-2</v>
      </c>
      <c r="AC34" s="336">
        <f t="shared" si="2"/>
        <v>4.2106021106506395E-10</v>
      </c>
      <c r="AD34" s="337">
        <f t="shared" si="3"/>
        <v>1.5486506788087409E-11</v>
      </c>
      <c r="AE34" s="308">
        <f t="shared" si="10"/>
        <v>3.6779791538399174</v>
      </c>
      <c r="AF34" s="337">
        <f t="shared" si="11"/>
        <v>3.0973013576174819E-11</v>
      </c>
      <c r="AG34" s="338">
        <f t="shared" si="23"/>
        <v>-21.588245273315511</v>
      </c>
      <c r="AH34" s="339">
        <f t="shared" si="24"/>
        <v>3.6779791538399172E-2</v>
      </c>
      <c r="AI34" s="340">
        <f t="shared" si="25"/>
        <v>0.17036952782754144</v>
      </c>
      <c r="AJ34" s="341">
        <f t="shared" si="12"/>
        <v>7.3559583076798343E-2</v>
      </c>
    </row>
    <row r="35" spans="1:36" x14ac:dyDescent="0.2">
      <c r="A35" s="309">
        <v>28</v>
      </c>
      <c r="B35" s="309">
        <f t="shared" si="13"/>
        <v>22.441922222222225</v>
      </c>
      <c r="C35" s="1">
        <v>569.98</v>
      </c>
      <c r="D35" s="1">
        <v>0.24</v>
      </c>
      <c r="E35" s="326">
        <f t="shared" si="4"/>
        <v>11.860567172322181</v>
      </c>
      <c r="F35" s="327">
        <f t="shared" si="0"/>
        <v>3.2974697006806475E-3</v>
      </c>
      <c r="G35" s="309">
        <f t="shared" si="5"/>
        <v>1.0452472222222222</v>
      </c>
      <c r="H35" s="1">
        <v>3762.89</v>
      </c>
      <c r="I35" s="324">
        <v>30</v>
      </c>
      <c r="J35" s="1">
        <v>1.7937799999999999</v>
      </c>
      <c r="K35" s="1">
        <v>1.75E-3</v>
      </c>
      <c r="L35" s="328">
        <f t="shared" si="6"/>
        <v>9.7559343955223046E-2</v>
      </c>
      <c r="M35" s="329">
        <f t="shared" si="1"/>
        <v>4.0764336421106807E-2</v>
      </c>
      <c r="N35" s="342">
        <f>(1/$J$58)*SQRT(((1-J36/$J$58)*K35)^2+(J36/$J$58)^2*(SUMSQ(K$8:K34)+SUMSQ(K36:K$57)))</f>
        <v>8.0560145072830486E-5</v>
      </c>
      <c r="O35" s="340">
        <f t="shared" si="14"/>
        <v>0.19762408061944642</v>
      </c>
      <c r="P35" s="332">
        <f t="shared" si="7"/>
        <v>0.73831222221060722</v>
      </c>
      <c r="Q35" s="342">
        <f>SQRT(((1-P35)/$J$58)^2*SUMSQ(K$8:K35)+(P35/$J$58)^2*SUMSQ(K36:K$57))</f>
        <v>1.4013419607645057E-3</v>
      </c>
      <c r="R35" s="340">
        <f t="shared" si="15"/>
        <v>0.18980343526871291</v>
      </c>
      <c r="S35" s="343">
        <f t="shared" si="16"/>
        <v>3.6441614087582228E-6</v>
      </c>
      <c r="T35" s="344">
        <f t="shared" si="17"/>
        <v>2.9053424963989561E-8</v>
      </c>
      <c r="U35" s="344">
        <f>IF(P35&lt;=0.85, (1/(3*H35*$J$58))*SQRT( ((1-P35)*(1/SQRT(1-PI()*P35/3)-1) + (1-P34)*(1-1/SQRT(1-PI()*P34/3)))^2*SUMSQ(K$8:K34) + ( (1-P35)*(1/SQRT(1-PI()*P35/3)-1) -P34*(1-1/SQRT(1-PI()*P34/3)) )^2*K35^2 + ( P35*(1-1/SQRT(1-PI()*P35/3)) - P34*(1-1/SQRT(1-PI()*P34/3)) )^2*SUMSQ(K36:K$57) ), (1/(PI()^2*H35*$J$58))*SQRT((1+P34/(1-P34))^2*K35^2+(P34/(1-P34)-P35/(1-P35))^2*SUMSQ(K36:K$57)) )</f>
        <v>2.8049923234684224E-8</v>
      </c>
      <c r="V35" s="345">
        <f t="shared" si="18"/>
        <v>4.0384399161184134E-8</v>
      </c>
      <c r="W35" s="340">
        <f t="shared" si="19"/>
        <v>1.1081945784323928</v>
      </c>
      <c r="X35" s="345">
        <f t="shared" si="20"/>
        <v>8.0768798322368268E-8</v>
      </c>
      <c r="Y35" s="338">
        <f t="shared" si="8"/>
        <v>-12.522384285157239</v>
      </c>
      <c r="Z35" s="346">
        <f t="shared" si="21"/>
        <v>1.1081945784323928E-2</v>
      </c>
      <c r="AA35" s="346">
        <f t="shared" si="22"/>
        <v>8.8497090745404933E-2</v>
      </c>
      <c r="AB35" s="346">
        <f t="shared" si="9"/>
        <v>2.2163891568647856E-2</v>
      </c>
      <c r="AC35" s="336">
        <f t="shared" si="2"/>
        <v>4.702775721356851E-10</v>
      </c>
      <c r="AD35" s="337">
        <f t="shared" si="3"/>
        <v>1.7359823066758555E-11</v>
      </c>
      <c r="AE35" s="308">
        <f t="shared" si="10"/>
        <v>3.6913993129465834</v>
      </c>
      <c r="AF35" s="337">
        <f t="shared" si="11"/>
        <v>3.471964613351711E-11</v>
      </c>
      <c r="AG35" s="338">
        <f t="shared" si="23"/>
        <v>-21.477698016535502</v>
      </c>
      <c r="AH35" s="339">
        <f t="shared" si="24"/>
        <v>3.691399312946584E-2</v>
      </c>
      <c r="AI35" s="340">
        <f t="shared" si="25"/>
        <v>0.171871273639503</v>
      </c>
      <c r="AJ35" s="341">
        <f t="shared" si="12"/>
        <v>7.382798625893168E-2</v>
      </c>
    </row>
    <row r="36" spans="1:36" x14ac:dyDescent="0.2">
      <c r="A36" s="309">
        <v>29</v>
      </c>
      <c r="B36" s="309">
        <f t="shared" si="13"/>
        <v>23.488838888888893</v>
      </c>
      <c r="C36" s="1">
        <v>579.98</v>
      </c>
      <c r="D36" s="1">
        <v>0.33</v>
      </c>
      <c r="E36" s="326">
        <f t="shared" si="4"/>
        <v>11.721543023923669</v>
      </c>
      <c r="F36" s="327">
        <f t="shared" si="0"/>
        <v>4.4295694615974664E-3</v>
      </c>
      <c r="G36" s="309">
        <f t="shared" si="5"/>
        <v>1.0469166666666667</v>
      </c>
      <c r="H36" s="1">
        <v>3768.9</v>
      </c>
      <c r="I36" s="324">
        <v>30</v>
      </c>
      <c r="J36" s="1">
        <v>1.63489</v>
      </c>
      <c r="K36" s="1">
        <v>1.5299999999999999E-3</v>
      </c>
      <c r="L36" s="328">
        <f t="shared" si="6"/>
        <v>9.3584277841322658E-2</v>
      </c>
      <c r="M36" s="329">
        <f t="shared" si="1"/>
        <v>3.7153500413374722E-2</v>
      </c>
      <c r="N36" s="342">
        <f>(1/$J$58)*SQRT(((1-J37/$J$58)*K36)^2+(J37/$J$58)^2*(SUMSQ(K$8:K35)+SUMSQ(K37:K$57)))</f>
        <v>7.5477144863308506E-5</v>
      </c>
      <c r="O36" s="340">
        <f t="shared" si="14"/>
        <v>0.2031494853070098</v>
      </c>
      <c r="P36" s="332">
        <f t="shared" si="7"/>
        <v>0.77546572262398195</v>
      </c>
      <c r="Q36" s="342">
        <f>SQRT(((1-P36)/$J$58)^2*SUMSQ(K$8:K36)+(P36/$J$58)^2*SUMSQ(K37:K$57))</f>
        <v>1.471259475316069E-3</v>
      </c>
      <c r="R36" s="340">
        <f t="shared" si="15"/>
        <v>0.18972591984307122</v>
      </c>
      <c r="S36" s="343">
        <f t="shared" si="16"/>
        <v>3.9375931481540943E-6</v>
      </c>
      <c r="T36" s="344">
        <f t="shared" si="17"/>
        <v>3.1342777586198319E-8</v>
      </c>
      <c r="U36" s="344">
        <f>IF(P36&lt;=0.85, (1/(3*H36*$J$58))*SQRT( ((1-P36)*(1/SQRT(1-PI()*P36/3)-1) + (1-P35)*(1-1/SQRT(1-PI()*P35/3)))^2*SUMSQ(K$8:K35) + ( (1-P36)*(1/SQRT(1-PI()*P36/3)-1) -P35*(1-1/SQRT(1-PI()*P35/3)) )^2*K36^2 + ( P36*(1-1/SQRT(1-PI()*P36/3)) - P35*(1-1/SQRT(1-PI()*P35/3)) )^2*SUMSQ(K37:K$57) ), (1/(PI()^2*H36*$J$58))*SQRT((1+P35/(1-P35))^2*K36^2+(P35/(1-P35)-P36/(1-P36))^2*SUMSQ(K37:K$57)) )</f>
        <v>3.3959314727753649E-8</v>
      </c>
      <c r="V36" s="345">
        <f t="shared" si="18"/>
        <v>4.6212603947370479E-8</v>
      </c>
      <c r="W36" s="340">
        <f t="shared" si="19"/>
        <v>1.1736256695040854</v>
      </c>
      <c r="X36" s="345">
        <f t="shared" si="20"/>
        <v>9.2425207894740958E-8</v>
      </c>
      <c r="Y36" s="338">
        <f t="shared" si="8"/>
        <v>-12.444940897418281</v>
      </c>
      <c r="Z36" s="346">
        <f t="shared" si="21"/>
        <v>1.1736256695040853E-2</v>
      </c>
      <c r="AA36" s="346">
        <f t="shared" si="22"/>
        <v>9.4305443406931366E-2</v>
      </c>
      <c r="AB36" s="346">
        <f t="shared" si="9"/>
        <v>2.3472513390081707E-2</v>
      </c>
      <c r="AC36" s="336">
        <f t="shared" si="2"/>
        <v>5.0814482073202665E-10</v>
      </c>
      <c r="AD36" s="337">
        <f t="shared" si="3"/>
        <v>1.8860136355113792E-11</v>
      </c>
      <c r="AE36" s="308">
        <f t="shared" si="10"/>
        <v>3.7115671725127752</v>
      </c>
      <c r="AF36" s="337">
        <f t="shared" si="11"/>
        <v>3.7720272710227583E-11</v>
      </c>
      <c r="AG36" s="338">
        <f t="shared" si="23"/>
        <v>-21.400254628796546</v>
      </c>
      <c r="AH36" s="339">
        <f t="shared" si="24"/>
        <v>3.7115671725127752E-2</v>
      </c>
      <c r="AI36" s="340">
        <f t="shared" si="25"/>
        <v>0.17343565471031486</v>
      </c>
      <c r="AJ36" s="341">
        <f t="shared" si="12"/>
        <v>7.4231343450255505E-2</v>
      </c>
    </row>
    <row r="37" spans="1:36" x14ac:dyDescent="0.2">
      <c r="A37" s="309">
        <v>30</v>
      </c>
      <c r="B37" s="309">
        <f t="shared" si="13"/>
        <v>24.535758333333337</v>
      </c>
      <c r="C37" s="1">
        <v>589.98</v>
      </c>
      <c r="D37" s="1">
        <v>0.14000000000000001</v>
      </c>
      <c r="E37" s="326">
        <f t="shared" si="4"/>
        <v>11.585740270874608</v>
      </c>
      <c r="F37" s="327">
        <f t="shared" si="0"/>
        <v>1.8364123922326033E-3</v>
      </c>
      <c r="G37" s="309">
        <f t="shared" si="5"/>
        <v>1.0469194444444443</v>
      </c>
      <c r="H37" s="1">
        <v>3768.91</v>
      </c>
      <c r="I37" s="324">
        <v>30</v>
      </c>
      <c r="J37" s="1">
        <v>1.55959</v>
      </c>
      <c r="K37" s="1">
        <v>3.3299999999999901E-3</v>
      </c>
      <c r="L37" s="328">
        <f t="shared" si="6"/>
        <v>0.21351765528119507</v>
      </c>
      <c r="M37" s="329">
        <f t="shared" si="1"/>
        <v>3.5442279119509618E-2</v>
      </c>
      <c r="N37" s="342">
        <f>(1/$J$58)*SQRT(((1-J38/$J$58)*K37)^2+(J38/$J$58)^2*(SUMSQ(K$8:K36)+SUMSQ(K38:K$57)))</f>
        <v>9.6410947316169431E-5</v>
      </c>
      <c r="O37" s="340">
        <f t="shared" si="14"/>
        <v>0.27202242550789824</v>
      </c>
      <c r="P37" s="332">
        <f t="shared" si="7"/>
        <v>0.81090800174349154</v>
      </c>
      <c r="Q37" s="342">
        <f>SQRT(((1-P37)/$J$58)^2*SUMSQ(K$8:K37)+(P37/$J$58)^2*SUMSQ(K38:K$57))</f>
        <v>1.537060712244421E-3</v>
      </c>
      <c r="R37" s="340">
        <f t="shared" si="15"/>
        <v>0.18954810027027308</v>
      </c>
      <c r="S37" s="343">
        <f t="shared" si="16"/>
        <v>4.4934132197091053E-6</v>
      </c>
      <c r="T37" s="344">
        <f t="shared" si="17"/>
        <v>3.576694497647148E-8</v>
      </c>
      <c r="U37" s="344">
        <f>IF(P37&lt;=0.85, (1/(3*H37*$J$58))*SQRT( ((1-P37)*(1/SQRT(1-PI()*P37/3)-1) + (1-P36)*(1-1/SQRT(1-PI()*P36/3)))^2*SUMSQ(K$8:K36) + ( (1-P37)*(1/SQRT(1-PI()*P37/3)-1) -P36*(1-1/SQRT(1-PI()*P36/3)) )^2*K37^2 + ( P37*(1-1/SQRT(1-PI()*P37/3)) - P36*(1-1/SQRT(1-PI()*P36/3)) )^2*SUMSQ(K38:K$57) ), (1/(PI()^2*H37*$J$58))*SQRT((1+P36/(1-P36))^2*K37^2+(P36/(1-P36)-P37/(1-P37))^2*SUMSQ(K38:K$57)) )</f>
        <v>4.5074197600382615E-8</v>
      </c>
      <c r="V37" s="345">
        <f t="shared" si="18"/>
        <v>5.7540921458282858E-8</v>
      </c>
      <c r="W37" s="340">
        <f t="shared" si="19"/>
        <v>1.2805615385181055</v>
      </c>
      <c r="X37" s="345">
        <f t="shared" si="20"/>
        <v>1.1508184291656572E-7</v>
      </c>
      <c r="Y37" s="338">
        <f t="shared" si="8"/>
        <v>-12.312897962439253</v>
      </c>
      <c r="Z37" s="346">
        <f t="shared" si="21"/>
        <v>1.2805615385181055E-2</v>
      </c>
      <c r="AA37" s="346">
        <f t="shared" si="22"/>
        <v>0.10400163652979864</v>
      </c>
      <c r="AB37" s="346">
        <f t="shared" si="9"/>
        <v>2.561123077036211E-2</v>
      </c>
      <c r="AC37" s="336">
        <f t="shared" si="2"/>
        <v>5.7987317863817211E-10</v>
      </c>
      <c r="AD37" s="337">
        <f t="shared" si="3"/>
        <v>2.172642614414135E-11</v>
      </c>
      <c r="AE37" s="308">
        <f t="shared" si="10"/>
        <v>3.7467547982070326</v>
      </c>
      <c r="AF37" s="337">
        <f t="shared" si="11"/>
        <v>4.34528522882827E-11</v>
      </c>
      <c r="AG37" s="338">
        <f t="shared" si="23"/>
        <v>-21.268211693817516</v>
      </c>
      <c r="AH37" s="339">
        <f t="shared" si="24"/>
        <v>3.7467547982070325E-2</v>
      </c>
      <c r="AI37" s="340">
        <f t="shared" si="25"/>
        <v>0.17616689414917669</v>
      </c>
      <c r="AJ37" s="341">
        <f t="shared" si="12"/>
        <v>7.4935095964140649E-2</v>
      </c>
    </row>
    <row r="38" spans="1:36" x14ac:dyDescent="0.2">
      <c r="A38" s="309">
        <v>31</v>
      </c>
      <c r="B38" s="309">
        <f t="shared" si="13"/>
        <v>25.583783333333336</v>
      </c>
      <c r="C38" s="1">
        <v>599.98</v>
      </c>
      <c r="D38" s="1">
        <v>0.22</v>
      </c>
      <c r="E38" s="326">
        <f t="shared" si="4"/>
        <v>11.453048228786091</v>
      </c>
      <c r="F38" s="327">
        <f t="shared" si="0"/>
        <v>2.9190608398987541E-3</v>
      </c>
      <c r="G38" s="309">
        <f t="shared" si="5"/>
        <v>1.048025</v>
      </c>
      <c r="H38" s="1">
        <v>3772.89</v>
      </c>
      <c r="I38" s="324">
        <v>30</v>
      </c>
      <c r="J38" s="1">
        <v>1.44852</v>
      </c>
      <c r="K38" s="1">
        <v>1.5199999999999899E-3</v>
      </c>
      <c r="L38" s="328">
        <f t="shared" si="6"/>
        <v>0.10493469196144961</v>
      </c>
      <c r="M38" s="329">
        <f t="shared" si="1"/>
        <v>3.2918170897602621E-2</v>
      </c>
      <c r="N38" s="342">
        <f>(1/$J$58)*SQRT(((1-J39/$J$58)*K38)^2+(J39/$J$58)^2*(SUMSQ(K$8:K37)+SUMSQ(K39:K$57)))</f>
        <v>7.6603779065354029E-5</v>
      </c>
      <c r="O38" s="340">
        <f t="shared" si="14"/>
        <v>0.23270970706009961</v>
      </c>
      <c r="P38" s="332">
        <f t="shared" si="7"/>
        <v>0.84382617264109416</v>
      </c>
      <c r="Q38" s="342">
        <f>SQRT(((1-P38)/$J$58)^2*SUMSQ(K$8:K38)+(P38/$J$58)^2*SUMSQ(K39:K$57))</f>
        <v>1.5989722542355997E-3</v>
      </c>
      <c r="R38" s="340">
        <f t="shared" si="15"/>
        <v>0.18949071575144102</v>
      </c>
      <c r="S38" s="343">
        <f t="shared" si="16"/>
        <v>5.0656484667742378E-6</v>
      </c>
      <c r="T38" s="344">
        <f t="shared" si="17"/>
        <v>4.027932274813926E-8</v>
      </c>
      <c r="U38" s="344">
        <f>IF(P38&lt;=0.85, (1/(3*H38*$J$58))*SQRT( ((1-P38)*(1/SQRT(1-PI()*P38/3)-1) + (1-P37)*(1-1/SQRT(1-PI()*P37/3)))^2*SUMSQ(K$8:K37) + ( (1-P38)*(1/SQRT(1-PI()*P38/3)-1) -P37*(1-1/SQRT(1-PI()*P37/3)) )^2*K38^2 + ( P38*(1-1/SQRT(1-PI()*P38/3)) - P37*(1-1/SQRT(1-PI()*P37/3)) )^2*SUMSQ(K39:K$57) ), (1/(PI()^2*H38*$J$58))*SQRT((1+P37/(1-P37))^2*K38^2+(P37/(1-P37)-P38/(1-P38))^2*SUMSQ(K39:K$57)) )</f>
        <v>5.9258477853757658E-8</v>
      </c>
      <c r="V38" s="345">
        <f t="shared" si="18"/>
        <v>7.1651873936367184E-8</v>
      </c>
      <c r="W38" s="340">
        <f t="shared" si="19"/>
        <v>1.4144659742249048</v>
      </c>
      <c r="X38" s="345">
        <f t="shared" si="20"/>
        <v>1.4330374787273437E-7</v>
      </c>
      <c r="Y38" s="338">
        <f t="shared" si="8"/>
        <v>-12.193028399480506</v>
      </c>
      <c r="Z38" s="346">
        <f t="shared" si="21"/>
        <v>1.4144659742249049E-2</v>
      </c>
      <c r="AA38" s="346">
        <f t="shared" si="22"/>
        <v>0.11600612480203601</v>
      </c>
      <c r="AB38" s="346">
        <f t="shared" si="9"/>
        <v>2.8289319484498098E-2</v>
      </c>
      <c r="AC38" s="336">
        <f t="shared" si="2"/>
        <v>6.5371990837782862E-10</v>
      </c>
      <c r="AD38" s="337">
        <f t="shared" si="3"/>
        <v>2.4806106030814669E-11</v>
      </c>
      <c r="AE38" s="308">
        <f t="shared" si="10"/>
        <v>3.7946077078132299</v>
      </c>
      <c r="AF38" s="337">
        <f t="shared" si="11"/>
        <v>4.9612212061629338E-11</v>
      </c>
      <c r="AG38" s="338">
        <f t="shared" si="23"/>
        <v>-21.148342130858769</v>
      </c>
      <c r="AH38" s="339">
        <f t="shared" si="24"/>
        <v>3.7946077078132301E-2</v>
      </c>
      <c r="AI38" s="340">
        <f t="shared" si="25"/>
        <v>0.1794281407182409</v>
      </c>
      <c r="AJ38" s="341">
        <f t="shared" si="12"/>
        <v>7.5892154156264602E-2</v>
      </c>
    </row>
    <row r="39" spans="1:36" x14ac:dyDescent="0.2">
      <c r="A39" s="309">
        <v>32</v>
      </c>
      <c r="B39" s="309">
        <f t="shared" si="13"/>
        <v>27.631816666666669</v>
      </c>
      <c r="C39" s="1">
        <v>594.99</v>
      </c>
      <c r="D39" s="1">
        <v>0.13</v>
      </c>
      <c r="E39" s="326">
        <f t="shared" si="4"/>
        <v>11.518879443407746</v>
      </c>
      <c r="F39" s="327">
        <f t="shared" si="0"/>
        <v>1.7653347099134569E-3</v>
      </c>
      <c r="G39" s="309">
        <f t="shared" si="5"/>
        <v>2.0480333333333336</v>
      </c>
      <c r="H39" s="1">
        <v>7372.92</v>
      </c>
      <c r="I39" s="324">
        <v>30</v>
      </c>
      <c r="J39" s="1">
        <v>1.59127</v>
      </c>
      <c r="K39" s="1">
        <v>1.9199999999999901E-3</v>
      </c>
      <c r="L39" s="328">
        <f t="shared" si="6"/>
        <v>0.12065834207896774</v>
      </c>
      <c r="M39" s="329">
        <f t="shared" si="1"/>
        <v>3.6162219233581948E-2</v>
      </c>
      <c r="N39" s="342">
        <f>(1/$J$58)*SQRT(((1-J40/$J$58)*K39)^2+(J40/$J$58)^2*(SUMSQ(K$8:K38)+SUMSQ(K40:K$57)))</f>
        <v>5.7517517514683097E-5</v>
      </c>
      <c r="O39" s="340">
        <f t="shared" si="14"/>
        <v>0.15905416961044694</v>
      </c>
      <c r="P39" s="332">
        <f t="shared" si="7"/>
        <v>0.87998839187467615</v>
      </c>
      <c r="Q39" s="342">
        <f>SQRT(((1-P39)/$J$58)^2*SUMSQ(K$8:K39)+(P39/$J$58)^2*SUMSQ(K40:K$57))</f>
        <v>1.6668732399375528E-3</v>
      </c>
      <c r="R39" s="340">
        <f t="shared" si="15"/>
        <v>0.18941991227708616</v>
      </c>
      <c r="S39" s="343">
        <f t="shared" si="16"/>
        <v>3.6194742597719381E-6</v>
      </c>
      <c r="T39" s="344">
        <f t="shared" si="17"/>
        <v>1.4727438761461962E-8</v>
      </c>
      <c r="U39" s="344">
        <f>IF(P39&lt;=0.85, (1/(3*H39*$J$58))*SQRT( ((1-P39)*(1/SQRT(1-PI()*P39/3)-1) + (1-P38)*(1-1/SQRT(1-PI()*P38/3)))^2*SUMSQ(K$8:K38) + ( (1-P39)*(1/SQRT(1-PI()*P39/3)-1) -P38*(1-1/SQRT(1-PI()*P38/3)) )^2*K39^2 + ( P39*(1-1/SQRT(1-PI()*P39/3)) - P38*(1-1/SQRT(1-PI()*P38/3)) )^2*SUMSQ(K40:K$57) ), (1/(PI()^2*H39*$J$58))*SQRT((1+P38/(1-P38))^2*K39^2+(P38/(1-P38)-P39/(1-P39))^2*SUMSQ(K40:K$57)) )</f>
        <v>5.0363382047021924E-8</v>
      </c>
      <c r="V39" s="345">
        <f t="shared" si="18"/>
        <v>5.2472542378723203E-8</v>
      </c>
      <c r="W39" s="340">
        <f t="shared" si="19"/>
        <v>1.4497282923633634</v>
      </c>
      <c r="X39" s="345">
        <f t="shared" si="20"/>
        <v>1.0494508475744641E-7</v>
      </c>
      <c r="Y39" s="338">
        <f t="shared" si="8"/>
        <v>-12.529181774780998</v>
      </c>
      <c r="Z39" s="346">
        <f t="shared" si="21"/>
        <v>1.4497282923633633E-2</v>
      </c>
      <c r="AA39" s="346">
        <f t="shared" si="22"/>
        <v>0.11570813788346557</v>
      </c>
      <c r="AB39" s="346">
        <f t="shared" si="9"/>
        <v>2.8994565847267267E-2</v>
      </c>
      <c r="AC39" s="336">
        <f t="shared" si="2"/>
        <v>4.6709170543386474E-10</v>
      </c>
      <c r="AD39" s="337">
        <f t="shared" si="3"/>
        <v>1.7786350322366457E-11</v>
      </c>
      <c r="AE39" s="308">
        <f t="shared" si="10"/>
        <v>3.807892564875532</v>
      </c>
      <c r="AF39" s="337">
        <f t="shared" si="11"/>
        <v>3.5572700644732914E-11</v>
      </c>
      <c r="AG39" s="338">
        <f t="shared" si="23"/>
        <v>-21.484495506159259</v>
      </c>
      <c r="AH39" s="339">
        <f t="shared" si="24"/>
        <v>3.807892564875532E-2</v>
      </c>
      <c r="AI39" s="340">
        <f t="shared" si="25"/>
        <v>0.17723909615582412</v>
      </c>
      <c r="AJ39" s="341">
        <f t="shared" si="12"/>
        <v>7.615785129751064E-2</v>
      </c>
    </row>
    <row r="40" spans="1:36" x14ac:dyDescent="0.2">
      <c r="A40" s="309">
        <v>33</v>
      </c>
      <c r="B40" s="309">
        <f t="shared" si="13"/>
        <v>29.678730555555557</v>
      </c>
      <c r="C40" s="1">
        <v>584.99</v>
      </c>
      <c r="D40" s="1">
        <v>0.13</v>
      </c>
      <c r="E40" s="326">
        <f t="shared" si="4"/>
        <v>11.653110215116415</v>
      </c>
      <c r="F40" s="327">
        <f t="shared" si="0"/>
        <v>1.8072084997337475E-3</v>
      </c>
      <c r="G40" s="309">
        <f t="shared" si="5"/>
        <v>2.0469138888888891</v>
      </c>
      <c r="H40" s="1">
        <v>7368.89</v>
      </c>
      <c r="I40" s="324">
        <v>30</v>
      </c>
      <c r="J40" s="1">
        <v>0.88756000000000002</v>
      </c>
      <c r="K40" s="1">
        <v>1.47E-3</v>
      </c>
      <c r="L40" s="328">
        <f t="shared" si="6"/>
        <v>0.16562260579566451</v>
      </c>
      <c r="M40" s="329">
        <f t="shared" si="1"/>
        <v>2.0170140392867329E-2</v>
      </c>
      <c r="N40" s="342">
        <f>(1/$J$58)*SQRT(((1-J41/$J$58)*K40)^2+(J41/$J$58)^2*(SUMSQ(K$8:K39)+SUMSQ(K41:K$57)))</f>
        <v>4.0448276821595191E-5</v>
      </c>
      <c r="O40" s="340">
        <f t="shared" si="14"/>
        <v>0.20053542530570945</v>
      </c>
      <c r="P40" s="332">
        <f t="shared" si="7"/>
        <v>0.9001585322675435</v>
      </c>
      <c r="Q40" s="342">
        <f>SQRT(((1-P40)/$J$58)^2*SUMSQ(K$8:K40)+(P40/$J$58)^2*SUMSQ(K41:K$57))</f>
        <v>1.704736876698493E-3</v>
      </c>
      <c r="R40" s="340">
        <f t="shared" si="15"/>
        <v>0.1893818494842433</v>
      </c>
      <c r="S40" s="343">
        <f t="shared" si="16"/>
        <v>2.5300406075789169E-6</v>
      </c>
      <c r="T40" s="344">
        <f t="shared" si="17"/>
        <v>1.0300224080881584E-8</v>
      </c>
      <c r="U40" s="344">
        <f>IF(P40&lt;=0.85, (1/(3*H40*$J$58))*SQRT( ((1-P40)*(1/SQRT(1-PI()*P40/3)-1) + (1-P39)*(1-1/SQRT(1-PI()*P39/3)))^2*SUMSQ(K$8:K39) + ( (1-P40)*(1/SQRT(1-PI()*P40/3)-1) -P39*(1-1/SQRT(1-PI()*P39/3)) )^2*K40^2 + ( P40*(1-1/SQRT(1-PI()*P40/3)) - P39*(1-1/SQRT(1-PI()*P39/3)) )^2*SUMSQ(K41:K$57) ), (1/(PI()^2*H40*$J$58))*SQRT((1+P39/(1-P39))^2*K40^2+(P39/(1-P39)-P40/(1-P40))^2*SUMSQ(K41:K$57)) )</f>
        <v>4.3996670236817066E-8</v>
      </c>
      <c r="V40" s="345">
        <f t="shared" si="18"/>
        <v>4.5186298897382572E-8</v>
      </c>
      <c r="W40" s="340">
        <f t="shared" si="19"/>
        <v>1.7859910533460925</v>
      </c>
      <c r="X40" s="345">
        <f t="shared" si="20"/>
        <v>9.0372597794765143E-8</v>
      </c>
      <c r="Y40" s="338">
        <f t="shared" si="8"/>
        <v>-12.887275204927203</v>
      </c>
      <c r="Z40" s="346">
        <f t="shared" si="21"/>
        <v>1.7859910533460924E-2</v>
      </c>
      <c r="AA40" s="346">
        <f t="shared" si="22"/>
        <v>0.1385856222472267</v>
      </c>
      <c r="AB40" s="346">
        <f t="shared" si="9"/>
        <v>3.5719821066921849E-2</v>
      </c>
      <c r="AC40" s="336">
        <f t="shared" si="2"/>
        <v>3.2650072839181614E-10</v>
      </c>
      <c r="AD40" s="337">
        <f t="shared" si="3"/>
        <v>1.2890825043692596E-11</v>
      </c>
      <c r="AE40" s="308">
        <f t="shared" si="10"/>
        <v>3.9481765039810273</v>
      </c>
      <c r="AF40" s="337">
        <f t="shared" si="11"/>
        <v>2.5781650087385192E-11</v>
      </c>
      <c r="AG40" s="338">
        <f t="shared" si="23"/>
        <v>-21.842588936305468</v>
      </c>
      <c r="AH40" s="339">
        <f t="shared" si="24"/>
        <v>3.9481765039810275E-2</v>
      </c>
      <c r="AI40" s="340">
        <f t="shared" si="25"/>
        <v>0.18075588546276219</v>
      </c>
      <c r="AJ40" s="341">
        <f t="shared" si="12"/>
        <v>7.896353007962055E-2</v>
      </c>
    </row>
    <row r="41" spans="1:36" x14ac:dyDescent="0.2">
      <c r="A41" s="309">
        <v>34</v>
      </c>
      <c r="B41" s="309">
        <f t="shared" si="13"/>
        <v>31.724536111111114</v>
      </c>
      <c r="C41" s="1">
        <v>574.99</v>
      </c>
      <c r="D41" s="1">
        <v>0.11</v>
      </c>
      <c r="E41" s="326">
        <f t="shared" si="4"/>
        <v>11.79050628433985</v>
      </c>
      <c r="F41" s="327">
        <f t="shared" si="0"/>
        <v>1.5658838670292896E-3</v>
      </c>
      <c r="G41" s="309">
        <f t="shared" si="5"/>
        <v>2.0458055555555554</v>
      </c>
      <c r="H41" s="1">
        <v>7364.9</v>
      </c>
      <c r="I41" s="324">
        <v>30</v>
      </c>
      <c r="J41" s="1">
        <v>0.53957999999999995</v>
      </c>
      <c r="K41" s="1">
        <v>8.4000000000000003E-4</v>
      </c>
      <c r="L41" s="328">
        <f t="shared" si="6"/>
        <v>0.15567663738463253</v>
      </c>
      <c r="M41" s="329">
        <f t="shared" si="1"/>
        <v>1.2262161829266024E-2</v>
      </c>
      <c r="N41" s="342">
        <f>(1/$J$58)*SQRT(((1-J42/$J$58)*K41)^2+(J42/$J$58)^2*(SUMSQ(K$8:K40)+SUMSQ(K42:K$57)))</f>
        <v>2.3979465748225152E-5</v>
      </c>
      <c r="O41" s="340">
        <f t="shared" si="14"/>
        <v>0.19555659175035117</v>
      </c>
      <c r="P41" s="332">
        <f t="shared" si="7"/>
        <v>0.91242069409680948</v>
      </c>
      <c r="Q41" s="342">
        <f>SQRT(((1-P41)/$J$58)^2*SUMSQ(K$8:K41)+(P41/$J$58)^2*SUMSQ(K42:K$57))</f>
        <v>1.7278312486026892E-3</v>
      </c>
      <c r="R41" s="340">
        <f t="shared" si="15"/>
        <v>0.18936782777740935</v>
      </c>
      <c r="S41" s="343">
        <f t="shared" si="16"/>
        <v>1.8027418350893623E-6</v>
      </c>
      <c r="T41" s="344">
        <f t="shared" si="17"/>
        <v>7.3432436357154708E-9</v>
      </c>
      <c r="U41" s="344">
        <f>IF(P41&lt;=0.85, (1/(3*H41*$J$58))*SQRT( ((1-P41)*(1/SQRT(1-PI()*P41/3)-1) + (1-P40)*(1-1/SQRT(1-PI()*P40/3)))^2*SUMSQ(K$8:K40) + ( (1-P41)*(1/SQRT(1-PI()*P41/3)-1) -P40*(1-1/SQRT(1-PI()*P40/3)) )^2*K41^2 + ( P41*(1-1/SQRT(1-PI()*P41/3)) - P40*(1-1/SQRT(1-PI()*P40/3)) )^2*SUMSQ(K42:K$57) ), (1/(PI()^2*H41*$J$58))*SQRT((1+P40/(1-P40))^2*K41^2+(P40/(1-P40)-P41/(1-P41))^2*SUMSQ(K42:K$57)) )</f>
        <v>3.6625717689975416E-8</v>
      </c>
      <c r="V41" s="345">
        <f t="shared" si="18"/>
        <v>3.7354603777837802E-8</v>
      </c>
      <c r="W41" s="340">
        <f t="shared" si="19"/>
        <v>2.072099457102027</v>
      </c>
      <c r="X41" s="345">
        <f t="shared" si="20"/>
        <v>7.4709207555675604E-8</v>
      </c>
      <c r="Y41" s="338">
        <f t="shared" si="8"/>
        <v>-13.226201810301742</v>
      </c>
      <c r="Z41" s="346">
        <f t="shared" si="21"/>
        <v>2.0720994571020272E-2</v>
      </c>
      <c r="AA41" s="346">
        <f t="shared" si="22"/>
        <v>0.15666625134118942</v>
      </c>
      <c r="AB41" s="346">
        <f t="shared" si="9"/>
        <v>4.1441989142040545E-2</v>
      </c>
      <c r="AC41" s="336">
        <f t="shared" si="2"/>
        <v>2.3264311272154815E-10</v>
      </c>
      <c r="AD41" s="337">
        <f t="shared" si="3"/>
        <v>9.5048107725207137E-12</v>
      </c>
      <c r="AE41" s="308">
        <f t="shared" si="10"/>
        <v>4.0855758252758054</v>
      </c>
      <c r="AF41" s="337">
        <f t="shared" si="11"/>
        <v>1.9009621545041427E-11</v>
      </c>
      <c r="AG41" s="338">
        <f t="shared" si="23"/>
        <v>-22.181515541680007</v>
      </c>
      <c r="AH41" s="339">
        <f t="shared" si="24"/>
        <v>4.0855758252758057E-2</v>
      </c>
      <c r="AI41" s="340">
        <f t="shared" si="25"/>
        <v>0.18418830839573769</v>
      </c>
      <c r="AJ41" s="341">
        <f t="shared" si="12"/>
        <v>8.1711516505516113E-2</v>
      </c>
    </row>
    <row r="42" spans="1:36" x14ac:dyDescent="0.2">
      <c r="A42" s="309">
        <v>35</v>
      </c>
      <c r="B42" s="309">
        <f t="shared" si="13"/>
        <v>33.76978888888889</v>
      </c>
      <c r="C42" s="1">
        <v>564.99</v>
      </c>
      <c r="D42" s="1">
        <v>0.1</v>
      </c>
      <c r="E42" s="326">
        <f t="shared" si="4"/>
        <v>11.931180948290262</v>
      </c>
      <c r="F42" s="327">
        <f t="shared" si="0"/>
        <v>1.4581173444767623E-3</v>
      </c>
      <c r="G42" s="309">
        <f t="shared" si="5"/>
        <v>2.0452527777777778</v>
      </c>
      <c r="H42" s="1">
        <v>7362.91</v>
      </c>
      <c r="I42" s="324">
        <v>30</v>
      </c>
      <c r="J42" s="1">
        <v>0.33910999999999902</v>
      </c>
      <c r="K42" s="1">
        <v>7.7999999999999999E-4</v>
      </c>
      <c r="L42" s="328">
        <f t="shared" si="6"/>
        <v>0.23001385980950198</v>
      </c>
      <c r="M42" s="329">
        <f t="shared" si="1"/>
        <v>7.7064044218139848E-3</v>
      </c>
      <c r="N42" s="342">
        <f>(1/$J$58)*SQRT(((1-J43/$J$58)*K42)^2+(J43/$J$58)^2*(SUMSQ(K$8:K41)+SUMSQ(K43:K$57)))</f>
        <v>2.0065686400398829E-5</v>
      </c>
      <c r="O42" s="340">
        <f t="shared" si="14"/>
        <v>0.26037676330092774</v>
      </c>
      <c r="P42" s="332">
        <f t="shared" si="7"/>
        <v>0.92012709851862351</v>
      </c>
      <c r="Q42" s="342">
        <f>SQRT(((1-P42)/$J$58)^2*SUMSQ(K$8:K42)+(P42/$J$58)^2*SUMSQ(K43:K$57))</f>
        <v>1.7423263504667916E-3</v>
      </c>
      <c r="R42" s="340">
        <f t="shared" si="15"/>
        <v>0.18935713916826097</v>
      </c>
      <c r="S42" s="343">
        <f t="shared" si="16"/>
        <v>1.2675017531740725E-6</v>
      </c>
      <c r="T42" s="344">
        <f t="shared" si="17"/>
        <v>5.1644054586056572E-9</v>
      </c>
      <c r="U42" s="344">
        <f>IF(P42&lt;=0.85, (1/(3*H42*$J$58))*SQRT( ((1-P42)*(1/SQRT(1-PI()*P42/3)-1) + (1-P41)*(1-1/SQRT(1-PI()*P41/3)))^2*SUMSQ(K$8:K41) + ( (1-P42)*(1/SQRT(1-PI()*P42/3)-1) -P41*(1-1/SQRT(1-PI()*P41/3)) )^2*K42^2 + ( P42*(1-1/SQRT(1-PI()*P42/3)) - P41*(1-1/SQRT(1-PI()*P41/3)) )^2*SUMSQ(K43:K$57) ), (1/(PI()^2*H42*$J$58))*SQRT((1+P41/(1-P41))^2*K42^2+(P41/(1-P41)-P42/(1-P42))^2*SUMSQ(K43:K$57)) )</f>
        <v>2.8839824237442746E-8</v>
      </c>
      <c r="V42" s="345">
        <f t="shared" si="18"/>
        <v>2.9298575832068459E-8</v>
      </c>
      <c r="W42" s="340">
        <f t="shared" si="19"/>
        <v>2.3115215232404287</v>
      </c>
      <c r="X42" s="345">
        <f t="shared" si="20"/>
        <v>5.8597151664136918E-8</v>
      </c>
      <c r="Y42" s="338">
        <f t="shared" si="8"/>
        <v>-13.578462718307218</v>
      </c>
      <c r="Z42" s="346">
        <f t="shared" si="21"/>
        <v>2.3115215232404285E-2</v>
      </c>
      <c r="AA42" s="346">
        <f t="shared" si="22"/>
        <v>0.17023440511597163</v>
      </c>
      <c r="AB42" s="346">
        <f t="shared" si="9"/>
        <v>4.623043046480857E-2</v>
      </c>
      <c r="AC42" s="336">
        <f t="shared" si="2"/>
        <v>1.6357059424641277E-10</v>
      </c>
      <c r="AD42" s="337">
        <f t="shared" si="3"/>
        <v>6.8896946734351219E-12</v>
      </c>
      <c r="AE42" s="308">
        <f t="shared" si="10"/>
        <v>4.2120618960740979</v>
      </c>
      <c r="AF42" s="337">
        <f t="shared" si="11"/>
        <v>1.3779389346870244E-11</v>
      </c>
      <c r="AG42" s="338">
        <f t="shared" si="23"/>
        <v>-22.533776449685483</v>
      </c>
      <c r="AH42" s="339">
        <f t="shared" si="24"/>
        <v>4.2120618960740971E-2</v>
      </c>
      <c r="AI42" s="340">
        <f t="shared" si="25"/>
        <v>0.18692214797990009</v>
      </c>
      <c r="AJ42" s="341">
        <f t="shared" si="12"/>
        <v>8.4241237921481943E-2</v>
      </c>
    </row>
    <row r="43" spans="1:36" x14ac:dyDescent="0.2">
      <c r="A43" s="309">
        <v>36</v>
      </c>
      <c r="B43" s="309">
        <f t="shared" si="13"/>
        <v>35.814491666666669</v>
      </c>
      <c r="C43" s="1">
        <v>554.99</v>
      </c>
      <c r="D43" s="1">
        <v>0.12</v>
      </c>
      <c r="E43" s="326">
        <f t="shared" si="4"/>
        <v>12.075252976549859</v>
      </c>
      <c r="F43" s="327">
        <f t="shared" si="0"/>
        <v>1.7927758494405185E-3</v>
      </c>
      <c r="G43" s="309">
        <f t="shared" si="5"/>
        <v>2.0447027777777778</v>
      </c>
      <c r="H43" s="1">
        <v>7360.93</v>
      </c>
      <c r="I43" s="324">
        <v>30</v>
      </c>
      <c r="J43" s="1">
        <v>0.22069</v>
      </c>
      <c r="K43" s="1">
        <v>5.0000000000000001E-4</v>
      </c>
      <c r="L43" s="328">
        <f t="shared" si="6"/>
        <v>0.22656214599664687</v>
      </c>
      <c r="M43" s="329">
        <f t="shared" si="1"/>
        <v>5.0152646393504556E-3</v>
      </c>
      <c r="N43" s="342">
        <f>(1/$J$58)*SQRT(((1-J44/$J$58)*K43)^2+(J44/$J$58)^2*(SUMSQ(K$8:K42)+SUMSQ(K44:K$57)))</f>
        <v>1.3109540527418022E-5</v>
      </c>
      <c r="O43" s="340">
        <f t="shared" si="14"/>
        <v>0.26139279719276959</v>
      </c>
      <c r="P43" s="332">
        <f t="shared" si="7"/>
        <v>0.92514236315797393</v>
      </c>
      <c r="Q43" s="342">
        <f>SQRT(((1-P43)/$J$58)^2*SUMSQ(K$8:K43)+(P43/$J$58)^2*SUMSQ(K44:K$57))</f>
        <v>1.7517783274930878E-3</v>
      </c>
      <c r="R43" s="340">
        <f t="shared" si="15"/>
        <v>0.18935229833313347</v>
      </c>
      <c r="S43" s="343">
        <f t="shared" si="16"/>
        <v>8.9262190222955892E-7</v>
      </c>
      <c r="T43" s="344">
        <f t="shared" si="17"/>
        <v>3.6379448068228837E-9</v>
      </c>
      <c r="U43" s="344">
        <f>IF(P43&lt;=0.85, (1/(3*H43*$J$58))*SQRT( ((1-P43)*(1/SQRT(1-PI()*P43/3)-1) + (1-P42)*(1-1/SQRT(1-PI()*P42/3)))^2*SUMSQ(K$8:K42) + ( (1-P43)*(1/SQRT(1-PI()*P43/3)-1) -P42*(1-1/SQRT(1-PI()*P42/3)) )^2*K43^2 + ( P43*(1-1/SQRT(1-PI()*P43/3)) - P42*(1-1/SQRT(1-PI()*P42/3)) )^2*SUMSQ(K44:K$57) ), (1/(PI()^2*H43*$J$58))*SQRT((1+P42/(1-P42))^2*K43^2+(P42/(1-P42)-P43/(1-P43))^2*SUMSQ(K44:K$57)) )</f>
        <v>2.1948738004478964E-8</v>
      </c>
      <c r="V43" s="345">
        <f t="shared" si="18"/>
        <v>2.224818514860816E-8</v>
      </c>
      <c r="W43" s="340">
        <f t="shared" si="19"/>
        <v>2.4924534221082228</v>
      </c>
      <c r="X43" s="345">
        <f t="shared" si="20"/>
        <v>4.449637029721632E-8</v>
      </c>
      <c r="Y43" s="338">
        <f t="shared" si="8"/>
        <v>-13.929102747488358</v>
      </c>
      <c r="Z43" s="346">
        <f t="shared" si="21"/>
        <v>2.4924534221082231E-2</v>
      </c>
      <c r="AA43" s="346">
        <f t="shared" si="22"/>
        <v>0.1789385481098309</v>
      </c>
      <c r="AB43" s="346">
        <f t="shared" si="9"/>
        <v>4.9849068442164461E-2</v>
      </c>
      <c r="AC43" s="336">
        <f t="shared" si="2"/>
        <v>1.1519249943396368E-10</v>
      </c>
      <c r="AD43" s="337">
        <f t="shared" si="3"/>
        <v>4.969412666528888E-12</v>
      </c>
      <c r="AE43" s="308">
        <f t="shared" si="10"/>
        <v>4.3140071540662248</v>
      </c>
      <c r="AF43" s="337">
        <f t="shared" si="11"/>
        <v>9.9388253330577761E-12</v>
      </c>
      <c r="AG43" s="338">
        <f t="shared" si="23"/>
        <v>-22.884416478866623</v>
      </c>
      <c r="AH43" s="339">
        <f t="shared" si="24"/>
        <v>4.3140071540662239E-2</v>
      </c>
      <c r="AI43" s="340">
        <f t="shared" si="25"/>
        <v>0.18851287547795409</v>
      </c>
      <c r="AJ43" s="341">
        <f t="shared" si="12"/>
        <v>8.6280143081324479E-2</v>
      </c>
    </row>
    <row r="44" spans="1:36" x14ac:dyDescent="0.2">
      <c r="A44" s="309">
        <v>37</v>
      </c>
      <c r="B44" s="309">
        <f t="shared" si="13"/>
        <v>37.857519444444449</v>
      </c>
      <c r="C44" s="1">
        <v>544.99</v>
      </c>
      <c r="D44" s="1">
        <v>0.1</v>
      </c>
      <c r="E44" s="326">
        <f t="shared" si="4"/>
        <v>12.222846945510549</v>
      </c>
      <c r="F44" s="327">
        <f t="shared" si="0"/>
        <v>1.5311819236325356E-3</v>
      </c>
      <c r="G44" s="309">
        <f t="shared" si="5"/>
        <v>2.0430277777777777</v>
      </c>
      <c r="H44" s="1">
        <v>7354.9</v>
      </c>
      <c r="I44" s="324">
        <v>30</v>
      </c>
      <c r="J44" s="1">
        <v>0.15235000000000001</v>
      </c>
      <c r="K44" s="1">
        <v>8.8999999999999995E-4</v>
      </c>
      <c r="L44" s="328">
        <f t="shared" si="6"/>
        <v>0.58418116179849022</v>
      </c>
      <c r="M44" s="329">
        <f t="shared" si="1"/>
        <v>3.4622120069103361E-3</v>
      </c>
      <c r="N44" s="342">
        <f>(1/$J$58)*SQRT(((1-J45/$J$58)*K44)^2+(J45/$J$58)^2*(SUMSQ(K$8:K43)+SUMSQ(K45:K$57)))</f>
        <v>2.067591240824416E-5</v>
      </c>
      <c r="O44" s="340">
        <f t="shared" si="14"/>
        <v>0.59718793554457283</v>
      </c>
      <c r="P44" s="332">
        <f t="shared" si="7"/>
        <v>0.92860457516488426</v>
      </c>
      <c r="Q44" s="342">
        <f>SQRT(((1-P44)/$J$58)^2*SUMSQ(K$8:K44)+(P44/$J$58)^2*SUMSQ(K45:K$57))</f>
        <v>1.7582256785747897E-3</v>
      </c>
      <c r="R44" s="340">
        <f t="shared" si="15"/>
        <v>0.18934062200399959</v>
      </c>
      <c r="S44" s="343">
        <f t="shared" si="16"/>
        <v>6.523539787739535E-7</v>
      </c>
      <c r="T44" s="344">
        <f t="shared" si="17"/>
        <v>2.6608953708709298E-9</v>
      </c>
      <c r="U44" s="344">
        <f>IF(P44&lt;=0.85, (1/(3*H44*$J$58))*SQRT( ((1-P44)*(1/SQRT(1-PI()*P44/3)-1) + (1-P43)*(1-1/SQRT(1-PI()*P43/3)))^2*SUMSQ(K$8:K43) + ( (1-P44)*(1/SQRT(1-PI()*P44/3)-1) -P43*(1-1/SQRT(1-PI()*P43/3)) )^2*K44^2 + ( P44*(1-1/SQRT(1-PI()*P44/3)) - P43*(1-1/SQRT(1-PI()*P43/3)) )^2*SUMSQ(K45:K$57) ), (1/(PI()^2*H44*$J$58))*SQRT((1+P43/(1-P43))^2*K44^2+(P43/(1-P43)-P44/(1-P44))^2*SUMSQ(K45:K$57)) )</f>
        <v>1.730151873580334E-8</v>
      </c>
      <c r="V44" s="345">
        <f t="shared" si="18"/>
        <v>1.7504939723977239E-8</v>
      </c>
      <c r="W44" s="340">
        <f t="shared" si="19"/>
        <v>2.6833498826628386</v>
      </c>
      <c r="X44" s="345">
        <f t="shared" si="20"/>
        <v>3.5009879447954478E-8</v>
      </c>
      <c r="Y44" s="338">
        <f t="shared" si="8"/>
        <v>-14.242678510113294</v>
      </c>
      <c r="Z44" s="346">
        <f t="shared" si="21"/>
        <v>2.6833498826628385E-2</v>
      </c>
      <c r="AA44" s="346">
        <f t="shared" si="22"/>
        <v>0.18840205378205183</v>
      </c>
      <c r="AB44" s="346">
        <f t="shared" si="9"/>
        <v>5.3666997653256769E-2</v>
      </c>
      <c r="AC44" s="336">
        <f t="shared" si="2"/>
        <v>8.4186020019187177E-11</v>
      </c>
      <c r="AD44" s="337">
        <f t="shared" si="3"/>
        <v>3.7269504060907524E-12</v>
      </c>
      <c r="AE44" s="308">
        <f t="shared" si="10"/>
        <v>4.4270419307639539</v>
      </c>
      <c r="AF44" s="337">
        <f t="shared" si="11"/>
        <v>7.4539008121815048E-12</v>
      </c>
      <c r="AG44" s="338">
        <f t="shared" si="23"/>
        <v>-23.197992241491555</v>
      </c>
      <c r="AH44" s="339">
        <f t="shared" si="24"/>
        <v>4.4270419307639537E-2</v>
      </c>
      <c r="AI44" s="340">
        <f t="shared" si="25"/>
        <v>0.1908372881876311</v>
      </c>
      <c r="AJ44" s="341">
        <f t="shared" si="12"/>
        <v>8.8540838615279074E-2</v>
      </c>
    </row>
    <row r="45" spans="1:36" x14ac:dyDescent="0.2">
      <c r="A45" s="309">
        <v>38</v>
      </c>
      <c r="B45" s="309">
        <f t="shared" si="13"/>
        <v>39.899991666666672</v>
      </c>
      <c r="C45" s="1">
        <v>534.99</v>
      </c>
      <c r="D45" s="1">
        <v>0.12</v>
      </c>
      <c r="E45" s="326">
        <f t="shared" si="4"/>
        <v>12.374093597643974</v>
      </c>
      <c r="F45" s="327">
        <f t="shared" si="0"/>
        <v>1.883749251175922E-3</v>
      </c>
      <c r="G45" s="309">
        <f t="shared" si="5"/>
        <v>2.042472222222222</v>
      </c>
      <c r="H45" s="1">
        <v>7352.9</v>
      </c>
      <c r="I45" s="324">
        <v>30</v>
      </c>
      <c r="J45" s="1">
        <v>0.10403999999999999</v>
      </c>
      <c r="K45" s="1">
        <v>3.5E-4</v>
      </c>
      <c r="L45" s="328">
        <f t="shared" si="6"/>
        <v>0.3364090734332949</v>
      </c>
      <c r="M45" s="329">
        <f t="shared" si="1"/>
        <v>2.3643487837148101E-3</v>
      </c>
      <c r="N45" s="342">
        <f>(1/$J$58)*SQRT(((1-J46/$J$58)*K45)^2+(J46/$J$58)^2*(SUMSQ(K$8:K44)+SUMSQ(K46:K$57)))</f>
        <v>8.5316337969538438E-6</v>
      </c>
      <c r="O45" s="340">
        <f t="shared" si="14"/>
        <v>0.36084497582243924</v>
      </c>
      <c r="P45" s="332">
        <f t="shared" si="7"/>
        <v>0.93096892394859909</v>
      </c>
      <c r="Q45" s="342">
        <f>SQRT(((1-P45)/$J$58)^2*SUMSQ(K$8:K45)+(P45/$J$58)^2*SUMSQ(K46:K$57))</f>
        <v>1.762681170237377E-3</v>
      </c>
      <c r="R45" s="340">
        <f t="shared" si="15"/>
        <v>0.18933834684418518</v>
      </c>
      <c r="S45" s="343">
        <f t="shared" si="16"/>
        <v>4.6406103329764275E-7</v>
      </c>
      <c r="T45" s="344">
        <f t="shared" si="17"/>
        <v>1.8933796187802476E-9</v>
      </c>
      <c r="U45" s="344">
        <f>IF(P45&lt;=0.85, (1/(3*H45*$J$58))*SQRT( ((1-P45)*(1/SQRT(1-PI()*P45/3)-1) + (1-P44)*(1-1/SQRT(1-PI()*P44/3)))^2*SUMSQ(K$8:K44) + ( (1-P45)*(1/SQRT(1-PI()*P45/3)-1) -P44*(1-1/SQRT(1-PI()*P44/3)) )^2*K45^2 + ( P45*(1-1/SQRT(1-PI()*P45/3)) - P44*(1-1/SQRT(1-PI()*P44/3)) )^2*SUMSQ(K46:K$57) ), (1/(PI()^2*H45*$J$58))*SQRT((1+P44/(1-P44))^2*K45^2+(P44/(1-P44)-P45/(1-P45))^2*SUMSQ(K46:K$57)) )</f>
        <v>1.2609577354233575E-8</v>
      </c>
      <c r="V45" s="345">
        <f t="shared" si="18"/>
        <v>1.2750934374908085E-8</v>
      </c>
      <c r="W45" s="340">
        <f t="shared" si="19"/>
        <v>2.7476847785083911</v>
      </c>
      <c r="X45" s="345">
        <f t="shared" si="20"/>
        <v>2.550186874981617E-8</v>
      </c>
      <c r="Y45" s="338">
        <f t="shared" si="8"/>
        <v>-14.583249756091023</v>
      </c>
      <c r="Z45" s="346">
        <f t="shared" si="21"/>
        <v>2.747684778508391E-2</v>
      </c>
      <c r="AA45" s="346">
        <f t="shared" si="22"/>
        <v>0.18841375032754676</v>
      </c>
      <c r="AB45" s="346">
        <f t="shared" si="9"/>
        <v>5.495369557016782E-2</v>
      </c>
      <c r="AC45" s="336">
        <f t="shared" si="2"/>
        <v>5.9886890722647473E-11</v>
      </c>
      <c r="AD45" s="337">
        <f t="shared" si="3"/>
        <v>2.6747462761684398E-12</v>
      </c>
      <c r="AE45" s="308">
        <f t="shared" si="10"/>
        <v>4.4663301832715261</v>
      </c>
      <c r="AF45" s="337">
        <f t="shared" si="11"/>
        <v>5.3494925523368797E-12</v>
      </c>
      <c r="AG45" s="338">
        <f t="shared" si="23"/>
        <v>-23.538563487469286</v>
      </c>
      <c r="AH45" s="339">
        <f t="shared" si="24"/>
        <v>4.4663301832715267E-2</v>
      </c>
      <c r="AI45" s="340">
        <f t="shared" si="25"/>
        <v>0.189745231719394</v>
      </c>
      <c r="AJ45" s="341">
        <f t="shared" si="12"/>
        <v>8.9326603665430535E-2</v>
      </c>
    </row>
    <row r="46" spans="1:36" x14ac:dyDescent="0.2">
      <c r="A46" s="309">
        <v>39</v>
      </c>
      <c r="B46" s="309">
        <f t="shared" si="13"/>
        <v>41.941913888888891</v>
      </c>
      <c r="C46" s="1">
        <v>524.99</v>
      </c>
      <c r="D46" s="1">
        <v>0.12</v>
      </c>
      <c r="E46" s="326">
        <f t="shared" si="4"/>
        <v>12.529130227779588</v>
      </c>
      <c r="F46" s="327">
        <f t="shared" si="0"/>
        <v>1.9318549139172565E-3</v>
      </c>
      <c r="G46" s="309">
        <f t="shared" si="5"/>
        <v>2.041922222222222</v>
      </c>
      <c r="H46" s="1">
        <v>7350.92</v>
      </c>
      <c r="I46" s="324">
        <v>30</v>
      </c>
      <c r="J46" s="1">
        <v>7.1940000000000004E-2</v>
      </c>
      <c r="K46" s="1">
        <v>2.7999999999999998E-4</v>
      </c>
      <c r="L46" s="328">
        <f t="shared" si="6"/>
        <v>0.38921323324993046</v>
      </c>
      <c r="M46" s="329">
        <f t="shared" si="1"/>
        <v>1.6348640090392489E-3</v>
      </c>
      <c r="N46" s="342">
        <f>(1/$J$58)*SQRT(((1-J47/$J$58)*K46)^2+(J47/$J$58)^2*(SUMSQ(K$8:K45)+SUMSQ(K47:K$57)))</f>
        <v>6.7350107958308328E-6</v>
      </c>
      <c r="O46" s="340">
        <f t="shared" si="14"/>
        <v>0.41196153065897867</v>
      </c>
      <c r="P46" s="332">
        <f t="shared" si="7"/>
        <v>0.93260378795763832</v>
      </c>
      <c r="Q46" s="342">
        <f>SQRT(((1-P46)/$J$58)^2*SUMSQ(K$8:K46)+(P46/$J$58)^2*SUMSQ(K47:K$57))</f>
        <v>1.7657628507834428E-3</v>
      </c>
      <c r="R46" s="340">
        <f t="shared" si="15"/>
        <v>0.18933687312705286</v>
      </c>
      <c r="S46" s="343">
        <f t="shared" si="16"/>
        <v>3.3036172911496765E-7</v>
      </c>
      <c r="T46" s="344">
        <f t="shared" si="17"/>
        <v>1.3482464607762061E-9</v>
      </c>
      <c r="U46" s="344">
        <f>IF(P46&lt;=0.85, (1/(3*H46*$J$58))*SQRT( ((1-P46)*(1/SQRT(1-PI()*P46/3)-1) + (1-P45)*(1-1/SQRT(1-PI()*P45/3)))^2*SUMSQ(K$8:K45) + ( (1-P46)*(1/SQRT(1-PI()*P46/3)-1) -P45*(1-1/SQRT(1-PI()*P45/3)) )^2*K46^2 + ( P46*(1-1/SQRT(1-PI()*P46/3)) - P45*(1-1/SQRT(1-PI()*P45/3)) )^2*SUMSQ(K47:K$57) ), (1/(PI()^2*H46*$J$58))*SQRT((1+P45/(1-P45))^2*K46^2+(P45/(1-P45)-P46/(1-P46))^2*SUMSQ(K47:K$57)) )</f>
        <v>9.2577679636029593E-9</v>
      </c>
      <c r="V46" s="345">
        <f t="shared" si="18"/>
        <v>9.3554281669471888E-9</v>
      </c>
      <c r="W46" s="340">
        <f t="shared" si="19"/>
        <v>2.8318740769429285</v>
      </c>
      <c r="X46" s="345">
        <f t="shared" si="20"/>
        <v>1.8710856333894378E-8</v>
      </c>
      <c r="Y46" s="338">
        <f t="shared" si="8"/>
        <v>-14.92307763398512</v>
      </c>
      <c r="Z46" s="346">
        <f t="shared" si="21"/>
        <v>2.8318740769429286E-2</v>
      </c>
      <c r="AA46" s="346">
        <f t="shared" si="22"/>
        <v>0.18976474869324214</v>
      </c>
      <c r="AB46" s="346">
        <f t="shared" si="9"/>
        <v>5.6637481538858572E-2</v>
      </c>
      <c r="AC46" s="336">
        <f t="shared" si="2"/>
        <v>4.2633048997594929E-11</v>
      </c>
      <c r="AD46" s="337">
        <f t="shared" si="3"/>
        <v>1.9264215983480705E-12</v>
      </c>
      <c r="AE46" s="308">
        <f t="shared" si="10"/>
        <v>4.5186108984528559</v>
      </c>
      <c r="AF46" s="337">
        <f t="shared" si="11"/>
        <v>3.8528431966961411E-12</v>
      </c>
      <c r="AG46" s="338">
        <f t="shared" si="23"/>
        <v>-23.878391365363385</v>
      </c>
      <c r="AH46" s="339">
        <f t="shared" si="24"/>
        <v>4.5186108984528559E-2</v>
      </c>
      <c r="AI46" s="340">
        <f t="shared" si="25"/>
        <v>0.18923430935164637</v>
      </c>
      <c r="AJ46" s="341">
        <f t="shared" si="12"/>
        <v>9.0372217969057117E-2</v>
      </c>
    </row>
    <row r="47" spans="1:36" x14ac:dyDescent="0.2">
      <c r="A47" s="309">
        <v>40</v>
      </c>
      <c r="B47" s="309">
        <f t="shared" si="13"/>
        <v>43.982719444444449</v>
      </c>
      <c r="C47" s="1">
        <v>514.99</v>
      </c>
      <c r="D47" s="1">
        <v>0.13</v>
      </c>
      <c r="E47" s="326">
        <f t="shared" si="4"/>
        <v>12.688101098789556</v>
      </c>
      <c r="F47" s="327">
        <f t="shared" si="0"/>
        <v>2.1469793682529592E-3</v>
      </c>
      <c r="G47" s="309">
        <f t="shared" si="5"/>
        <v>2.0408055555555555</v>
      </c>
      <c r="H47" s="1">
        <v>7346.9</v>
      </c>
      <c r="I47" s="324">
        <v>30</v>
      </c>
      <c r="J47" s="1">
        <v>5.1389999999999998E-2</v>
      </c>
      <c r="K47" s="1">
        <v>2.5999999999999998E-4</v>
      </c>
      <c r="L47" s="328">
        <f t="shared" si="6"/>
        <v>0.50593500681066361</v>
      </c>
      <c r="M47" s="329">
        <f t="shared" si="1"/>
        <v>1.1678574009525576E-3</v>
      </c>
      <c r="N47" s="342">
        <f>(1/$J$58)*SQRT(((1-J48/$J$58)*K47)^2+(J48/$J$58)^2*(SUMSQ(K$8:K46)+SUMSQ(K48:K$57)))</f>
        <v>6.1152947662648253E-6</v>
      </c>
      <c r="O47" s="340">
        <f t="shared" si="14"/>
        <v>0.5236336868933581</v>
      </c>
      <c r="P47" s="332">
        <f t="shared" si="7"/>
        <v>0.93377164535859092</v>
      </c>
      <c r="Q47" s="342">
        <f>SQRT(((1-P47)/$J$58)^2*SUMSQ(K$8:K47)+(P47/$J$58)^2*SUMSQ(K48:K$57))</f>
        <v>1.7679628009209397E-3</v>
      </c>
      <c r="R47" s="340">
        <f t="shared" si="15"/>
        <v>0.18933566999049314</v>
      </c>
      <c r="S47" s="343">
        <f t="shared" si="16"/>
        <v>2.4106862304630259E-7</v>
      </c>
      <c r="T47" s="344">
        <f t="shared" si="17"/>
        <v>9.8436873938519341E-10</v>
      </c>
      <c r="U47" s="344">
        <f>IF(P47&lt;=0.85, (1/(3*H47*$J$58))*SQRT( ((1-P47)*(1/SQRT(1-PI()*P47/3)-1) + (1-P46)*(1-1/SQRT(1-PI()*P46/3)))^2*SUMSQ(K$8:K46) + ( (1-P47)*(1/SQRT(1-PI()*P47/3)-1) -P46*(1-1/SQRT(1-PI()*P46/3)) )^2*K47^2 + ( P47*(1-1/SQRT(1-PI()*P47/3)) - P46*(1-1/SQRT(1-PI()*P46/3)) )^2*SUMSQ(K48:K$57) ), (1/(PI()^2*H47*$J$58))*SQRT((1+P46/(1-P46))^2*K47^2+(P46/(1-P46)-P47/(1-P47))^2*SUMSQ(K48:K$57)) )</f>
        <v>6.9377531892784875E-9</v>
      </c>
      <c r="V47" s="345">
        <f t="shared" si="18"/>
        <v>7.0072391946060053E-9</v>
      </c>
      <c r="W47" s="340">
        <f t="shared" si="19"/>
        <v>2.906740456745426</v>
      </c>
      <c r="X47" s="345">
        <f t="shared" si="20"/>
        <v>1.4014478389212011E-8</v>
      </c>
      <c r="Y47" s="338">
        <f t="shared" si="8"/>
        <v>-15.238184201056615</v>
      </c>
      <c r="Z47" s="346">
        <f t="shared" si="21"/>
        <v>2.9067404567454262E-2</v>
      </c>
      <c r="AA47" s="346">
        <f t="shared" si="22"/>
        <v>0.19075372881657862</v>
      </c>
      <c r="AB47" s="346">
        <f t="shared" si="9"/>
        <v>5.8134809134908524E-2</v>
      </c>
      <c r="AC47" s="336">
        <f t="shared" si="2"/>
        <v>3.1109809376676133E-11</v>
      </c>
      <c r="AD47" s="337">
        <f t="shared" si="3"/>
        <v>1.4204438402716156E-12</v>
      </c>
      <c r="AE47" s="308">
        <f t="shared" si="10"/>
        <v>4.5659033878123374</v>
      </c>
      <c r="AF47" s="337">
        <f t="shared" si="11"/>
        <v>2.8408876805432312E-12</v>
      </c>
      <c r="AG47" s="338">
        <f t="shared" si="23"/>
        <v>-24.193497932434877</v>
      </c>
      <c r="AH47" s="339">
        <f t="shared" si="24"/>
        <v>4.5659033878123367E-2</v>
      </c>
      <c r="AI47" s="340">
        <f t="shared" si="25"/>
        <v>0.18872440027330997</v>
      </c>
      <c r="AJ47" s="341">
        <f t="shared" si="12"/>
        <v>9.1318067756246735E-2</v>
      </c>
    </row>
    <row r="48" spans="1:36" x14ac:dyDescent="0.2">
      <c r="A48" s="309">
        <v>41</v>
      </c>
      <c r="B48" s="309">
        <f t="shared" si="13"/>
        <v>46.02352777777778</v>
      </c>
      <c r="C48" s="1">
        <v>504.99</v>
      </c>
      <c r="D48" s="1">
        <v>0.12</v>
      </c>
      <c r="E48" s="326">
        <f t="shared" si="4"/>
        <v>12.851157889325828</v>
      </c>
      <c r="F48" s="327">
        <f t="shared" si="0"/>
        <v>2.03376366441487E-3</v>
      </c>
      <c r="G48" s="309">
        <f t="shared" si="5"/>
        <v>2.0408083333333331</v>
      </c>
      <c r="H48" s="1">
        <v>7346.91</v>
      </c>
      <c r="I48" s="324">
        <v>30</v>
      </c>
      <c r="J48" s="1">
        <v>3.678E-2</v>
      </c>
      <c r="K48" s="1">
        <v>2.5999999999999998E-4</v>
      </c>
      <c r="L48" s="328">
        <f t="shared" si="6"/>
        <v>0.70690592713431211</v>
      </c>
      <c r="M48" s="329">
        <f t="shared" si="1"/>
        <v>8.3583956425442823E-4</v>
      </c>
      <c r="N48" s="342">
        <f>(1/$J$58)*SQRT(((1-J49/$J$58)*K48)^2+(J49/$J$58)^2*(SUMSQ(K$8:K47)+SUMSQ(K49:K$57)))</f>
        <v>6.0117710336067348E-6</v>
      </c>
      <c r="O48" s="340">
        <f t="shared" si="14"/>
        <v>0.71924939793550635</v>
      </c>
      <c r="P48" s="332">
        <f t="shared" si="7"/>
        <v>0.9346074849228454</v>
      </c>
      <c r="Q48" s="342">
        <f>SQRT(((1-P48)/$J$58)^2*SUMSQ(K$8:K48)+(P48/$J$58)^2*SUMSQ(K49:K$57))</f>
        <v>1.769534890556626E-3</v>
      </c>
      <c r="R48" s="340">
        <f t="shared" si="15"/>
        <v>0.18933455157409812</v>
      </c>
      <c r="S48" s="343">
        <f t="shared" si="16"/>
        <v>1.7515782223208221E-7</v>
      </c>
      <c r="T48" s="344">
        <f t="shared" si="17"/>
        <v>7.152305754340896E-10</v>
      </c>
      <c r="U48" s="344">
        <f>IF(P48&lt;=0.85, (1/(3*H48*$J$58))*SQRT( ((1-P48)*(1/SQRT(1-PI()*P48/3)-1) + (1-P47)*(1-1/SQRT(1-PI()*P47/3)))^2*SUMSQ(K$8:K47) + ( (1-P48)*(1/SQRT(1-PI()*P48/3)-1) -P47*(1-1/SQRT(1-PI()*P47/3)) )^2*K48^2 + ( P48*(1-1/SQRT(1-PI()*P48/3)) - P47*(1-1/SQRT(1-PI()*P47/3)) )^2*SUMSQ(K49:K$57) ), (1/(PI()^2*H48*$J$58))*SQRT((1+P47/(1-P47))^2*K48^2+(P47/(1-P47)-P48/(1-P48))^2*SUMSQ(K49:K$57)) )</f>
        <v>5.1872068974787272E-9</v>
      </c>
      <c r="V48" s="345">
        <f t="shared" si="18"/>
        <v>5.2362840042616735E-9</v>
      </c>
      <c r="W48" s="340">
        <f t="shared" si="19"/>
        <v>2.9894662639294833</v>
      </c>
      <c r="X48" s="345">
        <f t="shared" si="20"/>
        <v>1.0472568008523347E-8</v>
      </c>
      <c r="Y48" s="338">
        <f t="shared" si="8"/>
        <v>-15.557578428111272</v>
      </c>
      <c r="Z48" s="346">
        <f t="shared" si="21"/>
        <v>2.9894662639294831E-2</v>
      </c>
      <c r="AA48" s="346">
        <f t="shared" si="22"/>
        <v>0.19215498592812891</v>
      </c>
      <c r="AB48" s="346">
        <f t="shared" si="9"/>
        <v>5.9789325278589663E-2</v>
      </c>
      <c r="AC48" s="336">
        <f t="shared" si="2"/>
        <v>2.2604046895921313E-11</v>
      </c>
      <c r="AD48" s="337">
        <f t="shared" si="3"/>
        <v>1.0440829131414238E-12</v>
      </c>
      <c r="AE48" s="308">
        <f t="shared" si="10"/>
        <v>4.6190087905445765</v>
      </c>
      <c r="AF48" s="337">
        <f t="shared" si="11"/>
        <v>2.0881658262828477E-12</v>
      </c>
      <c r="AG48" s="338">
        <f t="shared" si="23"/>
        <v>-24.512892159489535</v>
      </c>
      <c r="AH48" s="339">
        <f t="shared" si="24"/>
        <v>4.6190087905445765E-2</v>
      </c>
      <c r="AI48" s="340">
        <f t="shared" si="25"/>
        <v>0.18843181622517954</v>
      </c>
      <c r="AJ48" s="341">
        <f t="shared" si="12"/>
        <v>9.2380175810891529E-2</v>
      </c>
    </row>
    <row r="49" spans="1:36" x14ac:dyDescent="0.2">
      <c r="A49" s="309">
        <v>42</v>
      </c>
      <c r="B49" s="309">
        <f t="shared" si="13"/>
        <v>48.063216666666669</v>
      </c>
      <c r="C49" s="1">
        <v>494.99</v>
      </c>
      <c r="D49" s="1">
        <v>0.13</v>
      </c>
      <c r="E49" s="326">
        <f t="shared" si="4"/>
        <v>13.01846017653032</v>
      </c>
      <c r="F49" s="327">
        <f t="shared" si="0"/>
        <v>2.2616899785069429E-3</v>
      </c>
      <c r="G49" s="309">
        <f t="shared" si="5"/>
        <v>2.0396888888888887</v>
      </c>
      <c r="H49" s="1">
        <v>7342.88</v>
      </c>
      <c r="I49" s="324">
        <v>30</v>
      </c>
      <c r="J49" s="1">
        <v>2.5999999999999999E-2</v>
      </c>
      <c r="K49" s="1">
        <v>2.2000000000000001E-4</v>
      </c>
      <c r="L49" s="328">
        <f t="shared" si="6"/>
        <v>0.84615384615384626</v>
      </c>
      <c r="M49" s="329">
        <f t="shared" si="1"/>
        <v>5.9085994210481604E-4</v>
      </c>
      <c r="N49" s="342">
        <f>(1/$J$58)*SQRT(((1-J50/$J$58)*K49)^2+(J50/$J$58)^2*(SUMSQ(K$8:K48)+SUMSQ(K50:K$57)))</f>
        <v>5.0543691478951828E-6</v>
      </c>
      <c r="O49" s="340">
        <f t="shared" si="14"/>
        <v>0.85542592884026647</v>
      </c>
      <c r="P49" s="332">
        <f t="shared" si="7"/>
        <v>0.93519834486495024</v>
      </c>
      <c r="Q49" s="342">
        <f>SQRT(((1-P49)/$J$58)^2*SUMSQ(K$8:K49)+(P49/$J$58)^2*SUMSQ(K50:K$57))</f>
        <v>1.7706461369152368E-3</v>
      </c>
      <c r="R49" s="340">
        <f t="shared" si="15"/>
        <v>0.18933375434608277</v>
      </c>
      <c r="S49" s="343">
        <f t="shared" si="16"/>
        <v>1.2524483087278614E-7</v>
      </c>
      <c r="T49" s="344">
        <f t="shared" si="17"/>
        <v>5.1169907804343582E-10</v>
      </c>
      <c r="U49" s="344">
        <f>IF(P49&lt;=0.85, (1/(3*H49*$J$58))*SQRT( ((1-P49)*(1/SQRT(1-PI()*P49/3)-1) + (1-P48)*(1-1/SQRT(1-PI()*P48/3)))^2*SUMSQ(K$8:K48) + ( (1-P49)*(1/SQRT(1-PI()*P49/3)-1) -P48*(1-1/SQRT(1-PI()*P48/3)) )^2*K49^2 + ( P49*(1-1/SQRT(1-PI()*P49/3)) - P48*(1-1/SQRT(1-PI()*P48/3)) )^2*SUMSQ(K50:K$57) ), (1/(PI()^2*H49*$J$58))*SQRT((1+P48/(1-P48))^2*K49^2+(P48/(1-P48)-P49/(1-P49))^2*SUMSQ(K50:K$57)) )</f>
        <v>3.7923292875456197E-9</v>
      </c>
      <c r="V49" s="345">
        <f t="shared" si="18"/>
        <v>3.8266953591377995E-9</v>
      </c>
      <c r="W49" s="340">
        <f t="shared" si="19"/>
        <v>3.0553718923734716</v>
      </c>
      <c r="X49" s="345">
        <f t="shared" si="20"/>
        <v>7.653390718275599E-9</v>
      </c>
      <c r="Y49" s="338">
        <f t="shared" si="8"/>
        <v>-15.892995368309844</v>
      </c>
      <c r="Z49" s="346">
        <f t="shared" si="21"/>
        <v>3.0553718923734714E-2</v>
      </c>
      <c r="AA49" s="346">
        <f t="shared" si="22"/>
        <v>0.19224644703954241</v>
      </c>
      <c r="AB49" s="346">
        <f t="shared" si="9"/>
        <v>6.1107437847469429E-2</v>
      </c>
      <c r="AC49" s="336">
        <f t="shared" si="2"/>
        <v>1.6162795326200701E-11</v>
      </c>
      <c r="AD49" s="337">
        <f t="shared" si="3"/>
        <v>7.5349889303425414E-13</v>
      </c>
      <c r="AE49" s="308">
        <f t="shared" si="10"/>
        <v>4.6619342621557225</v>
      </c>
      <c r="AF49" s="337">
        <f t="shared" si="11"/>
        <v>1.5069977860685083E-12</v>
      </c>
      <c r="AG49" s="338">
        <f t="shared" si="23"/>
        <v>-24.848309099688109</v>
      </c>
      <c r="AH49" s="339">
        <f t="shared" si="24"/>
        <v>4.6619342621557217E-2</v>
      </c>
      <c r="AI49" s="340">
        <f t="shared" si="25"/>
        <v>0.18761575459531921</v>
      </c>
      <c r="AJ49" s="341">
        <f t="shared" si="12"/>
        <v>9.3238685243114433E-2</v>
      </c>
    </row>
    <row r="50" spans="1:36" x14ac:dyDescent="0.2">
      <c r="A50" s="309">
        <v>43</v>
      </c>
      <c r="B50" s="309">
        <f t="shared" si="13"/>
        <v>50.091794444444446</v>
      </c>
      <c r="C50" s="1">
        <v>485</v>
      </c>
      <c r="D50" s="1">
        <v>0.51</v>
      </c>
      <c r="E50" s="326">
        <f t="shared" si="4"/>
        <v>13.190001978500296</v>
      </c>
      <c r="F50" s="327">
        <f t="shared" si="0"/>
        <v>9.1118051791084717E-3</v>
      </c>
      <c r="G50" s="309">
        <f t="shared" si="5"/>
        <v>2.028577777777778</v>
      </c>
      <c r="H50" s="1">
        <v>7302.88</v>
      </c>
      <c r="I50" s="324">
        <v>30</v>
      </c>
      <c r="J50" s="1">
        <v>1.7419999999999901E-2</v>
      </c>
      <c r="K50" s="1">
        <v>1.6000000000000001E-4</v>
      </c>
      <c r="L50" s="328">
        <f t="shared" si="6"/>
        <v>0.91848450057405806</v>
      </c>
      <c r="M50" s="329">
        <f t="shared" si="1"/>
        <v>3.9587616121022451E-4</v>
      </c>
      <c r="N50" s="342">
        <f>(1/$J$58)*SQRT(((1-J51/$J$58)*K50)^2+(J51/$J$58)^2*(SUMSQ(K$8:K49)+SUMSQ(K51:K$57)))</f>
        <v>3.7179809188500453E-6</v>
      </c>
      <c r="O50" s="340">
        <f t="shared" si="14"/>
        <v>0.93917777405032066</v>
      </c>
      <c r="P50" s="332">
        <f t="shared" si="7"/>
        <v>0.93559422102616041</v>
      </c>
      <c r="Q50" s="342">
        <f>SQRT(((1-P50)/$J$58)^2*SUMSQ(K$8:K50)+(P50/$J$58)^2*SUMSQ(K51:K$57))</f>
        <v>1.7713915412180124E-3</v>
      </c>
      <c r="R50" s="340">
        <f t="shared" si="15"/>
        <v>0.18933331367471989</v>
      </c>
      <c r="S50" s="343">
        <f t="shared" si="16"/>
        <v>8.5017688511159403E-8</v>
      </c>
      <c r="T50" s="344">
        <f t="shared" si="17"/>
        <v>3.4924997471337096E-10</v>
      </c>
      <c r="U50" s="344">
        <f>IF(P50&lt;=0.85, (1/(3*H50*$J$58))*SQRT( ((1-P50)*(1/SQRT(1-PI()*P50/3)-1) + (1-P49)*(1-1/SQRT(1-PI()*P49/3)))^2*SUMSQ(K$8:K49) + ( (1-P50)*(1/SQRT(1-PI()*P50/3)-1) -P49*(1-1/SQRT(1-PI()*P49/3)) )^2*K50^2 + ( P50*(1-1/SQRT(1-PI()*P50/3)) - P49*(1-1/SQRT(1-PI()*P49/3)) )^2*SUMSQ(K51:K$57) ), (1/(PI()^2*H50*$J$58))*SQRT((1+P49/(1-P49))^2*K50^2+(P49/(1-P49)-P50/(1-P50))^2*SUMSQ(K51:K$57)) )</f>
        <v>2.6103142693883471E-9</v>
      </c>
      <c r="V50" s="345">
        <f t="shared" si="18"/>
        <v>2.6335747815108101E-9</v>
      </c>
      <c r="W50" s="340">
        <f t="shared" si="19"/>
        <v>3.0976786450329423</v>
      </c>
      <c r="X50" s="345">
        <f t="shared" si="20"/>
        <v>5.2671495630216201E-9</v>
      </c>
      <c r="Y50" s="338">
        <f t="shared" si="8"/>
        <v>-16.280406501974635</v>
      </c>
      <c r="Z50" s="346">
        <f t="shared" si="21"/>
        <v>3.0976786450329422E-2</v>
      </c>
      <c r="AA50" s="346">
        <f t="shared" si="22"/>
        <v>0.1902703501081025</v>
      </c>
      <c r="AB50" s="346">
        <f t="shared" si="9"/>
        <v>6.1953572900658845E-2</v>
      </c>
      <c r="AC50" s="336">
        <f t="shared" si="2"/>
        <v>1.0971498695289716E-11</v>
      </c>
      <c r="AD50" s="337">
        <f t="shared" si="3"/>
        <v>5.1453810113885833E-13</v>
      </c>
      <c r="AE50" s="308">
        <f t="shared" si="10"/>
        <v>4.6897704263480415</v>
      </c>
      <c r="AF50" s="337">
        <f t="shared" si="11"/>
        <v>1.0290762022777167E-12</v>
      </c>
      <c r="AG50" s="338">
        <f t="shared" si="23"/>
        <v>-25.2357202333529</v>
      </c>
      <c r="AH50" s="339">
        <f t="shared" si="24"/>
        <v>4.6897704263480416E-2</v>
      </c>
      <c r="AI50" s="340">
        <f t="shared" si="25"/>
        <v>0.18583858051135732</v>
      </c>
      <c r="AJ50" s="341">
        <f t="shared" si="12"/>
        <v>9.3795408526960833E-2</v>
      </c>
    </row>
    <row r="51" spans="1:36" x14ac:dyDescent="0.2">
      <c r="A51" s="309">
        <v>44</v>
      </c>
      <c r="B51" s="309">
        <f t="shared" si="13"/>
        <v>53.115944444444445</v>
      </c>
      <c r="C51" s="1">
        <v>474.99</v>
      </c>
      <c r="D51" s="1">
        <v>0.32</v>
      </c>
      <c r="E51" s="326">
        <f t="shared" si="4"/>
        <v>13.36648220921218</v>
      </c>
      <c r="F51" s="327">
        <f t="shared" si="0"/>
        <v>5.8730098623573429E-3</v>
      </c>
      <c r="G51" s="309">
        <f t="shared" si="5"/>
        <v>3.0241500000000001</v>
      </c>
      <c r="H51" s="1">
        <v>10886.94</v>
      </c>
      <c r="I51" s="324">
        <v>30</v>
      </c>
      <c r="J51" s="1">
        <v>1.806E-2</v>
      </c>
      <c r="K51" s="1">
        <v>1.6000000000000001E-4</v>
      </c>
      <c r="L51" s="328">
        <f t="shared" si="6"/>
        <v>0.88593576965670007</v>
      </c>
      <c r="M51" s="329">
        <f t="shared" si="1"/>
        <v>4.1042040593896071E-4</v>
      </c>
      <c r="N51" s="342">
        <f>(1/$J$58)*SQRT(((1-J52/$J$58)*K51)^2+(J52/$J$58)^2*(SUMSQ(K$8:K50)+SUMSQ(K52:K$57)))</f>
        <v>3.6779794942066647E-6</v>
      </c>
      <c r="O51" s="340">
        <f t="shared" si="14"/>
        <v>0.89614927547088574</v>
      </c>
      <c r="P51" s="332">
        <f t="shared" si="7"/>
        <v>0.93600464143209938</v>
      </c>
      <c r="Q51" s="342">
        <f>SQRT(((1-P51)/$J$58)^2*SUMSQ(K$8:K51)+(P51/$J$58)^2*SUMSQ(K52:K$57))</f>
        <v>1.7721644533981065E-3</v>
      </c>
      <c r="R51" s="340">
        <f t="shared" si="15"/>
        <v>0.18933287026084311</v>
      </c>
      <c r="S51" s="343">
        <f t="shared" si="16"/>
        <v>5.9495754192357635E-8</v>
      </c>
      <c r="T51" s="344">
        <f t="shared" si="17"/>
        <v>1.6394621682224108E-10</v>
      </c>
      <c r="U51" s="344">
        <f>IF(P51&lt;=0.85, (1/(3*H51*$J$58))*SQRT( ((1-P51)*(1/SQRT(1-PI()*P51/3)-1) + (1-P50)*(1-1/SQRT(1-PI()*P50/3)))^2*SUMSQ(K$8:K50) + ( (1-P51)*(1/SQRT(1-PI()*P51/3)-1) -P50*(1-1/SQRT(1-PI()*P50/3)) )^2*K51^2 + ( P51*(1-1/SQRT(1-PI()*P51/3)) - P50*(1-1/SQRT(1-PI()*P50/3)) )^2*SUMSQ(K52:K$57) ), (1/(PI()^2*H51*$J$58))*SQRT((1+P50/(1-P50))^2*K51^2+(P50/(1-P50)-P51/(1-P51))^2*SUMSQ(K52:K$57)) )</f>
        <v>1.8315086961598227E-9</v>
      </c>
      <c r="V51" s="345">
        <f t="shared" si="18"/>
        <v>1.8388318210536219E-9</v>
      </c>
      <c r="W51" s="340">
        <f t="shared" si="19"/>
        <v>3.0906941949310123</v>
      </c>
      <c r="X51" s="345">
        <f t="shared" si="20"/>
        <v>3.6776636421072438E-9</v>
      </c>
      <c r="Y51" s="338">
        <f t="shared" si="8"/>
        <v>-16.637360885052576</v>
      </c>
      <c r="Z51" s="346">
        <f t="shared" si="21"/>
        <v>3.0906941949310124E-2</v>
      </c>
      <c r="AA51" s="346">
        <f t="shared" si="22"/>
        <v>0.18576829680407844</v>
      </c>
      <c r="AB51" s="346">
        <f t="shared" si="9"/>
        <v>6.1813883898620248E-2</v>
      </c>
      <c r="AC51" s="336">
        <f t="shared" si="2"/>
        <v>7.6779032802220753E-12</v>
      </c>
      <c r="AD51" s="337">
        <f t="shared" si="3"/>
        <v>3.5972205369185018E-13</v>
      </c>
      <c r="AE51" s="308">
        <f t="shared" si="10"/>
        <v>4.6851600047955495</v>
      </c>
      <c r="AF51" s="337">
        <f t="shared" si="11"/>
        <v>7.1944410738370037E-13</v>
      </c>
      <c r="AG51" s="338">
        <f t="shared" si="23"/>
        <v>-25.592674616430838</v>
      </c>
      <c r="AH51" s="339">
        <f t="shared" si="24"/>
        <v>4.6851600047955487E-2</v>
      </c>
      <c r="AI51" s="340">
        <f t="shared" si="25"/>
        <v>0.18306644674752412</v>
      </c>
      <c r="AJ51" s="341">
        <f t="shared" si="12"/>
        <v>9.3703200095910974E-2</v>
      </c>
    </row>
    <row r="52" spans="1:36" x14ac:dyDescent="0.2">
      <c r="A52" s="309">
        <v>45</v>
      </c>
      <c r="B52" s="309">
        <f t="shared" si="13"/>
        <v>56.138972222222222</v>
      </c>
      <c r="C52" s="1">
        <v>465</v>
      </c>
      <c r="D52" s="1">
        <v>0.43</v>
      </c>
      <c r="E52" s="326">
        <f t="shared" si="4"/>
        <v>13.5473819684346</v>
      </c>
      <c r="F52" s="327">
        <f t="shared" si="0"/>
        <v>8.1101100589558318E-3</v>
      </c>
      <c r="G52" s="309">
        <f t="shared" si="5"/>
        <v>3.0230277777777776</v>
      </c>
      <c r="H52" s="1">
        <v>10882.9</v>
      </c>
      <c r="I52" s="324">
        <v>30</v>
      </c>
      <c r="J52" s="1">
        <v>1.2930000000000001E-2</v>
      </c>
      <c r="K52" s="1">
        <v>1.19999999999999E-4</v>
      </c>
      <c r="L52" s="328">
        <f t="shared" si="6"/>
        <v>0.92807424593966736</v>
      </c>
      <c r="M52" s="329">
        <f t="shared" si="1"/>
        <v>2.9383919428520278E-4</v>
      </c>
      <c r="N52" s="342">
        <f>(1/$J$58)*SQRT(((1-J53/$J$58)*K52)^2+(J53/$J$58)^2*(SUMSQ(K$8:K51)+SUMSQ(K53:K$57)))</f>
        <v>2.7617825332826685E-6</v>
      </c>
      <c r="O52" s="340">
        <f t="shared" si="14"/>
        <v>0.93989589782296334</v>
      </c>
      <c r="P52" s="332">
        <f t="shared" si="7"/>
        <v>0.93629848062638454</v>
      </c>
      <c r="Q52" s="342">
        <f>SQRT(((1-P52)/$J$58)^2*SUMSQ(K$8:K52)+(P52/$J$58)^2*SUMSQ(K53:K$57))</f>
        <v>1.7727183184863896E-3</v>
      </c>
      <c r="R52" s="340">
        <f t="shared" si="15"/>
        <v>0.18933260655303416</v>
      </c>
      <c r="S52" s="343">
        <f t="shared" si="16"/>
        <v>4.2846546552485618E-8</v>
      </c>
      <c r="T52" s="344">
        <f t="shared" si="17"/>
        <v>1.1811156921175135E-10</v>
      </c>
      <c r="U52" s="344">
        <f>IF(P52&lt;=0.85, (1/(3*H52*$J$58))*SQRT( ((1-P52)*(1/SQRT(1-PI()*P52/3)-1) + (1-P51)*(1-1/SQRT(1-PI()*P51/3)))^2*SUMSQ(K$8:K51) + ( (1-P52)*(1/SQRT(1-PI()*P52/3)-1) -P51*(1-1/SQRT(1-PI()*P51/3)) )^2*K52^2 + ( P52*(1-1/SQRT(1-PI()*P52/3)) - P51*(1-1/SQRT(1-PI()*P51/3)) )^2*SUMSQ(K53:K$57) ), (1/(PI()^2*H52*$J$58))*SQRT((1+P51/(1-P51))^2*K52^2+(P51/(1-P51)-P52/(1-P52))^2*SUMSQ(K53:K$57)) )</f>
        <v>1.3310082370784599E-9</v>
      </c>
      <c r="V52" s="345">
        <f t="shared" si="18"/>
        <v>1.3362384779493413E-9</v>
      </c>
      <c r="W52" s="340">
        <f t="shared" si="19"/>
        <v>3.1186608617627858</v>
      </c>
      <c r="X52" s="345">
        <f t="shared" si="20"/>
        <v>2.6724769558986826E-9</v>
      </c>
      <c r="Y52" s="338">
        <f t="shared" si="8"/>
        <v>-16.965640789024796</v>
      </c>
      <c r="Z52" s="346">
        <f t="shared" si="21"/>
        <v>3.118660861762786E-2</v>
      </c>
      <c r="AA52" s="346">
        <f t="shared" si="22"/>
        <v>0.18382216743503563</v>
      </c>
      <c r="AB52" s="346">
        <f t="shared" si="9"/>
        <v>6.2373217235255719E-2</v>
      </c>
      <c r="AC52" s="336">
        <f t="shared" si="2"/>
        <v>5.5293296939796479E-12</v>
      </c>
      <c r="AD52" s="337">
        <f t="shared" si="3"/>
        <v>2.6008064478554779E-13</v>
      </c>
      <c r="AE52" s="308">
        <f t="shared" si="10"/>
        <v>4.7036559434812588</v>
      </c>
      <c r="AF52" s="337">
        <f t="shared" si="11"/>
        <v>5.2016128957109558E-13</v>
      </c>
      <c r="AG52" s="338">
        <f t="shared" si="23"/>
        <v>-25.920954520403061</v>
      </c>
      <c r="AH52" s="339">
        <f t="shared" si="24"/>
        <v>4.7036559434812587E-2</v>
      </c>
      <c r="AI52" s="340">
        <f t="shared" si="25"/>
        <v>0.18146152526053344</v>
      </c>
      <c r="AJ52" s="341">
        <f t="shared" si="12"/>
        <v>9.4073118869625175E-2</v>
      </c>
    </row>
    <row r="53" spans="1:36" x14ac:dyDescent="0.2">
      <c r="A53" s="309">
        <v>46</v>
      </c>
      <c r="B53" s="309">
        <f t="shared" si="13"/>
        <v>59.160891666666664</v>
      </c>
      <c r="C53" s="1">
        <v>455</v>
      </c>
      <c r="D53" s="1">
        <v>0.28999999999999998</v>
      </c>
      <c r="E53" s="326">
        <f t="shared" si="4"/>
        <v>13.733434045182998</v>
      </c>
      <c r="F53" s="327">
        <f t="shared" si="0"/>
        <v>5.6229946238015192E-3</v>
      </c>
      <c r="G53" s="309">
        <f t="shared" si="5"/>
        <v>3.0219194444444444</v>
      </c>
      <c r="H53" s="1">
        <v>10878.91</v>
      </c>
      <c r="I53" s="324">
        <v>30</v>
      </c>
      <c r="J53" s="1">
        <v>1.01599999999999E-2</v>
      </c>
      <c r="K53" s="1">
        <v>1.2999999999999999E-4</v>
      </c>
      <c r="L53" s="328">
        <f t="shared" si="6"/>
        <v>1.2795275590551305</v>
      </c>
      <c r="M53" s="329">
        <f t="shared" si="1"/>
        <v>2.3088988506864892E-4</v>
      </c>
      <c r="N53" s="342">
        <f>(1/$J$58)*SQRT(((1-J54/$J$58)*K53)^2+(J54/$J$58)^2*(SUMSQ(K$8:K52)+SUMSQ(K54:K$57)))</f>
        <v>2.9718336448207738E-6</v>
      </c>
      <c r="O53" s="340">
        <f t="shared" si="14"/>
        <v>1.287121626803694</v>
      </c>
      <c r="P53" s="332">
        <f t="shared" si="7"/>
        <v>0.93652937051145324</v>
      </c>
      <c r="Q53" s="342">
        <f>SQRT(((1-P53)/$J$58)^2*SUMSQ(K$8:K53)+(P53/$J$58)^2*SUMSQ(K54:K$57))</f>
        <v>1.7731528199928671E-3</v>
      </c>
      <c r="R53" s="340">
        <f t="shared" si="15"/>
        <v>0.18933232377159948</v>
      </c>
      <c r="S53" s="343">
        <f t="shared" si="16"/>
        <v>3.3818803738873126E-8</v>
      </c>
      <c r="T53" s="344">
        <f t="shared" si="17"/>
        <v>9.3259721071889902E-11</v>
      </c>
      <c r="U53" s="344">
        <f>IF(P53&lt;=0.85, (1/(3*H53*$J$58))*SQRT( ((1-P53)*(1/SQRT(1-PI()*P53/3)-1) + (1-P52)*(1-1/SQRT(1-PI()*P52/3)))^2*SUMSQ(K$8:K52) + ( (1-P53)*(1/SQRT(1-PI()*P53/3)-1) -P52*(1-1/SQRT(1-PI()*P52/3)) )^2*K53^2 + ( P53*(1-1/SQRT(1-PI()*P53/3)) - P52*(1-1/SQRT(1-PI()*P52/3)) )^2*SUMSQ(K54:K$57) ), (1/(PI()^2*H53*$J$58))*SQRT((1+P52/(1-P52))^2*K53^2+(P52/(1-P52)-P53/(1-P53))^2*SUMSQ(K54:K$57)) )</f>
        <v>1.0956775811959469E-9</v>
      </c>
      <c r="V53" s="345">
        <f t="shared" si="18"/>
        <v>1.0996393670243929E-9</v>
      </c>
      <c r="W53" s="340">
        <f t="shared" si="19"/>
        <v>3.2515619875708648</v>
      </c>
      <c r="X53" s="345">
        <f t="shared" si="20"/>
        <v>2.1992787340487859E-9</v>
      </c>
      <c r="Y53" s="338">
        <f t="shared" si="8"/>
        <v>-17.202248865512761</v>
      </c>
      <c r="Z53" s="346">
        <f t="shared" si="21"/>
        <v>3.2515619875708647E-2</v>
      </c>
      <c r="AA53" s="346">
        <f t="shared" si="22"/>
        <v>0.18901958767086718</v>
      </c>
      <c r="AB53" s="346">
        <f t="shared" si="9"/>
        <v>6.5031239751417294E-2</v>
      </c>
      <c r="AC53" s="336">
        <f t="shared" si="2"/>
        <v>4.3643030949800817E-12</v>
      </c>
      <c r="AD53" s="337">
        <f t="shared" si="3"/>
        <v>2.0917257908888388E-13</v>
      </c>
      <c r="AE53" s="308">
        <f t="shared" si="10"/>
        <v>4.7928059655040647</v>
      </c>
      <c r="AF53" s="337">
        <f t="shared" si="11"/>
        <v>4.1834515817776775E-13</v>
      </c>
      <c r="AG53" s="338">
        <f t="shared" si="23"/>
        <v>-26.157562596891026</v>
      </c>
      <c r="AH53" s="339">
        <f t="shared" si="24"/>
        <v>4.7928059655040649E-2</v>
      </c>
      <c r="AI53" s="340">
        <f t="shared" si="25"/>
        <v>0.18322830912669658</v>
      </c>
      <c r="AJ53" s="341">
        <f t="shared" si="12"/>
        <v>9.5856119310081297E-2</v>
      </c>
    </row>
    <row r="54" spans="1:36" x14ac:dyDescent="0.2">
      <c r="A54" s="309">
        <v>47</v>
      </c>
      <c r="B54" s="309">
        <f t="shared" si="13"/>
        <v>62.182255555555557</v>
      </c>
      <c r="C54" s="1">
        <v>445</v>
      </c>
      <c r="D54" s="1">
        <v>0.13</v>
      </c>
      <c r="E54" s="326">
        <f t="shared" si="4"/>
        <v>13.924667548562278</v>
      </c>
      <c r="F54" s="327">
        <f t="shared" si="0"/>
        <v>2.592345206418952E-3</v>
      </c>
      <c r="G54" s="309">
        <f t="shared" si="5"/>
        <v>3.0213638888888892</v>
      </c>
      <c r="H54" s="1">
        <v>10876.91</v>
      </c>
      <c r="I54" s="324">
        <v>30</v>
      </c>
      <c r="J54" s="1">
        <v>7.5399999999999998E-3</v>
      </c>
      <c r="K54" s="1">
        <v>1.1E-4</v>
      </c>
      <c r="L54" s="328">
        <f t="shared" si="6"/>
        <v>1.4588859416445623</v>
      </c>
      <c r="M54" s="329">
        <f t="shared" si="1"/>
        <v>1.7134938321039666E-4</v>
      </c>
      <c r="N54" s="342">
        <f>(1/$J$58)*SQRT(((1-J55/$J$58)*K54)^2+(J55/$J$58)^2*(SUMSQ(K$8:K53)+SUMSQ(K55:K$57)))</f>
        <v>2.5076476995683717E-6</v>
      </c>
      <c r="O54" s="340">
        <f t="shared" si="14"/>
        <v>1.4634705142120521</v>
      </c>
      <c r="P54" s="332">
        <f t="shared" si="7"/>
        <v>0.93670071989466364</v>
      </c>
      <c r="Q54" s="342">
        <f>SQRT(((1-P54)/$J$58)^2*SUMSQ(K$8:K54)+(P54/$J$58)^2*SUMSQ(K55:K$57))</f>
        <v>1.7734753315157017E-3</v>
      </c>
      <c r="R54" s="340">
        <f t="shared" si="15"/>
        <v>0.18933212005165717</v>
      </c>
      <c r="S54" s="343">
        <f t="shared" si="16"/>
        <v>2.5182065232652125E-8</v>
      </c>
      <c r="T54" s="344">
        <f t="shared" si="17"/>
        <v>6.9455567526031182E-11</v>
      </c>
      <c r="U54" s="344">
        <f>IF(P54&lt;=0.85, (1/(3*H54*$J$58))*SQRT( ((1-P54)*(1/SQRT(1-PI()*P54/3)-1) + (1-P53)*(1-1/SQRT(1-PI()*P53/3)))^2*SUMSQ(K$8:K53) + ( (1-P54)*(1/SQRT(1-PI()*P54/3)-1) -P53*(1-1/SQRT(1-PI()*P53/3)) )^2*K54^2 + ( P54*(1-1/SQRT(1-PI()*P54/3)) - P53*(1-1/SQRT(1-PI()*P53/3)) )^2*SUMSQ(K55:K$57) ), (1/(PI()^2*H54*$J$58))*SQRT((1+P53/(1-P53))^2*K54^2+(P53/(1-P53)-P54/(1-P54))^2*SUMSQ(K55:K$57)) )</f>
        <v>8.3687360293313089E-10</v>
      </c>
      <c r="V54" s="345">
        <f t="shared" si="18"/>
        <v>8.3975085778261801E-10</v>
      </c>
      <c r="W54" s="340">
        <f t="shared" si="19"/>
        <v>3.3347179829149267</v>
      </c>
      <c r="X54" s="345">
        <f t="shared" si="20"/>
        <v>1.679501715565236E-9</v>
      </c>
      <c r="Y54" s="338">
        <f t="shared" si="8"/>
        <v>-17.497133792922632</v>
      </c>
      <c r="Z54" s="346">
        <f t="shared" si="21"/>
        <v>3.3347179829149268E-2</v>
      </c>
      <c r="AA54" s="346">
        <f t="shared" si="22"/>
        <v>0.1905865281926219</v>
      </c>
      <c r="AB54" s="346">
        <f t="shared" si="9"/>
        <v>6.6694359658298535E-2</v>
      </c>
      <c r="AC54" s="336">
        <f t="shared" si="2"/>
        <v>3.2497354454476636E-12</v>
      </c>
      <c r="AD54" s="337">
        <f t="shared" si="3"/>
        <v>1.5759936291610463E-13</v>
      </c>
      <c r="AE54" s="308">
        <f t="shared" si="10"/>
        <v>4.8496059313651214</v>
      </c>
      <c r="AF54" s="337">
        <f t="shared" si="11"/>
        <v>3.1519872583220926E-13</v>
      </c>
      <c r="AG54" s="338">
        <f t="shared" si="23"/>
        <v>-26.452447524300894</v>
      </c>
      <c r="AH54" s="339">
        <f t="shared" si="24"/>
        <v>4.849605931365121E-2</v>
      </c>
      <c r="AI54" s="340">
        <f t="shared" si="25"/>
        <v>0.18333297616071126</v>
      </c>
      <c r="AJ54" s="341">
        <f t="shared" si="12"/>
        <v>9.6992118627302421E-2</v>
      </c>
    </row>
    <row r="55" spans="1:36" x14ac:dyDescent="0.2">
      <c r="A55" s="309">
        <v>48</v>
      </c>
      <c r="B55" s="309">
        <f t="shared" si="13"/>
        <v>65.20194166666667</v>
      </c>
      <c r="C55" s="1">
        <v>435</v>
      </c>
      <c r="D55" s="1">
        <v>0.12</v>
      </c>
      <c r="E55" s="326">
        <f t="shared" si="4"/>
        <v>14.12130198404293</v>
      </c>
      <c r="F55" s="327">
        <f t="shared" si="0"/>
        <v>2.4619756957965189E-3</v>
      </c>
      <c r="G55" s="309">
        <f t="shared" si="5"/>
        <v>3.0196861111111115</v>
      </c>
      <c r="H55" s="1">
        <v>10870.87</v>
      </c>
      <c r="I55" s="324">
        <v>30</v>
      </c>
      <c r="J55" s="1">
        <v>4.6499999999999996E-3</v>
      </c>
      <c r="K55" s="122">
        <v>9.0000000000000006E-5</v>
      </c>
      <c r="L55" s="328">
        <f t="shared" si="6"/>
        <v>1.9354838709677424</v>
      </c>
      <c r="M55" s="329">
        <f t="shared" si="1"/>
        <v>1.0567302810720748E-4</v>
      </c>
      <c r="N55" s="342">
        <f>(1/$J$58)*SQRT(((1-J56/$J$58)*K55)^2+(J56/$J$58)^2*(SUMSQ(K$8:K54)+SUMSQ(K56:K$57)))</f>
        <v>2.0515646273966127E-6</v>
      </c>
      <c r="O55" s="340">
        <f t="shared" si="14"/>
        <v>1.9414269318706923</v>
      </c>
      <c r="P55" s="332">
        <f t="shared" si="7"/>
        <v>0.93680639292277079</v>
      </c>
      <c r="Q55" s="342">
        <f>SQRT(((1-P55)/$J$58)^2*SUMSQ(K$8:K55)+(P55/$J$58)^2*SUMSQ(K56:K$57))</f>
        <v>1.773674146969747E-3</v>
      </c>
      <c r="R55" s="340">
        <f t="shared" si="15"/>
        <v>0.18933198581576788</v>
      </c>
      <c r="S55" s="343">
        <f t="shared" si="16"/>
        <v>1.5572706416819744E-8</v>
      </c>
      <c r="T55" s="344">
        <f t="shared" si="17"/>
        <v>4.2975510930090439E-11</v>
      </c>
      <c r="U55" s="344">
        <f>IF(P55&lt;=0.85, (1/(3*H55*$J$58))*SQRT( ((1-P55)*(1/SQRT(1-PI()*P55/3)-1) + (1-P54)*(1-1/SQRT(1-PI()*P54/3)))^2*SUMSQ(K$8:K54) + ( (1-P55)*(1/SQRT(1-PI()*P55/3)-1) -P54*(1-1/SQRT(1-PI()*P54/3)) )^2*K55^2 + ( P55*(1-1/SQRT(1-PI()*P55/3)) - P54*(1-1/SQRT(1-PI()*P54/3)) )^2*SUMSQ(K56:K$57) ), (1/(PI()^2*H55*$J$58))*SQRT((1+P54/(1-P54))^2*K55^2+(P54/(1-P54)-P55/(1-P55))^2*SUMSQ(K56:K$57)) )</f>
        <v>5.5497875262612453E-10</v>
      </c>
      <c r="V55" s="345">
        <f t="shared" si="18"/>
        <v>5.566401983383444E-10</v>
      </c>
      <c r="W55" s="340">
        <f t="shared" si="19"/>
        <v>3.5744602347163581</v>
      </c>
      <c r="X55" s="345">
        <f t="shared" si="20"/>
        <v>1.1132803966766888E-9</v>
      </c>
      <c r="Y55" s="338">
        <f t="shared" si="8"/>
        <v>-17.977746043674113</v>
      </c>
      <c r="Z55" s="346">
        <f t="shared" si="21"/>
        <v>3.5744602347163583E-2</v>
      </c>
      <c r="AA55" s="346">
        <f t="shared" si="22"/>
        <v>0.19882694004202572</v>
      </c>
      <c r="AB55" s="346">
        <f t="shared" si="9"/>
        <v>7.1489204694327166E-2</v>
      </c>
      <c r="AC55" s="336">
        <f t="shared" si="2"/>
        <v>2.0096515340080208E-12</v>
      </c>
      <c r="AD55" s="337">
        <f t="shared" si="3"/>
        <v>1.0083385193911181E-13</v>
      </c>
      <c r="AE55" s="308">
        <f t="shared" si="10"/>
        <v>5.0174794103737081</v>
      </c>
      <c r="AF55" s="337">
        <f t="shared" si="11"/>
        <v>2.0166770387822363E-13</v>
      </c>
      <c r="AG55" s="338">
        <f t="shared" si="23"/>
        <v>-26.933059775052378</v>
      </c>
      <c r="AH55" s="339">
        <f t="shared" si="24"/>
        <v>5.0174794103737076E-2</v>
      </c>
      <c r="AI55" s="340">
        <f t="shared" si="25"/>
        <v>0.18629444453323166</v>
      </c>
      <c r="AJ55" s="341">
        <f t="shared" si="12"/>
        <v>0.10034958820747415</v>
      </c>
    </row>
    <row r="56" spans="1:36" x14ac:dyDescent="0.2">
      <c r="A56" s="309">
        <v>49</v>
      </c>
      <c r="B56" s="309">
        <f t="shared" si="13"/>
        <v>68.221647222222231</v>
      </c>
      <c r="C56" s="1">
        <v>425</v>
      </c>
      <c r="D56" s="1">
        <v>0.12</v>
      </c>
      <c r="E56" s="326">
        <f t="shared" si="4"/>
        <v>14.323569433502829</v>
      </c>
      <c r="F56" s="327" t="e">
        <f>SQRT((((-1)*10^4/(#REF!+273.15)^2)*D56)^2)</f>
        <v>#REF!</v>
      </c>
      <c r="G56" s="309">
        <f t="shared" si="5"/>
        <v>3.0197055555555554</v>
      </c>
      <c r="H56" s="1">
        <v>10870.94</v>
      </c>
      <c r="I56" s="324">
        <v>30</v>
      </c>
      <c r="J56" s="1">
        <v>3.7499999999999999E-3</v>
      </c>
      <c r="K56" s="122">
        <v>5.0000000000000002E-5</v>
      </c>
      <c r="L56" s="328">
        <f t="shared" si="6"/>
        <v>1.3333333333333335</v>
      </c>
      <c r="M56" s="329">
        <f t="shared" si="1"/>
        <v>8.5220183957425397E-5</v>
      </c>
      <c r="N56" s="342">
        <f>(1/$J$58)*SQRT(((1-J57/$J$58)*K56)^2+(J57/$J$58)^2*(SUMSQ(K$8:K55)+SUMSQ(K57:K$57)))</f>
        <v>1.2042293315586521E-4</v>
      </c>
      <c r="O56" s="340">
        <f t="shared" si="14"/>
        <v>141.30799484782446</v>
      </c>
      <c r="P56" s="332">
        <f t="shared" si="7"/>
        <v>0.93689161310672819</v>
      </c>
      <c r="Q56" s="342">
        <f>SQRT(((1-P56)/$J$58)^2*SUMSQ(K$8:K56)+(P56/$J$58)^2*SUMSQ(K57:K$57))</f>
        <v>1.7738349950125127E-3</v>
      </c>
      <c r="R56" s="340">
        <f t="shared" si="15"/>
        <v>0.18933193233852144</v>
      </c>
      <c r="S56" s="343">
        <f t="shared" si="16"/>
        <v>1.2577533357611883E-8</v>
      </c>
      <c r="T56" s="344">
        <f t="shared" si="17"/>
        <v>3.4709601996548264E-11</v>
      </c>
      <c r="U56" s="344">
        <f>IF(P56&lt;=0.85, (1/(3*H56*$J$58))*SQRT( ((1-P56)*(1/SQRT(1-PI()*P56/3)-1) + (1-P55)*(1-1/SQRT(1-PI()*P55/3)))^2*SUMSQ(K$8:K55) + ( (1-P56)*(1/SQRT(1-PI()*P56/3)-1) -P55*(1-1/SQRT(1-PI()*P55/3)) )^2*K56^2 + ( P56*(1-1/SQRT(1-PI()*P56/3)) - P55*(1-1/SQRT(1-PI()*P55/3)) )^2*SUMSQ(K57:K$57) ), (1/(PI()^2*H56*$J$58))*SQRT((1+P55/(1-P55))^2*K56^2+(P55/(1-P55)-P56/(1-P56))^2*SUMSQ(K57:K$57)) )</f>
        <v>4.1263597648450898E-10</v>
      </c>
      <c r="V56" s="345">
        <f t="shared" si="18"/>
        <v>4.1409323293200897E-10</v>
      </c>
      <c r="W56" s="340">
        <f t="shared" si="19"/>
        <v>3.2923246646084312</v>
      </c>
      <c r="X56" s="345">
        <f t="shared" si="20"/>
        <v>8.2818646586401794E-10</v>
      </c>
      <c r="Y56" s="338">
        <f t="shared" si="8"/>
        <v>-18.191353681401068</v>
      </c>
      <c r="Z56" s="346">
        <f t="shared" si="21"/>
        <v>3.2923246646084314E-2</v>
      </c>
      <c r="AA56" s="346">
        <f t="shared" si="22"/>
        <v>0.18098293960248382</v>
      </c>
      <c r="AB56" s="346">
        <f t="shared" si="9"/>
        <v>6.5846493292168629E-2</v>
      </c>
      <c r="AC56" s="336">
        <f t="shared" si="2"/>
        <v>1.6231256487864702E-12</v>
      </c>
      <c r="AD56" s="337">
        <f t="shared" si="3"/>
        <v>7.8243639118377765E-14</v>
      </c>
      <c r="AE56" s="308">
        <f t="shared" si="10"/>
        <v>4.8205534289274903</v>
      </c>
      <c r="AF56" s="337">
        <f t="shared" si="11"/>
        <v>1.5648727823675553E-13</v>
      </c>
      <c r="AG56" s="338">
        <f t="shared" si="23"/>
        <v>-27.14666741277933</v>
      </c>
      <c r="AH56" s="339">
        <f t="shared" si="24"/>
        <v>4.8205534289274904E-2</v>
      </c>
      <c r="AI56" s="340">
        <f t="shared" si="25"/>
        <v>0.17757440924988857</v>
      </c>
      <c r="AJ56" s="341">
        <f t="shared" si="12"/>
        <v>9.6411068578549808E-2</v>
      </c>
    </row>
    <row r="57" spans="1:36" x14ac:dyDescent="0.2">
      <c r="J57" s="338">
        <v>2.7770000000000001</v>
      </c>
      <c r="K57" s="346">
        <f>IF(J57&lt;0.06,J57*0.1,IF(J57&lt;0.2,J57*0.06,J57*0.03))</f>
        <v>8.3309999999999995E-2</v>
      </c>
      <c r="L57" s="328">
        <f>100*(K57/J57)</f>
        <v>2.9999999999999996</v>
      </c>
      <c r="M57" s="329"/>
      <c r="N57" s="342"/>
      <c r="O57" s="340"/>
      <c r="P57" s="332"/>
      <c r="Q57" s="342"/>
      <c r="R57" s="340"/>
      <c r="S57" s="343"/>
      <c r="T57" s="344"/>
      <c r="U57" s="344"/>
      <c r="V57" s="345"/>
      <c r="W57" s="340"/>
      <c r="X57" s="345"/>
      <c r="Y57" s="338"/>
      <c r="Z57" s="346"/>
      <c r="AA57" s="346"/>
      <c r="AB57" s="346"/>
      <c r="AC57" s="336"/>
      <c r="AD57" s="337"/>
      <c r="AE57" s="308"/>
      <c r="AF57" s="337"/>
      <c r="AG57" s="338"/>
      <c r="AH57" s="339"/>
      <c r="AI57" s="340"/>
      <c r="AJ57" s="341"/>
    </row>
    <row r="58" spans="1:36" x14ac:dyDescent="0.2">
      <c r="J58" s="120">
        <f>SUM(J8:J57)</f>
        <v>44.003659999999982</v>
      </c>
      <c r="K58" s="346">
        <f>SQRT(SUMSQ(K8:K57))</f>
        <v>8.3964175694161369E-2</v>
      </c>
      <c r="L58" s="328">
        <f>100*(K58/J58)</f>
        <v>0.1908117999597338</v>
      </c>
      <c r="M58" s="329"/>
      <c r="N58" s="342"/>
      <c r="O58" s="340"/>
      <c r="P58" s="332"/>
      <c r="Q58" s="342"/>
      <c r="R58" s="340"/>
      <c r="S58" s="343"/>
      <c r="T58" s="344"/>
      <c r="U58" s="344"/>
      <c r="V58" s="345"/>
      <c r="W58" s="340"/>
      <c r="X58" s="345"/>
      <c r="Y58" s="338"/>
      <c r="Z58" s="346"/>
      <c r="AA58" s="346"/>
      <c r="AB58" s="346"/>
      <c r="AC58" s="336"/>
      <c r="AD58" s="337"/>
      <c r="AE58" s="308"/>
      <c r="AF58" s="337"/>
      <c r="AG58" s="338"/>
      <c r="AH58" s="339"/>
      <c r="AI58" s="340"/>
      <c r="AJ58" s="341"/>
    </row>
    <row r="59" spans="1:36" x14ac:dyDescent="0.2">
      <c r="M59" s="329"/>
      <c r="N59" s="342"/>
      <c r="O59" s="340"/>
      <c r="P59" s="332"/>
      <c r="Q59" s="342"/>
      <c r="R59" s="340"/>
      <c r="S59" s="343"/>
      <c r="T59" s="344"/>
      <c r="U59" s="344"/>
      <c r="V59" s="345"/>
      <c r="W59" s="340"/>
      <c r="X59" s="345"/>
      <c r="Y59" s="338"/>
      <c r="Z59" s="346"/>
      <c r="AA59" s="346"/>
      <c r="AB59" s="346"/>
      <c r="AC59" s="336"/>
      <c r="AD59" s="337"/>
      <c r="AE59" s="308"/>
      <c r="AF59" s="337"/>
      <c r="AG59" s="338"/>
      <c r="AH59" s="339"/>
      <c r="AI59" s="340"/>
      <c r="AJ59" s="341"/>
    </row>
    <row r="69" spans="1:36" x14ac:dyDescent="0.2">
      <c r="A69" s="309"/>
      <c r="B69" s="309"/>
      <c r="D69" s="347"/>
      <c r="E69" s="326"/>
      <c r="F69" s="327"/>
      <c r="G69" s="309"/>
      <c r="I69" s="324"/>
      <c r="M69" s="329"/>
      <c r="N69" s="342"/>
      <c r="O69" s="340"/>
      <c r="P69" s="332"/>
      <c r="Q69" s="342"/>
      <c r="R69" s="340"/>
      <c r="S69" s="343"/>
      <c r="T69" s="344"/>
      <c r="U69" s="344"/>
      <c r="V69" s="345"/>
      <c r="W69" s="340"/>
      <c r="X69" s="345"/>
      <c r="Y69" s="338"/>
      <c r="Z69" s="346"/>
      <c r="AA69" s="346"/>
      <c r="AB69" s="346"/>
      <c r="AC69" s="336"/>
      <c r="AD69" s="337"/>
      <c r="AE69" s="308"/>
      <c r="AF69" s="337"/>
      <c r="AG69" s="338"/>
      <c r="AH69" s="339"/>
      <c r="AI69" s="340"/>
      <c r="AJ69" s="341"/>
    </row>
    <row r="70" spans="1:36" x14ac:dyDescent="0.2">
      <c r="A70" s="309"/>
      <c r="B70" s="309"/>
      <c r="D70" s="347"/>
      <c r="E70" s="326"/>
      <c r="F70" s="327"/>
      <c r="G70" s="309"/>
      <c r="I70" s="324"/>
      <c r="M70" s="329"/>
      <c r="N70" s="342"/>
      <c r="O70" s="340"/>
      <c r="P70" s="332"/>
      <c r="Q70" s="342"/>
      <c r="R70" s="340"/>
      <c r="S70" s="343"/>
      <c r="T70" s="344"/>
      <c r="U70" s="344"/>
      <c r="V70" s="345"/>
      <c r="W70" s="340"/>
      <c r="X70" s="345"/>
      <c r="Y70" s="338"/>
      <c r="Z70" s="346"/>
      <c r="AA70" s="346"/>
      <c r="AB70" s="346"/>
      <c r="AC70" s="336"/>
      <c r="AD70" s="337"/>
      <c r="AE70" s="308"/>
      <c r="AF70" s="337"/>
      <c r="AG70" s="338"/>
      <c r="AH70" s="339"/>
      <c r="AI70" s="340"/>
      <c r="AJ70" s="341"/>
    </row>
    <row r="71" spans="1:36" x14ac:dyDescent="0.2">
      <c r="I71" s="302"/>
      <c r="L71" s="328"/>
      <c r="S71" s="343"/>
      <c r="T71" s="344"/>
      <c r="U71" s="344"/>
      <c r="V71" s="345"/>
      <c r="W71" s="340"/>
      <c r="X71" s="345"/>
      <c r="Y71" s="338"/>
      <c r="Z71" s="346"/>
      <c r="AA71" s="346"/>
      <c r="AB71" s="346"/>
      <c r="AC71" s="336"/>
      <c r="AD71" s="337"/>
      <c r="AE71" s="308"/>
      <c r="AF71" s="337"/>
      <c r="AG71" s="338"/>
      <c r="AH71" s="339"/>
      <c r="AI71" s="340"/>
      <c r="AJ71" s="341"/>
    </row>
    <row r="72" spans="1:36" x14ac:dyDescent="0.2">
      <c r="I72" s="348"/>
      <c r="L72" s="32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932E-220A-AD48-8877-A76F4BD0030B}">
  <dimension ref="A1:P43"/>
  <sheetViews>
    <sheetView zoomScale="89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D10" sqref="D10:E26"/>
    </sheetView>
  </sheetViews>
  <sheetFormatPr baseColWidth="10" defaultRowHeight="16" x14ac:dyDescent="0.2"/>
  <cols>
    <col min="1" max="1" width="16" customWidth="1"/>
    <col min="3" max="3" width="10.83203125" style="361"/>
    <col min="11" max="11" width="18.6640625" bestFit="1" customWidth="1"/>
  </cols>
  <sheetData>
    <row r="1" spans="1:16" x14ac:dyDescent="0.2">
      <c r="A1" s="351" t="s">
        <v>529</v>
      </c>
      <c r="B1" s="352" t="s">
        <v>624</v>
      </c>
      <c r="C1" s="352" t="s">
        <v>58</v>
      </c>
      <c r="D1" s="353" t="s">
        <v>625</v>
      </c>
      <c r="E1" s="354" t="s">
        <v>626</v>
      </c>
      <c r="F1" s="353" t="s">
        <v>627</v>
      </c>
      <c r="G1" s="353" t="s">
        <v>628</v>
      </c>
      <c r="H1" s="353" t="s">
        <v>629</v>
      </c>
      <c r="I1" s="353" t="s">
        <v>630</v>
      </c>
      <c r="J1" s="354" t="s">
        <v>548</v>
      </c>
      <c r="K1" s="353" t="s">
        <v>631</v>
      </c>
      <c r="L1" s="354" t="s">
        <v>632</v>
      </c>
      <c r="M1" s="354" t="s">
        <v>633</v>
      </c>
      <c r="N1" s="354" t="s">
        <v>547</v>
      </c>
      <c r="O1" s="354" t="s">
        <v>634</v>
      </c>
    </row>
    <row r="2" spans="1:16" x14ac:dyDescent="0.2">
      <c r="A2" s="355" t="s">
        <v>658</v>
      </c>
      <c r="B2" s="356" t="s">
        <v>636</v>
      </c>
      <c r="C2" s="357">
        <v>5</v>
      </c>
      <c r="D2" s="358">
        <v>6.7032923698425293</v>
      </c>
      <c r="E2" s="359">
        <v>0.53626340627670288</v>
      </c>
      <c r="F2" s="358">
        <v>233.82072448730469</v>
      </c>
      <c r="G2" s="358">
        <v>33.925548553466797</v>
      </c>
      <c r="H2" s="358">
        <v>1.9433141946792603</v>
      </c>
      <c r="I2" s="358">
        <v>241.64010620117188</v>
      </c>
      <c r="J2" s="359">
        <v>0.14509212970733643</v>
      </c>
      <c r="K2" s="358">
        <v>6.8130407333374023</v>
      </c>
      <c r="L2" s="359">
        <v>5.775780200958252</v>
      </c>
      <c r="M2" s="359">
        <f t="shared" ref="M2:M38" si="0">(K2/1000000)*(L2/1000000000)*22400*1000000000</f>
        <v>0.88145401738088258</v>
      </c>
      <c r="N2" s="359">
        <v>0.78004515171051025</v>
      </c>
      <c r="O2" s="359">
        <v>52.398101806640625</v>
      </c>
    </row>
    <row r="3" spans="1:16" x14ac:dyDescent="0.2">
      <c r="A3" s="355" t="s">
        <v>671</v>
      </c>
      <c r="B3" s="356" t="s">
        <v>636</v>
      </c>
      <c r="C3" s="357">
        <v>5</v>
      </c>
      <c r="D3" s="358">
        <v>6.878572940826416</v>
      </c>
      <c r="E3" s="359">
        <v>0.55028581619262695</v>
      </c>
      <c r="F3" s="358">
        <v>33.349704742431641</v>
      </c>
      <c r="G3" s="358">
        <v>9.0697565078735352</v>
      </c>
      <c r="H3" s="358">
        <v>2.4505126476287842</v>
      </c>
      <c r="I3" s="358">
        <v>35.449813842773438</v>
      </c>
      <c r="J3" s="359">
        <v>0.27195912599563599</v>
      </c>
      <c r="K3" s="358">
        <v>1.0009478330612183</v>
      </c>
      <c r="L3" s="359">
        <v>4.5803298950195312</v>
      </c>
      <c r="M3" s="359">
        <f t="shared" si="0"/>
        <v>0.1026966367420071</v>
      </c>
      <c r="N3" s="359">
        <v>0.76047307252883911</v>
      </c>
      <c r="O3" s="359">
        <v>48.265598297119141</v>
      </c>
    </row>
    <row r="4" spans="1:16" x14ac:dyDescent="0.2">
      <c r="A4" s="355" t="s">
        <v>669</v>
      </c>
      <c r="B4" s="356" t="s">
        <v>636</v>
      </c>
      <c r="C4" s="361">
        <v>4</v>
      </c>
      <c r="D4" s="358">
        <v>7.6232986450195312</v>
      </c>
      <c r="E4" s="359">
        <v>0.60986387729644775</v>
      </c>
      <c r="F4" s="358">
        <v>229.82015991210938</v>
      </c>
      <c r="G4" s="358">
        <v>69.423973083496094</v>
      </c>
      <c r="H4" s="358">
        <v>6.328711986541748</v>
      </c>
      <c r="I4" s="358">
        <v>245.83320617675781</v>
      </c>
      <c r="J4" s="359">
        <v>0.30207955837249756</v>
      </c>
      <c r="K4" s="358">
        <v>7.5364112854003906</v>
      </c>
      <c r="L4" s="359">
        <v>3.5686900615692139</v>
      </c>
      <c r="M4" s="359">
        <f t="shared" si="0"/>
        <v>0.60245059961198422</v>
      </c>
      <c r="N4" s="359">
        <v>0.74494785070419312</v>
      </c>
      <c r="O4" s="359">
        <v>45.162300109863281</v>
      </c>
      <c r="P4" s="360"/>
    </row>
    <row r="5" spans="1:16" x14ac:dyDescent="0.2">
      <c r="A5" s="355" t="s">
        <v>651</v>
      </c>
      <c r="B5" s="356" t="s">
        <v>636</v>
      </c>
      <c r="C5" s="357">
        <v>5</v>
      </c>
      <c r="D5" s="358">
        <v>11.10980224609375</v>
      </c>
      <c r="E5" s="359">
        <v>0.88878417015075684</v>
      </c>
      <c r="F5" s="358">
        <v>1000.3922119140625</v>
      </c>
      <c r="G5" s="358">
        <v>623.34869384765625</v>
      </c>
      <c r="H5" s="358">
        <v>4.9501137733459473</v>
      </c>
      <c r="I5" s="358">
        <v>1143.911865234375</v>
      </c>
      <c r="J5" s="359">
        <v>0.62310433387756348</v>
      </c>
      <c r="K5" s="358">
        <v>46.575431823730469</v>
      </c>
      <c r="L5" s="359">
        <v>2.2808599472045898</v>
      </c>
      <c r="M5" s="359">
        <f t="shared" si="0"/>
        <v>2.3795976281393085</v>
      </c>
      <c r="N5" s="359">
        <v>0.67754340171813965</v>
      </c>
      <c r="O5" s="359">
        <v>35.430000305175781</v>
      </c>
      <c r="P5" s="360"/>
    </row>
    <row r="6" spans="1:16" x14ac:dyDescent="0.2">
      <c r="A6" s="355" t="s">
        <v>667</v>
      </c>
      <c r="B6" s="356" t="s">
        <v>636</v>
      </c>
      <c r="C6" s="361">
        <v>2</v>
      </c>
      <c r="D6" s="358">
        <v>11.124544143676758</v>
      </c>
      <c r="E6" s="359">
        <v>0.88996350765228271</v>
      </c>
      <c r="F6" s="358">
        <v>260.03408813476562</v>
      </c>
      <c r="G6" s="358">
        <v>84.033287048339844</v>
      </c>
      <c r="H6" s="358">
        <v>104.69037628173828</v>
      </c>
      <c r="I6" s="358">
        <v>279.90200805664062</v>
      </c>
      <c r="J6" s="359">
        <v>0.32316258549690247</v>
      </c>
      <c r="K6" s="358">
        <v>14.097579002380371</v>
      </c>
      <c r="L6" s="359">
        <v>14.986300468444824</v>
      </c>
      <c r="M6" s="359">
        <f t="shared" si="0"/>
        <v>4.7324604276837636</v>
      </c>
      <c r="N6" s="359">
        <v>0.83736252784729004</v>
      </c>
      <c r="O6" s="359">
        <v>73.310096740722656</v>
      </c>
      <c r="P6" s="360" t="s">
        <v>673</v>
      </c>
    </row>
    <row r="7" spans="1:16" x14ac:dyDescent="0.2">
      <c r="A7" s="355" t="s">
        <v>643</v>
      </c>
      <c r="B7" s="356" t="s">
        <v>636</v>
      </c>
      <c r="C7" s="357">
        <v>5</v>
      </c>
      <c r="D7" s="358">
        <v>11.369804382324219</v>
      </c>
      <c r="E7" s="359">
        <v>0.90958434343338013</v>
      </c>
      <c r="F7" s="358">
        <v>156.49404907226562</v>
      </c>
      <c r="G7" s="358">
        <v>73.11932373046875</v>
      </c>
      <c r="H7" s="358">
        <v>2.4567480087280273</v>
      </c>
      <c r="I7" s="358">
        <v>173.33839416503906</v>
      </c>
      <c r="J7" s="359">
        <v>0.46723389625549316</v>
      </c>
      <c r="K7" s="358">
        <v>9.5534610748291016</v>
      </c>
      <c r="L7" s="359">
        <v>80.197402954101562</v>
      </c>
      <c r="M7" s="359">
        <f t="shared" si="0"/>
        <v>17.162045990306421</v>
      </c>
      <c r="N7" s="359">
        <v>0.89673370122909546</v>
      </c>
      <c r="O7" s="359">
        <v>118.72499847412109</v>
      </c>
    </row>
    <row r="8" spans="1:16" x14ac:dyDescent="0.2">
      <c r="A8" s="355" t="s">
        <v>661</v>
      </c>
      <c r="B8" s="356" t="s">
        <v>636</v>
      </c>
      <c r="C8" s="361">
        <v>5</v>
      </c>
      <c r="D8" s="358">
        <v>11.379019737243652</v>
      </c>
      <c r="E8" s="359">
        <v>0.91032159328460693</v>
      </c>
      <c r="F8" s="358">
        <v>314.06573486328125</v>
      </c>
      <c r="G8" s="358">
        <v>6.9650254249572754</v>
      </c>
      <c r="H8" s="358">
        <v>1.0422029495239258</v>
      </c>
      <c r="I8" s="358">
        <v>315.67428588867188</v>
      </c>
      <c r="J8" s="359">
        <v>2.2176966071128845E-2</v>
      </c>
      <c r="K8" s="358">
        <v>14.991042137145996</v>
      </c>
      <c r="L8" s="359">
        <v>5.4161701202392578</v>
      </c>
      <c r="M8" s="359">
        <f t="shared" si="0"/>
        <v>1.8187463726758548</v>
      </c>
      <c r="N8" s="359">
        <v>0.77438884973526001</v>
      </c>
      <c r="O8" s="359">
        <v>50.342098236083984</v>
      </c>
      <c r="P8" s="360"/>
    </row>
    <row r="9" spans="1:16" x14ac:dyDescent="0.2">
      <c r="A9" s="355" t="s">
        <v>666</v>
      </c>
      <c r="B9" s="356" t="s">
        <v>636</v>
      </c>
      <c r="C9" s="361">
        <v>1</v>
      </c>
      <c r="D9" s="358">
        <v>12.517472267150879</v>
      </c>
      <c r="E9" s="359">
        <v>1.0013977289199829</v>
      </c>
      <c r="F9" s="358">
        <v>92.459182739257812</v>
      </c>
      <c r="G9" s="358">
        <v>36.522525787353516</v>
      </c>
      <c r="H9" s="358">
        <v>1.9960460662841797</v>
      </c>
      <c r="I9" s="358">
        <v>100.87664794921875</v>
      </c>
      <c r="J9" s="359">
        <v>0.39501240849494934</v>
      </c>
      <c r="K9" s="358">
        <v>5.7842116355895996</v>
      </c>
      <c r="L9" s="359">
        <v>19.806699752807617</v>
      </c>
      <c r="M9" s="359">
        <f t="shared" si="0"/>
        <v>2.566281607071156</v>
      </c>
      <c r="N9" s="359">
        <v>0.84771543741226196</v>
      </c>
      <c r="O9" s="359">
        <v>78.918197631835938</v>
      </c>
      <c r="P9" s="360"/>
    </row>
    <row r="10" spans="1:16" x14ac:dyDescent="0.2">
      <c r="A10" s="355" t="s">
        <v>649</v>
      </c>
      <c r="B10" s="356" t="s">
        <v>636</v>
      </c>
      <c r="C10" s="357">
        <v>4</v>
      </c>
      <c r="D10" s="358">
        <v>13.129372596740723</v>
      </c>
      <c r="E10" s="359">
        <v>1.0503498315811157</v>
      </c>
      <c r="F10" s="358">
        <v>331.85147094726562</v>
      </c>
      <c r="G10" s="358">
        <v>74.770988464355469</v>
      </c>
      <c r="H10" s="358">
        <v>4.1799015998840332</v>
      </c>
      <c r="I10" s="358">
        <v>349.08465576171875</v>
      </c>
      <c r="J10" s="359">
        <v>0.22531461715698242</v>
      </c>
      <c r="K10" s="358">
        <v>15.933315277099609</v>
      </c>
      <c r="L10" s="359">
        <v>1.3504500389099121</v>
      </c>
      <c r="M10" s="359">
        <f t="shared" si="0"/>
        <v>0.48198407568467661</v>
      </c>
      <c r="N10" s="359">
        <v>0.64417183399200439</v>
      </c>
      <c r="O10" s="359">
        <v>30.899299621582031</v>
      </c>
      <c r="P10" s="360"/>
    </row>
    <row r="11" spans="1:16" x14ac:dyDescent="0.2">
      <c r="A11" s="355" t="s">
        <v>663</v>
      </c>
      <c r="B11" s="356" t="s">
        <v>636</v>
      </c>
      <c r="C11" s="361">
        <v>1</v>
      </c>
      <c r="D11" s="358">
        <v>13.519521713256836</v>
      </c>
      <c r="E11" s="359">
        <v>1.0815616846084595</v>
      </c>
      <c r="F11" s="358">
        <v>356.41641235351562</v>
      </c>
      <c r="G11" s="358">
        <v>101.89096069335938</v>
      </c>
      <c r="H11" s="358">
        <v>28.124515533447266</v>
      </c>
      <c r="I11" s="358">
        <v>380.0123291015625</v>
      </c>
      <c r="J11" s="359">
        <v>0.28587618470191956</v>
      </c>
      <c r="K11" s="358">
        <v>19.360195159912109</v>
      </c>
      <c r="L11" s="359">
        <v>2.2098000049591064</v>
      </c>
      <c r="M11" s="359">
        <f t="shared" si="0"/>
        <v>0.95832036967258027</v>
      </c>
      <c r="N11" s="359">
        <v>0.697792649269104</v>
      </c>
      <c r="O11" s="359">
        <v>37.379398345947266</v>
      </c>
      <c r="P11" s="360"/>
    </row>
    <row r="12" spans="1:16" x14ac:dyDescent="0.2">
      <c r="A12" s="355" t="s">
        <v>672</v>
      </c>
      <c r="B12" s="356" t="s">
        <v>636</v>
      </c>
      <c r="C12" s="361">
        <v>5</v>
      </c>
      <c r="D12" s="358">
        <v>13.661466598510742</v>
      </c>
      <c r="E12" s="359">
        <v>1.0929173231124878</v>
      </c>
      <c r="F12" s="358">
        <v>73.973350524902344</v>
      </c>
      <c r="G12" s="358">
        <v>33.942848205566406</v>
      </c>
      <c r="H12" s="358">
        <v>3.1239981651306152</v>
      </c>
      <c r="I12" s="358">
        <v>81.8026123046875</v>
      </c>
      <c r="J12" s="359">
        <v>0.4588523805141449</v>
      </c>
      <c r="K12" s="358">
        <v>5.0809273719787598</v>
      </c>
      <c r="L12" s="359">
        <v>18.083999633789062</v>
      </c>
      <c r="M12" s="359">
        <f t="shared" si="0"/>
        <v>2.0581901476454689</v>
      </c>
      <c r="N12" s="359">
        <v>0.84094524383544922</v>
      </c>
      <c r="O12" s="359">
        <v>75.657699584960938</v>
      </c>
      <c r="P12" s="360"/>
    </row>
    <row r="13" spans="1:16" x14ac:dyDescent="0.2">
      <c r="A13" s="355" t="s">
        <v>654</v>
      </c>
      <c r="B13" s="356" t="s">
        <v>636</v>
      </c>
      <c r="C13" s="357">
        <v>1</v>
      </c>
      <c r="D13" s="358">
        <v>13.759623527526855</v>
      </c>
      <c r="E13" s="359">
        <v>1.1007698774337769</v>
      </c>
      <c r="F13" s="358">
        <v>281.90182495117188</v>
      </c>
      <c r="G13" s="358">
        <v>386.67739868164062</v>
      </c>
      <c r="H13" s="358">
        <v>2.9573476314544678</v>
      </c>
      <c r="I13" s="358">
        <v>370.92974853515625</v>
      </c>
      <c r="J13" s="359">
        <v>1.3716739416122437</v>
      </c>
      <c r="K13" s="358">
        <v>18.76323127746582</v>
      </c>
      <c r="L13" s="359">
        <v>1.9087200164794922</v>
      </c>
      <c r="M13" s="359">
        <f t="shared" si="0"/>
        <v>0.80222811453418097</v>
      </c>
      <c r="N13" s="359">
        <v>0.67712044715881348</v>
      </c>
      <c r="O13" s="359">
        <v>36.201198577880859</v>
      </c>
      <c r="P13" s="360"/>
    </row>
    <row r="14" spans="1:16" x14ac:dyDescent="0.2">
      <c r="A14" s="355" t="s">
        <v>664</v>
      </c>
      <c r="B14" s="356" t="s">
        <v>636</v>
      </c>
      <c r="C14" s="361">
        <v>4</v>
      </c>
      <c r="D14" s="358">
        <v>13.781415939331055</v>
      </c>
      <c r="E14" s="359">
        <v>1.102513313293457</v>
      </c>
      <c r="F14" s="358">
        <v>133.03132629394531</v>
      </c>
      <c r="G14" s="358">
        <v>38.468132019042969</v>
      </c>
      <c r="H14" s="358">
        <v>0.83137422800064087</v>
      </c>
      <c r="I14" s="358">
        <v>141.89085388183594</v>
      </c>
      <c r="J14" s="359">
        <v>0.28916597366333008</v>
      </c>
      <c r="K14" s="358">
        <v>8.306696891784668</v>
      </c>
      <c r="L14" s="359">
        <v>6.7896599769592285</v>
      </c>
      <c r="M14" s="359">
        <f t="shared" si="0"/>
        <v>1.2633521023621566</v>
      </c>
      <c r="N14" s="359">
        <v>0.78666114807128906</v>
      </c>
      <c r="O14" s="359">
        <v>54.779098510742188</v>
      </c>
      <c r="P14" s="360"/>
    </row>
    <row r="15" spans="1:16" x14ac:dyDescent="0.2">
      <c r="A15" s="355" t="s">
        <v>653</v>
      </c>
      <c r="B15" s="356" t="s">
        <v>636</v>
      </c>
      <c r="C15" s="357">
        <v>2</v>
      </c>
      <c r="D15" s="358">
        <v>13.822696685791</v>
      </c>
      <c r="E15" s="359">
        <v>1.1058157682418823</v>
      </c>
      <c r="F15" s="358">
        <v>170.73271179199219</v>
      </c>
      <c r="G15" s="358">
        <v>82.270332336425781</v>
      </c>
      <c r="H15" s="358">
        <v>1.2717989683151245</v>
      </c>
      <c r="I15" s="358">
        <v>189.67770385742188</v>
      </c>
      <c r="J15" s="359">
        <v>0.48186624050140381</v>
      </c>
      <c r="K15" s="358">
        <v>10.508870124816895</v>
      </c>
      <c r="L15" s="359">
        <v>4.4123001098632812</v>
      </c>
      <c r="M15" s="359">
        <f t="shared" si="0"/>
        <v>1.0386496692604155</v>
      </c>
      <c r="N15" s="359">
        <v>0.74142789840698242</v>
      </c>
      <c r="O15" s="359">
        <v>44.980701446533203</v>
      </c>
    </row>
    <row r="16" spans="1:16" x14ac:dyDescent="0.2">
      <c r="A16" s="355" t="s">
        <v>644</v>
      </c>
      <c r="B16" s="356" t="s">
        <v>636</v>
      </c>
      <c r="C16" s="357">
        <v>4</v>
      </c>
      <c r="D16" s="358">
        <v>13.886430740356445</v>
      </c>
      <c r="E16" s="359">
        <v>1.1109144687652588</v>
      </c>
      <c r="F16" s="358">
        <v>204.02751159667969</v>
      </c>
      <c r="G16" s="358">
        <v>88.579391479492188</v>
      </c>
      <c r="H16" s="358">
        <v>1.3375194072723389</v>
      </c>
      <c r="I16" s="358">
        <v>224.4251708984375</v>
      </c>
      <c r="J16" s="359">
        <v>0.43415415287017822</v>
      </c>
      <c r="K16" s="358">
        <v>13.205589294433594</v>
      </c>
      <c r="L16" s="359">
        <v>8.3917703628540039</v>
      </c>
      <c r="M16" s="359">
        <f t="shared" si="0"/>
        <v>2.4823293121771184</v>
      </c>
      <c r="N16" s="359">
        <v>0.78400003910064697</v>
      </c>
      <c r="O16" s="359">
        <v>54.548801422119141</v>
      </c>
    </row>
    <row r="17" spans="1:16" x14ac:dyDescent="0.2">
      <c r="A17" s="355" t="s">
        <v>665</v>
      </c>
      <c r="B17" s="356" t="s">
        <v>636</v>
      </c>
      <c r="C17" s="361">
        <v>4</v>
      </c>
      <c r="D17" s="358">
        <v>13.948483467102051</v>
      </c>
      <c r="E17" s="359">
        <v>1.115878701210022</v>
      </c>
      <c r="F17" s="358">
        <v>134.65634155273438</v>
      </c>
      <c r="G17" s="358">
        <v>55.67333984375</v>
      </c>
      <c r="H17" s="358">
        <v>16.922763824462891</v>
      </c>
      <c r="I17" s="358">
        <v>147.55696105957031</v>
      </c>
      <c r="J17" s="359">
        <v>0.41344758868217468</v>
      </c>
      <c r="K17" s="358">
        <v>9.0850324630737305</v>
      </c>
      <c r="L17" s="359">
        <v>10.369099617004395</v>
      </c>
      <c r="M17" s="359">
        <f t="shared" si="0"/>
        <v>2.1101607885865992</v>
      </c>
      <c r="N17" s="359">
        <v>0.81647378206253052</v>
      </c>
      <c r="O17" s="359">
        <v>64.861503601074219</v>
      </c>
      <c r="P17" s="360"/>
    </row>
    <row r="18" spans="1:16" x14ac:dyDescent="0.2">
      <c r="A18" s="355" t="s">
        <v>646</v>
      </c>
      <c r="B18" s="356" t="s">
        <v>636</v>
      </c>
      <c r="C18" s="357">
        <v>3</v>
      </c>
      <c r="D18" s="358">
        <v>14.099108695983887</v>
      </c>
      <c r="E18" s="359">
        <v>1.1279287338256836</v>
      </c>
      <c r="F18" s="358">
        <v>261.43356323242188</v>
      </c>
      <c r="G18" s="358">
        <v>320.59603881835938</v>
      </c>
      <c r="H18" s="358">
        <v>3.5411922931671143</v>
      </c>
      <c r="I18" s="358">
        <v>335.25247192382812</v>
      </c>
      <c r="J18" s="359">
        <v>1.2263002395629883</v>
      </c>
      <c r="K18" s="358">
        <v>20.455419540405273</v>
      </c>
      <c r="L18" s="359">
        <v>9.5123300552368164</v>
      </c>
      <c r="M18" s="359">
        <f t="shared" si="0"/>
        <v>4.3585629267415333</v>
      </c>
      <c r="N18" s="359">
        <v>0.79744422435760498</v>
      </c>
      <c r="O18" s="359">
        <v>60.123798370361328</v>
      </c>
    </row>
    <row r="19" spans="1:16" x14ac:dyDescent="0.2">
      <c r="A19" s="355" t="s">
        <v>642</v>
      </c>
      <c r="B19" s="356" t="s">
        <v>636</v>
      </c>
      <c r="C19" s="361">
        <v>2</v>
      </c>
      <c r="D19" s="358">
        <v>14.20107364654541</v>
      </c>
      <c r="E19" s="359">
        <v>1.1360858678817749</v>
      </c>
      <c r="F19" s="358">
        <v>281.75189208984375</v>
      </c>
      <c r="G19" s="358">
        <v>313.83282470703125</v>
      </c>
      <c r="H19" s="358">
        <v>5.028721809387207</v>
      </c>
      <c r="I19" s="358">
        <v>354.0213623046875</v>
      </c>
      <c r="J19" s="359">
        <v>1.1138623952865601</v>
      </c>
      <c r="K19" s="358">
        <v>22.604455947875977</v>
      </c>
      <c r="L19" s="359">
        <v>14.608699798583984</v>
      </c>
      <c r="M19" s="359">
        <f t="shared" si="0"/>
        <v>7.3969663275835345</v>
      </c>
      <c r="N19" s="359">
        <v>0.8288809061050415</v>
      </c>
      <c r="O19" s="359">
        <v>71.737197875976562</v>
      </c>
      <c r="P19" s="360"/>
    </row>
    <row r="20" spans="1:16" x14ac:dyDescent="0.2">
      <c r="A20" s="362" t="s">
        <v>652</v>
      </c>
      <c r="B20" s="356" t="s">
        <v>636</v>
      </c>
      <c r="C20" s="361">
        <v>2</v>
      </c>
      <c r="D20" s="358">
        <v>14.320890426635742</v>
      </c>
      <c r="E20" s="359">
        <v>1.1456712484359741</v>
      </c>
      <c r="F20" s="358">
        <v>246.11685180664062</v>
      </c>
      <c r="G20" s="358">
        <v>167.51882934570312</v>
      </c>
      <c r="H20" s="358">
        <v>200.31739807128906</v>
      </c>
      <c r="I20" s="358">
        <v>285.6812744140625</v>
      </c>
      <c r="J20" s="359">
        <v>0.68064755201339722</v>
      </c>
      <c r="K20" s="358">
        <v>17.698217391967773</v>
      </c>
      <c r="L20" s="359">
        <v>8.5154895782470703</v>
      </c>
      <c r="M20" s="359">
        <f t="shared" si="0"/>
        <v>3.3758812809086982</v>
      </c>
      <c r="N20" s="359">
        <v>0.79745310544967651</v>
      </c>
      <c r="O20" s="359">
        <v>59.141300201416016</v>
      </c>
      <c r="P20" s="360" t="s">
        <v>673</v>
      </c>
    </row>
    <row r="21" spans="1:16" x14ac:dyDescent="0.2">
      <c r="A21" s="355" t="s">
        <v>668</v>
      </c>
      <c r="B21" s="356" t="s">
        <v>636</v>
      </c>
      <c r="C21" s="361">
        <v>1</v>
      </c>
      <c r="D21" s="358">
        <v>14.422787666320801</v>
      </c>
      <c r="E21" s="359">
        <v>1.1538230180740356</v>
      </c>
      <c r="F21" s="358">
        <v>94.079940795898438</v>
      </c>
      <c r="G21" s="358">
        <v>55.625263214111328</v>
      </c>
      <c r="H21" s="358">
        <v>1.8835785388946533</v>
      </c>
      <c r="I21" s="358">
        <v>106.89429473876953</v>
      </c>
      <c r="J21" s="359">
        <v>0.5912553071975708</v>
      </c>
      <c r="K21" s="358">
        <v>6.6057682037353516</v>
      </c>
      <c r="L21" s="359">
        <v>8.9920997619628906</v>
      </c>
      <c r="M21" s="359">
        <f t="shared" si="0"/>
        <v>1.3305538779095514</v>
      </c>
      <c r="N21" s="359">
        <v>0.7919764518737793</v>
      </c>
      <c r="O21" s="359">
        <v>57.254199981689453</v>
      </c>
      <c r="P21" s="360"/>
    </row>
    <row r="22" spans="1:16" x14ac:dyDescent="0.2">
      <c r="A22" s="355" t="s">
        <v>650</v>
      </c>
      <c r="B22" s="356" t="s">
        <v>636</v>
      </c>
      <c r="C22" s="361">
        <v>1</v>
      </c>
      <c r="D22" s="358">
        <v>14.425076484680176</v>
      </c>
      <c r="E22" s="359">
        <v>1.1540061235427856</v>
      </c>
      <c r="F22" s="358">
        <v>305.53921508789062</v>
      </c>
      <c r="G22" s="358">
        <v>228.35394287109375</v>
      </c>
      <c r="H22" s="358">
        <v>3.7040829658508301</v>
      </c>
      <c r="I22" s="358">
        <v>358.12481689453125</v>
      </c>
      <c r="J22" s="359">
        <v>0.74738013744354248</v>
      </c>
      <c r="K22" s="358">
        <v>20.714315414428711</v>
      </c>
      <c r="L22" s="359">
        <v>4.5726099014282227</v>
      </c>
      <c r="M22" s="359">
        <f t="shared" si="0"/>
        <v>2.121694036343257</v>
      </c>
      <c r="N22" s="359">
        <v>0.74059963226318359</v>
      </c>
      <c r="O22" s="359">
        <v>45.363399505615234</v>
      </c>
      <c r="P22" s="360"/>
    </row>
    <row r="23" spans="1:16" x14ac:dyDescent="0.2">
      <c r="A23" s="362" t="s">
        <v>657</v>
      </c>
      <c r="B23" s="356" t="s">
        <v>636</v>
      </c>
      <c r="C23" s="357">
        <v>1</v>
      </c>
      <c r="D23" s="358">
        <v>42.047397613525391</v>
      </c>
      <c r="E23" s="359">
        <v>3.3637917041778564</v>
      </c>
      <c r="F23" s="358">
        <v>105.74738311767578</v>
      </c>
      <c r="G23" s="358">
        <v>136.72947692871094</v>
      </c>
      <c r="H23" s="358">
        <v>4.7697005271911621</v>
      </c>
      <c r="I23" s="358">
        <v>137.24635314941406</v>
      </c>
      <c r="J23" s="359">
        <v>1.2929821014404297</v>
      </c>
      <c r="K23" s="358">
        <v>24.14476203918457</v>
      </c>
      <c r="L23" s="359">
        <v>5.8846898078918457</v>
      </c>
      <c r="M23" s="359">
        <f t="shared" si="0"/>
        <v>3.1826913459255795</v>
      </c>
      <c r="N23" s="359">
        <v>0.76942121982574463</v>
      </c>
      <c r="O23" s="359">
        <v>52.380901336669922</v>
      </c>
    </row>
    <row r="24" spans="1:16" x14ac:dyDescent="0.2">
      <c r="A24" s="355" t="s">
        <v>670</v>
      </c>
      <c r="B24" s="356" t="s">
        <v>636</v>
      </c>
      <c r="C24" s="361">
        <v>3</v>
      </c>
      <c r="D24" s="358">
        <v>14.730899810791016</v>
      </c>
      <c r="E24" s="359">
        <v>1.1784720420837402</v>
      </c>
      <c r="F24" s="358">
        <v>733.60650634765625</v>
      </c>
      <c r="G24" s="358">
        <v>229.85240173339844</v>
      </c>
      <c r="H24" s="358">
        <v>3.4530246257781982</v>
      </c>
      <c r="I24" s="358">
        <v>786.5357666015625</v>
      </c>
      <c r="J24" s="359">
        <v>0.31331837177276611</v>
      </c>
      <c r="K24" s="358">
        <v>48.117717742919922</v>
      </c>
      <c r="L24" s="359">
        <v>4.9050698280334473</v>
      </c>
      <c r="M24" s="359">
        <f t="shared" si="0"/>
        <v>5.2868651470796255</v>
      </c>
      <c r="N24" s="359">
        <v>0.76892191171646118</v>
      </c>
      <c r="O24" s="359">
        <v>50.333198547363281</v>
      </c>
      <c r="P24" s="360"/>
    </row>
    <row r="25" spans="1:16" x14ac:dyDescent="0.2">
      <c r="A25" s="355" t="s">
        <v>659</v>
      </c>
      <c r="B25" s="356" t="s">
        <v>636</v>
      </c>
      <c r="C25" s="357">
        <v>1</v>
      </c>
      <c r="D25" s="358">
        <v>14.762938499450684</v>
      </c>
      <c r="E25" s="359">
        <v>1.181035041809082</v>
      </c>
      <c r="F25" s="358">
        <v>126.85530853271484</v>
      </c>
      <c r="G25" s="358">
        <v>25.738445281982422</v>
      </c>
      <c r="H25" s="358">
        <v>0.50243616104125977</v>
      </c>
      <c r="I25" s="358">
        <v>132.78280639648438</v>
      </c>
      <c r="J25" s="359">
        <v>0.20289608836174011</v>
      </c>
      <c r="K25" s="358">
        <v>8.7198810577392578</v>
      </c>
      <c r="L25" s="359">
        <v>11.168700218200684</v>
      </c>
      <c r="M25" s="359">
        <f t="shared" si="0"/>
        <v>2.1815301193785452</v>
      </c>
      <c r="N25" s="359">
        <v>0.82412898540496826</v>
      </c>
      <c r="O25" s="359">
        <v>66.899497985839844</v>
      </c>
    </row>
    <row r="26" spans="1:16" x14ac:dyDescent="0.2">
      <c r="A26" s="355" t="s">
        <v>648</v>
      </c>
      <c r="B26" s="356" t="s">
        <v>636</v>
      </c>
      <c r="C26" s="361">
        <v>4</v>
      </c>
      <c r="D26" s="358">
        <v>15.522488594055176</v>
      </c>
      <c r="E26" s="359">
        <v>1.2417991161346436</v>
      </c>
      <c r="F26" s="358">
        <v>918.34088134765625</v>
      </c>
      <c r="G26" s="358">
        <v>1116.6416015625</v>
      </c>
      <c r="H26" s="358">
        <v>19.181188583374023</v>
      </c>
      <c r="I26" s="358">
        <v>1175.4876708984375</v>
      </c>
      <c r="J26" s="359">
        <v>1.2159336805343628</v>
      </c>
      <c r="K26" s="358">
        <v>72.946830749511719</v>
      </c>
      <c r="L26" s="359">
        <v>5.6007399559020996</v>
      </c>
      <c r="M26" s="359">
        <f t="shared" si="0"/>
        <v>9.1516595438288881</v>
      </c>
      <c r="N26" s="359">
        <v>0.73669469356536865</v>
      </c>
      <c r="O26" s="359">
        <v>45.254100799560547</v>
      </c>
      <c r="P26" s="360"/>
    </row>
    <row r="27" spans="1:16" x14ac:dyDescent="0.2">
      <c r="A27" s="355" t="s">
        <v>662</v>
      </c>
      <c r="B27" s="356" t="s">
        <v>636</v>
      </c>
      <c r="C27" s="361">
        <v>1</v>
      </c>
      <c r="D27" s="358">
        <v>15.5712890625</v>
      </c>
      <c r="E27" s="359">
        <v>1.2457031011581421</v>
      </c>
      <c r="F27" s="358">
        <v>186.88088989257812</v>
      </c>
      <c r="G27" s="358">
        <v>64.057548522949219</v>
      </c>
      <c r="H27" s="358">
        <v>1.5842018127441406</v>
      </c>
      <c r="I27" s="358">
        <v>201.63485717773438</v>
      </c>
      <c r="J27" s="359">
        <v>0.34277206659317017</v>
      </c>
      <c r="K27" s="358">
        <v>12.511920928955078</v>
      </c>
      <c r="L27" s="359">
        <v>3.5631499290466309</v>
      </c>
      <c r="M27" s="359">
        <f t="shared" si="0"/>
        <v>0.99863344381345076</v>
      </c>
      <c r="N27" s="359">
        <v>0.73768079280853271</v>
      </c>
      <c r="O27" s="359">
        <v>43.9114990234375</v>
      </c>
      <c r="P27" s="360"/>
    </row>
    <row r="28" spans="1:16" x14ac:dyDescent="0.2">
      <c r="A28" s="362" t="s">
        <v>660</v>
      </c>
      <c r="B28" s="356" t="s">
        <v>636</v>
      </c>
      <c r="C28" s="357">
        <v>3</v>
      </c>
      <c r="D28" s="358">
        <v>15.677379608154297</v>
      </c>
      <c r="E28" s="359">
        <v>1.2541903257369995</v>
      </c>
      <c r="F28" s="358">
        <v>114.96323394775391</v>
      </c>
      <c r="G28" s="358">
        <v>29.555208206176758</v>
      </c>
      <c r="H28" s="358">
        <v>-0.76057982444763184</v>
      </c>
      <c r="I28" s="358">
        <v>121.76303863525391</v>
      </c>
      <c r="J28" s="359">
        <v>0.25708401203155518</v>
      </c>
      <c r="K28" s="358">
        <v>8.0117912292480469</v>
      </c>
      <c r="L28" s="359">
        <v>7.3766698837280273</v>
      </c>
      <c r="M28" s="359">
        <f t="shared" si="0"/>
        <v>1.3238475952914333</v>
      </c>
      <c r="N28" s="359">
        <v>0.77732253074645996</v>
      </c>
      <c r="O28" s="359">
        <v>52.183300018310547</v>
      </c>
    </row>
    <row r="29" spans="1:16" x14ac:dyDescent="0.2">
      <c r="A29" s="355" t="s">
        <v>647</v>
      </c>
      <c r="B29" s="356" t="s">
        <v>636</v>
      </c>
      <c r="C29" s="357">
        <v>1</v>
      </c>
      <c r="D29" s="358">
        <v>15.99180793762207</v>
      </c>
      <c r="E29" s="359">
        <v>1.2793446779251099</v>
      </c>
      <c r="F29" s="358">
        <v>244.15730285644531</v>
      </c>
      <c r="G29" s="358">
        <v>24.557209014892578</v>
      </c>
      <c r="H29" s="358">
        <v>4.2028255462646484</v>
      </c>
      <c r="I29" s="358">
        <v>249.83139038085938</v>
      </c>
      <c r="J29" s="359">
        <v>0.10057945549488068</v>
      </c>
      <c r="K29" s="358">
        <v>17.180997848510742</v>
      </c>
      <c r="L29" s="359">
        <v>8.0622100830078125</v>
      </c>
      <c r="M29" s="359">
        <f t="shared" si="0"/>
        <v>3.102776635624934</v>
      </c>
      <c r="N29" s="359">
        <v>0.79718422889709473</v>
      </c>
      <c r="O29" s="359">
        <v>56.942298889160156</v>
      </c>
      <c r="P29" s="360"/>
    </row>
    <row r="30" spans="1:16" x14ac:dyDescent="0.2">
      <c r="A30" s="355" t="s">
        <v>645</v>
      </c>
      <c r="B30" s="356" t="s">
        <v>636</v>
      </c>
      <c r="C30" s="357">
        <v>1</v>
      </c>
      <c r="D30" s="358">
        <v>15.99758243560791</v>
      </c>
      <c r="E30" s="359">
        <v>1.2798066139221191</v>
      </c>
      <c r="F30" s="358">
        <v>183.62190246582031</v>
      </c>
      <c r="G30" s="358">
        <v>56.965782165527344</v>
      </c>
      <c r="H30" s="358">
        <v>-0.78469288349151611</v>
      </c>
      <c r="I30" s="358">
        <v>196.73150634765625</v>
      </c>
      <c r="J30" s="359">
        <v>0.31023412942886353</v>
      </c>
      <c r="K30" s="358">
        <v>13.430760383605957</v>
      </c>
      <c r="L30" s="359">
        <v>7.1499900817871094</v>
      </c>
      <c r="M30" s="359">
        <f t="shared" si="0"/>
        <v>2.1510675991535773</v>
      </c>
      <c r="N30" s="359">
        <v>0.79007160663604736</v>
      </c>
      <c r="O30" s="359">
        <v>55.818500518798828</v>
      </c>
    </row>
    <row r="31" spans="1:16" x14ac:dyDescent="0.2">
      <c r="A31" s="355" t="s">
        <v>655</v>
      </c>
      <c r="B31" s="356" t="s">
        <v>636</v>
      </c>
      <c r="C31" s="361">
        <v>3</v>
      </c>
      <c r="D31" s="358">
        <v>20.586742401123047</v>
      </c>
      <c r="E31" s="359">
        <v>1.6469393968582153</v>
      </c>
      <c r="F31" s="358">
        <v>127.63541412353516</v>
      </c>
      <c r="G31" s="358">
        <v>137.17863464355469</v>
      </c>
      <c r="H31" s="358">
        <v>1.3357197046279907</v>
      </c>
      <c r="I31" s="358">
        <v>159.22061157226562</v>
      </c>
      <c r="J31" s="359">
        <v>1.0747693777084351</v>
      </c>
      <c r="K31" s="358">
        <v>14.537290573120117</v>
      </c>
      <c r="L31" s="359">
        <v>12.680299758911133</v>
      </c>
      <c r="M31" s="359">
        <f t="shared" si="0"/>
        <v>4.129153328150057</v>
      </c>
      <c r="N31" s="359">
        <v>0.81743764877319336</v>
      </c>
      <c r="O31" s="359">
        <v>66.916702270507812</v>
      </c>
      <c r="P31" s="360"/>
    </row>
    <row r="32" spans="1:16" x14ac:dyDescent="0.2">
      <c r="A32" s="355" t="s">
        <v>656</v>
      </c>
      <c r="B32" s="356" t="s">
        <v>636</v>
      </c>
      <c r="C32" s="357">
        <v>5</v>
      </c>
      <c r="D32" s="358">
        <v>33.822830200195312</v>
      </c>
      <c r="E32" s="359">
        <v>2.7058265209197998</v>
      </c>
      <c r="F32" s="358">
        <v>669.09490966796875</v>
      </c>
      <c r="G32" s="358">
        <v>669.3131103515625</v>
      </c>
      <c r="H32" s="358">
        <v>12.242277145385742</v>
      </c>
      <c r="I32" s="358">
        <v>823.23199462890625</v>
      </c>
      <c r="J32" s="359">
        <v>1.0003261566162109</v>
      </c>
      <c r="K32" s="358">
        <v>105.73056793212891</v>
      </c>
      <c r="L32" s="359">
        <v>3.2293899059295654</v>
      </c>
      <c r="M32" s="359">
        <f t="shared" si="0"/>
        <v>7.648373125752066</v>
      </c>
      <c r="N32" s="359">
        <v>0.69972145557403564</v>
      </c>
      <c r="O32" s="359">
        <v>38.912899017333984</v>
      </c>
      <c r="P32" s="360"/>
    </row>
    <row r="33" spans="1:16" x14ac:dyDescent="0.2">
      <c r="A33" s="355" t="s">
        <v>640</v>
      </c>
      <c r="B33" s="356" t="s">
        <v>636</v>
      </c>
      <c r="C33" s="357">
        <v>1</v>
      </c>
      <c r="D33" s="358">
        <v>162.896484375</v>
      </c>
      <c r="E33" s="359">
        <v>13.031719207763672</v>
      </c>
      <c r="F33" s="358">
        <v>108.3731689453125</v>
      </c>
      <c r="G33" s="358">
        <v>39.509269714355469</v>
      </c>
      <c r="H33" s="358">
        <v>2.9785270690917969</v>
      </c>
      <c r="I33" s="358">
        <v>117.48309326171875</v>
      </c>
      <c r="J33" s="359">
        <v>0.36456689238548279</v>
      </c>
      <c r="K33" s="358">
        <v>82.683113098144531</v>
      </c>
      <c r="L33" s="359">
        <v>7.5381197929382324</v>
      </c>
      <c r="M33" s="359">
        <f t="shared" si="0"/>
        <v>13.961364735065974</v>
      </c>
      <c r="N33" s="359">
        <v>0.79110193252563477</v>
      </c>
      <c r="O33" s="359">
        <v>56.313499450683594</v>
      </c>
    </row>
    <row r="34" spans="1:16" x14ac:dyDescent="0.2">
      <c r="A34" s="355" t="s">
        <v>635</v>
      </c>
      <c r="B34" s="356" t="s">
        <v>636</v>
      </c>
      <c r="C34" s="357">
        <v>3</v>
      </c>
      <c r="D34" s="358">
        <v>190.91580200195312</v>
      </c>
      <c r="E34" s="359">
        <v>15.273263931274414</v>
      </c>
      <c r="F34" s="358">
        <v>64.312637329101562</v>
      </c>
      <c r="G34" s="358">
        <v>20.919239044189453</v>
      </c>
      <c r="H34" s="358">
        <v>1.0818183422088623</v>
      </c>
      <c r="I34" s="358">
        <v>69.133651733398438</v>
      </c>
      <c r="J34" s="359">
        <v>0.32527416944503784</v>
      </c>
      <c r="K34" s="358">
        <v>62.325618743896484</v>
      </c>
      <c r="L34" s="359">
        <v>25.945400238037109</v>
      </c>
      <c r="M34" s="359">
        <f t="shared" si="0"/>
        <v>36.222213964018927</v>
      </c>
      <c r="N34" s="359">
        <v>0.86188244819641113</v>
      </c>
      <c r="O34" s="359">
        <v>87.049102783203125</v>
      </c>
    </row>
    <row r="35" spans="1:16" x14ac:dyDescent="0.2">
      <c r="A35" s="355" t="s">
        <v>637</v>
      </c>
      <c r="B35" s="356" t="s">
        <v>636</v>
      </c>
      <c r="C35" s="357">
        <v>2</v>
      </c>
      <c r="D35" s="358">
        <v>227.26736450195312</v>
      </c>
      <c r="E35" s="359">
        <v>18.181388854980469</v>
      </c>
      <c r="F35" s="358">
        <v>52.296875</v>
      </c>
      <c r="G35" s="358">
        <v>28.184427261352539</v>
      </c>
      <c r="H35" s="358">
        <v>2.8068432807922363</v>
      </c>
      <c r="I35" s="358">
        <v>58.798965454101562</v>
      </c>
      <c r="J35" s="359">
        <v>0.53893136978149414</v>
      </c>
      <c r="K35" s="358">
        <v>59.596519470214844</v>
      </c>
      <c r="L35" s="359">
        <v>9.9999198913574219</v>
      </c>
      <c r="M35" s="359">
        <f t="shared" si="0"/>
        <v>13.349513419331517</v>
      </c>
      <c r="N35" s="359">
        <v>0.81176459789276123</v>
      </c>
      <c r="O35" s="359">
        <v>63.555099487304688</v>
      </c>
    </row>
    <row r="36" spans="1:16" x14ac:dyDescent="0.2">
      <c r="A36" s="355" t="s">
        <v>638</v>
      </c>
      <c r="B36" s="356" t="s">
        <v>636</v>
      </c>
      <c r="C36" s="357">
        <v>2</v>
      </c>
      <c r="D36" s="358">
        <v>255.7999267578125</v>
      </c>
      <c r="E36" s="359">
        <v>20.463994979858398</v>
      </c>
      <c r="F36" s="358">
        <v>229.71284484863281</v>
      </c>
      <c r="G36" s="358">
        <v>99.677436828613281</v>
      </c>
      <c r="H36" s="358">
        <v>10.342811584472656</v>
      </c>
      <c r="I36" s="358">
        <v>252.71031188964844</v>
      </c>
      <c r="J36" s="359">
        <v>0.43392190337181091</v>
      </c>
      <c r="K36" s="358">
        <v>310.59844970703125</v>
      </c>
      <c r="L36" s="359">
        <v>31.635200500488281</v>
      </c>
      <c r="M36" s="359">
        <f t="shared" si="0"/>
        <v>220.0989107883498</v>
      </c>
      <c r="N36" s="359">
        <v>0.87164449691772461</v>
      </c>
      <c r="O36" s="359">
        <v>94.582099914550781</v>
      </c>
    </row>
    <row r="37" spans="1:16" x14ac:dyDescent="0.2">
      <c r="A37" s="355" t="s">
        <v>639</v>
      </c>
      <c r="B37" s="356" t="s">
        <v>636</v>
      </c>
      <c r="C37" s="357">
        <v>1</v>
      </c>
      <c r="D37" s="358">
        <v>311.37188720703125</v>
      </c>
      <c r="E37" s="359">
        <v>24.909751892089844</v>
      </c>
      <c r="F37" s="358">
        <v>80.921211242675781</v>
      </c>
      <c r="G37" s="358">
        <v>42.15374755859375</v>
      </c>
      <c r="H37" s="358">
        <v>1.4602471590042114</v>
      </c>
      <c r="I37" s="358">
        <f>F37+0.234 *G37+0.0046 *H37</f>
        <v>90.791905308318135</v>
      </c>
      <c r="J37" s="359">
        <v>0.52092331647872925</v>
      </c>
      <c r="K37" s="358">
        <v>127.78989410400391</v>
      </c>
      <c r="L37" s="359">
        <v>11.530799865722656</v>
      </c>
      <c r="M37" s="359">
        <f t="shared" si="0"/>
        <v>33.006841140563594</v>
      </c>
      <c r="N37" s="359">
        <v>0.81880462169647217</v>
      </c>
      <c r="O37" s="359">
        <v>66.126296997070312</v>
      </c>
    </row>
    <row r="38" spans="1:16" x14ac:dyDescent="0.2">
      <c r="A38" s="355" t="s">
        <v>641</v>
      </c>
      <c r="B38" s="356" t="s">
        <v>636</v>
      </c>
      <c r="C38" s="357">
        <v>5</v>
      </c>
      <c r="D38" s="358">
        <v>417.60989379882812</v>
      </c>
      <c r="E38" s="359">
        <v>33.408790588378906</v>
      </c>
      <c r="F38" s="358">
        <v>33.665210723876953</v>
      </c>
      <c r="G38" s="358">
        <v>16.91008186340332</v>
      </c>
      <c r="H38" s="358">
        <v>1.6664152145385742</v>
      </c>
      <c r="I38" s="358">
        <v>37.566242218017578</v>
      </c>
      <c r="J38" s="359">
        <v>0.50230139493942261</v>
      </c>
      <c r="K38" s="358">
        <v>63.035839080810547</v>
      </c>
      <c r="L38" s="359">
        <v>3.3873600959777832</v>
      </c>
      <c r="M38" s="359">
        <f t="shared" si="0"/>
        <v>4.7829619245814454</v>
      </c>
      <c r="N38" s="359">
        <v>0.7231287956237793</v>
      </c>
      <c r="O38" s="359">
        <v>41.762599945068359</v>
      </c>
      <c r="P38" s="360"/>
    </row>
    <row r="39" spans="1:16" x14ac:dyDescent="0.2">
      <c r="K39" s="363"/>
      <c r="M39" s="177"/>
    </row>
    <row r="40" spans="1:16" x14ac:dyDescent="0.2">
      <c r="A40" s="362"/>
      <c r="B40" s="356"/>
      <c r="D40" s="358"/>
      <c r="E40" s="359"/>
      <c r="F40" s="358"/>
      <c r="G40" s="358"/>
      <c r="H40" s="358"/>
      <c r="I40" s="358"/>
      <c r="J40" s="359"/>
      <c r="K40" s="364"/>
      <c r="L40" s="359"/>
      <c r="M40" s="177"/>
      <c r="O40" s="359"/>
      <c r="P40" s="360"/>
    </row>
    <row r="41" spans="1:16" x14ac:dyDescent="0.2">
      <c r="A41" s="362"/>
      <c r="B41" s="356"/>
      <c r="D41" s="358"/>
      <c r="E41" s="359"/>
      <c r="F41" s="358"/>
      <c r="G41" s="358"/>
      <c r="H41" s="358"/>
      <c r="I41" s="358"/>
      <c r="J41" s="359"/>
      <c r="K41" s="358"/>
      <c r="O41" s="359"/>
      <c r="P41" s="360"/>
    </row>
    <row r="42" spans="1:16" x14ac:dyDescent="0.2">
      <c r="L42" s="359"/>
      <c r="M42" s="177"/>
      <c r="O42" s="161"/>
    </row>
    <row r="43" spans="1:16" ht="20" x14ac:dyDescent="0.2">
      <c r="K43" s="365"/>
      <c r="O43" s="177"/>
    </row>
  </sheetData>
  <autoFilter ref="A1:P43" xr:uid="{00000000-0001-0000-0000-000000000000}">
    <sortState xmlns:xlrd2="http://schemas.microsoft.com/office/spreadsheetml/2017/richdata2" ref="A2:P43">
      <sortCondition ref="D1:D43"/>
    </sortState>
  </autoFilter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529F-3CCD-9D4F-9CFF-F48D199DA0C5}">
  <dimension ref="A1:F8"/>
  <sheetViews>
    <sheetView workbookViewId="0">
      <selection activeCell="F1" sqref="F1"/>
    </sheetView>
  </sheetViews>
  <sheetFormatPr baseColWidth="10" defaultRowHeight="16" x14ac:dyDescent="0.2"/>
  <cols>
    <col min="3" max="3" width="50.33203125" bestFit="1" customWidth="1"/>
  </cols>
  <sheetData>
    <row r="1" spans="1:6" x14ac:dyDescent="0.2">
      <c r="A1" s="367" t="s">
        <v>57</v>
      </c>
      <c r="B1" s="367" t="s">
        <v>674</v>
      </c>
      <c r="C1" s="367" t="s">
        <v>675</v>
      </c>
      <c r="D1" s="367" t="s">
        <v>687</v>
      </c>
      <c r="E1" s="367" t="s">
        <v>694</v>
      </c>
      <c r="F1" t="s">
        <v>698</v>
      </c>
    </row>
    <row r="2" spans="1:6" x14ac:dyDescent="0.2">
      <c r="A2" s="368" t="s">
        <v>676</v>
      </c>
      <c r="B2" s="368" t="s">
        <v>677</v>
      </c>
      <c r="C2" s="369" t="s">
        <v>678</v>
      </c>
      <c r="D2" t="s">
        <v>688</v>
      </c>
      <c r="E2" t="s">
        <v>695</v>
      </c>
    </row>
    <row r="3" spans="1:6" x14ac:dyDescent="0.2">
      <c r="A3" s="368" t="s">
        <v>679</v>
      </c>
      <c r="B3" s="368" t="s">
        <v>680</v>
      </c>
      <c r="C3" s="368" t="s">
        <v>681</v>
      </c>
      <c r="D3" t="s">
        <v>690</v>
      </c>
      <c r="E3" t="s">
        <v>695</v>
      </c>
    </row>
    <row r="4" spans="1:6" x14ac:dyDescent="0.2">
      <c r="A4" s="368" t="s">
        <v>682</v>
      </c>
      <c r="B4" s="369" t="s">
        <v>691</v>
      </c>
      <c r="C4" s="369" t="s">
        <v>683</v>
      </c>
      <c r="D4" t="s">
        <v>692</v>
      </c>
      <c r="E4" t="s">
        <v>695</v>
      </c>
    </row>
    <row r="5" spans="1:6" x14ac:dyDescent="0.2">
      <c r="A5" s="368" t="s">
        <v>684</v>
      </c>
      <c r="B5" s="369" t="s">
        <v>685</v>
      </c>
      <c r="C5" s="368" t="s">
        <v>686</v>
      </c>
      <c r="D5" t="s">
        <v>689</v>
      </c>
      <c r="E5" t="s">
        <v>695</v>
      </c>
    </row>
    <row r="6" spans="1:6" x14ac:dyDescent="0.2">
      <c r="A6" s="368" t="s">
        <v>693</v>
      </c>
      <c r="B6">
        <v>62</v>
      </c>
      <c r="D6" s="370" t="s">
        <v>697</v>
      </c>
      <c r="E6" t="s">
        <v>696</v>
      </c>
      <c r="F6">
        <v>875</v>
      </c>
    </row>
    <row r="7" spans="1:6" x14ac:dyDescent="0.2">
      <c r="B7">
        <v>93</v>
      </c>
      <c r="E7" t="s">
        <v>696</v>
      </c>
    </row>
    <row r="8" spans="1:6" x14ac:dyDescent="0.2">
      <c r="B8">
        <v>145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B36F-D1D7-304C-B94B-7486419F6543}">
  <sheetPr>
    <pageSetUpPr fitToPage="1"/>
  </sheetPr>
  <dimension ref="A1:BS1403"/>
  <sheetViews>
    <sheetView topLeftCell="A21" zoomScale="86" zoomScaleNormal="92" zoomScalePageLayoutView="75" workbookViewId="0">
      <selection activeCell="C56" sqref="C56"/>
    </sheetView>
  </sheetViews>
  <sheetFormatPr baseColWidth="10" defaultColWidth="10.33203125" defaultRowHeight="13" x14ac:dyDescent="0.15"/>
  <cols>
    <col min="1" max="1" width="15.33203125" style="211" bestFit="1" customWidth="1"/>
    <col min="2" max="2" width="16.6640625" style="211" bestFit="1" customWidth="1"/>
    <col min="3" max="3" width="14.6640625" style="211" bestFit="1" customWidth="1"/>
    <col min="4" max="4" width="11.1640625" style="211" bestFit="1" customWidth="1"/>
    <col min="5" max="5" width="8" style="211" bestFit="1" customWidth="1"/>
    <col min="6" max="6" width="11" style="211" bestFit="1" customWidth="1"/>
    <col min="7" max="7" width="15.1640625" style="211" bestFit="1" customWidth="1"/>
    <col min="8" max="8" width="14.33203125" style="211" bestFit="1" customWidth="1"/>
    <col min="9" max="9" width="12.5" style="211" bestFit="1" customWidth="1"/>
    <col min="10" max="10" width="8.5" style="211" bestFit="1" customWidth="1"/>
    <col min="11" max="11" width="8.33203125" style="211" bestFit="1" customWidth="1"/>
    <col min="12" max="12" width="8.33203125" style="211" hidden="1" customWidth="1"/>
    <col min="13" max="13" width="12.6640625" style="211" hidden="1" customWidth="1"/>
    <col min="14" max="14" width="9" style="211" bestFit="1" customWidth="1"/>
    <col min="15" max="15" width="11.33203125" style="253" bestFit="1" customWidth="1"/>
    <col min="16" max="16" width="11.33203125" style="253" hidden="1" customWidth="1"/>
    <col min="17" max="17" width="11.33203125" style="219" bestFit="1" customWidth="1"/>
    <col min="18" max="18" width="8" style="211" bestFit="1" customWidth="1"/>
    <col min="19" max="19" width="12.5" style="211" customWidth="1"/>
    <col min="20" max="20" width="9.33203125" style="211" bestFit="1" customWidth="1"/>
    <col min="21" max="21" width="7.1640625" style="211" customWidth="1"/>
    <col min="22" max="22" width="11.6640625" style="212" customWidth="1"/>
    <col min="23" max="23" width="8.6640625" style="212" customWidth="1"/>
    <col min="24" max="24" width="6.5" style="212" customWidth="1"/>
    <col min="25" max="25" width="12.33203125" style="212" bestFit="1" customWidth="1"/>
    <col min="26" max="26" width="11.1640625" style="212" customWidth="1"/>
    <col min="27" max="27" width="8.83203125" style="212" bestFit="1" customWidth="1"/>
    <col min="28" max="28" width="12.5" style="211" bestFit="1" customWidth="1"/>
    <col min="29" max="29" width="12.33203125" style="211" hidden="1" customWidth="1"/>
    <col min="30" max="30" width="7" style="211" hidden="1" customWidth="1"/>
    <col min="31" max="31" width="7.6640625" style="211" hidden="1" customWidth="1"/>
    <col min="32" max="32" width="13.83203125" style="211" hidden="1" customWidth="1"/>
    <col min="33" max="35" width="19.83203125" style="211" hidden="1" customWidth="1"/>
    <col min="36" max="36" width="12.1640625" style="211" hidden="1" customWidth="1"/>
    <col min="37" max="38" width="24.5" style="211" hidden="1" customWidth="1"/>
    <col min="39" max="39" width="23.5" style="211" hidden="1" customWidth="1"/>
    <col min="40" max="40" width="12.6640625" style="211" hidden="1" customWidth="1"/>
    <col min="41" max="41" width="6.5" style="211" hidden="1" customWidth="1"/>
    <col min="42" max="42" width="14.1640625" style="211" hidden="1" customWidth="1"/>
    <col min="43" max="43" width="13.1640625" style="211" hidden="1" customWidth="1"/>
    <col min="44" max="44" width="3.6640625" style="211" customWidth="1"/>
    <col min="45" max="45" width="7.1640625" style="214" customWidth="1"/>
    <col min="46" max="46" width="4.1640625" style="211" bestFit="1" customWidth="1"/>
    <col min="47" max="47" width="6.5" style="211" customWidth="1"/>
    <col min="48" max="48" width="6.6640625" style="211" bestFit="1" customWidth="1"/>
    <col min="49" max="49" width="6.33203125" style="211" customWidth="1"/>
    <col min="50" max="50" width="23.5" style="211" customWidth="1"/>
    <col min="51" max="51" width="21" style="211" customWidth="1"/>
    <col min="52" max="52" width="22.1640625" style="211" customWidth="1"/>
    <col min="53" max="53" width="10.33203125" style="211" customWidth="1"/>
    <col min="54" max="54" width="24.83203125" style="211" customWidth="1"/>
    <col min="55" max="55" width="15.6640625" style="211" customWidth="1"/>
    <col min="56" max="57" width="10.33203125" style="211" customWidth="1"/>
    <col min="58" max="58" width="14.33203125" style="211" bestFit="1" customWidth="1"/>
    <col min="59" max="63" width="10.33203125" style="211" customWidth="1"/>
    <col min="64" max="64" width="22.5" style="211" customWidth="1"/>
    <col min="65" max="16384" width="10.33203125" style="211"/>
  </cols>
  <sheetData>
    <row r="1" spans="1:71" hidden="1" x14ac:dyDescent="0.15">
      <c r="A1" s="210" t="s">
        <v>110</v>
      </c>
      <c r="B1" s="211" t="s">
        <v>488</v>
      </c>
      <c r="H1" s="212"/>
      <c r="I1" s="213" t="s">
        <v>489</v>
      </c>
      <c r="L1" s="212"/>
      <c r="O1" s="211"/>
      <c r="P1" s="211"/>
      <c r="Q1" s="211"/>
      <c r="R1" s="211">
        <v>18</v>
      </c>
      <c r="T1" s="211">
        <v>5</v>
      </c>
      <c r="BR1" s="211" t="s">
        <v>490</v>
      </c>
      <c r="BS1" s="211" t="s">
        <v>491</v>
      </c>
    </row>
    <row r="2" spans="1:71" hidden="1" x14ac:dyDescent="0.15">
      <c r="A2" s="210" t="s">
        <v>492</v>
      </c>
      <c r="B2" s="211" t="s">
        <v>493</v>
      </c>
      <c r="H2" s="213" t="s">
        <v>494</v>
      </c>
      <c r="I2" s="212">
        <v>1.5512499999999999E-10</v>
      </c>
      <c r="N2" s="212"/>
      <c r="O2" s="211"/>
      <c r="P2" s="211"/>
      <c r="Q2" s="211"/>
    </row>
    <row r="3" spans="1:71" hidden="1" x14ac:dyDescent="0.15">
      <c r="A3" s="210" t="s">
        <v>495</v>
      </c>
      <c r="B3" s="215">
        <v>2</v>
      </c>
      <c r="H3" s="213" t="s">
        <v>496</v>
      </c>
      <c r="I3" s="212">
        <v>9.8484999999999996E-10</v>
      </c>
      <c r="N3" s="212"/>
      <c r="O3" s="211"/>
      <c r="P3" s="211"/>
      <c r="Q3" s="211"/>
    </row>
    <row r="4" spans="1:71" hidden="1" x14ac:dyDescent="0.15">
      <c r="A4" s="210"/>
      <c r="B4" s="215"/>
      <c r="H4" s="213" t="s">
        <v>497</v>
      </c>
      <c r="I4" s="212">
        <v>4.9475000000000002E-11</v>
      </c>
      <c r="O4" s="211"/>
      <c r="P4" s="211"/>
      <c r="Q4" s="211"/>
    </row>
    <row r="5" spans="1:71" hidden="1" x14ac:dyDescent="0.15">
      <c r="B5" s="216" t="s">
        <v>498</v>
      </c>
      <c r="C5" s="217" t="s">
        <v>499</v>
      </c>
      <c r="H5" s="213" t="s">
        <v>500</v>
      </c>
      <c r="I5" s="218">
        <v>6.54E-12</v>
      </c>
      <c r="O5" s="211"/>
      <c r="P5" s="211"/>
      <c r="Q5" s="211"/>
      <c r="BR5" s="211">
        <v>3257</v>
      </c>
      <c r="BS5" s="219">
        <v>20.433309495940001</v>
      </c>
    </row>
    <row r="6" spans="1:71" hidden="1" x14ac:dyDescent="0.15">
      <c r="A6" s="217" t="s">
        <v>501</v>
      </c>
      <c r="B6" s="220">
        <v>5.0000002374872565E-4</v>
      </c>
      <c r="C6" s="211">
        <v>2.3700000000000003E-5</v>
      </c>
      <c r="O6" s="211"/>
      <c r="P6" s="211"/>
      <c r="Q6" s="211"/>
      <c r="BR6" s="211">
        <v>3258</v>
      </c>
      <c r="BS6" s="219">
        <v>6.9844258068200009</v>
      </c>
    </row>
    <row r="7" spans="1:71" hidden="1" x14ac:dyDescent="0.15">
      <c r="A7" s="217" t="s">
        <v>502</v>
      </c>
      <c r="B7" s="220">
        <v>0.12710000574588776</v>
      </c>
      <c r="C7" s="221">
        <v>2.9999999999999997E-4</v>
      </c>
      <c r="G7" s="217" t="s">
        <v>503</v>
      </c>
      <c r="H7" s="217" t="s">
        <v>504</v>
      </c>
      <c r="I7" s="217" t="s">
        <v>505</v>
      </c>
      <c r="O7" s="211"/>
      <c r="P7" s="211"/>
      <c r="Q7" s="211"/>
      <c r="BS7" s="219"/>
    </row>
    <row r="8" spans="1:71" hidden="1" x14ac:dyDescent="0.15">
      <c r="A8" s="217" t="s">
        <v>506</v>
      </c>
      <c r="B8" s="220">
        <v>3.8000000640749931E-3</v>
      </c>
      <c r="C8" s="211">
        <v>3.4200000000000005E-5</v>
      </c>
      <c r="F8" s="217" t="s">
        <v>507</v>
      </c>
      <c r="G8" s="212">
        <v>137.88</v>
      </c>
      <c r="H8" s="222">
        <f>B6</f>
        <v>5.0000002374872565E-4</v>
      </c>
      <c r="I8" s="212">
        <v>9.478399999999999E-10</v>
      </c>
      <c r="O8" s="211"/>
      <c r="P8" s="211"/>
      <c r="Q8" s="211"/>
      <c r="BS8" s="219"/>
    </row>
    <row r="9" spans="1:71" hidden="1" x14ac:dyDescent="0.15">
      <c r="B9" s="211" t="s">
        <v>508</v>
      </c>
      <c r="C9" s="211">
        <f>SQRT(C6^2+C7^2+C8^2)</f>
        <v>3.0287180456424131E-4</v>
      </c>
      <c r="F9" s="217" t="s">
        <v>509</v>
      </c>
      <c r="G9" s="223">
        <v>9.9999999999999997E+98</v>
      </c>
      <c r="H9" s="224">
        <f>B7</f>
        <v>0.12710000574588776</v>
      </c>
      <c r="I9" s="212">
        <v>1.85E-9</v>
      </c>
      <c r="N9" s="213"/>
      <c r="O9" s="211"/>
      <c r="P9" s="211"/>
      <c r="Q9" s="211"/>
      <c r="BS9" s="219"/>
    </row>
    <row r="10" spans="1:71" hidden="1" x14ac:dyDescent="0.15">
      <c r="B10" s="217" t="s">
        <v>510</v>
      </c>
      <c r="C10" s="217" t="s">
        <v>499</v>
      </c>
      <c r="F10" s="217" t="s">
        <v>511</v>
      </c>
      <c r="G10" s="212">
        <v>1.0900000000000001</v>
      </c>
      <c r="H10" s="220">
        <v>3.8000000640749931E-3</v>
      </c>
      <c r="I10" s="212">
        <v>2.626E-10</v>
      </c>
      <c r="O10" s="211"/>
      <c r="P10" s="211"/>
      <c r="Q10" s="211"/>
      <c r="BS10" s="219"/>
    </row>
    <row r="11" spans="1:71" hidden="1" x14ac:dyDescent="0.15">
      <c r="A11" s="217" t="s">
        <v>512</v>
      </c>
      <c r="B11" s="225">
        <v>0.82749944925308228</v>
      </c>
      <c r="C11" s="221">
        <v>3.3E-3</v>
      </c>
      <c r="I11" s="226"/>
      <c r="J11" s="226"/>
      <c r="O11" s="211"/>
      <c r="P11" s="211"/>
      <c r="Q11" s="211"/>
      <c r="BS11" s="219"/>
    </row>
    <row r="12" spans="1:71" ht="16" hidden="1" x14ac:dyDescent="0.2">
      <c r="A12" s="217" t="s">
        <v>513</v>
      </c>
      <c r="B12" s="225">
        <v>3.9254941940307617</v>
      </c>
      <c r="C12" s="221">
        <v>7.6E-3</v>
      </c>
      <c r="K12" s="226"/>
      <c r="L12" s="219"/>
      <c r="O12" s="227"/>
      <c r="P12" s="227"/>
      <c r="Q12" s="211"/>
      <c r="BS12" s="219"/>
    </row>
    <row r="13" spans="1:71" hidden="1" x14ac:dyDescent="0.15">
      <c r="A13" s="217" t="s">
        <v>514</v>
      </c>
      <c r="B13" s="228">
        <v>0.16359999775886536</v>
      </c>
      <c r="C13" s="221">
        <v>6.9999999999999999E-4</v>
      </c>
      <c r="O13" s="219"/>
      <c r="P13" s="219"/>
      <c r="Q13" s="211"/>
      <c r="X13" s="229"/>
      <c r="BS13" s="219"/>
    </row>
    <row r="14" spans="1:71" hidden="1" x14ac:dyDescent="0.15">
      <c r="B14" s="211" t="s">
        <v>508</v>
      </c>
      <c r="C14" s="211">
        <f>SQRT(C11^2+C12^2+C13^2)</f>
        <v>8.3150466023949616E-3</v>
      </c>
      <c r="K14" s="226"/>
      <c r="O14" s="211"/>
      <c r="P14" s="211"/>
      <c r="Q14" s="211"/>
      <c r="BS14" s="219"/>
    </row>
    <row r="15" spans="1:71" hidden="1" x14ac:dyDescent="0.15">
      <c r="A15" s="217"/>
      <c r="O15" s="211"/>
      <c r="P15" s="211"/>
      <c r="Q15" s="211"/>
      <c r="BS15" s="219"/>
    </row>
    <row r="16" spans="1:71" hidden="1" x14ac:dyDescent="0.15">
      <c r="A16" s="217" t="s">
        <v>515</v>
      </c>
      <c r="B16" s="217" t="s">
        <v>516</v>
      </c>
      <c r="C16" s="217" t="s">
        <v>517</v>
      </c>
      <c r="D16" s="217" t="s">
        <v>518</v>
      </c>
      <c r="F16" s="217" t="s">
        <v>519</v>
      </c>
      <c r="G16" s="230" t="s">
        <v>520</v>
      </c>
      <c r="H16" s="217" t="s">
        <v>521</v>
      </c>
      <c r="I16" s="231" t="s">
        <v>499</v>
      </c>
      <c r="K16" s="226"/>
      <c r="L16" s="232"/>
      <c r="M16" s="233"/>
      <c r="O16" s="211"/>
      <c r="P16" s="211"/>
      <c r="Q16" s="211"/>
      <c r="BS16" s="219"/>
    </row>
    <row r="17" spans="1:71" hidden="1" x14ac:dyDescent="0.15">
      <c r="A17" s="217" t="s">
        <v>522</v>
      </c>
      <c r="B17" s="211">
        <f>I8/238*6.02E+23</f>
        <v>2397477647058.8232</v>
      </c>
      <c r="C17" s="234">
        <f>(B11-H$8)/(1-B11/$G$8)*0.1*H$17</f>
        <v>2397477647058.8223</v>
      </c>
      <c r="D17" s="235">
        <f>C17/B17</f>
        <v>0.99999999999999956</v>
      </c>
      <c r="F17" s="217" t="s">
        <v>523</v>
      </c>
      <c r="G17" s="236">
        <v>11.250720159960341</v>
      </c>
      <c r="H17" s="211">
        <f>G17*0.000000001/235.04*6.02E+23</f>
        <v>28816088905276.23</v>
      </c>
      <c r="I17" s="237">
        <f>0.005*H17</f>
        <v>144080444526.38116</v>
      </c>
      <c r="O17" s="211"/>
      <c r="P17" s="211"/>
      <c r="Q17" s="211"/>
      <c r="BS17" s="219"/>
    </row>
    <row r="18" spans="1:71" hidden="1" x14ac:dyDescent="0.15">
      <c r="A18" s="217" t="s">
        <v>524</v>
      </c>
      <c r="B18" s="211">
        <f>I9/232*6.02E+23</f>
        <v>4800431034482.7588</v>
      </c>
      <c r="C18" s="238">
        <f>(B12-H$9)/(1-B12/G$9)*0.1*H$18</f>
        <v>4800431034482.7598</v>
      </c>
      <c r="D18" s="235">
        <f>C18/B18</f>
        <v>1.0000000000000002</v>
      </c>
      <c r="E18" s="239"/>
      <c r="F18" s="217" t="s">
        <v>525</v>
      </c>
      <c r="G18" s="236">
        <v>4.8291221430709843</v>
      </c>
      <c r="H18" s="211">
        <f>G18*0.000000001/230.03*6.02E+23</f>
        <v>12638053863099.303</v>
      </c>
      <c r="I18" s="237">
        <f>0.005*H18</f>
        <v>63190269315.496513</v>
      </c>
      <c r="O18" s="211"/>
      <c r="P18" s="211"/>
      <c r="Q18" s="211"/>
      <c r="AB18" s="212"/>
      <c r="BS18" s="219"/>
    </row>
    <row r="19" spans="1:71" hidden="1" x14ac:dyDescent="0.15">
      <c r="A19" s="217" t="s">
        <v>526</v>
      </c>
      <c r="B19" s="211">
        <f>I10/147*6.02E+23</f>
        <v>1075409523809.5238</v>
      </c>
      <c r="C19" s="238">
        <f>(B13-H$10)/(1-B13/G$10)*0.1*H$19</f>
        <v>1075409523809.524</v>
      </c>
      <c r="D19" s="235">
        <f>C19/B19</f>
        <v>1.0000000000000002</v>
      </c>
      <c r="F19" s="217" t="s">
        <v>527</v>
      </c>
      <c r="G19" s="236">
        <v>14.148998330175477</v>
      </c>
      <c r="H19" s="211">
        <f>(G19*0.000000001/148.92)*6.02E+23</f>
        <v>57196461152065.797</v>
      </c>
      <c r="I19" s="237">
        <f>0.005*H19</f>
        <v>285982305760.32898</v>
      </c>
      <c r="O19" s="211"/>
      <c r="P19" s="211"/>
      <c r="Q19" s="211"/>
      <c r="AB19" s="212"/>
      <c r="BS19" s="219"/>
    </row>
    <row r="20" spans="1:71" ht="16" hidden="1" x14ac:dyDescent="0.2">
      <c r="E20" s="217"/>
      <c r="F20" s="217" t="s">
        <v>528</v>
      </c>
      <c r="G20" s="211">
        <f>G18/G17</f>
        <v>0.42922782492245432</v>
      </c>
      <c r="O20" s="211"/>
      <c r="P20" s="211"/>
      <c r="Q20" s="211"/>
      <c r="U20" s="227"/>
      <c r="V20" s="227"/>
      <c r="W20" s="211"/>
      <c r="AA20" s="240"/>
      <c r="AB20" s="212"/>
      <c r="AC20" s="240"/>
      <c r="AD20" s="240"/>
      <c r="AE20" s="227"/>
      <c r="AF20" s="227"/>
      <c r="BJ20" s="217"/>
      <c r="BL20" s="217"/>
      <c r="BM20" s="217"/>
      <c r="BS20" s="219"/>
    </row>
    <row r="21" spans="1:71" x14ac:dyDescent="0.15">
      <c r="A21" s="241"/>
      <c r="C21" s="242"/>
      <c r="O21" s="211"/>
      <c r="P21" s="211"/>
      <c r="Q21" s="211"/>
      <c r="V21" s="211"/>
      <c r="W21" s="211"/>
      <c r="Z21" s="213"/>
      <c r="AA21" s="213"/>
      <c r="AB21" s="212"/>
      <c r="AD21" s="213"/>
      <c r="AW21" s="243"/>
      <c r="BM21" s="219"/>
    </row>
    <row r="22" spans="1:71" ht="16" x14ac:dyDescent="0.2">
      <c r="A22" s="244" t="s">
        <v>529</v>
      </c>
      <c r="B22" s="244" t="s">
        <v>530</v>
      </c>
      <c r="C22" s="244" t="s">
        <v>531</v>
      </c>
      <c r="D22" s="244" t="s">
        <v>532</v>
      </c>
      <c r="E22" s="244" t="s">
        <v>531</v>
      </c>
      <c r="F22" s="244" t="s">
        <v>533</v>
      </c>
      <c r="G22" s="244" t="s">
        <v>531</v>
      </c>
      <c r="H22" s="244" t="s">
        <v>534</v>
      </c>
      <c r="I22" s="244" t="s">
        <v>535</v>
      </c>
      <c r="J22" s="245" t="s">
        <v>536</v>
      </c>
      <c r="K22" s="246" t="s">
        <v>537</v>
      </c>
      <c r="L22" s="247" t="s">
        <v>538</v>
      </c>
      <c r="M22" s="248" t="s">
        <v>529</v>
      </c>
      <c r="N22" s="227" t="s">
        <v>539</v>
      </c>
      <c r="O22" s="227" t="s">
        <v>540</v>
      </c>
      <c r="P22" s="249" t="s">
        <v>541</v>
      </c>
      <c r="Q22" s="240" t="s">
        <v>542</v>
      </c>
      <c r="R22" s="240" t="s">
        <v>540</v>
      </c>
      <c r="S22" s="240" t="s">
        <v>543</v>
      </c>
      <c r="T22" s="240" t="s">
        <v>544</v>
      </c>
      <c r="U22" s="240" t="s">
        <v>545</v>
      </c>
      <c r="V22" s="240" t="s">
        <v>546</v>
      </c>
      <c r="W22" s="240" t="s">
        <v>547</v>
      </c>
      <c r="X22" s="217" t="s">
        <v>548</v>
      </c>
      <c r="Y22" s="211" t="s">
        <v>549</v>
      </c>
      <c r="Z22" s="211" t="s">
        <v>550</v>
      </c>
      <c r="AA22" s="211" t="s">
        <v>551</v>
      </c>
      <c r="AB22" s="211" t="s">
        <v>552</v>
      </c>
      <c r="AC22" s="211" t="s">
        <v>553</v>
      </c>
      <c r="AD22" s="211" t="s">
        <v>554</v>
      </c>
      <c r="AE22" s="211" t="s">
        <v>555</v>
      </c>
      <c r="AF22" s="211" t="s">
        <v>556</v>
      </c>
      <c r="AG22" s="211" t="s">
        <v>553</v>
      </c>
      <c r="AH22" s="211" t="s">
        <v>554</v>
      </c>
      <c r="AI22" s="211" t="s">
        <v>555</v>
      </c>
      <c r="AJ22" s="211" t="s">
        <v>556</v>
      </c>
      <c r="AK22" s="211" t="s">
        <v>553</v>
      </c>
      <c r="AL22" s="211" t="s">
        <v>554</v>
      </c>
      <c r="AM22" s="211" t="s">
        <v>555</v>
      </c>
      <c r="AN22" s="211" t="s">
        <v>556</v>
      </c>
      <c r="AO22" s="211" t="s">
        <v>557</v>
      </c>
      <c r="AP22" s="211" t="s">
        <v>558</v>
      </c>
      <c r="AQ22" s="211" t="s">
        <v>559</v>
      </c>
      <c r="AR22" s="211" t="s">
        <v>560</v>
      </c>
      <c r="AS22" s="214" t="s">
        <v>561</v>
      </c>
      <c r="AT22" s="211" t="s">
        <v>562</v>
      </c>
      <c r="AU22" s="211" t="s">
        <v>563</v>
      </c>
      <c r="AV22" s="211" t="s">
        <v>564</v>
      </c>
      <c r="AW22" s="211" t="s">
        <v>565</v>
      </c>
      <c r="BE22" s="219"/>
    </row>
    <row r="23" spans="1:71" x14ac:dyDescent="0.15">
      <c r="A23" s="250"/>
      <c r="B23" s="251"/>
      <c r="C23" s="212"/>
      <c r="D23" s="251"/>
      <c r="E23" s="251"/>
      <c r="H23" s="251"/>
      <c r="J23" s="212"/>
      <c r="K23" s="252"/>
      <c r="L23" s="239"/>
      <c r="M23" s="219"/>
      <c r="N23" s="219"/>
      <c r="O23" s="219"/>
      <c r="P23" s="219"/>
      <c r="Q23" s="249"/>
      <c r="R23" s="252"/>
      <c r="S23" s="253"/>
      <c r="T23" s="253"/>
      <c r="U23" s="212"/>
      <c r="V23" s="252"/>
      <c r="X23" s="211"/>
      <c r="Y23" s="211"/>
      <c r="Z23" s="211"/>
      <c r="AA23" s="211"/>
      <c r="AB23" s="243"/>
      <c r="AC23" s="213"/>
      <c r="BE23" s="219"/>
    </row>
    <row r="24" spans="1:71" x14ac:dyDescent="0.15">
      <c r="A24" s="250"/>
      <c r="B24" s="251"/>
      <c r="C24" s="212"/>
      <c r="D24" s="251"/>
      <c r="E24" s="251"/>
      <c r="G24" s="254"/>
      <c r="H24" s="251"/>
      <c r="J24" s="212"/>
      <c r="K24" s="252"/>
      <c r="L24" s="239"/>
      <c r="M24" s="219"/>
      <c r="N24" s="219"/>
      <c r="O24" s="219"/>
      <c r="Q24" s="249"/>
      <c r="R24" s="252"/>
      <c r="S24" s="253"/>
      <c r="T24" s="253"/>
      <c r="U24" s="212"/>
      <c r="V24" s="252"/>
      <c r="X24" s="211"/>
      <c r="Y24" s="211"/>
      <c r="Z24" s="211"/>
      <c r="AA24" s="211"/>
      <c r="AB24" s="243"/>
      <c r="BE24" s="219"/>
    </row>
    <row r="25" spans="1:71" ht="15" x14ac:dyDescent="0.2">
      <c r="A25" s="255" t="s">
        <v>22</v>
      </c>
      <c r="B25" s="256">
        <v>2.1399999999999999E-2</v>
      </c>
      <c r="C25" s="256">
        <v>3.6380000000000001E-5</v>
      </c>
      <c r="D25" s="256">
        <v>0.15040000000000001</v>
      </c>
      <c r="E25" s="257">
        <v>6.9999999999999999E-4</v>
      </c>
      <c r="F25" s="256">
        <v>0.50860000000000005</v>
      </c>
      <c r="G25" s="256">
        <v>5.9999999999999995E-4</v>
      </c>
      <c r="H25" s="258">
        <v>15.950371838889399</v>
      </c>
      <c r="I25" s="259">
        <v>1.3929125338515819E-3</v>
      </c>
      <c r="J25" s="260">
        <v>10.574</v>
      </c>
      <c r="K25" s="258">
        <v>0.81822068254480096</v>
      </c>
      <c r="L25" s="261">
        <v>1000</v>
      </c>
      <c r="M25" s="262" t="str">
        <f>A25</f>
        <v>IODP364-62-70</v>
      </c>
      <c r="N25" s="263">
        <f>AS25</f>
        <v>54.037997560277219</v>
      </c>
      <c r="O25" s="263">
        <f t="shared" ref="O25:O32" si="0">AU25</f>
        <v>8.0590578697104167</v>
      </c>
      <c r="P25" s="264">
        <f t="shared" ref="P25:P36" si="1">Q25*K25</f>
        <v>54.037748537306292</v>
      </c>
      <c r="Q25" s="264">
        <v>66.043000000000006</v>
      </c>
      <c r="R25" s="258">
        <f t="shared" ref="R25:R36" si="2">O25/N25*Q25</f>
        <v>9.8494463695770342</v>
      </c>
      <c r="S25" s="259">
        <f t="shared" ref="S25:S36" si="3">Y25/6.02E+23*238*1000000/(J25*0.000001)*1000</f>
        <v>180737.13178294574</v>
      </c>
      <c r="T25" s="259">
        <f t="shared" ref="T25:T36" si="4">Z25/6.02E+23*232*1000000/(J25*0.000001)*1000</f>
        <v>202131.62790697668</v>
      </c>
      <c r="U25" s="265">
        <f t="shared" ref="U25:U36" si="5">AA25/6.02E+23*147*1000000/(J25*0.000001)*1000</f>
        <v>0</v>
      </c>
      <c r="V25" s="265">
        <f>(H25)/J25*1000</f>
        <v>1508.4520369670322</v>
      </c>
      <c r="W25" s="258">
        <f t="shared" ref="W25:W36" si="6">K25</f>
        <v>0.81822068254480096</v>
      </c>
      <c r="X25" s="263">
        <f>T25/S25</f>
        <v>1.1183735512065358</v>
      </c>
      <c r="Y25" s="266">
        <v>4833995326666.666</v>
      </c>
      <c r="Z25" s="266">
        <v>5546028361034.4814</v>
      </c>
      <c r="AA25" s="267">
        <v>0</v>
      </c>
      <c r="AB25" s="268">
        <f>(H25)*0.000000001/22400*6.02E+23</f>
        <v>428666243170.15259</v>
      </c>
      <c r="AC25" s="269">
        <f t="shared" ref="AC25:AC36" si="7">SQRT((C25/SQRT(L25-1))^2+C$6^2)</f>
        <v>2.3727933522100684E-5</v>
      </c>
      <c r="AD25" s="269">
        <f t="shared" ref="AD25:AD36" si="8">(1/G$8*(C25/SQRT(L25-1)))</f>
        <v>8.3479276388830671E-9</v>
      </c>
      <c r="AE25" s="269">
        <f t="shared" ref="AE25:AE36" si="9">SQRT((AC25/(B25-B$6))^2+(AD25/(1-B25/G$8))^2)</f>
        <v>1.1353078253447102E-3</v>
      </c>
      <c r="AF25" s="270">
        <f t="shared" ref="AF25:AF36" si="10">SQRT(AE25^2+(I$17/H$17)^2)*Y25</f>
        <v>24785211571.788673</v>
      </c>
      <c r="AG25" s="269">
        <f t="shared" ref="AG25:AG36" si="11">(SQRT((F25/SQRT(L25-1))^2+C$7^2))</f>
        <v>1.6094188171290061E-2</v>
      </c>
      <c r="AH25" s="269">
        <f t="shared" ref="AH25:AH36" si="12">(1/G$9*(F25/SQRT(L25-1)))</f>
        <v>1.6091391887990702E-101</v>
      </c>
      <c r="AI25" s="269">
        <f t="shared" ref="AI25:AI36" si="13">SQRT((AG25/(D25-B$7))^2+(AH25/(1-D25/G$9))^2)</f>
        <v>0.69073786009408888</v>
      </c>
      <c r="AJ25" s="267">
        <f t="shared" ref="AJ25:AJ36" si="14">SQRT(AI25^2+(I$18/H$18)^2)*Z25</f>
        <v>3830952125009.9712</v>
      </c>
      <c r="AK25" s="269">
        <f t="shared" ref="AK25:AK36" si="15">(SQRT((G25/SQRT(L25-1))^2+C$8^2))</f>
        <v>3.9115219037611956E-5</v>
      </c>
      <c r="AL25" s="269">
        <f t="shared" ref="AL25:AL36" si="16">(1/G$10*(G25/SQRT(L25-1)))</f>
        <v>1.7415743041330255E-5</v>
      </c>
      <c r="AM25" s="269">
        <f t="shared" ref="AM25:AM36" si="17">SQRT((AK25/(F25-B$8))^2+(AL25/(1-F25/G$10))^2)</f>
        <v>8.408472575170067E-5</v>
      </c>
      <c r="AN25" s="263">
        <f t="shared" ref="AN25:AN36" si="18">SQRT(AM25^2+(I$19/H$19)^2)*AA25</f>
        <v>0</v>
      </c>
      <c r="AO25" s="263">
        <f t="shared" ref="AO25:AO36" si="19">AB25/((8*Y25*I$2)+(6*Z25*I$4)+(AA25*I$5))/1000000</f>
        <v>56.069054849454083</v>
      </c>
      <c r="AP25" s="263">
        <f t="shared" ref="AP25:AP36" si="20">8*Y25*(EXP(AO25*1000000*I$2)-1)+7*Y25/137.88*(EXP(AO25*1000000*I$3)-1)+6*Z25*(EXP(AO25*1000000*I$4)-1)+AA25*(EXP(AO25*1000000*I$5)-1)</f>
        <v>444194339731.6604</v>
      </c>
      <c r="AQ25" s="263">
        <f>AB25-AP25</f>
        <v>-15528096561.507812</v>
      </c>
      <c r="AR25" s="263">
        <f t="shared" ref="AR25:AR36" si="21">AQ25/(8*Y25*I$2+6*Z25*I$4+AA25*I$5)/1000000</f>
        <v>-2.0310572891768652</v>
      </c>
      <c r="AS25" s="271">
        <f>AR25+AO25</f>
        <v>54.037997560277219</v>
      </c>
      <c r="AT25" s="263">
        <f t="shared" ref="AT25:AT36" si="22">SQRT((8*I$2*AF25)^2+(6*AJ25*I$4)^2+(AN25*I$5)^2)/((Y25*I$2*8)+(6*Z25*I$4)+(AA25*I$5))</f>
        <v>0.14880123078522609</v>
      </c>
      <c r="AU25" s="263">
        <f>SQRT(AV25^2+(AT25)^2)*AS25</f>
        <v>8.0590578697104167</v>
      </c>
      <c r="AV25" s="269">
        <f t="shared" ref="AV25:AV36" si="23">(AW25)/H25</f>
        <v>0.01</v>
      </c>
      <c r="AW25" s="263">
        <f>(0.01*(H25&gt;0.2)+(0.05*((H25&lt;0.2)*(H25&gt;0.04))+0.1*(H25&lt;=0.04)))*H25</f>
        <v>0.15950371838889399</v>
      </c>
      <c r="BE25" s="219"/>
    </row>
    <row r="26" spans="1:71" ht="15" x14ac:dyDescent="0.2">
      <c r="A26" s="255" t="s">
        <v>23</v>
      </c>
      <c r="B26" s="256">
        <v>7.4999999999999997E-3</v>
      </c>
      <c r="C26" s="256">
        <v>1E-4</v>
      </c>
      <c r="D26" s="256">
        <v>0.17330000000000001</v>
      </c>
      <c r="E26" s="257">
        <v>5.0000000000000001E-4</v>
      </c>
      <c r="F26" s="256">
        <v>0.48299999999999998</v>
      </c>
      <c r="G26" s="256">
        <v>4.0000000000000002E-4</v>
      </c>
      <c r="H26" s="258">
        <v>4064.3406730089505</v>
      </c>
      <c r="I26" s="259">
        <v>1.3929125328436493E-3</v>
      </c>
      <c r="J26" s="260">
        <v>14.1</v>
      </c>
      <c r="K26" s="258">
        <v>0.82</v>
      </c>
      <c r="L26" s="261">
        <v>1000</v>
      </c>
      <c r="M26" s="262" t="str">
        <f t="shared" ref="M26:M32" si="24">A26</f>
        <v>IODP364-93-14</v>
      </c>
      <c r="N26" s="263">
        <f t="shared" ref="N26:N32" si="25">AS26</f>
        <v>52.155745153985663</v>
      </c>
      <c r="O26" s="263">
        <f t="shared" si="0"/>
        <v>2.3443163637606541</v>
      </c>
      <c r="P26" s="264">
        <f t="shared" si="1"/>
        <v>54.155260000000006</v>
      </c>
      <c r="Q26" s="264">
        <v>66.043000000000006</v>
      </c>
      <c r="R26" s="258">
        <f t="shared" si="2"/>
        <v>2.9685260013970551</v>
      </c>
      <c r="S26" s="259">
        <f t="shared" si="3"/>
        <v>489392.99578499841</v>
      </c>
      <c r="T26" s="259">
        <f t="shared" si="4"/>
        <v>301934.319914967</v>
      </c>
      <c r="U26" s="265">
        <f t="shared" si="5"/>
        <v>0</v>
      </c>
      <c r="V26" s="265">
        <f t="shared" ref="V26:V36" si="26">(H26)/J26*1000</f>
        <v>288251.11156091851</v>
      </c>
      <c r="W26" s="258">
        <f t="shared" si="6"/>
        <v>0.82</v>
      </c>
      <c r="X26" s="263">
        <f>T26/S26</f>
        <v>0.61695676586187531</v>
      </c>
      <c r="Y26" s="266">
        <v>17454057255555.557</v>
      </c>
      <c r="Z26" s="266">
        <v>11046891785785.441</v>
      </c>
      <c r="AA26" s="267">
        <v>0</v>
      </c>
      <c r="AB26" s="268">
        <f>(H26)*0.000000001/22400*6.02E+23</f>
        <v>109229155587115.53</v>
      </c>
      <c r="AC26" s="269">
        <f t="shared" si="7"/>
        <v>2.3910249057883319E-5</v>
      </c>
      <c r="AD26" s="269">
        <f t="shared" si="8"/>
        <v>2.2946475093136522E-8</v>
      </c>
      <c r="AE26" s="269">
        <f t="shared" si="9"/>
        <v>3.4157498770775161E-3</v>
      </c>
      <c r="AF26" s="269">
        <f t="shared" si="10"/>
        <v>105690546087.85089</v>
      </c>
      <c r="AG26" s="269">
        <f t="shared" si="11"/>
        <v>1.5284388195885451E-2</v>
      </c>
      <c r="AH26" s="269">
        <f t="shared" si="12"/>
        <v>1.5281443731615233E-101</v>
      </c>
      <c r="AI26" s="269">
        <f t="shared" si="13"/>
        <v>0.33083095447625493</v>
      </c>
      <c r="AJ26" s="267">
        <f t="shared" si="14"/>
        <v>3655071121514.8696</v>
      </c>
      <c r="AK26" s="269">
        <f t="shared" si="15"/>
        <v>3.6466425108038221E-5</v>
      </c>
      <c r="AL26" s="269">
        <f t="shared" si="16"/>
        <v>1.1610495360886839E-5</v>
      </c>
      <c r="AM26" s="269">
        <f t="shared" si="17"/>
        <v>7.8902957851524101E-5</v>
      </c>
      <c r="AN26" s="263">
        <f t="shared" si="18"/>
        <v>0</v>
      </c>
      <c r="AO26" s="263">
        <f t="shared" si="19"/>
        <v>4379.7204948234621</v>
      </c>
      <c r="AP26" s="263">
        <f t="shared" si="20"/>
        <v>217157559674467.53</v>
      </c>
      <c r="AQ26" s="263">
        <f t="shared" ref="AQ26:AQ32" si="27">AB26-AP26</f>
        <v>-107928404087352</v>
      </c>
      <c r="AR26" s="263">
        <f t="shared" si="21"/>
        <v>-4327.5647496694764</v>
      </c>
      <c r="AS26" s="271">
        <f t="shared" ref="AS26:AS32" si="28">AR26+AO26</f>
        <v>52.155745153985663</v>
      </c>
      <c r="AT26" s="263">
        <f t="shared" si="22"/>
        <v>4.382187874371879E-2</v>
      </c>
      <c r="AU26" s="263">
        <f t="shared" ref="AU26:AU32" si="29">SQRT(AV26^2+(AT26)^2)*AS26</f>
        <v>2.3443163637606541</v>
      </c>
      <c r="AV26" s="269">
        <f t="shared" si="23"/>
        <v>0.01</v>
      </c>
      <c r="AW26" s="263">
        <f t="shared" ref="AW26:AW36" si="30">(0.01*(H26&gt;0.2)+(0.05*((H26&lt;0.2)*(H26&gt;0.04))+0.1*(H26&lt;=0.04)))*H26</f>
        <v>40.643406730089502</v>
      </c>
      <c r="BE26" s="219"/>
    </row>
    <row r="27" spans="1:71" ht="15" x14ac:dyDescent="0.2">
      <c r="A27" s="255" t="s">
        <v>24</v>
      </c>
      <c r="B27" s="256">
        <v>2.58E-2</v>
      </c>
      <c r="C27" s="256">
        <v>1E-4</v>
      </c>
      <c r="D27" s="256">
        <v>0.1822</v>
      </c>
      <c r="E27" s="257">
        <v>5.9999999999999995E-4</v>
      </c>
      <c r="F27" s="256">
        <v>0.50539999999999996</v>
      </c>
      <c r="G27" s="256">
        <v>2.9999999999999997E-4</v>
      </c>
      <c r="H27" s="272">
        <v>24.351998572047915</v>
      </c>
      <c r="I27" s="259">
        <v>1.7982423543558667E-3</v>
      </c>
      <c r="J27" s="260">
        <v>4.3899999999999997</v>
      </c>
      <c r="K27" s="258">
        <v>0.75980197069568223</v>
      </c>
      <c r="L27" s="261">
        <v>1000</v>
      </c>
      <c r="M27" s="262" t="str">
        <f t="shared" si="24"/>
        <v>IODP364-145-51</v>
      </c>
      <c r="N27" s="263">
        <f t="shared" si="25"/>
        <v>50.180284353446901</v>
      </c>
      <c r="O27" s="263">
        <f t="shared" si="0"/>
        <v>1.43962560324289</v>
      </c>
      <c r="P27" s="264">
        <f t="shared" si="1"/>
        <v>50.179601550654944</v>
      </c>
      <c r="Q27" s="264">
        <v>66.043000000000006</v>
      </c>
      <c r="R27" s="258">
        <f t="shared" si="2"/>
        <v>1.8947121352539587</v>
      </c>
      <c r="S27" s="259">
        <f t="shared" si="3"/>
        <v>824480.39867109619</v>
      </c>
      <c r="T27" s="259">
        <f t="shared" si="4"/>
        <v>337371.72757475084</v>
      </c>
      <c r="U27" s="265">
        <f t="shared" si="5"/>
        <v>0</v>
      </c>
      <c r="V27" s="265">
        <f t="shared" si="26"/>
        <v>5547.1522943161544</v>
      </c>
      <c r="W27" s="258">
        <f t="shared" si="6"/>
        <v>0.75980197069568223</v>
      </c>
      <c r="X27" s="263">
        <f t="shared" ref="X27:X32" si="31">T27/S27</f>
        <v>0.4091931453052482</v>
      </c>
      <c r="Y27" s="266">
        <v>9155127344537.8125</v>
      </c>
      <c r="Z27" s="266">
        <v>3843100233620.689</v>
      </c>
      <c r="AA27" s="267">
        <v>0</v>
      </c>
      <c r="AB27" s="268">
        <f t="shared" ref="AB27:AB36" si="32">(H27)*0.000000001/22400*6.02E+23</f>
        <v>654459961623.78772</v>
      </c>
      <c r="AC27" s="269">
        <f t="shared" si="7"/>
        <v>2.3910249057883319E-5</v>
      </c>
      <c r="AD27" s="269">
        <f t="shared" si="8"/>
        <v>2.2946475093136522E-8</v>
      </c>
      <c r="AE27" s="269">
        <f t="shared" si="9"/>
        <v>9.4506913388845966E-4</v>
      </c>
      <c r="AF27" s="269">
        <f t="shared" si="10"/>
        <v>46586156435.213936</v>
      </c>
      <c r="AG27" s="269">
        <f t="shared" si="11"/>
        <v>1.5992962353636828E-2</v>
      </c>
      <c r="AH27" s="269">
        <f t="shared" si="12"/>
        <v>1.5990148368443764E-101</v>
      </c>
      <c r="AI27" s="269">
        <f t="shared" si="13"/>
        <v>0.29025343051543484</v>
      </c>
      <c r="AJ27" s="267">
        <f t="shared" si="14"/>
        <v>1115638520583.0706</v>
      </c>
      <c r="AK27" s="269">
        <f t="shared" si="15"/>
        <v>3.5492676569823391E-5</v>
      </c>
      <c r="AL27" s="269">
        <f t="shared" si="16"/>
        <v>8.7078715206651277E-6</v>
      </c>
      <c r="AM27" s="269">
        <f t="shared" si="17"/>
        <v>7.2597754115647623E-5</v>
      </c>
      <c r="AN27" s="263">
        <f t="shared" si="18"/>
        <v>0</v>
      </c>
      <c r="AO27" s="263">
        <f t="shared" si="19"/>
        <v>52.347008713830796</v>
      </c>
      <c r="AP27" s="263">
        <f t="shared" si="20"/>
        <v>681549080497.7666</v>
      </c>
      <c r="AQ27" s="263">
        <f t="shared" si="27"/>
        <v>-27089118873.978882</v>
      </c>
      <c r="AR27" s="263">
        <f t="shared" si="21"/>
        <v>-2.1667243603838968</v>
      </c>
      <c r="AS27" s="271">
        <f t="shared" si="28"/>
        <v>50.180284353446901</v>
      </c>
      <c r="AT27" s="263">
        <f t="shared" si="22"/>
        <v>2.6889824056041834E-2</v>
      </c>
      <c r="AU27" s="263">
        <f t="shared" si="29"/>
        <v>1.43962560324289</v>
      </c>
      <c r="AV27" s="269">
        <f t="shared" si="23"/>
        <v>0.01</v>
      </c>
      <c r="AW27" s="263">
        <f t="shared" si="30"/>
        <v>0.24351998572047914</v>
      </c>
      <c r="BE27" s="219"/>
    </row>
    <row r="28" spans="1:71" ht="15" x14ac:dyDescent="0.2">
      <c r="A28" s="255" t="s">
        <v>25</v>
      </c>
      <c r="B28" s="256">
        <v>3.8999999999999998E-3</v>
      </c>
      <c r="C28" s="256">
        <v>1E-4</v>
      </c>
      <c r="D28" s="256">
        <v>0.14360000000000001</v>
      </c>
      <c r="E28" s="257">
        <v>8.0000000000000004E-4</v>
      </c>
      <c r="F28" s="256">
        <v>0.12280000000000001</v>
      </c>
      <c r="G28" s="256">
        <v>2.0000000000000001E-4</v>
      </c>
      <c r="H28" s="272">
        <v>119.05790415412349</v>
      </c>
      <c r="I28" s="259">
        <v>6.7563510774526492E-7</v>
      </c>
      <c r="J28" s="260">
        <v>8.2040000000000006</v>
      </c>
      <c r="K28" s="258">
        <v>0.8022333790906867</v>
      </c>
      <c r="L28" s="261">
        <v>1000</v>
      </c>
      <c r="M28" s="262" t="str">
        <f t="shared" si="24"/>
        <v>IODP364-145-84a</v>
      </c>
      <c r="N28" s="263">
        <f t="shared" si="25"/>
        <v>52.981987517874664</v>
      </c>
      <c r="O28" s="263">
        <f t="shared" si="0"/>
        <v>1.4270544537239493</v>
      </c>
      <c r="P28" s="264">
        <f t="shared" si="1"/>
        <v>52.981899055286227</v>
      </c>
      <c r="Q28" s="264">
        <v>66.043000000000006</v>
      </c>
      <c r="R28" s="258">
        <f t="shared" si="2"/>
        <v>1.7788490334662221</v>
      </c>
      <c r="S28" s="259">
        <f t="shared" si="3"/>
        <v>2022088.9534883723</v>
      </c>
      <c r="T28" s="259">
        <f t="shared" si="4"/>
        <v>922186.918604651</v>
      </c>
      <c r="U28" s="265">
        <f t="shared" si="5"/>
        <v>0</v>
      </c>
      <c r="V28" s="265">
        <f t="shared" si="26"/>
        <v>14512.177493189112</v>
      </c>
      <c r="W28" s="258">
        <f t="shared" si="6"/>
        <v>0.8022333790906867</v>
      </c>
      <c r="X28" s="263">
        <f t="shared" si="31"/>
        <v>0.45605655330531131</v>
      </c>
      <c r="Y28" s="266">
        <v>41960962605882.352</v>
      </c>
      <c r="Z28" s="266">
        <v>19631483323706.895</v>
      </c>
      <c r="AA28" s="267">
        <v>0</v>
      </c>
      <c r="AB28" s="268">
        <f t="shared" si="32"/>
        <v>3199681174142.0688</v>
      </c>
      <c r="AC28" s="269">
        <f t="shared" si="7"/>
        <v>2.3910249057883319E-5</v>
      </c>
      <c r="AD28" s="269">
        <f t="shared" si="8"/>
        <v>2.2946475093136522E-8</v>
      </c>
      <c r="AE28" s="269">
        <f t="shared" si="9"/>
        <v>7.0324262426534629E-3</v>
      </c>
      <c r="AF28" s="269">
        <f t="shared" si="10"/>
        <v>362069907913.68604</v>
      </c>
      <c r="AG28" s="269">
        <f t="shared" si="11"/>
        <v>3.8967852051319096E-3</v>
      </c>
      <c r="AH28" s="269">
        <f t="shared" si="12"/>
        <v>3.8852200626135629E-102</v>
      </c>
      <c r="AI28" s="269">
        <f t="shared" si="13"/>
        <v>0.23616888255344237</v>
      </c>
      <c r="AJ28" s="267">
        <f t="shared" si="14"/>
        <v>4637384422606.6484</v>
      </c>
      <c r="AK28" s="269">
        <f t="shared" si="15"/>
        <v>3.4780454856715724E-5</v>
      </c>
      <c r="AL28" s="269">
        <f t="shared" si="16"/>
        <v>5.8052476804434193E-6</v>
      </c>
      <c r="AM28" s="269">
        <f t="shared" si="17"/>
        <v>2.9234594322129377E-4</v>
      </c>
      <c r="AN28" s="263">
        <f t="shared" si="18"/>
        <v>0</v>
      </c>
      <c r="AO28" s="263">
        <f t="shared" si="19"/>
        <v>55.261088914504661</v>
      </c>
      <c r="AP28" s="263">
        <f t="shared" si="20"/>
        <v>3331643789718.4663</v>
      </c>
      <c r="AQ28" s="263">
        <f t="shared" si="27"/>
        <v>-131962615576.39746</v>
      </c>
      <c r="AR28" s="263">
        <f t="shared" si="21"/>
        <v>-2.2791013966299971</v>
      </c>
      <c r="AS28" s="271">
        <f t="shared" si="28"/>
        <v>52.981987517874664</v>
      </c>
      <c r="AT28" s="263">
        <f t="shared" si="22"/>
        <v>2.5009569913021532E-2</v>
      </c>
      <c r="AU28" s="263">
        <f t="shared" si="29"/>
        <v>1.4270544537239493</v>
      </c>
      <c r="AV28" s="269">
        <f t="shared" si="23"/>
        <v>0.01</v>
      </c>
      <c r="AW28" s="263">
        <f t="shared" si="30"/>
        <v>1.190579041541235</v>
      </c>
      <c r="BE28" s="219"/>
    </row>
    <row r="29" spans="1:71" ht="15" x14ac:dyDescent="0.2">
      <c r="A29" s="255" t="s">
        <v>26</v>
      </c>
      <c r="B29" s="256">
        <v>1.43E-2</v>
      </c>
      <c r="C29" s="256">
        <v>1E-4</v>
      </c>
      <c r="D29" s="256">
        <v>0.15049999999999999</v>
      </c>
      <c r="E29" s="257">
        <v>4.0000000000000002E-4</v>
      </c>
      <c r="F29" s="256">
        <v>8.0999999999999996E-3</v>
      </c>
      <c r="G29" s="256">
        <v>1E-4</v>
      </c>
      <c r="H29" s="272">
        <v>21.987785652001822</v>
      </c>
      <c r="I29" s="259">
        <v>2.9145510946481769E-3</v>
      </c>
      <c r="J29" s="260">
        <v>6.18</v>
      </c>
      <c r="K29" s="258">
        <v>0.77486609605546619</v>
      </c>
      <c r="L29" s="261">
        <v>1000</v>
      </c>
      <c r="M29" s="262" t="str">
        <f t="shared" si="24"/>
        <v>IODP364-93-10</v>
      </c>
      <c r="N29" s="263">
        <f t="shared" si="25"/>
        <v>51.174573076889644</v>
      </c>
      <c r="O29" s="263">
        <f t="shared" si="0"/>
        <v>0.57656242017313508</v>
      </c>
      <c r="P29" s="264">
        <f t="shared" si="1"/>
        <v>51.174481581791156</v>
      </c>
      <c r="Q29" s="264">
        <v>66.043000000000006</v>
      </c>
      <c r="R29" s="258">
        <f t="shared" si="2"/>
        <v>0.74407874118035955</v>
      </c>
      <c r="S29" s="259">
        <f t="shared" si="3"/>
        <v>489532.17054263566</v>
      </c>
      <c r="T29" s="259">
        <f t="shared" si="4"/>
        <v>335855.81395348831</v>
      </c>
      <c r="U29" s="265">
        <f t="shared" si="5"/>
        <v>0</v>
      </c>
      <c r="V29" s="265">
        <f t="shared" si="26"/>
        <v>3557.8941184468968</v>
      </c>
      <c r="W29" s="258">
        <f t="shared" si="6"/>
        <v>0.77486609605546619</v>
      </c>
      <c r="X29" s="263">
        <f t="shared" si="31"/>
        <v>0.68607506138197105</v>
      </c>
      <c r="Y29" s="266">
        <v>7652251705882.3525</v>
      </c>
      <c r="Z29" s="266">
        <v>5385795413793.1025</v>
      </c>
      <c r="AA29" s="267">
        <v>0</v>
      </c>
      <c r="AB29" s="268">
        <f t="shared" si="32"/>
        <v>590921739397.54895</v>
      </c>
      <c r="AC29" s="269">
        <f t="shared" si="7"/>
        <v>2.3910249057883319E-5</v>
      </c>
      <c r="AD29" s="269">
        <f t="shared" si="8"/>
        <v>2.2946475093136522E-8</v>
      </c>
      <c r="AE29" s="269">
        <f t="shared" si="9"/>
        <v>1.7326267464585741E-3</v>
      </c>
      <c r="AF29" s="269">
        <f t="shared" si="10"/>
        <v>40493352785.44603</v>
      </c>
      <c r="AG29" s="269">
        <f t="shared" si="11"/>
        <v>3.9455756953285748E-4</v>
      </c>
      <c r="AH29" s="269">
        <f t="shared" si="12"/>
        <v>2.5627265885317473E-103</v>
      </c>
      <c r="AI29" s="269">
        <f t="shared" si="13"/>
        <v>1.6861438735760341E-2</v>
      </c>
      <c r="AJ29" s="267">
        <f t="shared" si="14"/>
        <v>94720833324.443207</v>
      </c>
      <c r="AK29" s="269">
        <f t="shared" si="15"/>
        <v>3.4346033395575835E-5</v>
      </c>
      <c r="AL29" s="269">
        <f t="shared" si="16"/>
        <v>2.9026238402217096E-6</v>
      </c>
      <c r="AM29" s="269">
        <f t="shared" si="17"/>
        <v>7.987450281231042E-3</v>
      </c>
      <c r="AN29" s="263">
        <f t="shared" si="18"/>
        <v>0</v>
      </c>
      <c r="AO29" s="263">
        <f t="shared" si="19"/>
        <v>53.25913861990739</v>
      </c>
      <c r="AP29" s="263">
        <f t="shared" si="20"/>
        <v>614050447981.42773</v>
      </c>
      <c r="AQ29" s="263">
        <f t="shared" si="27"/>
        <v>-23128708583.878784</v>
      </c>
      <c r="AR29" s="263">
        <f t="shared" si="21"/>
        <v>-2.084565543017745</v>
      </c>
      <c r="AS29" s="271">
        <f t="shared" si="28"/>
        <v>51.174573076889644</v>
      </c>
      <c r="AT29" s="263">
        <f t="shared" si="22"/>
        <v>5.1899734388558896E-3</v>
      </c>
      <c r="AU29" s="263">
        <f t="shared" si="29"/>
        <v>0.57656242017313508</v>
      </c>
      <c r="AV29" s="269">
        <f t="shared" si="23"/>
        <v>0.01</v>
      </c>
      <c r="AW29" s="263">
        <f t="shared" si="30"/>
        <v>0.21987785652001823</v>
      </c>
      <c r="BE29" s="219"/>
    </row>
    <row r="30" spans="1:71" ht="15" x14ac:dyDescent="0.2">
      <c r="A30" s="255" t="s">
        <v>27</v>
      </c>
      <c r="B30" s="256">
        <v>3.3099999999999997E-2</v>
      </c>
      <c r="C30" s="256">
        <v>1E-4</v>
      </c>
      <c r="D30" s="256">
        <v>0.1424</v>
      </c>
      <c r="E30" s="257">
        <v>2.9999999999999997E-4</v>
      </c>
      <c r="F30" s="256">
        <v>1.34E-2</v>
      </c>
      <c r="G30" s="256">
        <v>1E-4</v>
      </c>
      <c r="H30" s="272">
        <v>34.275592170147576</v>
      </c>
      <c r="I30" s="259">
        <v>4.1217976860989632E-3</v>
      </c>
      <c r="J30" s="260">
        <v>2.3260000000000001</v>
      </c>
      <c r="K30" s="258">
        <v>0.70678784976187647</v>
      </c>
      <c r="L30" s="261">
        <v>1000</v>
      </c>
      <c r="M30" s="273" t="str">
        <f t="shared" si="24"/>
        <v>RIES01-3</v>
      </c>
      <c r="N30" s="274">
        <f t="shared" si="25"/>
        <v>183.76500959876313</v>
      </c>
      <c r="O30" s="274">
        <f t="shared" si="0"/>
        <v>2.0750323042797461</v>
      </c>
      <c r="P30" s="264">
        <f t="shared" si="1"/>
        <v>183.76484093808787</v>
      </c>
      <c r="Q30" s="275">
        <v>260</v>
      </c>
      <c r="R30" s="276">
        <f t="shared" si="2"/>
        <v>2.9358603157952072</v>
      </c>
      <c r="S30" s="259">
        <f t="shared" si="3"/>
        <v>604746.51162790682</v>
      </c>
      <c r="T30" s="259">
        <f t="shared" si="4"/>
        <v>176684.88372093023</v>
      </c>
      <c r="U30" s="277">
        <f t="shared" si="5"/>
        <v>0</v>
      </c>
      <c r="V30" s="277">
        <f t="shared" si="26"/>
        <v>14735.852179771098</v>
      </c>
      <c r="W30" s="276">
        <f t="shared" si="6"/>
        <v>0.70678784976187647</v>
      </c>
      <c r="X30" s="274">
        <f t="shared" si="31"/>
        <v>0.29216354344122664</v>
      </c>
      <c r="Y30" s="266">
        <v>3557972741176.4697</v>
      </c>
      <c r="Z30" s="266">
        <v>1066393800862.0688</v>
      </c>
      <c r="AA30" s="278">
        <v>0</v>
      </c>
      <c r="AB30" s="279">
        <f t="shared" si="32"/>
        <v>921156539572.71606</v>
      </c>
      <c r="AC30" s="280">
        <f t="shared" si="7"/>
        <v>2.3910249057883319E-5</v>
      </c>
      <c r="AD30" s="280">
        <f t="shared" si="8"/>
        <v>2.2946475093136522E-8</v>
      </c>
      <c r="AE30" s="280">
        <f t="shared" si="9"/>
        <v>7.3344322352788627E-4</v>
      </c>
      <c r="AF30" s="280">
        <f t="shared" si="10"/>
        <v>17980242252.531277</v>
      </c>
      <c r="AG30" s="280">
        <f t="shared" si="11"/>
        <v>5.1936474633896721E-4</v>
      </c>
      <c r="AH30" s="280">
        <f t="shared" si="12"/>
        <v>4.2395723810278293E-103</v>
      </c>
      <c r="AI30" s="280">
        <f t="shared" si="13"/>
        <v>3.3945421005591253E-2</v>
      </c>
      <c r="AJ30" s="278">
        <f t="shared" si="14"/>
        <v>36589766311.811699</v>
      </c>
      <c r="AK30" s="280">
        <f t="shared" si="15"/>
        <v>3.4346033395575835E-5</v>
      </c>
      <c r="AL30" s="280">
        <f t="shared" si="16"/>
        <v>2.9026238402217096E-6</v>
      </c>
      <c r="AM30" s="280">
        <f t="shared" si="17"/>
        <v>3.5777130428714418E-3</v>
      </c>
      <c r="AN30" s="274">
        <f t="shared" si="18"/>
        <v>0</v>
      </c>
      <c r="AO30" s="274">
        <f t="shared" si="19"/>
        <v>194.66524137260788</v>
      </c>
      <c r="AP30" s="274">
        <f t="shared" si="20"/>
        <v>972736470897.57092</v>
      </c>
      <c r="AQ30" s="274">
        <f t="shared" si="27"/>
        <v>-51579931324.854858</v>
      </c>
      <c r="AR30" s="274">
        <f t="shared" si="21"/>
        <v>-10.900231773844762</v>
      </c>
      <c r="AS30" s="281">
        <f>AR30+AO30</f>
        <v>183.76500959876313</v>
      </c>
      <c r="AT30" s="263">
        <f t="shared" si="22"/>
        <v>5.2444332192187514E-3</v>
      </c>
      <c r="AU30" s="263">
        <f t="shared" si="29"/>
        <v>2.0750323042797461</v>
      </c>
      <c r="AV30" s="269">
        <f t="shared" si="23"/>
        <v>0.01</v>
      </c>
      <c r="AW30" s="263">
        <f t="shared" si="30"/>
        <v>0.34275592170147579</v>
      </c>
      <c r="BE30" s="219"/>
    </row>
    <row r="31" spans="1:71" ht="15" x14ac:dyDescent="0.2">
      <c r="A31" s="255" t="s">
        <v>28</v>
      </c>
      <c r="B31" s="256">
        <v>6.4999999999999997E-3</v>
      </c>
      <c r="C31" s="256">
        <v>1E-4</v>
      </c>
      <c r="D31" s="256">
        <v>0.28510000000000002</v>
      </c>
      <c r="E31" s="257">
        <v>1E-3</v>
      </c>
      <c r="F31" s="256">
        <v>2.4E-2</v>
      </c>
      <c r="G31" s="256">
        <v>1E-4</v>
      </c>
      <c r="H31" s="258">
        <v>8.2120462236314982</v>
      </c>
      <c r="I31" s="259">
        <v>2.0638323673183678E-3</v>
      </c>
      <c r="J31" s="260">
        <v>4.2839999999999998</v>
      </c>
      <c r="K31" s="258">
        <v>0.75935984643244892</v>
      </c>
      <c r="L31" s="261">
        <v>1000</v>
      </c>
      <c r="M31" s="262" t="str">
        <f t="shared" si="24"/>
        <v>RIES02-14</v>
      </c>
      <c r="N31" s="263">
        <f t="shared" si="25"/>
        <v>11.244752211054411</v>
      </c>
      <c r="O31" s="263">
        <f t="shared" si="0"/>
        <v>0.12751873463800431</v>
      </c>
      <c r="P31" s="264">
        <f t="shared" si="1"/>
        <v>11.244600605971703</v>
      </c>
      <c r="Q31" s="264">
        <v>14.808</v>
      </c>
      <c r="R31" s="258">
        <f t="shared" si="2"/>
        <v>0.1679269927053825</v>
      </c>
      <c r="S31" s="259">
        <f t="shared" si="3"/>
        <v>1139952.3255813953</v>
      </c>
      <c r="T31" s="259">
        <f t="shared" si="4"/>
        <v>1102838.1976744183</v>
      </c>
      <c r="U31" s="265">
        <f t="shared" si="5"/>
        <v>0</v>
      </c>
      <c r="V31" s="265">
        <f t="shared" si="26"/>
        <v>1916.9108832006298</v>
      </c>
      <c r="W31" s="258">
        <f t="shared" si="6"/>
        <v>0.75935984643244892</v>
      </c>
      <c r="X31" s="263">
        <f t="shared" si="31"/>
        <v>0.96744238590149101</v>
      </c>
      <c r="Y31" s="266">
        <v>12352523400000</v>
      </c>
      <c r="Z31" s="266">
        <v>12259415607672.412</v>
      </c>
      <c r="AA31" s="267">
        <v>0</v>
      </c>
      <c r="AB31" s="268">
        <f t="shared" si="32"/>
        <v>220698742260.09653</v>
      </c>
      <c r="AC31" s="269">
        <f t="shared" si="7"/>
        <v>2.3910249057883319E-5</v>
      </c>
      <c r="AD31" s="269">
        <f t="shared" si="8"/>
        <v>2.2946475093136522E-8</v>
      </c>
      <c r="AE31" s="269">
        <f t="shared" si="9"/>
        <v>3.9850415254865665E-3</v>
      </c>
      <c r="AF31" s="269">
        <f t="shared" si="10"/>
        <v>78979445801.864883</v>
      </c>
      <c r="AG31" s="269">
        <f t="shared" si="11"/>
        <v>8.1644141037589255E-4</v>
      </c>
      <c r="AH31" s="269">
        <f t="shared" si="12"/>
        <v>7.5932639660199927E-103</v>
      </c>
      <c r="AI31" s="269">
        <f t="shared" si="13"/>
        <v>5.1673508864994349E-3</v>
      </c>
      <c r="AJ31" s="267">
        <f t="shared" si="14"/>
        <v>88149814718.146255</v>
      </c>
      <c r="AK31" s="269">
        <f t="shared" si="15"/>
        <v>3.4346033395575835E-5</v>
      </c>
      <c r="AL31" s="269">
        <f t="shared" si="16"/>
        <v>2.9026238402217096E-6</v>
      </c>
      <c r="AM31" s="269">
        <f t="shared" si="17"/>
        <v>1.7003012787291248E-3</v>
      </c>
      <c r="AN31" s="263">
        <f t="shared" si="18"/>
        <v>0</v>
      </c>
      <c r="AO31" s="263">
        <f t="shared" si="19"/>
        <v>11.63489693633959</v>
      </c>
      <c r="AP31" s="263">
        <f t="shared" si="20"/>
        <v>228099276243.42023</v>
      </c>
      <c r="AQ31" s="263">
        <f t="shared" si="27"/>
        <v>-7400533983.3237</v>
      </c>
      <c r="AR31" s="263">
        <f t="shared" si="21"/>
        <v>-0.39014472528517929</v>
      </c>
      <c r="AS31" s="271">
        <f t="shared" si="28"/>
        <v>11.244752211054411</v>
      </c>
      <c r="AT31" s="263">
        <f t="shared" si="22"/>
        <v>5.3480972483874378E-3</v>
      </c>
      <c r="AU31" s="263">
        <f t="shared" si="29"/>
        <v>0.12751873463800431</v>
      </c>
      <c r="AV31" s="269">
        <f t="shared" si="23"/>
        <v>0.01</v>
      </c>
      <c r="AW31" s="263">
        <f t="shared" si="30"/>
        <v>8.2120462236314987E-2</v>
      </c>
      <c r="BE31" s="219"/>
    </row>
    <row r="32" spans="1:71" ht="15" x14ac:dyDescent="0.2">
      <c r="A32" s="255" t="s">
        <v>29</v>
      </c>
      <c r="B32" s="256">
        <v>5.7999999999999996E-3</v>
      </c>
      <c r="C32" s="256">
        <v>3.4799999999999999E-5</v>
      </c>
      <c r="D32" s="256">
        <v>0.16450000000000001</v>
      </c>
      <c r="E32" s="257">
        <v>5.0000000000000001E-4</v>
      </c>
      <c r="F32" s="256">
        <v>6.7999999999999996E-3</v>
      </c>
      <c r="G32" s="256">
        <v>1E-4</v>
      </c>
      <c r="H32" s="258">
        <v>10.867642567507323</v>
      </c>
      <c r="I32" s="259">
        <v>2.0633722494402254E-3</v>
      </c>
      <c r="J32" s="260">
        <v>8.8719999999999999</v>
      </c>
      <c r="K32" s="258">
        <v>0.80761129814216925</v>
      </c>
      <c r="L32" s="261">
        <v>1000</v>
      </c>
      <c r="M32" s="262" t="str">
        <f t="shared" si="24"/>
        <v>RIES04-2</v>
      </c>
      <c r="N32" s="263">
        <f t="shared" si="25"/>
        <v>11.959013629831626</v>
      </c>
      <c r="O32" s="263">
        <f t="shared" si="0"/>
        <v>0.14090499883994537</v>
      </c>
      <c r="P32" s="264">
        <f t="shared" si="1"/>
        <v>11.959108102889243</v>
      </c>
      <c r="Q32" s="264">
        <v>14.808</v>
      </c>
      <c r="R32" s="258">
        <f t="shared" si="2"/>
        <v>0.1744726854075245</v>
      </c>
      <c r="S32" s="259">
        <f t="shared" si="3"/>
        <v>774922.198731501</v>
      </c>
      <c r="T32" s="259">
        <f t="shared" si="4"/>
        <v>279436.53276955616</v>
      </c>
      <c r="U32" s="265">
        <f t="shared" si="5"/>
        <v>0</v>
      </c>
      <c r="V32" s="265">
        <f t="shared" si="26"/>
        <v>1224.9371694665604</v>
      </c>
      <c r="W32" s="258">
        <f t="shared" si="6"/>
        <v>0.80761129814216925</v>
      </c>
      <c r="X32" s="263">
        <f t="shared" si="31"/>
        <v>0.36059946821368161</v>
      </c>
      <c r="Y32" s="266">
        <v>17389983478074.863</v>
      </c>
      <c r="Z32" s="266">
        <v>6432995142570.5342</v>
      </c>
      <c r="AA32" s="267">
        <v>0</v>
      </c>
      <c r="AB32" s="268">
        <f t="shared" si="32"/>
        <v>292067894001.75928</v>
      </c>
      <c r="AC32" s="269">
        <f t="shared" si="7"/>
        <v>2.3725561157794613E-5</v>
      </c>
      <c r="AD32" s="269">
        <f t="shared" si="8"/>
        <v>7.9853733324115088E-9</v>
      </c>
      <c r="AE32" s="269">
        <f t="shared" si="9"/>
        <v>4.476520993234724E-3</v>
      </c>
      <c r="AF32" s="269">
        <f t="shared" si="10"/>
        <v>116706406555.73827</v>
      </c>
      <c r="AG32" s="269">
        <f t="shared" si="11"/>
        <v>3.6916972558199605E-4</v>
      </c>
      <c r="AH32" s="269">
        <f t="shared" si="12"/>
        <v>2.1514247903723309E-103</v>
      </c>
      <c r="AI32" s="269">
        <f t="shared" si="13"/>
        <v>9.8708497940853193E-3</v>
      </c>
      <c r="AJ32" s="267">
        <f t="shared" si="14"/>
        <v>71180931563.330185</v>
      </c>
      <c r="AK32" s="269">
        <f t="shared" si="15"/>
        <v>3.4346033395575835E-5</v>
      </c>
      <c r="AL32" s="269">
        <f t="shared" si="16"/>
        <v>2.9026238402217096E-6</v>
      </c>
      <c r="AM32" s="269">
        <f t="shared" si="17"/>
        <v>1.144867841564051E-2</v>
      </c>
      <c r="AN32" s="263">
        <f t="shared" si="18"/>
        <v>0</v>
      </c>
      <c r="AO32" s="263">
        <f t="shared" si="19"/>
        <v>12.433392206695647</v>
      </c>
      <c r="AP32" s="263">
        <f t="shared" si="20"/>
        <v>303211333346.46313</v>
      </c>
      <c r="AQ32" s="263">
        <f t="shared" si="27"/>
        <v>-11143439344.703857</v>
      </c>
      <c r="AR32" s="263">
        <f t="shared" si="21"/>
        <v>-0.47437857686402196</v>
      </c>
      <c r="AS32" s="271">
        <f t="shared" si="28"/>
        <v>11.959013629831626</v>
      </c>
      <c r="AT32" s="263">
        <f t="shared" si="22"/>
        <v>6.2308273248591495E-3</v>
      </c>
      <c r="AU32" s="263">
        <f t="shared" si="29"/>
        <v>0.14090499883994537</v>
      </c>
      <c r="AV32" s="269">
        <f t="shared" si="23"/>
        <v>0.01</v>
      </c>
      <c r="AW32" s="263">
        <f t="shared" si="30"/>
        <v>0.10867642567507323</v>
      </c>
      <c r="BE32" s="219"/>
    </row>
    <row r="33" spans="1:67" ht="15" x14ac:dyDescent="0.2">
      <c r="A33" s="255" t="s">
        <v>30</v>
      </c>
      <c r="B33" s="256">
        <v>1.09E-2</v>
      </c>
      <c r="C33" s="256">
        <v>2.0000000000000001E-4</v>
      </c>
      <c r="D33" s="256">
        <v>0.21379999999999999</v>
      </c>
      <c r="E33" s="257">
        <v>1.4E-3</v>
      </c>
      <c r="F33" s="256">
        <v>1.66E-2</v>
      </c>
      <c r="G33" s="256">
        <v>2.9999999999999997E-4</v>
      </c>
      <c r="H33" s="258">
        <v>4.0840431289978509</v>
      </c>
      <c r="I33" s="259">
        <v>2.9145510941950619E-3</v>
      </c>
      <c r="J33" s="260">
        <v>5.1820000000000004</v>
      </c>
      <c r="K33" s="258">
        <v>0.76444156924596818</v>
      </c>
      <c r="L33" s="261">
        <v>1000</v>
      </c>
      <c r="M33" s="262" t="str">
        <f>A33</f>
        <v>RIES04-7</v>
      </c>
      <c r="N33" s="263">
        <f>AS33</f>
        <v>11.320008934990417</v>
      </c>
      <c r="O33" s="263">
        <f>AU33</f>
        <v>0.12668770045149408</v>
      </c>
      <c r="P33" s="264">
        <f t="shared" si="1"/>
        <v>11.319850757394297</v>
      </c>
      <c r="Q33" s="264">
        <v>14.808</v>
      </c>
      <c r="R33" s="258">
        <f t="shared" si="2"/>
        <v>0.16572349713320367</v>
      </c>
      <c r="S33" s="259">
        <f t="shared" si="3"/>
        <v>513055.81395348825</v>
      </c>
      <c r="T33" s="259">
        <f t="shared" si="4"/>
        <v>248286.04651162791</v>
      </c>
      <c r="U33" s="265">
        <f t="shared" si="5"/>
        <v>0</v>
      </c>
      <c r="V33" s="265">
        <f t="shared" si="26"/>
        <v>788.12102064798353</v>
      </c>
      <c r="W33" s="258">
        <f t="shared" si="6"/>
        <v>0.76444156924596818</v>
      </c>
      <c r="X33" s="263">
        <f>T33/S33</f>
        <v>0.48393574297188768</v>
      </c>
      <c r="Y33" s="266">
        <v>6724833811764.7061</v>
      </c>
      <c r="Z33" s="266">
        <v>3338552639655.1729</v>
      </c>
      <c r="AA33" s="267">
        <v>0</v>
      </c>
      <c r="AB33" s="268">
        <f t="shared" si="32"/>
        <v>109758659091.81725</v>
      </c>
      <c r="AC33" s="269">
        <f t="shared" si="7"/>
        <v>2.4530186302595425E-5</v>
      </c>
      <c r="AD33" s="269">
        <f t="shared" si="8"/>
        <v>4.5892950186273044E-8</v>
      </c>
      <c r="AE33" s="269">
        <f t="shared" si="9"/>
        <v>2.3586717656975879E-3</v>
      </c>
      <c r="AF33" s="269">
        <f t="shared" si="10"/>
        <v>37177647841.557457</v>
      </c>
      <c r="AG33" s="269">
        <f t="shared" si="11"/>
        <v>6.0484364577619227E-4</v>
      </c>
      <c r="AH33" s="269">
        <f t="shared" si="12"/>
        <v>5.2520075764971616E-103</v>
      </c>
      <c r="AI33" s="269">
        <f t="shared" si="13"/>
        <v>6.9762824205435768E-3</v>
      </c>
      <c r="AJ33" s="267">
        <f t="shared" si="14"/>
        <v>28654919328.810307</v>
      </c>
      <c r="AK33" s="269">
        <f t="shared" si="15"/>
        <v>3.5492676569823391E-5</v>
      </c>
      <c r="AL33" s="269">
        <f t="shared" si="16"/>
        <v>8.7078715206651277E-6</v>
      </c>
      <c r="AM33" s="269">
        <f t="shared" si="17"/>
        <v>2.7728794700812836E-3</v>
      </c>
      <c r="AN33" s="263">
        <f t="shared" si="18"/>
        <v>0</v>
      </c>
      <c r="AO33" s="263">
        <f t="shared" si="19"/>
        <v>11.755781972697399</v>
      </c>
      <c r="AP33" s="263">
        <f t="shared" si="20"/>
        <v>113827283739.51573</v>
      </c>
      <c r="AQ33" s="263">
        <f>AB33-AP33</f>
        <v>-4068624647.6984863</v>
      </c>
      <c r="AR33" s="263">
        <f t="shared" si="21"/>
        <v>-0.43577303770698123</v>
      </c>
      <c r="AS33" s="271">
        <f>AR33+AO33</f>
        <v>11.320008934990417</v>
      </c>
      <c r="AT33" s="263">
        <f t="shared" si="22"/>
        <v>5.0248698727289858E-3</v>
      </c>
      <c r="AU33" s="263">
        <f>SQRT(AV33^2+(AT33)^2)*AS33</f>
        <v>0.12668770045149408</v>
      </c>
      <c r="AV33" s="269">
        <f t="shared" si="23"/>
        <v>0.01</v>
      </c>
      <c r="AW33" s="263">
        <f t="shared" si="30"/>
        <v>4.084043128997851E-2</v>
      </c>
      <c r="BE33" s="219"/>
    </row>
    <row r="34" spans="1:67" ht="15" x14ac:dyDescent="0.2">
      <c r="A34" s="255" t="s">
        <v>31</v>
      </c>
      <c r="B34" s="256">
        <v>0.6704</v>
      </c>
      <c r="C34" s="256">
        <v>4.0000000000000002E-4</v>
      </c>
      <c r="D34" s="256">
        <v>0.9919</v>
      </c>
      <c r="E34" s="257">
        <v>2E-3</v>
      </c>
      <c r="F34" s="256">
        <v>3.7900000000000003E-2</v>
      </c>
      <c r="G34" s="256">
        <v>2.0000000000000001E-4</v>
      </c>
      <c r="H34" s="258">
        <v>0.15419620270012574</v>
      </c>
      <c r="I34" s="259">
        <v>1.6527511538310963E-2</v>
      </c>
      <c r="J34" s="260">
        <v>0.32500000000000001</v>
      </c>
      <c r="K34" s="258">
        <v>0.49315255270405439</v>
      </c>
      <c r="L34" s="261">
        <v>1000</v>
      </c>
      <c r="M34" s="262" t="str">
        <f>A34</f>
        <v>RIES04-10</v>
      </c>
      <c r="N34" s="263">
        <f>AS34</f>
        <v>7.3030072243145856</v>
      </c>
      <c r="O34" s="263">
        <f>AU34</f>
        <v>0.36665950773551637</v>
      </c>
      <c r="P34" s="264">
        <f t="shared" si="1"/>
        <v>7.3026030004416373</v>
      </c>
      <c r="Q34" s="264">
        <v>14.808</v>
      </c>
      <c r="R34" s="258">
        <f t="shared" si="2"/>
        <v>0.74346003280273421</v>
      </c>
      <c r="S34" s="259">
        <f t="shared" si="3"/>
        <v>484503.65448504983</v>
      </c>
      <c r="T34" s="259">
        <f t="shared" si="4"/>
        <v>208077.54152823912</v>
      </c>
      <c r="U34" s="265">
        <f t="shared" si="5"/>
        <v>0</v>
      </c>
      <c r="V34" s="265">
        <f t="shared" si="26"/>
        <v>474.44985446192533</v>
      </c>
      <c r="W34" s="258">
        <f t="shared" si="6"/>
        <v>0.49315255270405439</v>
      </c>
      <c r="X34" s="263">
        <f>T34/S34</f>
        <v>0.42946537059538259</v>
      </c>
      <c r="Y34" s="266">
        <v>398290504201.68066</v>
      </c>
      <c r="Z34" s="266">
        <v>175475737068.96548</v>
      </c>
      <c r="AA34" s="267">
        <v>0</v>
      </c>
      <c r="AB34" s="268">
        <f t="shared" si="32"/>
        <v>4144022947.5658798</v>
      </c>
      <c r="AC34" s="269">
        <f t="shared" si="7"/>
        <v>2.6867269309703961E-5</v>
      </c>
      <c r="AD34" s="269">
        <f t="shared" si="8"/>
        <v>9.1785900372546087E-8</v>
      </c>
      <c r="AE34" s="269">
        <f t="shared" si="9"/>
        <v>4.0106494041758924E-5</v>
      </c>
      <c r="AF34" s="269">
        <f t="shared" si="10"/>
        <v>1991516586.2348087</v>
      </c>
      <c r="AG34" s="269">
        <f t="shared" si="11"/>
        <v>1.2360614255965794E-3</v>
      </c>
      <c r="AH34" s="269">
        <f t="shared" si="12"/>
        <v>1.1991029346339905E-102</v>
      </c>
      <c r="AI34" s="269">
        <f t="shared" si="13"/>
        <v>1.4293032305841759E-3</v>
      </c>
      <c r="AJ34" s="267">
        <f t="shared" si="14"/>
        <v>912522892.51478076</v>
      </c>
      <c r="AK34" s="269">
        <f t="shared" si="15"/>
        <v>3.4780454856715724E-5</v>
      </c>
      <c r="AL34" s="269">
        <f t="shared" si="16"/>
        <v>5.8052476804434193E-6</v>
      </c>
      <c r="AM34" s="269">
        <f t="shared" si="17"/>
        <v>1.0199724221270356E-3</v>
      </c>
      <c r="AN34" s="263">
        <f t="shared" si="18"/>
        <v>0</v>
      </c>
      <c r="AO34" s="263">
        <f t="shared" si="19"/>
        <v>7.5846668257513681</v>
      </c>
      <c r="AP34" s="263">
        <f t="shared" si="20"/>
        <v>4297912878.2077122</v>
      </c>
      <c r="AQ34" s="263">
        <f>AB34-AP34</f>
        <v>-153889930.64183235</v>
      </c>
      <c r="AR34" s="263">
        <f t="shared" si="21"/>
        <v>-0.28165960143678209</v>
      </c>
      <c r="AS34" s="271">
        <f>AR34+AO34</f>
        <v>7.3030072243145856</v>
      </c>
      <c r="AT34" s="263">
        <f t="shared" si="22"/>
        <v>4.5505417576328054E-3</v>
      </c>
      <c r="AU34" s="263">
        <f>SQRT(AV34^2+(AT34)^2)*AS34</f>
        <v>0.36665950773551637</v>
      </c>
      <c r="AV34" s="269">
        <f t="shared" si="23"/>
        <v>0.05</v>
      </c>
      <c r="AW34" s="263">
        <f t="shared" si="30"/>
        <v>7.7098101350062875E-3</v>
      </c>
      <c r="BE34" s="219"/>
    </row>
    <row r="35" spans="1:67" ht="15" x14ac:dyDescent="0.2">
      <c r="A35" s="255" t="s">
        <v>32</v>
      </c>
      <c r="B35" s="256">
        <v>0.93889999999999996</v>
      </c>
      <c r="C35" s="256">
        <v>1.1999999999999999E-3</v>
      </c>
      <c r="D35" s="256">
        <v>3.7757999999999998</v>
      </c>
      <c r="E35" s="257">
        <v>5.7999999999999996E-3</v>
      </c>
      <c r="F35" s="256">
        <v>6.1499999999999999E-2</v>
      </c>
      <c r="G35" s="256">
        <v>1E-4</v>
      </c>
      <c r="H35" s="282">
        <v>3.63717306837566</v>
      </c>
      <c r="I35" s="259">
        <v>1.6549760563228707E-2</v>
      </c>
      <c r="J35" s="260">
        <v>3.754</v>
      </c>
      <c r="K35" s="258">
        <v>0.75357951100520948</v>
      </c>
      <c r="L35" s="261">
        <v>1000</v>
      </c>
      <c r="M35" s="262" t="str">
        <f>A35</f>
        <v>RIES04-13</v>
      </c>
      <c r="N35" s="263">
        <f>AS35</f>
        <v>11.159436496326558</v>
      </c>
      <c r="O35" s="263">
        <f>AU35</f>
        <v>0.12443988615526805</v>
      </c>
      <c r="P35" s="264">
        <f t="shared" si="1"/>
        <v>11.159005398965142</v>
      </c>
      <c r="Q35" s="264">
        <v>14.808</v>
      </c>
      <c r="R35" s="258">
        <f t="shared" si="2"/>
        <v>0.16512534793255804</v>
      </c>
      <c r="S35" s="259">
        <f t="shared" si="3"/>
        <v>703477.13178294583</v>
      </c>
      <c r="T35" s="259">
        <f t="shared" si="4"/>
        <v>38599.379844961251</v>
      </c>
      <c r="U35" s="265">
        <f t="shared" si="5"/>
        <v>0</v>
      </c>
      <c r="V35" s="265">
        <f t="shared" si="26"/>
        <v>968.87934693011721</v>
      </c>
      <c r="W35" s="258">
        <f t="shared" si="6"/>
        <v>0.75357951100520948</v>
      </c>
      <c r="X35" s="263">
        <f>T35/S35</f>
        <v>5.4869416646326587E-2</v>
      </c>
      <c r="Y35" s="266">
        <v>6679805033333.333</v>
      </c>
      <c r="Z35" s="266">
        <v>375995893563.21844</v>
      </c>
      <c r="AA35" s="267">
        <v>0</v>
      </c>
      <c r="AB35" s="268">
        <f t="shared" si="32"/>
        <v>97749026212.595871</v>
      </c>
      <c r="AC35" s="269">
        <f t="shared" si="7"/>
        <v>4.4756356436169394E-5</v>
      </c>
      <c r="AD35" s="269">
        <f t="shared" si="8"/>
        <v>2.7535770111763824E-7</v>
      </c>
      <c r="AE35" s="269">
        <f t="shared" si="9"/>
        <v>4.7695132782427391E-5</v>
      </c>
      <c r="AF35" s="269">
        <f t="shared" si="10"/>
        <v>33400544671.311527</v>
      </c>
      <c r="AG35" s="269">
        <f t="shared" si="11"/>
        <v>1.9687651043321639E-3</v>
      </c>
      <c r="AH35" s="269">
        <f t="shared" si="12"/>
        <v>1.9457738912926231E-102</v>
      </c>
      <c r="AI35" s="269">
        <f t="shared" si="13"/>
        <v>5.3957987980171823E-4</v>
      </c>
      <c r="AJ35" s="267">
        <f t="shared" si="14"/>
        <v>1890894767.1379752</v>
      </c>
      <c r="AK35" s="269">
        <f t="shared" si="15"/>
        <v>3.4346033395575835E-5</v>
      </c>
      <c r="AL35" s="269">
        <f t="shared" si="16"/>
        <v>2.9026238402217096E-6</v>
      </c>
      <c r="AM35" s="269">
        <f t="shared" si="17"/>
        <v>5.9525982789659416E-4</v>
      </c>
      <c r="AN35" s="263">
        <f t="shared" si="18"/>
        <v>0</v>
      </c>
      <c r="AO35" s="263">
        <f t="shared" si="19"/>
        <v>11.635054065764514</v>
      </c>
      <c r="AP35" s="263">
        <f t="shared" si="20"/>
        <v>101744809472.33675</v>
      </c>
      <c r="AQ35" s="263">
        <f>AB35-AP35</f>
        <v>-3995783259.7408752</v>
      </c>
      <c r="AR35" s="263">
        <f t="shared" si="21"/>
        <v>-0.47561756943795558</v>
      </c>
      <c r="AS35" s="271">
        <f>AR35+AO35</f>
        <v>11.159436496326558</v>
      </c>
      <c r="AT35" s="263">
        <f t="shared" si="22"/>
        <v>4.9342495934905223E-3</v>
      </c>
      <c r="AU35" s="263">
        <f>SQRT(AV35^2+(AT35)^2)*AS35</f>
        <v>0.12443988615526805</v>
      </c>
      <c r="AV35" s="269">
        <f t="shared" si="23"/>
        <v>0.01</v>
      </c>
      <c r="AW35" s="263">
        <f t="shared" si="30"/>
        <v>3.6371730683756598E-2</v>
      </c>
      <c r="AX35" s="219"/>
      <c r="AY35" s="219"/>
      <c r="AZ35" s="219"/>
      <c r="BA35" s="219"/>
      <c r="BB35" s="219"/>
      <c r="BC35" s="219"/>
    </row>
    <row r="36" spans="1:67" ht="15" x14ac:dyDescent="0.2">
      <c r="A36" s="255" t="s">
        <v>33</v>
      </c>
      <c r="B36" s="256">
        <v>1.7074</v>
      </c>
      <c r="C36" s="256">
        <v>2.5000000000000001E-3</v>
      </c>
      <c r="D36" s="256">
        <v>12.4846</v>
      </c>
      <c r="E36" s="257">
        <v>1.84E-2</v>
      </c>
      <c r="F36" s="256">
        <v>0.2286</v>
      </c>
      <c r="G36" s="256">
        <v>8.9999999999999998E-4</v>
      </c>
      <c r="H36" s="282">
        <v>1.8804321917537183</v>
      </c>
      <c r="I36" s="259">
        <v>1.656059934133804E-2</v>
      </c>
      <c r="J36" s="260">
        <v>0.84599999999999997</v>
      </c>
      <c r="K36" s="258">
        <v>0.57716535329605134</v>
      </c>
      <c r="L36" s="261">
        <v>1000</v>
      </c>
      <c r="M36" s="262" t="str">
        <f>A36</f>
        <v>Ries02-6</v>
      </c>
      <c r="N36" s="263">
        <f>AS36</f>
        <v>8.5466253329798505</v>
      </c>
      <c r="O36" s="263">
        <f>AU36</f>
        <v>9.2528435516066834E-2</v>
      </c>
      <c r="P36" s="264">
        <f t="shared" si="1"/>
        <v>8.5466645516079289</v>
      </c>
      <c r="Q36" s="264">
        <v>14.808</v>
      </c>
      <c r="R36" s="258">
        <f t="shared" si="2"/>
        <v>0.16031603349157228</v>
      </c>
      <c r="S36" s="259">
        <f t="shared" si="3"/>
        <v>1735941.8604651163</v>
      </c>
      <c r="T36" s="259">
        <f t="shared" si="4"/>
        <v>1698166.6666666665</v>
      </c>
      <c r="U36" s="265">
        <f t="shared" si="5"/>
        <v>0</v>
      </c>
      <c r="V36" s="265">
        <f t="shared" si="26"/>
        <v>2222.7330871793361</v>
      </c>
      <c r="W36" s="258">
        <f t="shared" si="6"/>
        <v>0.57716535329605134</v>
      </c>
      <c r="X36" s="263">
        <f>T36/S36</f>
        <v>0.97823936696340241</v>
      </c>
      <c r="Y36" s="266">
        <v>3714711352941.1758</v>
      </c>
      <c r="Z36" s="266">
        <v>3727856456896.5508</v>
      </c>
      <c r="AA36" s="267">
        <v>0</v>
      </c>
      <c r="AB36" s="268">
        <f t="shared" si="32"/>
        <v>50536615153.38118</v>
      </c>
      <c r="AC36" s="269">
        <f t="shared" si="7"/>
        <v>8.2570855973861972E-5</v>
      </c>
      <c r="AD36" s="269">
        <f t="shared" si="8"/>
        <v>5.7366187732841299E-7</v>
      </c>
      <c r="AE36" s="269">
        <f t="shared" si="9"/>
        <v>4.8378234338562583E-5</v>
      </c>
      <c r="AF36" s="269">
        <f t="shared" si="10"/>
        <v>18574426155.298862</v>
      </c>
      <c r="AG36" s="269">
        <f t="shared" si="11"/>
        <v>7.2388030965257148E-3</v>
      </c>
      <c r="AH36" s="269">
        <f t="shared" si="12"/>
        <v>7.2325839276340431E-102</v>
      </c>
      <c r="AI36" s="269">
        <f t="shared" si="13"/>
        <v>5.857821646685457E-4</v>
      </c>
      <c r="AJ36" s="267">
        <f t="shared" si="14"/>
        <v>18766764276.63588</v>
      </c>
      <c r="AK36" s="269">
        <f t="shared" si="15"/>
        <v>4.4502256244046898E-5</v>
      </c>
      <c r="AL36" s="269">
        <f t="shared" si="16"/>
        <v>2.6123614561995386E-5</v>
      </c>
      <c r="AM36" s="269">
        <f t="shared" si="17"/>
        <v>2.0070470309993063E-4</v>
      </c>
      <c r="AN36" s="263">
        <f t="shared" si="18"/>
        <v>0</v>
      </c>
      <c r="AO36" s="263">
        <f t="shared" si="19"/>
        <v>8.8403721996697637</v>
      </c>
      <c r="AP36" s="263">
        <f t="shared" si="20"/>
        <v>52215839966.446663</v>
      </c>
      <c r="AQ36" s="263">
        <f>AB36-AP36</f>
        <v>-1679224813.0654831</v>
      </c>
      <c r="AR36" s="263">
        <f t="shared" si="21"/>
        <v>-0.29374686668991407</v>
      </c>
      <c r="AS36" s="271">
        <f>AR36+AO36</f>
        <v>8.5466253329798505</v>
      </c>
      <c r="AT36" s="263">
        <f t="shared" si="22"/>
        <v>4.1483779252719259E-3</v>
      </c>
      <c r="AU36" s="263">
        <f>SQRT(AV36^2+(AT36)^2)*AS36</f>
        <v>9.2528435516066834E-2</v>
      </c>
      <c r="AV36" s="269">
        <f t="shared" si="23"/>
        <v>0.01</v>
      </c>
      <c r="AW36" s="263">
        <f t="shared" si="30"/>
        <v>1.8804321917537184E-2</v>
      </c>
      <c r="AX36" s="219"/>
      <c r="AY36" s="219"/>
      <c r="AZ36" s="219"/>
      <c r="BA36" s="219"/>
      <c r="BB36" s="219"/>
      <c r="BO36" s="219"/>
    </row>
    <row r="37" spans="1:67" ht="15" x14ac:dyDescent="0.2">
      <c r="A37" s="255"/>
      <c r="B37" s="283"/>
      <c r="C37" s="283"/>
      <c r="D37" s="283"/>
      <c r="F37" s="283"/>
      <c r="G37" s="283"/>
      <c r="H37" s="284"/>
      <c r="I37" s="251"/>
      <c r="J37" s="283"/>
      <c r="K37" s="252"/>
      <c r="L37" s="285"/>
      <c r="M37" s="286"/>
      <c r="N37" s="219"/>
      <c r="O37" s="219"/>
      <c r="P37" s="219"/>
      <c r="Q37" s="249"/>
      <c r="R37" s="252"/>
      <c r="S37" s="287"/>
      <c r="T37" s="287"/>
      <c r="U37" s="287"/>
      <c r="V37" s="252"/>
      <c r="W37" s="252"/>
      <c r="X37" s="211"/>
      <c r="Y37" s="214"/>
      <c r="Z37" s="288"/>
      <c r="AA37" s="289"/>
      <c r="AB37" s="243"/>
      <c r="AJ37" s="289"/>
      <c r="AN37" s="219"/>
      <c r="AO37" s="219"/>
      <c r="AP37" s="219"/>
      <c r="AQ37" s="219"/>
      <c r="AR37" s="219"/>
      <c r="AS37" s="290"/>
      <c r="AT37" s="219"/>
      <c r="AX37" s="219"/>
      <c r="AY37" s="219"/>
      <c r="AZ37" s="219"/>
      <c r="BA37" s="219"/>
      <c r="BB37" s="219"/>
      <c r="BO37" s="219"/>
    </row>
    <row r="38" spans="1:67" ht="15" x14ac:dyDescent="0.2">
      <c r="A38" s="255" t="s">
        <v>35</v>
      </c>
      <c r="B38" s="284"/>
      <c r="C38" s="291"/>
      <c r="D38" s="284"/>
      <c r="E38" s="291"/>
      <c r="F38" s="284"/>
      <c r="G38" s="291"/>
      <c r="H38" s="239"/>
      <c r="I38" s="251"/>
      <c r="J38" s="212"/>
      <c r="K38" s="252"/>
      <c r="L38" s="285"/>
      <c r="M38" s="286"/>
      <c r="N38" s="219"/>
      <c r="O38" s="219"/>
      <c r="P38" s="219"/>
      <c r="Q38" s="211"/>
      <c r="R38" s="252"/>
      <c r="S38" s="287"/>
      <c r="T38" s="287"/>
      <c r="U38" s="287"/>
      <c r="V38" s="252"/>
      <c r="W38" s="252"/>
      <c r="X38" s="211"/>
      <c r="Y38" s="211"/>
      <c r="Z38" s="289"/>
      <c r="AA38" s="289"/>
      <c r="AB38" s="243"/>
      <c r="AJ38" s="289"/>
      <c r="AN38" s="219"/>
      <c r="AO38" s="219"/>
      <c r="AP38" s="219"/>
      <c r="AQ38" s="219"/>
      <c r="AR38" s="219"/>
      <c r="AS38" s="290"/>
      <c r="AT38" s="219"/>
      <c r="AX38" s="219"/>
      <c r="AY38" s="219"/>
      <c r="AZ38" s="219"/>
      <c r="BA38" s="219"/>
      <c r="BB38" s="219"/>
      <c r="BO38" s="219"/>
    </row>
    <row r="39" spans="1:67" ht="15" x14ac:dyDescent="0.2">
      <c r="A39" s="255" t="s">
        <v>36</v>
      </c>
      <c r="B39" s="284"/>
      <c r="C39" s="291"/>
      <c r="D39" s="284"/>
      <c r="E39" s="291"/>
      <c r="F39" s="284"/>
      <c r="G39" s="291"/>
      <c r="H39" s="239"/>
      <c r="I39" s="251"/>
      <c r="J39" s="212"/>
      <c r="K39" s="252"/>
      <c r="L39" s="285"/>
      <c r="M39" s="286"/>
      <c r="N39" s="219"/>
      <c r="O39" s="219"/>
      <c r="P39" s="219"/>
      <c r="Q39" s="211"/>
      <c r="R39" s="252"/>
      <c r="S39" s="287"/>
      <c r="T39" s="287"/>
      <c r="U39" s="287"/>
      <c r="V39" s="252"/>
      <c r="W39" s="252"/>
      <c r="X39" s="211"/>
      <c r="Y39" s="211"/>
      <c r="Z39" s="289"/>
      <c r="AA39" s="289"/>
      <c r="AB39" s="243"/>
      <c r="AJ39" s="289"/>
      <c r="AN39" s="219"/>
      <c r="AO39" s="219"/>
      <c r="AP39" s="219"/>
      <c r="AQ39" s="219"/>
      <c r="AR39" s="219"/>
      <c r="AS39" s="290"/>
      <c r="AT39" s="219"/>
      <c r="AX39" s="219"/>
      <c r="AY39" s="219"/>
      <c r="AZ39" s="219"/>
      <c r="BA39" s="219"/>
      <c r="BB39" s="219"/>
      <c r="BO39" s="219"/>
    </row>
    <row r="40" spans="1:67" x14ac:dyDescent="0.15">
      <c r="A40" s="292"/>
      <c r="B40" s="251"/>
      <c r="C40" s="291"/>
      <c r="D40" s="251"/>
      <c r="E40" s="291"/>
      <c r="F40" s="284"/>
      <c r="G40" s="291"/>
      <c r="H40" s="293"/>
      <c r="I40" s="251"/>
      <c r="J40" s="212"/>
      <c r="K40" s="252"/>
      <c r="L40" s="285"/>
      <c r="M40" s="286"/>
      <c r="N40" s="219"/>
      <c r="O40" s="219"/>
      <c r="P40" s="219"/>
      <c r="Q40" s="211"/>
      <c r="R40" s="252"/>
      <c r="S40" s="287"/>
      <c r="T40" s="287"/>
      <c r="U40" s="287"/>
      <c r="V40" s="252"/>
      <c r="W40" s="252"/>
      <c r="X40" s="211"/>
      <c r="Y40" s="211"/>
      <c r="Z40" s="289"/>
      <c r="AA40" s="289"/>
      <c r="AB40" s="243"/>
      <c r="AJ40" s="289"/>
      <c r="AN40" s="219"/>
      <c r="AO40" s="219"/>
      <c r="AP40" s="219"/>
      <c r="AQ40" s="219"/>
      <c r="AR40" s="219"/>
      <c r="AS40" s="290"/>
      <c r="AT40" s="219"/>
      <c r="AX40" s="219"/>
      <c r="AY40" s="219"/>
      <c r="AZ40" s="219"/>
      <c r="BA40" s="219"/>
      <c r="BB40" s="219"/>
      <c r="BO40" s="219"/>
    </row>
    <row r="41" spans="1:67" x14ac:dyDescent="0.15">
      <c r="A41" s="292"/>
      <c r="B41" s="251"/>
      <c r="C41" s="291"/>
      <c r="D41" s="251"/>
      <c r="E41" s="291"/>
      <c r="F41" s="284"/>
      <c r="G41" s="291"/>
      <c r="H41" s="293"/>
      <c r="I41" s="251"/>
      <c r="J41" s="294"/>
      <c r="K41" s="252"/>
      <c r="L41" s="285"/>
      <c r="M41" s="286"/>
      <c r="N41" s="219"/>
      <c r="O41" s="219"/>
      <c r="P41" s="219"/>
      <c r="Q41" s="211"/>
      <c r="R41" s="252"/>
      <c r="S41" s="287"/>
      <c r="T41" s="287"/>
      <c r="U41" s="287"/>
      <c r="V41" s="252"/>
      <c r="W41" s="252"/>
      <c r="X41" s="211"/>
      <c r="Y41" s="211"/>
      <c r="Z41" s="289"/>
      <c r="AA41" s="289"/>
      <c r="AB41" s="243"/>
      <c r="AJ41" s="289"/>
      <c r="AN41" s="219"/>
      <c r="AO41" s="219"/>
      <c r="AP41" s="219"/>
      <c r="AQ41" s="219"/>
      <c r="AR41" s="219"/>
      <c r="AS41" s="290"/>
      <c r="AT41" s="219"/>
      <c r="AX41" s="219"/>
      <c r="AY41" s="219"/>
      <c r="AZ41" s="219"/>
      <c r="BA41" s="219"/>
      <c r="BB41" s="219"/>
      <c r="BO41" s="219"/>
    </row>
    <row r="42" spans="1:67" x14ac:dyDescent="0.15">
      <c r="A42" s="292"/>
      <c r="B42" s="251"/>
      <c r="C42" s="291"/>
      <c r="D42" s="251"/>
      <c r="E42" s="291"/>
      <c r="F42" s="284"/>
      <c r="G42" s="291"/>
      <c r="H42" s="293"/>
      <c r="I42" s="251"/>
      <c r="J42" s="294"/>
      <c r="K42" s="252"/>
      <c r="L42" s="285"/>
      <c r="M42" s="286"/>
      <c r="N42" s="219"/>
      <c r="O42" s="219"/>
      <c r="P42" s="219"/>
      <c r="Q42" s="211"/>
      <c r="R42" s="252"/>
      <c r="S42" s="287"/>
      <c r="T42" s="287"/>
      <c r="U42" s="287"/>
      <c r="V42" s="252"/>
      <c r="W42" s="252"/>
      <c r="X42" s="211"/>
      <c r="Y42" s="211"/>
      <c r="Z42" s="289"/>
      <c r="AA42" s="289"/>
      <c r="AB42" s="243"/>
      <c r="AJ42" s="289"/>
      <c r="AN42" s="219"/>
      <c r="AO42" s="219"/>
      <c r="AP42" s="219"/>
      <c r="AQ42" s="219"/>
      <c r="AR42" s="219"/>
      <c r="AS42" s="290"/>
      <c r="AT42" s="219"/>
      <c r="AX42" s="219"/>
      <c r="AY42" s="219"/>
      <c r="AZ42" s="219"/>
      <c r="BA42" s="219"/>
      <c r="BB42" s="219"/>
      <c r="BO42" s="219"/>
    </row>
    <row r="43" spans="1:67" x14ac:dyDescent="0.15">
      <c r="A43" s="292"/>
      <c r="B43" s="251"/>
      <c r="C43" s="291"/>
      <c r="D43" s="251"/>
      <c r="E43" s="291"/>
      <c r="F43" s="284"/>
      <c r="G43" s="291"/>
      <c r="H43" s="293"/>
      <c r="I43" s="251"/>
      <c r="J43" s="218"/>
      <c r="M43" s="218"/>
      <c r="O43" s="211"/>
      <c r="P43" s="211"/>
      <c r="Q43" s="211"/>
      <c r="R43" s="286"/>
      <c r="T43" s="286"/>
      <c r="V43" s="252"/>
      <c r="W43" s="219"/>
      <c r="X43" s="249"/>
      <c r="Y43" s="252"/>
      <c r="Z43" s="287"/>
      <c r="AA43" s="287"/>
      <c r="AB43" s="287"/>
      <c r="AC43" s="252"/>
      <c r="AD43" s="252"/>
      <c r="AE43" s="295"/>
      <c r="AH43" s="289"/>
      <c r="AI43" s="289"/>
      <c r="AJ43" s="243"/>
      <c r="AR43" s="289"/>
      <c r="AV43" s="219"/>
      <c r="AW43" s="219"/>
      <c r="AX43" s="219"/>
      <c r="AY43" s="219"/>
      <c r="AZ43" s="219"/>
      <c r="BA43" s="219"/>
      <c r="BB43" s="219"/>
      <c r="BO43" s="219"/>
    </row>
    <row r="44" spans="1:67" x14ac:dyDescent="0.15">
      <c r="A44" s="292"/>
      <c r="B44" s="251"/>
      <c r="C44" s="291"/>
      <c r="D44" s="251"/>
      <c r="E44" s="291"/>
      <c r="F44" s="284"/>
      <c r="G44" s="291"/>
      <c r="H44" s="293"/>
      <c r="I44" s="251"/>
      <c r="J44" s="218"/>
      <c r="M44" s="218"/>
      <c r="O44" s="211"/>
      <c r="P44" s="211"/>
      <c r="Q44" s="211"/>
      <c r="R44" s="286"/>
      <c r="T44" s="286"/>
      <c r="V44" s="252"/>
      <c r="W44" s="219"/>
      <c r="X44" s="249"/>
      <c r="Y44" s="252"/>
      <c r="Z44" s="287"/>
      <c r="AA44" s="287"/>
      <c r="AB44" s="287"/>
      <c r="AC44" s="252"/>
      <c r="AD44" s="252"/>
      <c r="AE44" s="295"/>
      <c r="AH44" s="289"/>
      <c r="AI44" s="289"/>
      <c r="AJ44" s="243"/>
      <c r="AR44" s="289"/>
      <c r="AV44" s="219"/>
      <c r="AW44" s="219"/>
      <c r="AX44" s="219"/>
      <c r="AY44" s="219"/>
      <c r="AZ44" s="219"/>
      <c r="BA44" s="219"/>
      <c r="BB44" s="219"/>
      <c r="BO44" s="219"/>
    </row>
    <row r="45" spans="1:67" x14ac:dyDescent="0.15">
      <c r="A45" s="292"/>
      <c r="B45" s="251"/>
      <c r="C45" s="291"/>
      <c r="D45" s="251"/>
      <c r="E45" s="291"/>
      <c r="F45" s="284"/>
      <c r="G45" s="291"/>
      <c r="H45" s="293"/>
      <c r="I45" s="251"/>
      <c r="J45" s="218"/>
      <c r="M45" s="218"/>
      <c r="O45" s="211"/>
      <c r="P45" s="211"/>
      <c r="Q45" s="211"/>
      <c r="R45" s="286"/>
      <c r="T45" s="219"/>
      <c r="U45" s="219"/>
      <c r="V45" s="249"/>
      <c r="W45" s="252"/>
      <c r="X45" s="287"/>
      <c r="Y45" s="287"/>
      <c r="Z45" s="252"/>
      <c r="AA45" s="252"/>
      <c r="AB45" s="295"/>
      <c r="AF45" s="243"/>
      <c r="BO45" s="219"/>
    </row>
    <row r="46" spans="1:67" x14ac:dyDescent="0.15">
      <c r="A46" s="292"/>
      <c r="B46" s="251"/>
      <c r="C46" s="291"/>
      <c r="D46" s="251"/>
      <c r="E46" s="291"/>
      <c r="F46" s="284"/>
      <c r="G46" s="291"/>
      <c r="H46" s="293"/>
      <c r="I46" s="251"/>
      <c r="J46" s="218"/>
      <c r="M46" s="218"/>
      <c r="O46" s="211"/>
      <c r="P46" s="211"/>
      <c r="Q46" s="211"/>
      <c r="R46" s="286"/>
      <c r="T46" s="219"/>
      <c r="U46" s="219"/>
      <c r="V46" s="249"/>
      <c r="W46" s="252"/>
      <c r="X46" s="287"/>
      <c r="Y46" s="287"/>
      <c r="Z46" s="252"/>
      <c r="AA46" s="252"/>
      <c r="AB46" s="295"/>
      <c r="AF46" s="243"/>
      <c r="BO46" s="219"/>
    </row>
    <row r="47" spans="1:67" x14ac:dyDescent="0.15">
      <c r="A47" s="292"/>
      <c r="B47" s="251"/>
      <c r="C47" s="291"/>
      <c r="D47" s="251"/>
      <c r="E47" s="291"/>
      <c r="F47" s="284"/>
      <c r="G47" s="291"/>
      <c r="H47" s="293"/>
      <c r="I47" s="251"/>
      <c r="J47" s="212"/>
      <c r="K47" s="212"/>
      <c r="L47" s="253"/>
      <c r="M47" s="252"/>
      <c r="O47" s="211"/>
      <c r="P47" s="211"/>
      <c r="Q47" s="211"/>
      <c r="R47" s="286"/>
      <c r="T47" s="219"/>
      <c r="U47" s="219"/>
      <c r="V47" s="249"/>
      <c r="W47" s="252"/>
      <c r="X47" s="287"/>
      <c r="Y47" s="287"/>
      <c r="Z47" s="252"/>
      <c r="AA47" s="252"/>
      <c r="AB47" s="295"/>
      <c r="AF47" s="243"/>
      <c r="BO47" s="219"/>
    </row>
    <row r="48" spans="1:67" x14ac:dyDescent="0.15">
      <c r="A48" s="292"/>
      <c r="B48" s="251"/>
      <c r="C48" s="291"/>
      <c r="D48" s="251"/>
      <c r="E48" s="291"/>
      <c r="F48" s="284"/>
      <c r="G48" s="291"/>
      <c r="H48" s="293"/>
      <c r="I48" s="251"/>
      <c r="J48" s="212"/>
      <c r="K48" s="212"/>
      <c r="L48" s="253"/>
      <c r="M48" s="252"/>
      <c r="O48" s="211"/>
      <c r="P48" s="211"/>
      <c r="Q48" s="211"/>
      <c r="R48" s="286"/>
      <c r="T48" s="219"/>
      <c r="U48" s="219"/>
      <c r="V48" s="249"/>
      <c r="W48" s="252"/>
      <c r="X48" s="287"/>
      <c r="Y48" s="287"/>
      <c r="Z48" s="252"/>
      <c r="AA48" s="252"/>
      <c r="AB48" s="295"/>
      <c r="AF48" s="243"/>
      <c r="BO48" s="219"/>
    </row>
    <row r="49" spans="1:71" x14ac:dyDescent="0.15">
      <c r="A49" s="292"/>
      <c r="B49" s="251"/>
      <c r="C49" s="291"/>
      <c r="D49" s="251"/>
      <c r="E49" s="291"/>
      <c r="F49" s="293"/>
      <c r="G49" s="291"/>
      <c r="H49" s="293"/>
      <c r="I49" s="251"/>
      <c r="J49" s="212"/>
      <c r="K49" s="212"/>
      <c r="L49" s="253"/>
      <c r="M49" s="252"/>
      <c r="O49" s="211"/>
      <c r="P49" s="211"/>
      <c r="Q49" s="211"/>
      <c r="R49" s="286"/>
      <c r="T49" s="219"/>
      <c r="U49" s="219"/>
      <c r="V49" s="249"/>
      <c r="W49" s="252"/>
      <c r="X49" s="287"/>
      <c r="Y49" s="287"/>
      <c r="Z49" s="252"/>
      <c r="AA49" s="252"/>
      <c r="AB49" s="295"/>
      <c r="AF49" s="243"/>
      <c r="BO49" s="219"/>
    </row>
    <row r="50" spans="1:71" x14ac:dyDescent="0.15">
      <c r="A50" s="292"/>
      <c r="B50" s="251"/>
      <c r="C50" s="291"/>
      <c r="D50" s="251"/>
      <c r="E50" s="291"/>
      <c r="F50" s="293"/>
      <c r="G50" s="291"/>
      <c r="H50" s="293"/>
      <c r="I50" s="251"/>
      <c r="J50" s="212"/>
      <c r="K50" s="212"/>
      <c r="L50" s="253"/>
      <c r="M50" s="252"/>
      <c r="O50" s="211"/>
      <c r="P50" s="211"/>
      <c r="Q50" s="211"/>
      <c r="R50" s="286"/>
      <c r="T50" s="219"/>
      <c r="U50" s="219"/>
      <c r="V50" s="249"/>
      <c r="W50" s="252"/>
      <c r="X50" s="287"/>
      <c r="Y50" s="287"/>
      <c r="Z50" s="252"/>
      <c r="AA50" s="252"/>
      <c r="AB50" s="295"/>
      <c r="AF50" s="243"/>
      <c r="BO50" s="219"/>
    </row>
    <row r="51" spans="1:71" x14ac:dyDescent="0.15">
      <c r="A51" s="292"/>
      <c r="B51" s="251"/>
      <c r="C51" s="291"/>
      <c r="D51" s="251"/>
      <c r="E51" s="291"/>
      <c r="F51" s="293"/>
      <c r="G51" s="291"/>
      <c r="H51" s="293"/>
      <c r="I51" s="251"/>
      <c r="J51" s="212"/>
      <c r="K51" s="212"/>
      <c r="L51" s="253"/>
      <c r="M51" s="252"/>
      <c r="O51" s="211"/>
      <c r="P51" s="211"/>
      <c r="Q51" s="249"/>
      <c r="R51" s="286"/>
      <c r="T51" s="219"/>
      <c r="U51" s="219"/>
      <c r="V51" s="249"/>
      <c r="W51" s="252"/>
      <c r="X51" s="287"/>
      <c r="Y51" s="287"/>
      <c r="Z51" s="252"/>
      <c r="AA51" s="252"/>
      <c r="AB51" s="295"/>
      <c r="AF51" s="243"/>
      <c r="BO51" s="219"/>
    </row>
    <row r="52" spans="1:71" x14ac:dyDescent="0.15">
      <c r="A52" s="292"/>
      <c r="B52" s="251"/>
      <c r="C52" s="291"/>
      <c r="D52" s="251"/>
      <c r="E52" s="291"/>
      <c r="F52" s="293"/>
      <c r="G52" s="291"/>
      <c r="H52" s="293"/>
      <c r="I52" s="251"/>
      <c r="J52" s="212"/>
      <c r="K52" s="212"/>
      <c r="L52" s="253"/>
      <c r="M52" s="252"/>
      <c r="O52" s="211"/>
      <c r="P52" s="211"/>
      <c r="Q52" s="211"/>
      <c r="R52" s="286"/>
      <c r="T52" s="219"/>
      <c r="U52" s="219"/>
      <c r="V52" s="249"/>
      <c r="W52" s="252"/>
      <c r="X52" s="287"/>
      <c r="Y52" s="287"/>
      <c r="Z52" s="252"/>
      <c r="AA52" s="252"/>
      <c r="AB52" s="295"/>
      <c r="AF52" s="243"/>
      <c r="BO52" s="219"/>
    </row>
    <row r="53" spans="1:71" x14ac:dyDescent="0.15">
      <c r="A53" s="292"/>
      <c r="B53" s="251"/>
      <c r="C53" s="291"/>
      <c r="D53" s="251"/>
      <c r="E53" s="291"/>
      <c r="F53" s="293"/>
      <c r="G53" s="291"/>
      <c r="H53" s="293"/>
      <c r="I53" s="251"/>
      <c r="J53" s="212"/>
      <c r="K53" s="212"/>
      <c r="L53" s="253"/>
      <c r="M53" s="252"/>
      <c r="O53" s="211"/>
      <c r="P53" s="211"/>
      <c r="Q53" s="211"/>
      <c r="R53" s="286"/>
      <c r="T53" s="219"/>
      <c r="U53" s="219"/>
      <c r="V53" s="249"/>
      <c r="W53" s="252"/>
      <c r="X53" s="287"/>
      <c r="Y53" s="287"/>
      <c r="Z53" s="252"/>
      <c r="AA53" s="252"/>
      <c r="AB53" s="295"/>
      <c r="AF53" s="243"/>
      <c r="BO53" s="219"/>
    </row>
    <row r="54" spans="1:71" x14ac:dyDescent="0.15">
      <c r="A54" s="292"/>
      <c r="B54" s="251"/>
      <c r="C54" s="291"/>
      <c r="D54" s="251"/>
      <c r="E54" s="291"/>
      <c r="F54" s="293"/>
      <c r="G54" s="291"/>
      <c r="H54" s="293"/>
      <c r="I54" s="251"/>
      <c r="J54" s="212"/>
      <c r="K54" s="212"/>
      <c r="L54" s="253"/>
      <c r="M54" s="252"/>
      <c r="O54" s="211"/>
      <c r="P54" s="211"/>
      <c r="Q54" s="211"/>
      <c r="R54" s="286"/>
      <c r="T54" s="219"/>
      <c r="U54" s="219"/>
      <c r="V54" s="249"/>
      <c r="W54" s="252"/>
      <c r="X54" s="287"/>
      <c r="Y54" s="287"/>
      <c r="Z54" s="252"/>
      <c r="AA54" s="252"/>
      <c r="AB54" s="295"/>
      <c r="AF54" s="243"/>
      <c r="BO54" s="219"/>
    </row>
    <row r="55" spans="1:71" x14ac:dyDescent="0.15">
      <c r="A55" s="292"/>
      <c r="B55" s="251"/>
      <c r="C55" s="212"/>
      <c r="D55" s="251"/>
      <c r="E55" s="293"/>
      <c r="F55" s="293"/>
      <c r="G55" s="293"/>
      <c r="H55" s="293"/>
      <c r="I55" s="251"/>
      <c r="J55" s="212"/>
      <c r="K55" s="212"/>
      <c r="L55" s="253"/>
      <c r="M55" s="252"/>
      <c r="O55" s="211"/>
      <c r="P55" s="211"/>
      <c r="Q55" s="211"/>
      <c r="R55" s="286"/>
      <c r="T55" s="219"/>
      <c r="U55" s="219"/>
      <c r="V55" s="249"/>
      <c r="W55" s="252"/>
      <c r="X55" s="287"/>
      <c r="Y55" s="287"/>
      <c r="Z55" s="252"/>
      <c r="AA55" s="252"/>
      <c r="AB55" s="295"/>
      <c r="AF55" s="243"/>
      <c r="BO55" s="219"/>
    </row>
    <row r="56" spans="1:71" x14ac:dyDescent="0.15">
      <c r="A56" s="292"/>
      <c r="B56" s="251"/>
      <c r="C56" s="212"/>
      <c r="D56" s="251"/>
      <c r="E56" s="293"/>
      <c r="F56" s="293"/>
      <c r="G56" s="293"/>
      <c r="H56" s="293"/>
      <c r="I56" s="251"/>
      <c r="J56" s="212"/>
      <c r="K56" s="212"/>
      <c r="L56" s="253"/>
      <c r="M56" s="252"/>
      <c r="O56" s="211"/>
      <c r="P56" s="211"/>
      <c r="Q56" s="211"/>
      <c r="R56" s="286"/>
      <c r="T56" s="219"/>
      <c r="U56" s="219"/>
      <c r="V56" s="249"/>
      <c r="W56" s="252"/>
      <c r="X56" s="287"/>
      <c r="Y56" s="287"/>
      <c r="Z56" s="252"/>
      <c r="AA56" s="252"/>
      <c r="AB56" s="295"/>
      <c r="AF56" s="243"/>
      <c r="BO56" s="219"/>
    </row>
    <row r="57" spans="1:71" x14ac:dyDescent="0.15">
      <c r="A57" s="292"/>
      <c r="B57" s="251"/>
      <c r="C57" s="212"/>
      <c r="D57" s="251"/>
      <c r="E57" s="293"/>
      <c r="F57" s="293"/>
      <c r="G57" s="293"/>
      <c r="H57" s="293"/>
      <c r="I57" s="251"/>
      <c r="J57" s="212"/>
      <c r="K57" s="212"/>
      <c r="L57" s="253"/>
      <c r="M57" s="252"/>
      <c r="O57" s="211"/>
      <c r="P57" s="211"/>
      <c r="Q57" s="211"/>
      <c r="R57" s="286"/>
      <c r="T57" s="219"/>
      <c r="U57" s="219"/>
      <c r="V57" s="249"/>
      <c r="W57" s="252"/>
      <c r="X57" s="287"/>
      <c r="Y57" s="287"/>
      <c r="Z57" s="252"/>
      <c r="AA57" s="252"/>
      <c r="AB57" s="295"/>
      <c r="AF57" s="243"/>
      <c r="BO57" s="219"/>
    </row>
    <row r="58" spans="1:71" x14ac:dyDescent="0.15">
      <c r="A58" s="292"/>
      <c r="B58" s="251"/>
      <c r="C58" s="212"/>
      <c r="D58" s="251"/>
      <c r="E58" s="293"/>
      <c r="F58" s="293"/>
      <c r="G58" s="293"/>
      <c r="H58" s="293"/>
      <c r="I58" s="251"/>
      <c r="J58" s="212"/>
      <c r="K58" s="212"/>
      <c r="L58" s="253"/>
      <c r="M58" s="252"/>
      <c r="O58" s="211"/>
      <c r="P58" s="211"/>
      <c r="Q58" s="211"/>
      <c r="R58" s="286"/>
      <c r="T58" s="219"/>
      <c r="U58" s="219"/>
      <c r="V58" s="249"/>
      <c r="W58" s="252"/>
      <c r="X58" s="287"/>
      <c r="Y58" s="287"/>
      <c r="Z58" s="252"/>
      <c r="AA58" s="252"/>
      <c r="AB58" s="295"/>
      <c r="AF58" s="243"/>
      <c r="BO58" s="219"/>
    </row>
    <row r="59" spans="1:71" x14ac:dyDescent="0.15">
      <c r="A59" s="292"/>
      <c r="B59" s="251"/>
      <c r="C59" s="212"/>
      <c r="D59" s="251"/>
      <c r="E59" s="293"/>
      <c r="F59" s="293"/>
      <c r="G59" s="293"/>
      <c r="H59" s="293"/>
      <c r="I59" s="251"/>
      <c r="J59" s="212"/>
      <c r="K59" s="212"/>
      <c r="L59" s="253"/>
      <c r="M59" s="252"/>
      <c r="O59" s="211"/>
      <c r="P59" s="211"/>
      <c r="Q59" s="211"/>
      <c r="R59" s="286"/>
      <c r="T59" s="219"/>
      <c r="U59" s="219"/>
      <c r="V59" s="249"/>
      <c r="W59" s="252"/>
      <c r="X59" s="287"/>
      <c r="Y59" s="287"/>
      <c r="Z59" s="252"/>
      <c r="AA59" s="252"/>
      <c r="AB59" s="295"/>
      <c r="AF59" s="243"/>
      <c r="BS59" s="219"/>
    </row>
    <row r="60" spans="1:71" x14ac:dyDescent="0.15">
      <c r="A60" s="292"/>
      <c r="B60" s="251"/>
      <c r="C60" s="212"/>
      <c r="D60" s="251"/>
      <c r="E60" s="293"/>
      <c r="F60" s="293"/>
      <c r="G60" s="293"/>
      <c r="H60" s="293"/>
      <c r="I60" s="251"/>
      <c r="J60" s="212"/>
      <c r="K60" s="212"/>
      <c r="L60" s="253"/>
      <c r="M60" s="252"/>
      <c r="O60" s="211"/>
      <c r="P60" s="211"/>
      <c r="Q60" s="211"/>
      <c r="R60" s="286"/>
      <c r="T60" s="219"/>
      <c r="U60" s="219"/>
      <c r="V60" s="249"/>
      <c r="W60" s="252"/>
      <c r="X60" s="287"/>
      <c r="Y60" s="287"/>
      <c r="Z60" s="252"/>
      <c r="AA60" s="252"/>
      <c r="AB60" s="295"/>
      <c r="AF60" s="243"/>
      <c r="BS60" s="219"/>
    </row>
    <row r="61" spans="1:71" x14ac:dyDescent="0.15">
      <c r="A61" s="292"/>
      <c r="B61" s="251"/>
      <c r="C61" s="212"/>
      <c r="D61" s="251"/>
      <c r="E61" s="293"/>
      <c r="F61" s="293"/>
      <c r="G61" s="293"/>
      <c r="H61" s="293"/>
      <c r="I61" s="251"/>
      <c r="J61" s="212"/>
      <c r="K61" s="212"/>
      <c r="L61" s="253"/>
      <c r="M61" s="252"/>
      <c r="O61" s="211"/>
      <c r="P61" s="211"/>
      <c r="Q61" s="211"/>
      <c r="R61" s="286"/>
      <c r="T61" s="219"/>
      <c r="U61" s="219"/>
      <c r="V61" s="249"/>
      <c r="W61" s="252"/>
      <c r="X61" s="287"/>
      <c r="Y61" s="287"/>
      <c r="Z61" s="252"/>
      <c r="AA61" s="252"/>
      <c r="AB61" s="295"/>
      <c r="AF61" s="243"/>
      <c r="BS61" s="219"/>
    </row>
    <row r="62" spans="1:71" x14ac:dyDescent="0.15">
      <c r="A62" s="292"/>
      <c r="B62" s="251"/>
      <c r="C62" s="212"/>
      <c r="D62" s="251"/>
      <c r="E62" s="293"/>
      <c r="F62" s="293"/>
      <c r="G62" s="293"/>
      <c r="H62" s="293"/>
      <c r="I62" s="251"/>
      <c r="J62" s="212"/>
      <c r="K62" s="212"/>
      <c r="L62" s="253"/>
      <c r="M62" s="252"/>
      <c r="O62" s="211"/>
      <c r="P62" s="211"/>
      <c r="Q62" s="211"/>
      <c r="R62" s="286"/>
      <c r="T62" s="219"/>
      <c r="U62" s="219"/>
      <c r="V62" s="249"/>
      <c r="W62" s="252"/>
      <c r="X62" s="287"/>
      <c r="Y62" s="287"/>
      <c r="Z62" s="252"/>
      <c r="AA62" s="252"/>
      <c r="AB62" s="295"/>
      <c r="AF62" s="243"/>
      <c r="BS62" s="219"/>
    </row>
    <row r="63" spans="1:71" x14ac:dyDescent="0.15">
      <c r="A63" s="292"/>
      <c r="B63" s="251"/>
      <c r="C63" s="212"/>
      <c r="D63" s="251"/>
      <c r="E63" s="293"/>
      <c r="F63" s="293"/>
      <c r="G63" s="293"/>
      <c r="H63" s="293"/>
      <c r="I63" s="251"/>
      <c r="J63" s="212"/>
      <c r="K63" s="212"/>
      <c r="L63" s="253"/>
      <c r="M63" s="252"/>
      <c r="O63" s="211"/>
      <c r="P63" s="211"/>
      <c r="Q63" s="211"/>
      <c r="R63" s="286"/>
      <c r="T63" s="219"/>
      <c r="U63" s="219"/>
      <c r="V63" s="249"/>
      <c r="W63" s="252"/>
      <c r="X63" s="287"/>
      <c r="Y63" s="287"/>
      <c r="Z63" s="252"/>
      <c r="AA63" s="252"/>
      <c r="AB63" s="295"/>
      <c r="AF63" s="243"/>
      <c r="BS63" s="219"/>
    </row>
    <row r="64" spans="1:71" x14ac:dyDescent="0.15">
      <c r="A64" s="292"/>
      <c r="B64" s="251"/>
      <c r="C64" s="212"/>
      <c r="D64" s="251"/>
      <c r="E64" s="293"/>
      <c r="F64" s="293"/>
      <c r="G64" s="293"/>
      <c r="H64" s="293"/>
      <c r="I64" s="251"/>
      <c r="J64" s="212"/>
      <c r="K64" s="212"/>
      <c r="L64" s="253"/>
      <c r="M64" s="252"/>
      <c r="O64" s="211"/>
      <c r="P64" s="211"/>
      <c r="Q64" s="211"/>
      <c r="R64" s="286"/>
      <c r="T64" s="219"/>
      <c r="U64" s="219"/>
      <c r="V64" s="249"/>
      <c r="W64" s="252"/>
      <c r="X64" s="287"/>
      <c r="Y64" s="287"/>
      <c r="Z64" s="252"/>
      <c r="AA64" s="252"/>
      <c r="AB64" s="295"/>
      <c r="AF64" s="243"/>
      <c r="BS64" s="219"/>
    </row>
    <row r="65" spans="1:71" x14ac:dyDescent="0.15">
      <c r="A65" s="292"/>
      <c r="B65" s="251"/>
      <c r="C65" s="212"/>
      <c r="D65" s="251"/>
      <c r="E65" s="293"/>
      <c r="F65" s="293"/>
      <c r="G65" s="293"/>
      <c r="H65" s="293"/>
      <c r="I65" s="251"/>
      <c r="J65" s="212"/>
      <c r="K65" s="212"/>
      <c r="L65" s="253"/>
      <c r="M65" s="252"/>
      <c r="O65" s="211"/>
      <c r="P65" s="211"/>
      <c r="Q65" s="211"/>
      <c r="R65" s="286"/>
      <c r="T65" s="219"/>
      <c r="U65" s="219"/>
      <c r="V65" s="249"/>
      <c r="W65" s="252"/>
      <c r="X65" s="287"/>
      <c r="Y65" s="287"/>
      <c r="Z65" s="252"/>
      <c r="AA65" s="252"/>
      <c r="AB65" s="295"/>
      <c r="AF65" s="243"/>
      <c r="BS65" s="219"/>
    </row>
    <row r="66" spans="1:71" x14ac:dyDescent="0.15">
      <c r="A66" s="292"/>
      <c r="B66" s="251"/>
      <c r="C66" s="212"/>
      <c r="D66" s="251"/>
      <c r="E66" s="293"/>
      <c r="F66" s="293"/>
      <c r="G66" s="293"/>
      <c r="H66" s="293"/>
      <c r="I66" s="251"/>
      <c r="J66" s="212"/>
      <c r="K66" s="212"/>
      <c r="L66" s="253"/>
      <c r="M66" s="252"/>
      <c r="O66" s="211"/>
      <c r="P66" s="211"/>
      <c r="Q66" s="211"/>
      <c r="R66" s="286"/>
      <c r="T66" s="219"/>
      <c r="U66" s="219"/>
      <c r="V66" s="249"/>
      <c r="W66" s="252"/>
      <c r="X66" s="287"/>
      <c r="Y66" s="287"/>
      <c r="Z66" s="252"/>
      <c r="AA66" s="252"/>
      <c r="AB66" s="295"/>
      <c r="AF66" s="243"/>
      <c r="BS66" s="219"/>
    </row>
    <row r="67" spans="1:71" x14ac:dyDescent="0.15">
      <c r="A67" s="292"/>
      <c r="B67" s="251"/>
      <c r="C67" s="212"/>
      <c r="D67" s="251"/>
      <c r="E67" s="293"/>
      <c r="F67" s="293"/>
      <c r="G67" s="293"/>
      <c r="H67" s="293"/>
      <c r="I67" s="251"/>
      <c r="J67" s="212"/>
      <c r="K67" s="212"/>
      <c r="L67" s="253"/>
      <c r="M67" s="252"/>
      <c r="O67" s="211"/>
      <c r="P67" s="211"/>
      <c r="Q67" s="211"/>
      <c r="R67" s="286"/>
      <c r="T67" s="219"/>
      <c r="U67" s="219"/>
      <c r="V67" s="249"/>
      <c r="W67" s="252"/>
      <c r="X67" s="287"/>
      <c r="Y67" s="287"/>
      <c r="Z67" s="252"/>
      <c r="AA67" s="252"/>
      <c r="AB67" s="295"/>
      <c r="AF67" s="243"/>
      <c r="BS67" s="219"/>
    </row>
    <row r="68" spans="1:71" x14ac:dyDescent="0.15">
      <c r="A68" s="292"/>
      <c r="B68" s="251"/>
      <c r="C68" s="212"/>
      <c r="D68" s="251"/>
      <c r="E68" s="293"/>
      <c r="F68" s="293"/>
      <c r="G68" s="293"/>
      <c r="H68" s="293"/>
      <c r="I68" s="251"/>
      <c r="J68" s="212"/>
      <c r="K68" s="212"/>
      <c r="L68" s="253"/>
      <c r="M68" s="252"/>
      <c r="O68" s="211"/>
      <c r="P68" s="211"/>
      <c r="Q68" s="211"/>
      <c r="R68" s="286"/>
      <c r="T68" s="219"/>
      <c r="U68" s="219"/>
      <c r="V68" s="249"/>
      <c r="W68" s="252"/>
      <c r="X68" s="287"/>
      <c r="Y68" s="287"/>
      <c r="Z68" s="252"/>
      <c r="AA68" s="252"/>
      <c r="AB68" s="295"/>
      <c r="AF68" s="243"/>
      <c r="BS68" s="219"/>
    </row>
    <row r="69" spans="1:71" x14ac:dyDescent="0.15">
      <c r="A69" s="292"/>
      <c r="B69" s="251"/>
      <c r="C69" s="212"/>
      <c r="D69" s="251"/>
      <c r="E69" s="293"/>
      <c r="F69" s="293"/>
      <c r="G69" s="293"/>
      <c r="H69" s="293"/>
      <c r="I69" s="251"/>
      <c r="J69" s="212"/>
      <c r="K69" s="212"/>
      <c r="L69" s="253"/>
      <c r="M69" s="252"/>
      <c r="O69" s="211"/>
      <c r="P69" s="211"/>
      <c r="Q69" s="211"/>
      <c r="R69" s="286"/>
      <c r="T69" s="219"/>
      <c r="U69" s="219"/>
      <c r="V69" s="249"/>
      <c r="W69" s="252"/>
      <c r="X69" s="287"/>
      <c r="Y69" s="287"/>
      <c r="Z69" s="252"/>
      <c r="AA69" s="252"/>
      <c r="AB69" s="295"/>
      <c r="AF69" s="243"/>
      <c r="BS69" s="219"/>
    </row>
    <row r="70" spans="1:71" x14ac:dyDescent="0.15">
      <c r="A70" s="292"/>
      <c r="B70" s="251"/>
      <c r="C70" s="212"/>
      <c r="D70" s="251"/>
      <c r="E70" s="293"/>
      <c r="F70" s="293"/>
      <c r="G70" s="293"/>
      <c r="H70" s="293"/>
      <c r="I70" s="251"/>
      <c r="J70" s="212"/>
      <c r="K70" s="212"/>
      <c r="L70" s="253"/>
      <c r="M70" s="252"/>
      <c r="O70" s="211"/>
      <c r="P70" s="211"/>
      <c r="Q70" s="211"/>
      <c r="R70" s="286"/>
      <c r="T70" s="219"/>
      <c r="U70" s="219"/>
      <c r="V70" s="249"/>
      <c r="W70" s="252"/>
      <c r="X70" s="287"/>
      <c r="Y70" s="287"/>
      <c r="Z70" s="252"/>
      <c r="AA70" s="252"/>
      <c r="AB70" s="295"/>
      <c r="AF70" s="243"/>
      <c r="BS70" s="219"/>
    </row>
    <row r="71" spans="1:71" x14ac:dyDescent="0.15">
      <c r="A71" s="292"/>
      <c r="B71" s="251"/>
      <c r="C71" s="212"/>
      <c r="D71" s="251"/>
      <c r="E71" s="293"/>
      <c r="F71" s="293"/>
      <c r="G71" s="293"/>
      <c r="H71" s="293"/>
      <c r="I71" s="251"/>
      <c r="J71" s="212"/>
      <c r="K71" s="212"/>
      <c r="L71" s="253"/>
      <c r="M71" s="252"/>
      <c r="O71" s="211"/>
      <c r="P71" s="211"/>
      <c r="Q71" s="211"/>
      <c r="R71" s="286"/>
      <c r="T71" s="219"/>
      <c r="U71" s="219"/>
      <c r="V71" s="249"/>
      <c r="W71" s="252"/>
      <c r="X71" s="287"/>
      <c r="Y71" s="287"/>
      <c r="Z71" s="252"/>
      <c r="AA71" s="252"/>
      <c r="AB71" s="295"/>
      <c r="AF71" s="243"/>
      <c r="BS71" s="219"/>
    </row>
    <row r="72" spans="1:71" x14ac:dyDescent="0.15">
      <c r="A72" s="292"/>
      <c r="B72" s="251"/>
      <c r="C72" s="212"/>
      <c r="D72" s="251"/>
      <c r="E72" s="293"/>
      <c r="F72" s="293"/>
      <c r="G72" s="293"/>
      <c r="H72" s="293"/>
      <c r="I72" s="251"/>
      <c r="J72" s="212"/>
      <c r="K72" s="212"/>
      <c r="L72" s="253"/>
      <c r="M72" s="252"/>
      <c r="O72" s="211"/>
      <c r="P72" s="211"/>
      <c r="Q72" s="211"/>
      <c r="R72" s="286"/>
      <c r="T72" s="219"/>
      <c r="U72" s="219"/>
      <c r="V72" s="249"/>
      <c r="W72" s="252"/>
      <c r="X72" s="287"/>
      <c r="Y72" s="287"/>
      <c r="Z72" s="252"/>
      <c r="AA72" s="252"/>
      <c r="AB72" s="295"/>
      <c r="AF72" s="243"/>
      <c r="BS72" s="219"/>
    </row>
    <row r="73" spans="1:71" x14ac:dyDescent="0.15">
      <c r="A73" s="292"/>
      <c r="B73" s="251"/>
      <c r="C73" s="212"/>
      <c r="D73" s="251"/>
      <c r="E73" s="293"/>
      <c r="F73" s="293"/>
      <c r="G73" s="293"/>
      <c r="H73" s="293"/>
      <c r="I73" s="251"/>
      <c r="J73" s="212"/>
      <c r="K73" s="212"/>
      <c r="L73" s="253"/>
      <c r="M73" s="252"/>
      <c r="O73" s="211"/>
      <c r="P73" s="211"/>
      <c r="Q73" s="211"/>
      <c r="R73" s="286"/>
      <c r="T73" s="219"/>
      <c r="U73" s="219"/>
      <c r="V73" s="249"/>
      <c r="W73" s="252"/>
      <c r="X73" s="287"/>
      <c r="Y73" s="287"/>
      <c r="Z73" s="252"/>
      <c r="AA73" s="252"/>
      <c r="AB73" s="295"/>
      <c r="AF73" s="243"/>
      <c r="BS73" s="219"/>
    </row>
    <row r="74" spans="1:71" x14ac:dyDescent="0.15">
      <c r="A74" s="292"/>
      <c r="B74" s="251"/>
      <c r="C74" s="212"/>
      <c r="D74" s="251"/>
      <c r="E74" s="293"/>
      <c r="F74" s="293"/>
      <c r="G74" s="293"/>
      <c r="H74" s="293"/>
      <c r="I74" s="251"/>
      <c r="J74" s="212"/>
      <c r="K74" s="212"/>
      <c r="L74" s="253"/>
      <c r="M74" s="252"/>
      <c r="O74" s="211"/>
      <c r="P74" s="211"/>
      <c r="Q74" s="211"/>
      <c r="R74" s="286"/>
      <c r="T74" s="219"/>
      <c r="U74" s="219"/>
      <c r="V74" s="249"/>
      <c r="W74" s="252"/>
      <c r="X74" s="287"/>
      <c r="Y74" s="287"/>
      <c r="Z74" s="252"/>
      <c r="AA74" s="252"/>
      <c r="AB74" s="295"/>
      <c r="AF74" s="243"/>
      <c r="BS74" s="219"/>
    </row>
    <row r="75" spans="1:71" x14ac:dyDescent="0.15">
      <c r="A75" s="292"/>
      <c r="B75" s="251"/>
      <c r="C75" s="212"/>
      <c r="D75" s="251"/>
      <c r="E75" s="293"/>
      <c r="F75" s="293"/>
      <c r="G75" s="293"/>
      <c r="H75" s="293"/>
      <c r="I75" s="251"/>
      <c r="J75" s="212"/>
      <c r="K75" s="212"/>
      <c r="L75" s="253"/>
      <c r="M75" s="252"/>
      <c r="O75" s="211"/>
      <c r="P75" s="211"/>
      <c r="Q75" s="211"/>
      <c r="R75" s="286"/>
      <c r="T75" s="219"/>
      <c r="U75" s="219"/>
      <c r="V75" s="249"/>
      <c r="W75" s="252"/>
      <c r="X75" s="287"/>
      <c r="Y75" s="287"/>
      <c r="Z75" s="252"/>
      <c r="AA75" s="252"/>
      <c r="AB75" s="295"/>
      <c r="AF75" s="243"/>
      <c r="BS75" s="219"/>
    </row>
    <row r="76" spans="1:71" x14ac:dyDescent="0.15">
      <c r="A76" s="292"/>
      <c r="B76" s="251"/>
      <c r="C76" s="212"/>
      <c r="D76" s="251"/>
      <c r="E76" s="293"/>
      <c r="F76" s="293"/>
      <c r="G76" s="293"/>
      <c r="H76" s="293"/>
      <c r="I76" s="251"/>
      <c r="J76" s="212"/>
      <c r="K76" s="212"/>
      <c r="L76" s="253"/>
      <c r="M76" s="252"/>
      <c r="O76" s="211"/>
      <c r="P76" s="211"/>
      <c r="Q76" s="211"/>
      <c r="R76" s="286"/>
      <c r="T76" s="219"/>
      <c r="U76" s="219"/>
      <c r="V76" s="249"/>
      <c r="W76" s="252"/>
      <c r="X76" s="287"/>
      <c r="Y76" s="287"/>
      <c r="Z76" s="252"/>
      <c r="AA76" s="252"/>
      <c r="AB76" s="295"/>
      <c r="AF76" s="243"/>
      <c r="BS76" s="219"/>
    </row>
    <row r="77" spans="1:71" x14ac:dyDescent="0.15">
      <c r="A77" s="292"/>
      <c r="B77" s="251"/>
      <c r="C77" s="212"/>
      <c r="D77" s="251"/>
      <c r="E77" s="293"/>
      <c r="F77" s="293"/>
      <c r="G77" s="293"/>
      <c r="H77" s="293"/>
      <c r="I77" s="251"/>
      <c r="J77" s="212"/>
      <c r="K77" s="212"/>
      <c r="L77" s="253"/>
      <c r="M77" s="252"/>
      <c r="O77" s="211"/>
      <c r="P77" s="211"/>
      <c r="Q77" s="211"/>
      <c r="R77" s="286"/>
      <c r="T77" s="219"/>
      <c r="U77" s="219"/>
      <c r="V77" s="249"/>
      <c r="W77" s="252"/>
      <c r="X77" s="287"/>
      <c r="Y77" s="287"/>
      <c r="Z77" s="252"/>
      <c r="AA77" s="252"/>
      <c r="AB77" s="295"/>
      <c r="AF77" s="243"/>
      <c r="BS77" s="219"/>
    </row>
    <row r="78" spans="1:71" x14ac:dyDescent="0.15">
      <c r="A78" s="292"/>
      <c r="B78" s="251"/>
      <c r="C78" s="212"/>
      <c r="D78" s="251"/>
      <c r="E78" s="293"/>
      <c r="F78" s="293"/>
      <c r="G78" s="293"/>
      <c r="H78" s="293"/>
      <c r="I78" s="251"/>
      <c r="J78" s="212"/>
      <c r="K78" s="212"/>
      <c r="L78" s="253"/>
      <c r="M78" s="252"/>
      <c r="O78" s="211"/>
      <c r="P78" s="211"/>
      <c r="Q78" s="211"/>
      <c r="R78" s="286"/>
      <c r="T78" s="219"/>
      <c r="U78" s="219"/>
      <c r="V78" s="249"/>
      <c r="W78" s="252"/>
      <c r="X78" s="287"/>
      <c r="Y78" s="287"/>
      <c r="Z78" s="252"/>
      <c r="AA78" s="252"/>
      <c r="AB78" s="295"/>
      <c r="AF78" s="243"/>
      <c r="BS78" s="219"/>
    </row>
    <row r="79" spans="1:71" x14ac:dyDescent="0.15">
      <c r="A79" s="292"/>
      <c r="B79" s="251"/>
      <c r="C79" s="212"/>
      <c r="D79" s="251"/>
      <c r="E79" s="293"/>
      <c r="F79" s="293"/>
      <c r="G79" s="293"/>
      <c r="H79" s="293"/>
      <c r="I79" s="251"/>
      <c r="J79" s="212"/>
      <c r="K79" s="212"/>
      <c r="L79" s="253"/>
      <c r="M79" s="252"/>
      <c r="O79" s="211"/>
      <c r="P79" s="211"/>
      <c r="Q79" s="211"/>
      <c r="R79" s="286"/>
      <c r="T79" s="219"/>
      <c r="U79" s="219"/>
      <c r="V79" s="249"/>
      <c r="W79" s="252"/>
      <c r="X79" s="287"/>
      <c r="Y79" s="287"/>
      <c r="Z79" s="252"/>
      <c r="AA79" s="252"/>
      <c r="AB79" s="295"/>
      <c r="AF79" s="243"/>
      <c r="BS79" s="219"/>
    </row>
    <row r="80" spans="1:71" x14ac:dyDescent="0.15">
      <c r="A80" s="292"/>
      <c r="B80" s="251"/>
      <c r="C80" s="212"/>
      <c r="D80" s="251"/>
      <c r="E80" s="293"/>
      <c r="F80" s="293"/>
      <c r="G80" s="293"/>
      <c r="H80" s="293"/>
      <c r="I80" s="251"/>
      <c r="J80" s="212"/>
      <c r="K80" s="212"/>
      <c r="L80" s="253"/>
      <c r="M80" s="252"/>
      <c r="O80" s="211"/>
      <c r="P80" s="211"/>
      <c r="Q80" s="211"/>
      <c r="R80" s="286"/>
      <c r="T80" s="219"/>
      <c r="U80" s="219"/>
      <c r="V80" s="249"/>
      <c r="W80" s="252"/>
      <c r="X80" s="287"/>
      <c r="Y80" s="287"/>
      <c r="Z80" s="252"/>
      <c r="AA80" s="252"/>
      <c r="AB80" s="295"/>
      <c r="AF80" s="243"/>
      <c r="BS80" s="219"/>
    </row>
    <row r="81" spans="1:71" x14ac:dyDescent="0.15">
      <c r="A81" s="292"/>
      <c r="B81" s="251"/>
      <c r="C81" s="212"/>
      <c r="D81" s="251"/>
      <c r="E81" s="293"/>
      <c r="F81" s="293"/>
      <c r="G81" s="293"/>
      <c r="H81" s="293"/>
      <c r="I81" s="251"/>
      <c r="J81" s="212"/>
      <c r="K81" s="212"/>
      <c r="L81" s="253"/>
      <c r="M81" s="252"/>
      <c r="O81" s="211"/>
      <c r="P81" s="211"/>
      <c r="Q81" s="211"/>
      <c r="R81" s="286"/>
      <c r="T81" s="219"/>
      <c r="U81" s="219"/>
      <c r="V81" s="249"/>
      <c r="W81" s="252"/>
      <c r="X81" s="287"/>
      <c r="Y81" s="287"/>
      <c r="Z81" s="252"/>
      <c r="AA81" s="252"/>
      <c r="AB81" s="295"/>
      <c r="AF81" s="243"/>
      <c r="BS81" s="219"/>
    </row>
    <row r="82" spans="1:71" x14ac:dyDescent="0.15">
      <c r="A82" s="292"/>
      <c r="B82" s="251"/>
      <c r="C82" s="212"/>
      <c r="D82" s="251"/>
      <c r="E82" s="293"/>
      <c r="F82" s="293"/>
      <c r="G82" s="293"/>
      <c r="H82" s="293"/>
      <c r="I82" s="251"/>
      <c r="J82" s="212"/>
      <c r="K82" s="212"/>
      <c r="L82" s="253"/>
      <c r="M82" s="252"/>
      <c r="O82" s="211"/>
      <c r="P82" s="211"/>
      <c r="Q82" s="211"/>
      <c r="R82" s="286"/>
      <c r="T82" s="219"/>
      <c r="U82" s="219"/>
      <c r="V82" s="249"/>
      <c r="W82" s="252"/>
      <c r="X82" s="287"/>
      <c r="Y82" s="287"/>
      <c r="Z82" s="252"/>
      <c r="AA82" s="252"/>
      <c r="AB82" s="295"/>
      <c r="AF82" s="243"/>
      <c r="BS82" s="219"/>
    </row>
    <row r="83" spans="1:71" x14ac:dyDescent="0.15">
      <c r="A83" s="292"/>
      <c r="B83" s="251"/>
      <c r="C83" s="212"/>
      <c r="D83" s="251"/>
      <c r="E83" s="293"/>
      <c r="F83" s="293"/>
      <c r="G83" s="293"/>
      <c r="H83" s="293"/>
      <c r="I83" s="251"/>
      <c r="J83" s="212"/>
      <c r="K83" s="212"/>
      <c r="L83" s="253"/>
      <c r="M83" s="252"/>
      <c r="O83" s="211"/>
      <c r="P83" s="211"/>
      <c r="Q83" s="211"/>
      <c r="R83" s="286"/>
      <c r="T83" s="219"/>
      <c r="U83" s="219"/>
      <c r="V83" s="249"/>
      <c r="W83" s="252"/>
      <c r="X83" s="287"/>
      <c r="Y83" s="287"/>
      <c r="Z83" s="252"/>
      <c r="AA83" s="252"/>
      <c r="AB83" s="295"/>
      <c r="AF83" s="243"/>
      <c r="BS83" s="219"/>
    </row>
    <row r="84" spans="1:71" x14ac:dyDescent="0.15">
      <c r="A84" s="292"/>
      <c r="B84" s="251"/>
      <c r="C84" s="212"/>
      <c r="D84" s="251"/>
      <c r="E84" s="293"/>
      <c r="F84" s="293"/>
      <c r="G84" s="293"/>
      <c r="H84" s="293"/>
      <c r="I84" s="251"/>
      <c r="J84" s="212"/>
      <c r="K84" s="212"/>
      <c r="L84" s="253"/>
      <c r="M84" s="252"/>
      <c r="O84" s="211"/>
      <c r="P84" s="211"/>
      <c r="Q84" s="211"/>
      <c r="R84" s="286"/>
      <c r="T84" s="219"/>
      <c r="U84" s="219"/>
      <c r="V84" s="249"/>
      <c r="W84" s="252"/>
      <c r="X84" s="287"/>
      <c r="Y84" s="287"/>
      <c r="Z84" s="252"/>
      <c r="AA84" s="252"/>
      <c r="AB84" s="295"/>
      <c r="AF84" s="243"/>
      <c r="BS84" s="219"/>
    </row>
    <row r="85" spans="1:71" x14ac:dyDescent="0.15">
      <c r="A85" s="292"/>
      <c r="B85" s="251"/>
      <c r="C85" s="212"/>
      <c r="D85" s="251"/>
      <c r="E85" s="293"/>
      <c r="F85" s="293"/>
      <c r="G85" s="293"/>
      <c r="H85" s="293"/>
      <c r="I85" s="251"/>
      <c r="J85" s="212"/>
      <c r="K85" s="212"/>
      <c r="L85" s="253"/>
      <c r="M85" s="252"/>
      <c r="O85" s="211"/>
      <c r="P85" s="211"/>
      <c r="Q85" s="211"/>
      <c r="R85" s="286"/>
      <c r="T85" s="219"/>
      <c r="U85" s="219"/>
      <c r="V85" s="249"/>
      <c r="W85" s="252"/>
      <c r="X85" s="287"/>
      <c r="Y85" s="287"/>
      <c r="Z85" s="252"/>
      <c r="AA85" s="252"/>
      <c r="AB85" s="295"/>
      <c r="AF85" s="243"/>
      <c r="BS85" s="219"/>
    </row>
    <row r="86" spans="1:71" x14ac:dyDescent="0.15">
      <c r="A86" s="292"/>
      <c r="B86" s="251"/>
      <c r="C86" s="212"/>
      <c r="D86" s="251"/>
      <c r="E86" s="293"/>
      <c r="F86" s="293"/>
      <c r="G86" s="293"/>
      <c r="H86" s="293"/>
      <c r="I86" s="251"/>
      <c r="J86" s="212"/>
      <c r="K86" s="212"/>
      <c r="L86" s="253"/>
      <c r="M86" s="252"/>
      <c r="O86" s="211"/>
      <c r="P86" s="211"/>
      <c r="Q86" s="211"/>
      <c r="R86" s="286"/>
      <c r="T86" s="219"/>
      <c r="U86" s="219"/>
      <c r="V86" s="249"/>
      <c r="W86" s="252"/>
      <c r="X86" s="287"/>
      <c r="Y86" s="287"/>
      <c r="Z86" s="252"/>
      <c r="AA86" s="252"/>
      <c r="AB86" s="295"/>
      <c r="AF86" s="243"/>
      <c r="BS86" s="219"/>
    </row>
    <row r="87" spans="1:71" x14ac:dyDescent="0.15">
      <c r="A87" s="292"/>
      <c r="B87" s="251"/>
      <c r="C87" s="212"/>
      <c r="D87" s="251"/>
      <c r="E87" s="293"/>
      <c r="F87" s="293"/>
      <c r="G87" s="293"/>
      <c r="H87" s="293"/>
      <c r="I87" s="251"/>
      <c r="J87" s="212"/>
      <c r="K87" s="212"/>
      <c r="L87" s="253"/>
      <c r="M87" s="252"/>
      <c r="O87" s="211"/>
      <c r="P87" s="211"/>
      <c r="Q87" s="211"/>
      <c r="R87" s="286"/>
      <c r="T87" s="219"/>
      <c r="U87" s="219"/>
      <c r="V87" s="249"/>
      <c r="W87" s="252"/>
      <c r="X87" s="287"/>
      <c r="Y87" s="287"/>
      <c r="Z87" s="252"/>
      <c r="AA87" s="252"/>
      <c r="AB87" s="295"/>
      <c r="AF87" s="243"/>
      <c r="BS87" s="219"/>
    </row>
    <row r="88" spans="1:71" x14ac:dyDescent="0.15">
      <c r="A88" s="292"/>
      <c r="B88" s="251"/>
      <c r="C88" s="212"/>
      <c r="D88" s="251"/>
      <c r="E88" s="293"/>
      <c r="F88" s="293"/>
      <c r="G88" s="293"/>
      <c r="H88" s="293"/>
      <c r="I88" s="251"/>
      <c r="J88" s="212"/>
      <c r="K88" s="212"/>
      <c r="L88" s="253"/>
      <c r="M88" s="252"/>
      <c r="O88" s="211"/>
      <c r="P88" s="211"/>
      <c r="Q88" s="211"/>
      <c r="R88" s="286"/>
      <c r="T88" s="219"/>
      <c r="U88" s="219"/>
      <c r="V88" s="249"/>
      <c r="W88" s="252"/>
      <c r="X88" s="287"/>
      <c r="Y88" s="287"/>
      <c r="Z88" s="252"/>
      <c r="AA88" s="252"/>
      <c r="AB88" s="295"/>
      <c r="AF88" s="243"/>
      <c r="BS88" s="219"/>
    </row>
    <row r="89" spans="1:71" x14ac:dyDescent="0.15">
      <c r="A89" s="292"/>
      <c r="B89" s="251"/>
      <c r="C89" s="212"/>
      <c r="D89" s="251"/>
      <c r="E89" s="293"/>
      <c r="F89" s="293"/>
      <c r="G89" s="293"/>
      <c r="H89" s="293"/>
      <c r="I89" s="251"/>
      <c r="J89" s="212"/>
      <c r="K89" s="212"/>
      <c r="L89" s="253"/>
      <c r="M89" s="252"/>
      <c r="O89" s="211"/>
      <c r="P89" s="211"/>
      <c r="Q89" s="211"/>
      <c r="R89" s="286"/>
      <c r="T89" s="219"/>
      <c r="U89" s="219"/>
      <c r="V89" s="249"/>
      <c r="W89" s="252"/>
      <c r="X89" s="287"/>
      <c r="Y89" s="287"/>
      <c r="Z89" s="252"/>
      <c r="AA89" s="252"/>
      <c r="AB89" s="295"/>
      <c r="AF89" s="243"/>
      <c r="BS89" s="219"/>
    </row>
    <row r="90" spans="1:71" x14ac:dyDescent="0.15">
      <c r="A90" s="292"/>
      <c r="B90" s="251"/>
      <c r="C90" s="212"/>
      <c r="D90" s="251"/>
      <c r="E90" s="293"/>
      <c r="F90" s="293"/>
      <c r="G90" s="293"/>
      <c r="H90" s="293"/>
      <c r="I90" s="251"/>
      <c r="J90" s="212"/>
      <c r="K90" s="212"/>
      <c r="L90" s="253"/>
      <c r="M90" s="252"/>
      <c r="O90" s="211"/>
      <c r="P90" s="211"/>
      <c r="Q90" s="211"/>
      <c r="R90" s="286"/>
      <c r="T90" s="219"/>
      <c r="U90" s="219"/>
      <c r="V90" s="249"/>
      <c r="W90" s="252"/>
      <c r="X90" s="287"/>
      <c r="Y90" s="287"/>
      <c r="Z90" s="252"/>
      <c r="AA90" s="252"/>
      <c r="AB90" s="295"/>
      <c r="AF90" s="243"/>
      <c r="BS90" s="219"/>
    </row>
    <row r="91" spans="1:71" x14ac:dyDescent="0.15">
      <c r="A91" s="292"/>
      <c r="B91" s="251"/>
      <c r="C91" s="212"/>
      <c r="D91" s="251"/>
      <c r="E91" s="293"/>
      <c r="F91" s="293"/>
      <c r="G91" s="293"/>
      <c r="H91" s="293"/>
      <c r="I91" s="251"/>
      <c r="J91" s="212"/>
      <c r="K91" s="212"/>
      <c r="L91" s="253"/>
      <c r="M91" s="252"/>
      <c r="O91" s="211"/>
      <c r="P91" s="211"/>
      <c r="Q91" s="211"/>
      <c r="R91" s="286"/>
      <c r="T91" s="219"/>
      <c r="U91" s="219"/>
      <c r="V91" s="249"/>
      <c r="W91" s="252"/>
      <c r="X91" s="287"/>
      <c r="Y91" s="287"/>
      <c r="Z91" s="252"/>
      <c r="AA91" s="252"/>
      <c r="AB91" s="295"/>
      <c r="AF91" s="243"/>
      <c r="BS91" s="219"/>
    </row>
    <row r="92" spans="1:71" x14ac:dyDescent="0.15">
      <c r="A92" s="292"/>
      <c r="B92" s="251"/>
      <c r="C92" s="212"/>
      <c r="D92" s="251"/>
      <c r="E92" s="293"/>
      <c r="F92" s="293"/>
      <c r="G92" s="293"/>
      <c r="H92" s="293"/>
      <c r="I92" s="251"/>
      <c r="J92" s="212"/>
      <c r="K92" s="212"/>
      <c r="L92" s="253"/>
      <c r="M92" s="252"/>
      <c r="O92" s="211"/>
      <c r="P92" s="211"/>
      <c r="Q92" s="211"/>
      <c r="R92" s="286"/>
      <c r="T92" s="219"/>
      <c r="U92" s="219"/>
      <c r="V92" s="249"/>
      <c r="W92" s="252"/>
      <c r="X92" s="287"/>
      <c r="Y92" s="287"/>
      <c r="Z92" s="252"/>
      <c r="AA92" s="252"/>
      <c r="AB92" s="295"/>
      <c r="AF92" s="243"/>
      <c r="BS92" s="219"/>
    </row>
    <row r="93" spans="1:71" x14ac:dyDescent="0.15">
      <c r="A93" s="292"/>
      <c r="B93" s="251"/>
      <c r="C93" s="212"/>
      <c r="D93" s="251"/>
      <c r="E93" s="293"/>
      <c r="F93" s="293"/>
      <c r="G93" s="293"/>
      <c r="H93" s="293"/>
      <c r="I93" s="251"/>
      <c r="J93" s="212"/>
      <c r="K93" s="212"/>
      <c r="L93" s="253"/>
      <c r="M93" s="252"/>
      <c r="O93" s="211"/>
      <c r="P93" s="211"/>
      <c r="Q93" s="211"/>
      <c r="R93" s="286"/>
      <c r="T93" s="219"/>
      <c r="U93" s="219"/>
      <c r="V93" s="249"/>
      <c r="W93" s="252"/>
      <c r="X93" s="287"/>
      <c r="Y93" s="287"/>
      <c r="Z93" s="252"/>
      <c r="AA93" s="252"/>
      <c r="AB93" s="295"/>
      <c r="AF93" s="243"/>
      <c r="BS93" s="219"/>
    </row>
    <row r="94" spans="1:71" x14ac:dyDescent="0.15">
      <c r="A94" s="292"/>
      <c r="B94" s="251"/>
      <c r="C94" s="212"/>
      <c r="D94" s="251"/>
      <c r="E94" s="293"/>
      <c r="F94" s="293"/>
      <c r="G94" s="293"/>
      <c r="H94" s="293"/>
      <c r="I94" s="251"/>
      <c r="J94" s="212"/>
      <c r="K94" s="212"/>
      <c r="L94" s="253"/>
      <c r="M94" s="252"/>
      <c r="O94" s="211"/>
      <c r="P94" s="211"/>
      <c r="Q94" s="211"/>
      <c r="R94" s="286"/>
      <c r="T94" s="219"/>
      <c r="U94" s="219"/>
      <c r="V94" s="249"/>
      <c r="W94" s="252"/>
      <c r="X94" s="287"/>
      <c r="Y94" s="287"/>
      <c r="Z94" s="252"/>
      <c r="AA94" s="252"/>
      <c r="AB94" s="295"/>
      <c r="AF94" s="243"/>
      <c r="BS94" s="219"/>
    </row>
    <row r="95" spans="1:71" x14ac:dyDescent="0.15">
      <c r="A95" s="292"/>
      <c r="B95" s="251"/>
      <c r="C95" s="212"/>
      <c r="D95" s="251"/>
      <c r="E95" s="293"/>
      <c r="F95" s="293"/>
      <c r="G95" s="293"/>
      <c r="H95" s="293"/>
      <c r="I95" s="251"/>
      <c r="J95" s="212"/>
      <c r="K95" s="212"/>
      <c r="L95" s="253"/>
      <c r="M95" s="252"/>
      <c r="O95" s="211"/>
      <c r="P95" s="211"/>
      <c r="Q95" s="211"/>
      <c r="R95" s="286"/>
      <c r="T95" s="219"/>
      <c r="U95" s="219"/>
      <c r="V95" s="249"/>
      <c r="W95" s="252"/>
      <c r="X95" s="287"/>
      <c r="Y95" s="287"/>
      <c r="Z95" s="252"/>
      <c r="AA95" s="252"/>
      <c r="AB95" s="295"/>
      <c r="AF95" s="243"/>
      <c r="BS95" s="219"/>
    </row>
    <row r="96" spans="1:71" x14ac:dyDescent="0.15">
      <c r="A96" s="292"/>
      <c r="B96" s="251"/>
      <c r="C96" s="212"/>
      <c r="D96" s="251"/>
      <c r="E96" s="293"/>
      <c r="F96" s="293"/>
      <c r="G96" s="293"/>
      <c r="H96" s="293"/>
      <c r="I96" s="251"/>
      <c r="J96" s="212"/>
      <c r="K96" s="212"/>
      <c r="L96" s="253"/>
      <c r="M96" s="252"/>
      <c r="O96" s="211"/>
      <c r="P96" s="211"/>
      <c r="Q96" s="211"/>
      <c r="R96" s="286"/>
      <c r="T96" s="219"/>
      <c r="U96" s="219"/>
      <c r="V96" s="249"/>
      <c r="W96" s="252"/>
      <c r="X96" s="287"/>
      <c r="Y96" s="287"/>
      <c r="Z96" s="252"/>
      <c r="AA96" s="252"/>
      <c r="AB96" s="295"/>
      <c r="AF96" s="243"/>
      <c r="BS96" s="219"/>
    </row>
    <row r="97" spans="1:71" x14ac:dyDescent="0.15">
      <c r="A97" s="292"/>
      <c r="B97" s="251"/>
      <c r="C97" s="212"/>
      <c r="D97" s="251"/>
      <c r="E97" s="293"/>
      <c r="F97" s="293"/>
      <c r="G97" s="293"/>
      <c r="H97" s="293"/>
      <c r="I97" s="251"/>
      <c r="J97" s="212"/>
      <c r="K97" s="212"/>
      <c r="L97" s="253"/>
      <c r="M97" s="252"/>
      <c r="O97" s="211"/>
      <c r="P97" s="211"/>
      <c r="Q97" s="211"/>
      <c r="R97" s="286"/>
      <c r="T97" s="219"/>
      <c r="U97" s="219"/>
      <c r="V97" s="249"/>
      <c r="W97" s="252"/>
      <c r="X97" s="287"/>
      <c r="Y97" s="287"/>
      <c r="Z97" s="252"/>
      <c r="AA97" s="252"/>
      <c r="AB97" s="295"/>
      <c r="AF97" s="243"/>
      <c r="BS97" s="219"/>
    </row>
    <row r="98" spans="1:71" x14ac:dyDescent="0.15">
      <c r="A98" s="292"/>
      <c r="B98" s="251"/>
      <c r="C98" s="212"/>
      <c r="D98" s="251"/>
      <c r="E98" s="293"/>
      <c r="F98" s="293"/>
      <c r="G98" s="293"/>
      <c r="H98" s="293"/>
      <c r="I98" s="251"/>
      <c r="J98" s="212"/>
      <c r="K98" s="212"/>
      <c r="L98" s="253"/>
      <c r="M98" s="252"/>
      <c r="O98" s="211"/>
      <c r="P98" s="211"/>
      <c r="Q98" s="211"/>
      <c r="R98" s="286"/>
      <c r="T98" s="219"/>
      <c r="U98" s="219"/>
      <c r="V98" s="249"/>
      <c r="W98" s="252"/>
      <c r="X98" s="287"/>
      <c r="Y98" s="287"/>
      <c r="Z98" s="252"/>
      <c r="AA98" s="252"/>
      <c r="AB98" s="295"/>
      <c r="AF98" s="243"/>
      <c r="BS98" s="219"/>
    </row>
    <row r="99" spans="1:71" x14ac:dyDescent="0.15">
      <c r="A99" s="292"/>
      <c r="B99" s="251"/>
      <c r="C99" s="212"/>
      <c r="D99" s="251"/>
      <c r="E99" s="293"/>
      <c r="F99" s="293"/>
      <c r="G99" s="293"/>
      <c r="H99" s="293"/>
      <c r="I99" s="251"/>
      <c r="J99" s="212"/>
      <c r="K99" s="212"/>
      <c r="L99" s="253"/>
      <c r="M99" s="252"/>
      <c r="O99" s="211"/>
      <c r="P99" s="211"/>
      <c r="Q99" s="211"/>
      <c r="R99" s="286"/>
      <c r="T99" s="219"/>
      <c r="U99" s="219"/>
      <c r="V99" s="249"/>
      <c r="W99" s="252"/>
      <c r="X99" s="287"/>
      <c r="Y99" s="287"/>
      <c r="Z99" s="252"/>
      <c r="AA99" s="252"/>
      <c r="AB99" s="295"/>
      <c r="AF99" s="243"/>
      <c r="BS99" s="219"/>
    </row>
    <row r="100" spans="1:71" x14ac:dyDescent="0.15">
      <c r="A100" s="292"/>
      <c r="B100" s="251"/>
      <c r="C100" s="212"/>
      <c r="D100" s="251"/>
      <c r="E100" s="293"/>
      <c r="F100" s="293"/>
      <c r="G100" s="293"/>
      <c r="H100" s="293"/>
      <c r="I100" s="251"/>
      <c r="J100" s="212"/>
      <c r="K100" s="212"/>
      <c r="L100" s="253"/>
      <c r="M100" s="252"/>
      <c r="O100" s="211"/>
      <c r="P100" s="211"/>
      <c r="Q100" s="211"/>
      <c r="R100" s="286"/>
      <c r="T100" s="219"/>
      <c r="U100" s="219"/>
      <c r="V100" s="249"/>
      <c r="W100" s="252"/>
      <c r="X100" s="287"/>
      <c r="Y100" s="287"/>
      <c r="Z100" s="252"/>
      <c r="AA100" s="252"/>
      <c r="AB100" s="295"/>
      <c r="AF100" s="243"/>
      <c r="BS100" s="219"/>
    </row>
    <row r="101" spans="1:71" x14ac:dyDescent="0.15">
      <c r="A101" s="296"/>
      <c r="B101" s="251"/>
      <c r="C101" s="212"/>
      <c r="D101" s="251"/>
      <c r="E101" s="293"/>
      <c r="F101" s="293"/>
      <c r="G101" s="293"/>
      <c r="H101" s="293"/>
      <c r="I101" s="251"/>
      <c r="J101" s="212"/>
      <c r="K101" s="212"/>
      <c r="L101" s="253"/>
      <c r="M101" s="252"/>
      <c r="O101" s="211"/>
      <c r="P101" s="211"/>
      <c r="Q101" s="211"/>
      <c r="R101" s="286"/>
      <c r="T101" s="219"/>
      <c r="U101" s="219"/>
      <c r="V101" s="249"/>
      <c r="W101" s="252"/>
      <c r="X101" s="287"/>
      <c r="Y101" s="287"/>
      <c r="Z101" s="252"/>
      <c r="AA101" s="252"/>
      <c r="AB101" s="295"/>
      <c r="AF101" s="243"/>
      <c r="BS101" s="219"/>
    </row>
    <row r="102" spans="1:71" x14ac:dyDescent="0.15">
      <c r="A102" s="292"/>
      <c r="B102" s="251"/>
      <c r="C102" s="212"/>
      <c r="D102" s="251"/>
      <c r="E102" s="293"/>
      <c r="F102" s="293"/>
      <c r="G102" s="293"/>
      <c r="H102" s="293"/>
      <c r="I102" s="251"/>
      <c r="J102" s="212"/>
      <c r="K102" s="212"/>
      <c r="L102" s="253"/>
      <c r="M102" s="252"/>
      <c r="O102" s="211"/>
      <c r="P102" s="211"/>
      <c r="Q102" s="211"/>
      <c r="R102" s="286"/>
      <c r="T102" s="219"/>
      <c r="U102" s="219"/>
      <c r="V102" s="249"/>
      <c r="W102" s="252"/>
      <c r="X102" s="287"/>
      <c r="Y102" s="287"/>
      <c r="Z102" s="252"/>
      <c r="AA102" s="252"/>
      <c r="AB102" s="295"/>
      <c r="AF102" s="243"/>
      <c r="BS102" s="219"/>
    </row>
    <row r="103" spans="1:71" x14ac:dyDescent="0.15">
      <c r="A103" s="292"/>
      <c r="B103" s="251"/>
      <c r="C103" s="212"/>
      <c r="D103" s="251"/>
      <c r="E103" s="293"/>
      <c r="F103" s="293"/>
      <c r="G103" s="293"/>
      <c r="H103" s="293"/>
      <c r="I103" s="251"/>
      <c r="J103" s="212"/>
      <c r="K103" s="212"/>
      <c r="L103" s="253"/>
      <c r="M103" s="252"/>
      <c r="O103" s="211"/>
      <c r="P103" s="211"/>
      <c r="Q103" s="211"/>
      <c r="R103" s="286"/>
      <c r="T103" s="219"/>
      <c r="U103" s="219"/>
      <c r="V103" s="249"/>
      <c r="W103" s="252"/>
      <c r="X103" s="287"/>
      <c r="Y103" s="287"/>
      <c r="Z103" s="252"/>
      <c r="AA103" s="252"/>
      <c r="AB103" s="295"/>
      <c r="AF103" s="243"/>
      <c r="BS103" s="219"/>
    </row>
    <row r="104" spans="1:71" x14ac:dyDescent="0.15">
      <c r="A104" s="292"/>
      <c r="B104" s="251"/>
      <c r="C104" s="212"/>
      <c r="D104" s="251"/>
      <c r="E104" s="293"/>
      <c r="F104" s="293"/>
      <c r="G104" s="293"/>
      <c r="H104" s="293"/>
      <c r="I104" s="251"/>
      <c r="J104" s="212"/>
      <c r="K104" s="212"/>
      <c r="L104" s="253"/>
      <c r="M104" s="252"/>
      <c r="O104" s="211"/>
      <c r="P104" s="211"/>
      <c r="Q104" s="211"/>
      <c r="R104" s="286"/>
      <c r="T104" s="219"/>
      <c r="U104" s="219"/>
      <c r="V104" s="249"/>
      <c r="W104" s="252"/>
      <c r="X104" s="287"/>
      <c r="Y104" s="287"/>
      <c r="Z104" s="252"/>
      <c r="AA104" s="252"/>
      <c r="AB104" s="295"/>
      <c r="AF104" s="243"/>
      <c r="BS104" s="219"/>
    </row>
    <row r="105" spans="1:71" x14ac:dyDescent="0.15">
      <c r="A105" s="292"/>
      <c r="B105" s="251"/>
      <c r="C105" s="212"/>
      <c r="D105" s="251"/>
      <c r="E105" s="293"/>
      <c r="F105" s="293"/>
      <c r="G105" s="293"/>
      <c r="H105" s="293"/>
      <c r="I105" s="251"/>
      <c r="J105" s="212"/>
      <c r="K105" s="212"/>
      <c r="L105" s="253"/>
      <c r="M105" s="252"/>
      <c r="O105" s="211"/>
      <c r="P105" s="211"/>
      <c r="Q105" s="211"/>
      <c r="R105" s="286"/>
      <c r="T105" s="219"/>
      <c r="U105" s="219"/>
      <c r="V105" s="249"/>
      <c r="W105" s="252"/>
      <c r="X105" s="287"/>
      <c r="Y105" s="287"/>
      <c r="Z105" s="252"/>
      <c r="AA105" s="252"/>
      <c r="AB105" s="295"/>
      <c r="AF105" s="243"/>
      <c r="BS105" s="219"/>
    </row>
    <row r="106" spans="1:71" x14ac:dyDescent="0.15">
      <c r="A106" s="292"/>
      <c r="B106" s="251"/>
      <c r="C106" s="212"/>
      <c r="D106" s="251"/>
      <c r="E106" s="293"/>
      <c r="F106" s="293"/>
      <c r="G106" s="293"/>
      <c r="H106" s="293"/>
      <c r="I106" s="251"/>
      <c r="J106" s="212"/>
      <c r="K106" s="212"/>
      <c r="L106" s="253"/>
      <c r="M106" s="252"/>
      <c r="O106" s="211"/>
      <c r="P106" s="211"/>
      <c r="Q106" s="211"/>
      <c r="R106" s="286"/>
      <c r="T106" s="219"/>
      <c r="U106" s="219"/>
      <c r="V106" s="249"/>
      <c r="W106" s="252"/>
      <c r="X106" s="287"/>
      <c r="Y106" s="287"/>
      <c r="Z106" s="252"/>
      <c r="AA106" s="252"/>
      <c r="AB106" s="295"/>
      <c r="AF106" s="243"/>
      <c r="BS106" s="219"/>
    </row>
    <row r="107" spans="1:71" x14ac:dyDescent="0.15">
      <c r="A107" s="292"/>
      <c r="B107" s="251"/>
      <c r="C107" s="212"/>
      <c r="D107" s="251"/>
      <c r="E107" s="293"/>
      <c r="F107" s="293"/>
      <c r="G107" s="293"/>
      <c r="H107" s="293"/>
      <c r="I107" s="251"/>
      <c r="J107" s="212"/>
      <c r="K107" s="212"/>
      <c r="L107" s="253"/>
      <c r="M107" s="252"/>
      <c r="O107" s="211"/>
      <c r="P107" s="211"/>
      <c r="Q107" s="211"/>
      <c r="R107" s="286"/>
      <c r="T107" s="219"/>
      <c r="U107" s="219"/>
      <c r="V107" s="249"/>
      <c r="W107" s="252"/>
      <c r="X107" s="287"/>
      <c r="Y107" s="287"/>
      <c r="Z107" s="252"/>
      <c r="AA107" s="252"/>
      <c r="AB107" s="295"/>
      <c r="AF107" s="243"/>
      <c r="BS107" s="219"/>
    </row>
    <row r="108" spans="1:71" x14ac:dyDescent="0.15">
      <c r="A108" s="292"/>
      <c r="B108" s="251"/>
      <c r="C108" s="212"/>
      <c r="D108" s="251"/>
      <c r="E108" s="293"/>
      <c r="F108" s="293"/>
      <c r="G108" s="293"/>
      <c r="H108" s="293"/>
      <c r="I108" s="251"/>
      <c r="J108" s="212"/>
      <c r="K108" s="212"/>
      <c r="L108" s="253"/>
      <c r="M108" s="252"/>
      <c r="O108" s="211"/>
      <c r="P108" s="211"/>
      <c r="Q108" s="211"/>
      <c r="R108" s="286"/>
      <c r="T108" s="219"/>
      <c r="U108" s="219"/>
      <c r="V108" s="249"/>
      <c r="W108" s="252"/>
      <c r="X108" s="287"/>
      <c r="Y108" s="287"/>
      <c r="Z108" s="252"/>
      <c r="AA108" s="252"/>
      <c r="AB108" s="295"/>
      <c r="AF108" s="243"/>
      <c r="BS108" s="219"/>
    </row>
    <row r="109" spans="1:71" x14ac:dyDescent="0.15">
      <c r="A109" s="292"/>
      <c r="B109" s="251"/>
      <c r="C109" s="212"/>
      <c r="D109" s="251"/>
      <c r="E109" s="293"/>
      <c r="F109" s="293"/>
      <c r="G109" s="293"/>
      <c r="H109" s="293"/>
      <c r="I109" s="251"/>
      <c r="J109" s="212"/>
      <c r="K109" s="212"/>
      <c r="L109" s="253"/>
      <c r="M109" s="252"/>
      <c r="O109" s="211"/>
      <c r="P109" s="211"/>
      <c r="Q109" s="211"/>
      <c r="R109" s="286"/>
      <c r="T109" s="219"/>
      <c r="U109" s="219"/>
      <c r="V109" s="249"/>
      <c r="W109" s="252"/>
      <c r="X109" s="287"/>
      <c r="Y109" s="287"/>
      <c r="Z109" s="252"/>
      <c r="AA109" s="252"/>
      <c r="AB109" s="295"/>
      <c r="AF109" s="243"/>
      <c r="BS109" s="219"/>
    </row>
    <row r="110" spans="1:71" x14ac:dyDescent="0.15">
      <c r="A110" s="292"/>
      <c r="B110" s="251"/>
      <c r="C110" s="212"/>
      <c r="D110" s="251"/>
      <c r="E110" s="293"/>
      <c r="F110" s="293"/>
      <c r="G110" s="293"/>
      <c r="H110" s="293"/>
      <c r="I110" s="251"/>
      <c r="J110" s="212"/>
      <c r="K110" s="212"/>
      <c r="L110" s="253"/>
      <c r="M110" s="252"/>
      <c r="O110" s="211"/>
      <c r="P110" s="211"/>
      <c r="Q110" s="211"/>
      <c r="R110" s="286"/>
      <c r="T110" s="219"/>
      <c r="U110" s="219"/>
      <c r="V110" s="249"/>
      <c r="W110" s="252"/>
      <c r="X110" s="287"/>
      <c r="Y110" s="287"/>
      <c r="Z110" s="252"/>
      <c r="AA110" s="252"/>
      <c r="AB110" s="295"/>
      <c r="AF110" s="243"/>
      <c r="BS110" s="219"/>
    </row>
    <row r="111" spans="1:71" x14ac:dyDescent="0.15">
      <c r="A111" s="292"/>
      <c r="B111" s="251"/>
      <c r="C111" s="212"/>
      <c r="D111" s="251"/>
      <c r="E111" s="293"/>
      <c r="F111" s="293"/>
      <c r="G111" s="293"/>
      <c r="H111" s="293"/>
      <c r="I111" s="251"/>
      <c r="J111" s="212"/>
      <c r="K111" s="212"/>
      <c r="L111" s="253"/>
      <c r="M111" s="252"/>
      <c r="O111" s="211"/>
      <c r="P111" s="211"/>
      <c r="Q111" s="211"/>
      <c r="R111" s="286"/>
      <c r="T111" s="219"/>
      <c r="U111" s="219"/>
      <c r="V111" s="249"/>
      <c r="W111" s="252"/>
      <c r="X111" s="287"/>
      <c r="Y111" s="287"/>
      <c r="Z111" s="252"/>
      <c r="AA111" s="252"/>
      <c r="AB111" s="295"/>
      <c r="AF111" s="243"/>
      <c r="BS111" s="219"/>
    </row>
    <row r="112" spans="1:71" x14ac:dyDescent="0.15">
      <c r="A112" s="292"/>
      <c r="B112" s="251"/>
      <c r="C112" s="212"/>
      <c r="D112" s="251"/>
      <c r="E112" s="293"/>
      <c r="F112" s="293"/>
      <c r="G112" s="293"/>
      <c r="H112" s="293"/>
      <c r="I112" s="251"/>
      <c r="J112" s="212"/>
      <c r="K112" s="212"/>
      <c r="L112" s="253"/>
      <c r="M112" s="252"/>
      <c r="O112" s="211"/>
      <c r="P112" s="211"/>
      <c r="Q112" s="211"/>
      <c r="R112" s="286"/>
      <c r="T112" s="219"/>
      <c r="U112" s="219"/>
      <c r="V112" s="249"/>
      <c r="W112" s="252"/>
      <c r="X112" s="287"/>
      <c r="Y112" s="287"/>
      <c r="Z112" s="252"/>
      <c r="AA112" s="252"/>
      <c r="AB112" s="295"/>
      <c r="AF112" s="243"/>
      <c r="BS112" s="219"/>
    </row>
    <row r="113" spans="1:71" x14ac:dyDescent="0.15">
      <c r="A113" s="292"/>
      <c r="B113" s="251"/>
      <c r="C113" s="212"/>
      <c r="D113" s="251"/>
      <c r="E113" s="293"/>
      <c r="F113" s="293"/>
      <c r="G113" s="293"/>
      <c r="H113" s="293"/>
      <c r="I113" s="251"/>
      <c r="J113" s="212"/>
      <c r="K113" s="212"/>
      <c r="L113" s="253"/>
      <c r="M113" s="252"/>
      <c r="O113" s="211"/>
      <c r="P113" s="211"/>
      <c r="Q113" s="211"/>
      <c r="R113" s="286"/>
      <c r="T113" s="219"/>
      <c r="U113" s="219"/>
      <c r="V113" s="249"/>
      <c r="W113" s="252"/>
      <c r="X113" s="287"/>
      <c r="Y113" s="287"/>
      <c r="Z113" s="252"/>
      <c r="AA113" s="252"/>
      <c r="AB113" s="295"/>
      <c r="AF113" s="243"/>
      <c r="BS113" s="219"/>
    </row>
    <row r="114" spans="1:71" x14ac:dyDescent="0.15">
      <c r="A114" s="292"/>
      <c r="B114" s="251"/>
      <c r="C114" s="212"/>
      <c r="D114" s="251"/>
      <c r="E114" s="293"/>
      <c r="F114" s="293"/>
      <c r="G114" s="293"/>
      <c r="H114" s="293"/>
      <c r="I114" s="251"/>
      <c r="J114" s="212"/>
      <c r="K114" s="212"/>
      <c r="L114" s="253"/>
      <c r="M114" s="252"/>
      <c r="O114" s="211"/>
      <c r="P114" s="211"/>
      <c r="Q114" s="211"/>
      <c r="R114" s="286"/>
      <c r="T114" s="219"/>
      <c r="U114" s="219"/>
      <c r="V114" s="249"/>
      <c r="W114" s="252"/>
      <c r="X114" s="287"/>
      <c r="Y114" s="287"/>
      <c r="Z114" s="252"/>
      <c r="AA114" s="252"/>
      <c r="AB114" s="295"/>
      <c r="AF114" s="243"/>
      <c r="BS114" s="219"/>
    </row>
    <row r="115" spans="1:71" x14ac:dyDescent="0.15">
      <c r="A115" s="292"/>
      <c r="B115" s="251"/>
      <c r="C115" s="212"/>
      <c r="D115" s="251"/>
      <c r="E115" s="293"/>
      <c r="F115" s="293"/>
      <c r="G115" s="293"/>
      <c r="H115" s="293"/>
      <c r="I115" s="251"/>
      <c r="J115" s="212"/>
      <c r="K115" s="212"/>
      <c r="L115" s="253"/>
      <c r="M115" s="252"/>
      <c r="O115" s="211"/>
      <c r="P115" s="211"/>
      <c r="Q115" s="211"/>
      <c r="R115" s="286"/>
      <c r="T115" s="219"/>
      <c r="U115" s="219"/>
      <c r="V115" s="249"/>
      <c r="W115" s="252"/>
      <c r="X115" s="287"/>
      <c r="Y115" s="287"/>
      <c r="Z115" s="252"/>
      <c r="AA115" s="252"/>
      <c r="AB115" s="295"/>
      <c r="AF115" s="243"/>
      <c r="BS115" s="219"/>
    </row>
    <row r="116" spans="1:71" x14ac:dyDescent="0.15">
      <c r="A116" s="292"/>
      <c r="B116" s="251"/>
      <c r="C116" s="212"/>
      <c r="D116" s="251"/>
      <c r="E116" s="293"/>
      <c r="F116" s="293"/>
      <c r="G116" s="293"/>
      <c r="H116" s="293"/>
      <c r="I116" s="251"/>
      <c r="J116" s="212"/>
      <c r="K116" s="212"/>
      <c r="L116" s="253"/>
      <c r="M116" s="252"/>
      <c r="O116" s="211"/>
      <c r="P116" s="211"/>
      <c r="Q116" s="211"/>
      <c r="R116" s="286"/>
      <c r="T116" s="219"/>
      <c r="U116" s="219"/>
      <c r="V116" s="249"/>
      <c r="W116" s="252"/>
      <c r="X116" s="287"/>
      <c r="Y116" s="287"/>
      <c r="Z116" s="252"/>
      <c r="AA116" s="252"/>
      <c r="AB116" s="295"/>
      <c r="AF116" s="243"/>
      <c r="BS116" s="219"/>
    </row>
    <row r="117" spans="1:71" x14ac:dyDescent="0.15">
      <c r="A117" s="292"/>
      <c r="B117" s="251"/>
      <c r="C117" s="212"/>
      <c r="D117" s="251"/>
      <c r="E117" s="293"/>
      <c r="F117" s="293"/>
      <c r="G117" s="293"/>
      <c r="H117" s="293"/>
      <c r="I117" s="251"/>
      <c r="J117" s="212"/>
      <c r="K117" s="212"/>
      <c r="L117" s="253"/>
      <c r="M117" s="252"/>
      <c r="O117" s="211"/>
      <c r="P117" s="211"/>
      <c r="Q117" s="211"/>
      <c r="R117" s="286"/>
      <c r="T117" s="219"/>
      <c r="U117" s="219"/>
      <c r="V117" s="249"/>
      <c r="W117" s="252"/>
      <c r="X117" s="287"/>
      <c r="Y117" s="287"/>
      <c r="Z117" s="252"/>
      <c r="AA117" s="252"/>
      <c r="AB117" s="295"/>
      <c r="AF117" s="243"/>
      <c r="BS117" s="219"/>
    </row>
    <row r="118" spans="1:71" x14ac:dyDescent="0.15">
      <c r="A118" s="292"/>
      <c r="B118" s="251"/>
      <c r="C118" s="212"/>
      <c r="D118" s="251"/>
      <c r="E118" s="293"/>
      <c r="F118" s="293"/>
      <c r="G118" s="293"/>
      <c r="H118" s="293"/>
      <c r="I118" s="251"/>
      <c r="J118" s="212"/>
      <c r="K118" s="212"/>
      <c r="L118" s="253"/>
      <c r="M118" s="252"/>
      <c r="O118" s="211"/>
      <c r="P118" s="211"/>
      <c r="Q118" s="211"/>
      <c r="R118" s="286"/>
      <c r="T118" s="219"/>
      <c r="U118" s="219"/>
      <c r="V118" s="249"/>
      <c r="W118" s="252"/>
      <c r="X118" s="287"/>
      <c r="Y118" s="287"/>
      <c r="Z118" s="252"/>
      <c r="AA118" s="252"/>
      <c r="AB118" s="295"/>
      <c r="AF118" s="243"/>
      <c r="BS118" s="219"/>
    </row>
    <row r="119" spans="1:71" x14ac:dyDescent="0.15">
      <c r="A119" s="292"/>
      <c r="B119" s="251"/>
      <c r="C119" s="212"/>
      <c r="D119" s="251"/>
      <c r="E119" s="293"/>
      <c r="F119" s="293"/>
      <c r="G119" s="293"/>
      <c r="H119" s="293"/>
      <c r="I119" s="251"/>
      <c r="J119" s="212"/>
      <c r="K119" s="212"/>
      <c r="L119" s="253"/>
      <c r="M119" s="252"/>
      <c r="O119" s="211"/>
      <c r="P119" s="211"/>
      <c r="Q119" s="211"/>
      <c r="R119" s="286"/>
      <c r="T119" s="219"/>
      <c r="U119" s="219"/>
      <c r="V119" s="249"/>
      <c r="W119" s="252"/>
      <c r="X119" s="287"/>
      <c r="Y119" s="287"/>
      <c r="Z119" s="252"/>
      <c r="AA119" s="252"/>
      <c r="AB119" s="295"/>
      <c r="AF119" s="243"/>
      <c r="BS119" s="219"/>
    </row>
    <row r="120" spans="1:71" x14ac:dyDescent="0.15">
      <c r="A120" s="292"/>
      <c r="B120" s="251"/>
      <c r="C120" s="212"/>
      <c r="D120" s="251"/>
      <c r="E120" s="293"/>
      <c r="F120" s="293"/>
      <c r="G120" s="293"/>
      <c r="H120" s="293"/>
      <c r="I120" s="251"/>
      <c r="J120" s="212"/>
      <c r="K120" s="212"/>
      <c r="L120" s="253"/>
      <c r="M120" s="252"/>
      <c r="O120" s="211"/>
      <c r="P120" s="211"/>
      <c r="Q120" s="211"/>
      <c r="R120" s="286"/>
      <c r="T120" s="219"/>
      <c r="U120" s="219"/>
      <c r="V120" s="249"/>
      <c r="W120" s="252"/>
      <c r="X120" s="287"/>
      <c r="Y120" s="287"/>
      <c r="Z120" s="252"/>
      <c r="AA120" s="252"/>
      <c r="AB120" s="295"/>
      <c r="AF120" s="243"/>
      <c r="BS120" s="219"/>
    </row>
    <row r="121" spans="1:71" x14ac:dyDescent="0.15">
      <c r="A121" s="292"/>
      <c r="B121" s="251"/>
      <c r="C121" s="212"/>
      <c r="D121" s="251"/>
      <c r="E121" s="293"/>
      <c r="F121" s="293"/>
      <c r="G121" s="293"/>
      <c r="H121" s="293"/>
      <c r="I121" s="251"/>
      <c r="J121" s="212"/>
      <c r="K121" s="212"/>
      <c r="L121" s="253"/>
      <c r="M121" s="252"/>
      <c r="O121" s="211"/>
      <c r="P121" s="211"/>
      <c r="Q121" s="211"/>
      <c r="R121" s="286"/>
      <c r="T121" s="219"/>
      <c r="U121" s="219"/>
      <c r="V121" s="249"/>
      <c r="W121" s="252"/>
      <c r="X121" s="287"/>
      <c r="Y121" s="287"/>
      <c r="Z121" s="252"/>
      <c r="AA121" s="252"/>
      <c r="AB121" s="295"/>
      <c r="AF121" s="243"/>
      <c r="BS121" s="219"/>
    </row>
    <row r="122" spans="1:71" x14ac:dyDescent="0.15">
      <c r="A122" s="292"/>
      <c r="B122" s="251"/>
      <c r="C122" s="212"/>
      <c r="D122" s="251"/>
      <c r="E122" s="293"/>
      <c r="F122" s="293"/>
      <c r="G122" s="293"/>
      <c r="H122" s="293"/>
      <c r="I122" s="251"/>
      <c r="J122" s="212"/>
      <c r="K122" s="212"/>
      <c r="L122" s="253"/>
      <c r="M122" s="252"/>
      <c r="O122" s="211"/>
      <c r="P122" s="211"/>
      <c r="Q122" s="211"/>
      <c r="R122" s="286"/>
      <c r="T122" s="219"/>
      <c r="U122" s="219"/>
      <c r="V122" s="249"/>
      <c r="W122" s="252"/>
      <c r="X122" s="287"/>
      <c r="Y122" s="287"/>
      <c r="Z122" s="252"/>
      <c r="AA122" s="252"/>
      <c r="AB122" s="295"/>
      <c r="AF122" s="243"/>
      <c r="BS122" s="219"/>
    </row>
    <row r="123" spans="1:71" x14ac:dyDescent="0.15">
      <c r="A123" s="292"/>
      <c r="B123" s="251"/>
      <c r="C123" s="212"/>
      <c r="D123" s="251"/>
      <c r="E123" s="293"/>
      <c r="F123" s="293"/>
      <c r="G123" s="293"/>
      <c r="H123" s="293"/>
      <c r="I123" s="251"/>
      <c r="J123" s="212"/>
      <c r="K123" s="212"/>
      <c r="L123" s="253"/>
      <c r="M123" s="252"/>
      <c r="O123" s="211"/>
      <c r="P123" s="211"/>
      <c r="Q123" s="211"/>
      <c r="R123" s="286"/>
      <c r="T123" s="219"/>
      <c r="U123" s="219"/>
      <c r="V123" s="249"/>
      <c r="W123" s="252"/>
      <c r="X123" s="287"/>
      <c r="Y123" s="287"/>
      <c r="Z123" s="252"/>
      <c r="AA123" s="252"/>
      <c r="AB123" s="295"/>
      <c r="AF123" s="243"/>
      <c r="BS123" s="219"/>
    </row>
    <row r="124" spans="1:71" x14ac:dyDescent="0.15">
      <c r="A124" s="292"/>
      <c r="B124" s="251"/>
      <c r="C124" s="212"/>
      <c r="D124" s="251"/>
      <c r="E124" s="293"/>
      <c r="F124" s="293"/>
      <c r="G124" s="293"/>
      <c r="H124" s="293"/>
      <c r="I124" s="251"/>
      <c r="J124" s="212"/>
      <c r="K124" s="212"/>
      <c r="L124" s="253"/>
      <c r="M124" s="252"/>
      <c r="O124" s="211"/>
      <c r="P124" s="211"/>
      <c r="Q124" s="211"/>
      <c r="R124" s="286"/>
      <c r="T124" s="219"/>
      <c r="U124" s="219"/>
      <c r="V124" s="249"/>
      <c r="W124" s="252"/>
      <c r="X124" s="287"/>
      <c r="Y124" s="287"/>
      <c r="Z124" s="252"/>
      <c r="AA124" s="252"/>
      <c r="AB124" s="295"/>
      <c r="AF124" s="243"/>
      <c r="BS124" s="219"/>
    </row>
    <row r="125" spans="1:71" x14ac:dyDescent="0.15">
      <c r="A125" s="292"/>
      <c r="B125" s="251"/>
      <c r="C125" s="212"/>
      <c r="D125" s="251"/>
      <c r="E125" s="293"/>
      <c r="F125" s="293"/>
      <c r="G125" s="293"/>
      <c r="H125" s="293"/>
      <c r="I125" s="251"/>
      <c r="J125" s="212"/>
      <c r="K125" s="212"/>
      <c r="L125" s="253"/>
      <c r="M125" s="252"/>
      <c r="O125" s="211"/>
      <c r="P125" s="211"/>
      <c r="Q125" s="211"/>
      <c r="R125" s="286"/>
      <c r="T125" s="219"/>
      <c r="U125" s="219"/>
      <c r="V125" s="249"/>
      <c r="W125" s="252"/>
      <c r="X125" s="287"/>
      <c r="Y125" s="287"/>
      <c r="Z125" s="252"/>
      <c r="AA125" s="252"/>
      <c r="AB125" s="295"/>
      <c r="AF125" s="243"/>
      <c r="BS125" s="219"/>
    </row>
    <row r="126" spans="1:71" x14ac:dyDescent="0.15">
      <c r="A126" s="292"/>
      <c r="B126" s="251"/>
      <c r="C126" s="212"/>
      <c r="D126" s="251"/>
      <c r="E126" s="293"/>
      <c r="F126" s="293"/>
      <c r="G126" s="293"/>
      <c r="H126" s="293"/>
      <c r="I126" s="251"/>
      <c r="J126" s="212"/>
      <c r="K126" s="212"/>
      <c r="L126" s="253"/>
      <c r="M126" s="252"/>
      <c r="O126" s="211"/>
      <c r="P126" s="211"/>
      <c r="Q126" s="211"/>
      <c r="R126" s="286"/>
      <c r="T126" s="219"/>
      <c r="U126" s="219"/>
      <c r="V126" s="249"/>
      <c r="W126" s="252"/>
      <c r="X126" s="287"/>
      <c r="Y126" s="287"/>
      <c r="Z126" s="252"/>
      <c r="AA126" s="252"/>
      <c r="AB126" s="295"/>
      <c r="AF126" s="243"/>
      <c r="BS126" s="219"/>
    </row>
    <row r="127" spans="1:71" x14ac:dyDescent="0.15">
      <c r="A127" s="292"/>
      <c r="B127" s="251"/>
      <c r="C127" s="212"/>
      <c r="D127" s="251"/>
      <c r="E127" s="293"/>
      <c r="F127" s="293"/>
      <c r="G127" s="293"/>
      <c r="H127" s="293"/>
      <c r="I127" s="251"/>
      <c r="J127" s="212"/>
      <c r="K127" s="212"/>
      <c r="L127" s="253"/>
      <c r="M127" s="252"/>
      <c r="O127" s="211"/>
      <c r="P127" s="211"/>
      <c r="Q127" s="211"/>
      <c r="R127" s="286"/>
      <c r="T127" s="219"/>
      <c r="U127" s="219"/>
      <c r="V127" s="249"/>
      <c r="W127" s="252"/>
      <c r="X127" s="287"/>
      <c r="Y127" s="287"/>
      <c r="Z127" s="252"/>
      <c r="AA127" s="252"/>
      <c r="AB127" s="295"/>
      <c r="AF127" s="243"/>
      <c r="BS127" s="219"/>
    </row>
    <row r="128" spans="1:71" x14ac:dyDescent="0.15">
      <c r="A128" s="292"/>
      <c r="B128" s="251"/>
      <c r="C128" s="212"/>
      <c r="D128" s="251"/>
      <c r="E128" s="293"/>
      <c r="F128" s="293"/>
      <c r="G128" s="293"/>
      <c r="H128" s="293"/>
      <c r="I128" s="251"/>
      <c r="J128" s="212"/>
      <c r="K128" s="212"/>
      <c r="L128" s="253"/>
      <c r="M128" s="252"/>
      <c r="O128" s="211"/>
      <c r="P128" s="211"/>
      <c r="Q128" s="211"/>
      <c r="R128" s="286"/>
      <c r="T128" s="219"/>
      <c r="U128" s="219"/>
      <c r="V128" s="249"/>
      <c r="W128" s="252"/>
      <c r="X128" s="287"/>
      <c r="Y128" s="287"/>
      <c r="Z128" s="252"/>
      <c r="AA128" s="252"/>
      <c r="AB128" s="295"/>
      <c r="AF128" s="243"/>
      <c r="BS128" s="219"/>
    </row>
    <row r="129" spans="1:71" x14ac:dyDescent="0.15">
      <c r="A129" s="292"/>
      <c r="B129" s="251"/>
      <c r="C129" s="212"/>
      <c r="D129" s="251"/>
      <c r="E129" s="293"/>
      <c r="F129" s="293"/>
      <c r="G129" s="293"/>
      <c r="H129" s="293"/>
      <c r="I129" s="251"/>
      <c r="J129" s="212"/>
      <c r="K129" s="212"/>
      <c r="L129" s="253"/>
      <c r="M129" s="252"/>
      <c r="O129" s="211"/>
      <c r="P129" s="211"/>
      <c r="Q129" s="211"/>
      <c r="R129" s="286"/>
      <c r="T129" s="219"/>
      <c r="U129" s="219"/>
      <c r="V129" s="249"/>
      <c r="W129" s="252"/>
      <c r="X129" s="287"/>
      <c r="Y129" s="287"/>
      <c r="Z129" s="252"/>
      <c r="AA129" s="252"/>
      <c r="AB129" s="295"/>
      <c r="AF129" s="243"/>
      <c r="BS129" s="219"/>
    </row>
    <row r="130" spans="1:71" x14ac:dyDescent="0.15">
      <c r="A130" s="292"/>
      <c r="B130" s="251"/>
      <c r="C130" s="212"/>
      <c r="D130" s="251"/>
      <c r="E130" s="293"/>
      <c r="F130" s="293"/>
      <c r="G130" s="293"/>
      <c r="H130" s="293"/>
      <c r="I130" s="251"/>
      <c r="J130" s="212"/>
      <c r="K130" s="212"/>
      <c r="L130" s="253"/>
      <c r="M130" s="252"/>
      <c r="O130" s="211"/>
      <c r="P130" s="211"/>
      <c r="Q130" s="211"/>
      <c r="R130" s="286"/>
      <c r="T130" s="219"/>
      <c r="U130" s="219"/>
      <c r="V130" s="249"/>
      <c r="W130" s="252"/>
      <c r="X130" s="287"/>
      <c r="Y130" s="287"/>
      <c r="Z130" s="252"/>
      <c r="AA130" s="252"/>
      <c r="AB130" s="295"/>
      <c r="AF130" s="243"/>
      <c r="BS130" s="219"/>
    </row>
    <row r="131" spans="1:71" x14ac:dyDescent="0.15">
      <c r="A131" s="292"/>
      <c r="B131" s="251"/>
      <c r="C131" s="212"/>
      <c r="D131" s="251"/>
      <c r="E131" s="293"/>
      <c r="F131" s="293"/>
      <c r="G131" s="293"/>
      <c r="H131" s="293"/>
      <c r="I131" s="251"/>
      <c r="J131" s="212"/>
      <c r="K131" s="212"/>
      <c r="L131" s="253"/>
      <c r="M131" s="252"/>
      <c r="O131" s="211"/>
      <c r="P131" s="211"/>
      <c r="Q131" s="211"/>
      <c r="R131" s="286"/>
      <c r="T131" s="219"/>
      <c r="U131" s="219"/>
      <c r="V131" s="249"/>
      <c r="W131" s="252"/>
      <c r="X131" s="287"/>
      <c r="Y131" s="287"/>
      <c r="Z131" s="252"/>
      <c r="AA131" s="252"/>
      <c r="AB131" s="295"/>
      <c r="AF131" s="243"/>
      <c r="BS131" s="219"/>
    </row>
    <row r="132" spans="1:71" x14ac:dyDescent="0.15">
      <c r="A132" s="292"/>
      <c r="B132" s="251"/>
      <c r="C132" s="212"/>
      <c r="D132" s="251"/>
      <c r="E132" s="293"/>
      <c r="F132" s="293"/>
      <c r="G132" s="293"/>
      <c r="H132" s="293"/>
      <c r="I132" s="251"/>
      <c r="J132" s="212"/>
      <c r="K132" s="212"/>
      <c r="L132" s="253"/>
      <c r="M132" s="252"/>
      <c r="O132" s="211"/>
      <c r="P132" s="211"/>
      <c r="Q132" s="211"/>
      <c r="R132" s="286"/>
      <c r="T132" s="219"/>
      <c r="U132" s="219"/>
      <c r="V132" s="249"/>
      <c r="W132" s="252"/>
      <c r="X132" s="287"/>
      <c r="Y132" s="287"/>
      <c r="Z132" s="252"/>
      <c r="AA132" s="252"/>
      <c r="AB132" s="295"/>
      <c r="AF132" s="243"/>
      <c r="BS132" s="219"/>
    </row>
    <row r="133" spans="1:71" x14ac:dyDescent="0.15">
      <c r="A133" s="292"/>
      <c r="B133" s="251"/>
      <c r="C133" s="212"/>
      <c r="D133" s="251"/>
      <c r="E133" s="293"/>
      <c r="F133" s="293"/>
      <c r="G133" s="293"/>
      <c r="H133" s="293"/>
      <c r="I133" s="251"/>
      <c r="J133" s="212"/>
      <c r="K133" s="212"/>
      <c r="L133" s="253"/>
      <c r="M133" s="252"/>
      <c r="O133" s="211"/>
      <c r="P133" s="211"/>
      <c r="Q133" s="211"/>
      <c r="R133" s="286"/>
      <c r="T133" s="219"/>
      <c r="U133" s="219"/>
      <c r="V133" s="249"/>
      <c r="W133" s="252"/>
      <c r="X133" s="287"/>
      <c r="Y133" s="287"/>
      <c r="Z133" s="252"/>
      <c r="AA133" s="252"/>
      <c r="AB133" s="295"/>
      <c r="AF133" s="243"/>
      <c r="BS133" s="219"/>
    </row>
    <row r="134" spans="1:71" x14ac:dyDescent="0.15">
      <c r="A134" s="292"/>
      <c r="B134" s="251"/>
      <c r="C134" s="212"/>
      <c r="D134" s="251"/>
      <c r="E134" s="293"/>
      <c r="F134" s="293"/>
      <c r="G134" s="293"/>
      <c r="H134" s="293"/>
      <c r="I134" s="251"/>
      <c r="J134" s="212"/>
      <c r="K134" s="212"/>
      <c r="L134" s="253"/>
      <c r="M134" s="252"/>
      <c r="O134" s="211"/>
      <c r="P134" s="211"/>
      <c r="Q134" s="211"/>
      <c r="R134" s="286"/>
      <c r="T134" s="219"/>
      <c r="U134" s="219"/>
      <c r="V134" s="249"/>
      <c r="W134" s="252"/>
      <c r="X134" s="287"/>
      <c r="Y134" s="287"/>
      <c r="Z134" s="252"/>
      <c r="AA134" s="252"/>
      <c r="AB134" s="295"/>
      <c r="AF134" s="243"/>
      <c r="BS134" s="219"/>
    </row>
    <row r="135" spans="1:71" x14ac:dyDescent="0.15">
      <c r="A135" s="292"/>
      <c r="B135" s="251"/>
      <c r="C135" s="212"/>
      <c r="D135" s="251"/>
      <c r="E135" s="293"/>
      <c r="F135" s="293"/>
      <c r="G135" s="293"/>
      <c r="H135" s="293"/>
      <c r="I135" s="251"/>
      <c r="J135" s="212"/>
      <c r="K135" s="212"/>
      <c r="L135" s="253"/>
      <c r="M135" s="252"/>
      <c r="O135" s="211"/>
      <c r="P135" s="211"/>
      <c r="Q135" s="211"/>
      <c r="R135" s="286"/>
      <c r="T135" s="219"/>
      <c r="U135" s="219"/>
      <c r="V135" s="249"/>
      <c r="W135" s="252"/>
      <c r="X135" s="287"/>
      <c r="Y135" s="287"/>
      <c r="Z135" s="252"/>
      <c r="AA135" s="252"/>
      <c r="AB135" s="295"/>
      <c r="AF135" s="243"/>
      <c r="BS135" s="219"/>
    </row>
    <row r="136" spans="1:71" x14ac:dyDescent="0.15">
      <c r="A136" s="292"/>
      <c r="B136" s="251"/>
      <c r="C136" s="212"/>
      <c r="D136" s="251"/>
      <c r="E136" s="293"/>
      <c r="F136" s="293"/>
      <c r="G136" s="293"/>
      <c r="H136" s="293"/>
      <c r="I136" s="251"/>
      <c r="J136" s="212"/>
      <c r="K136" s="212"/>
      <c r="L136" s="253"/>
      <c r="M136" s="252"/>
      <c r="O136" s="211"/>
      <c r="P136" s="211"/>
      <c r="Q136" s="211"/>
      <c r="R136" s="286"/>
      <c r="T136" s="219"/>
      <c r="U136" s="219"/>
      <c r="V136" s="249"/>
      <c r="W136" s="252"/>
      <c r="X136" s="287"/>
      <c r="Y136" s="287"/>
      <c r="Z136" s="252"/>
      <c r="AA136" s="252"/>
      <c r="AB136" s="295"/>
      <c r="AF136" s="243"/>
      <c r="BS136" s="219"/>
    </row>
    <row r="137" spans="1:71" x14ac:dyDescent="0.15">
      <c r="A137" s="292"/>
      <c r="B137" s="251"/>
      <c r="C137" s="212"/>
      <c r="D137" s="251"/>
      <c r="E137" s="293"/>
      <c r="F137" s="293"/>
      <c r="G137" s="293"/>
      <c r="H137" s="293"/>
      <c r="I137" s="251"/>
      <c r="J137" s="212"/>
      <c r="K137" s="212"/>
      <c r="L137" s="253"/>
      <c r="M137" s="252"/>
      <c r="O137" s="211"/>
      <c r="P137" s="211"/>
      <c r="Q137" s="211"/>
      <c r="R137" s="286"/>
      <c r="T137" s="219"/>
      <c r="U137" s="219"/>
      <c r="V137" s="249"/>
      <c r="W137" s="252"/>
      <c r="X137" s="287"/>
      <c r="Y137" s="287"/>
      <c r="Z137" s="252"/>
      <c r="AA137" s="252"/>
      <c r="AB137" s="295"/>
      <c r="AF137" s="243"/>
      <c r="BS137" s="219"/>
    </row>
    <row r="138" spans="1:71" x14ac:dyDescent="0.15">
      <c r="A138" s="292"/>
      <c r="B138" s="251"/>
      <c r="C138" s="212"/>
      <c r="D138" s="251"/>
      <c r="E138" s="293"/>
      <c r="F138" s="293"/>
      <c r="G138" s="293"/>
      <c r="H138" s="293"/>
      <c r="I138" s="251"/>
      <c r="J138" s="212"/>
      <c r="K138" s="212"/>
      <c r="L138" s="253"/>
      <c r="M138" s="252"/>
      <c r="O138" s="211"/>
      <c r="P138" s="211"/>
      <c r="Q138" s="211"/>
      <c r="R138" s="286"/>
      <c r="T138" s="219"/>
      <c r="U138" s="219"/>
      <c r="V138" s="249"/>
      <c r="W138" s="252"/>
      <c r="X138" s="287"/>
      <c r="Y138" s="287"/>
      <c r="Z138" s="252"/>
      <c r="AA138" s="252"/>
      <c r="AB138" s="295"/>
      <c r="AF138" s="243"/>
      <c r="BS138" s="219"/>
    </row>
    <row r="139" spans="1:71" x14ac:dyDescent="0.15">
      <c r="A139" s="292"/>
      <c r="B139" s="251"/>
      <c r="C139" s="212"/>
      <c r="D139" s="251"/>
      <c r="E139" s="293"/>
      <c r="F139" s="293"/>
      <c r="G139" s="293"/>
      <c r="H139" s="293"/>
      <c r="I139" s="251"/>
      <c r="J139" s="212"/>
      <c r="K139" s="212"/>
      <c r="L139" s="253"/>
      <c r="M139" s="252"/>
      <c r="O139" s="211"/>
      <c r="P139" s="211"/>
      <c r="Q139" s="211"/>
      <c r="R139" s="286"/>
      <c r="T139" s="219"/>
      <c r="U139" s="219"/>
      <c r="V139" s="249"/>
      <c r="W139" s="252"/>
      <c r="X139" s="287"/>
      <c r="Y139" s="287"/>
      <c r="Z139" s="252"/>
      <c r="AA139" s="252"/>
      <c r="AB139" s="295"/>
      <c r="AF139" s="243"/>
      <c r="BS139" s="219"/>
    </row>
    <row r="140" spans="1:71" x14ac:dyDescent="0.15">
      <c r="A140" s="292"/>
      <c r="B140" s="251"/>
      <c r="C140" s="212"/>
      <c r="D140" s="251"/>
      <c r="E140" s="293"/>
      <c r="F140" s="293"/>
      <c r="G140" s="293"/>
      <c r="H140" s="293"/>
      <c r="I140" s="251"/>
      <c r="J140" s="212"/>
      <c r="K140" s="212"/>
      <c r="L140" s="253"/>
      <c r="M140" s="252"/>
      <c r="O140" s="211"/>
      <c r="P140" s="211"/>
      <c r="Q140" s="211"/>
      <c r="R140" s="286"/>
      <c r="T140" s="219"/>
      <c r="U140" s="219"/>
      <c r="V140" s="249"/>
      <c r="W140" s="252"/>
      <c r="X140" s="287"/>
      <c r="Y140" s="287"/>
      <c r="Z140" s="252"/>
      <c r="AA140" s="252"/>
      <c r="AB140" s="295"/>
      <c r="AF140" s="243"/>
      <c r="BS140" s="219"/>
    </row>
    <row r="141" spans="1:71" x14ac:dyDescent="0.15">
      <c r="A141" s="292"/>
      <c r="B141" s="251"/>
      <c r="C141" s="212"/>
      <c r="D141" s="251"/>
      <c r="E141" s="293"/>
      <c r="F141" s="293"/>
      <c r="G141" s="293"/>
      <c r="H141" s="293"/>
      <c r="I141" s="251"/>
      <c r="J141" s="212"/>
      <c r="K141" s="212"/>
      <c r="L141" s="253"/>
      <c r="M141" s="252"/>
      <c r="O141" s="211"/>
      <c r="P141" s="211"/>
      <c r="Q141" s="211"/>
      <c r="R141" s="286"/>
      <c r="T141" s="219"/>
      <c r="U141" s="219"/>
      <c r="V141" s="249"/>
      <c r="W141" s="252"/>
      <c r="X141" s="287"/>
      <c r="Y141" s="287"/>
      <c r="Z141" s="252"/>
      <c r="AA141" s="252"/>
      <c r="AB141" s="295"/>
      <c r="AF141" s="243"/>
      <c r="BS141" s="219"/>
    </row>
    <row r="142" spans="1:71" x14ac:dyDescent="0.15">
      <c r="A142" s="292"/>
      <c r="B142" s="251"/>
      <c r="C142" s="212"/>
      <c r="D142" s="251"/>
      <c r="E142" s="293"/>
      <c r="F142" s="293"/>
      <c r="G142" s="293"/>
      <c r="H142" s="293"/>
      <c r="I142" s="251"/>
      <c r="J142" s="212"/>
      <c r="K142" s="212"/>
      <c r="L142" s="253"/>
      <c r="M142" s="252"/>
      <c r="O142" s="211"/>
      <c r="P142" s="211"/>
      <c r="Q142" s="211"/>
      <c r="R142" s="286"/>
      <c r="T142" s="219"/>
      <c r="U142" s="219"/>
      <c r="V142" s="249"/>
      <c r="W142" s="252"/>
      <c r="X142" s="287"/>
      <c r="Y142" s="287"/>
      <c r="Z142" s="252"/>
      <c r="AA142" s="252"/>
      <c r="AB142" s="295"/>
      <c r="AF142" s="243"/>
      <c r="BS142" s="219"/>
    </row>
    <row r="143" spans="1:71" x14ac:dyDescent="0.15">
      <c r="A143" s="292"/>
      <c r="B143" s="251"/>
      <c r="C143" s="212"/>
      <c r="D143" s="251"/>
      <c r="E143" s="293"/>
      <c r="F143" s="293"/>
      <c r="G143" s="293"/>
      <c r="H143" s="293"/>
      <c r="I143" s="251"/>
      <c r="J143" s="212"/>
      <c r="K143" s="212"/>
      <c r="L143" s="253"/>
      <c r="M143" s="252"/>
      <c r="O143" s="211"/>
      <c r="P143" s="211"/>
      <c r="Q143" s="211"/>
      <c r="R143" s="286"/>
      <c r="T143" s="219"/>
      <c r="U143" s="219"/>
      <c r="V143" s="249"/>
      <c r="W143" s="252"/>
      <c r="X143" s="287"/>
      <c r="Y143" s="287"/>
      <c r="Z143" s="252"/>
      <c r="AA143" s="252"/>
      <c r="AB143" s="295"/>
      <c r="AF143" s="243"/>
      <c r="BS143" s="219"/>
    </row>
    <row r="144" spans="1:71" x14ac:dyDescent="0.15">
      <c r="A144" s="292"/>
      <c r="B144" s="251"/>
      <c r="C144" s="212"/>
      <c r="D144" s="251"/>
      <c r="E144" s="293"/>
      <c r="F144" s="293"/>
      <c r="G144" s="293"/>
      <c r="H144" s="293"/>
      <c r="I144" s="251"/>
      <c r="J144" s="212"/>
      <c r="K144" s="212"/>
      <c r="L144" s="253"/>
      <c r="M144" s="252"/>
      <c r="O144" s="211"/>
      <c r="P144" s="211"/>
      <c r="Q144" s="211"/>
      <c r="R144" s="286"/>
      <c r="T144" s="219"/>
      <c r="U144" s="219"/>
      <c r="V144" s="249"/>
      <c r="W144" s="252"/>
      <c r="X144" s="287"/>
      <c r="Y144" s="287"/>
      <c r="Z144" s="252"/>
      <c r="AA144" s="252"/>
      <c r="AB144" s="295"/>
      <c r="AF144" s="243"/>
      <c r="BS144" s="219"/>
    </row>
    <row r="145" spans="1:71" x14ac:dyDescent="0.15">
      <c r="A145" s="292"/>
      <c r="B145" s="251"/>
      <c r="C145" s="212"/>
      <c r="D145" s="251"/>
      <c r="E145" s="293"/>
      <c r="F145" s="293"/>
      <c r="G145" s="293"/>
      <c r="H145" s="293"/>
      <c r="I145" s="251"/>
      <c r="J145" s="212"/>
      <c r="K145" s="212"/>
      <c r="L145" s="253"/>
      <c r="M145" s="252"/>
      <c r="O145" s="211"/>
      <c r="P145" s="211"/>
      <c r="Q145" s="211"/>
      <c r="R145" s="286"/>
      <c r="T145" s="219"/>
      <c r="U145" s="219"/>
      <c r="V145" s="249"/>
      <c r="W145" s="252"/>
      <c r="X145" s="287"/>
      <c r="Y145" s="287"/>
      <c r="Z145" s="252"/>
      <c r="AA145" s="252"/>
      <c r="AB145" s="295"/>
      <c r="AF145" s="243"/>
      <c r="BS145" s="219"/>
    </row>
    <row r="146" spans="1:71" x14ac:dyDescent="0.15">
      <c r="A146" s="292"/>
      <c r="B146" s="251"/>
      <c r="C146" s="212"/>
      <c r="D146" s="251"/>
      <c r="E146" s="293"/>
      <c r="F146" s="293"/>
      <c r="G146" s="293"/>
      <c r="H146" s="293"/>
      <c r="I146" s="251"/>
      <c r="J146" s="212"/>
      <c r="K146" s="212"/>
      <c r="L146" s="253"/>
      <c r="M146" s="252"/>
      <c r="O146" s="211"/>
      <c r="P146" s="211"/>
      <c r="Q146" s="211"/>
      <c r="R146" s="286"/>
      <c r="T146" s="219"/>
      <c r="U146" s="219"/>
      <c r="V146" s="249"/>
      <c r="W146" s="252"/>
      <c r="X146" s="287"/>
      <c r="Y146" s="287"/>
      <c r="Z146" s="252"/>
      <c r="AA146" s="252"/>
      <c r="AB146" s="295"/>
      <c r="AF146" s="243"/>
      <c r="BS146" s="219"/>
    </row>
    <row r="147" spans="1:71" x14ac:dyDescent="0.15">
      <c r="A147" s="292"/>
      <c r="B147" s="251"/>
      <c r="C147" s="212"/>
      <c r="D147" s="251"/>
      <c r="E147" s="293"/>
      <c r="F147" s="293"/>
      <c r="G147" s="293"/>
      <c r="H147" s="293"/>
      <c r="I147" s="251"/>
      <c r="J147" s="212"/>
      <c r="K147" s="212"/>
      <c r="L147" s="253"/>
      <c r="M147" s="252"/>
      <c r="O147" s="211"/>
      <c r="P147" s="211"/>
      <c r="Q147" s="211"/>
      <c r="R147" s="286"/>
      <c r="T147" s="219"/>
      <c r="U147" s="219"/>
      <c r="V147" s="249"/>
      <c r="W147" s="252"/>
      <c r="X147" s="287"/>
      <c r="Y147" s="287"/>
      <c r="Z147" s="252"/>
      <c r="AA147" s="252"/>
      <c r="AB147" s="295"/>
      <c r="AF147" s="243"/>
      <c r="BS147" s="219"/>
    </row>
    <row r="148" spans="1:71" x14ac:dyDescent="0.15">
      <c r="A148" s="292"/>
      <c r="B148" s="251"/>
      <c r="C148" s="212"/>
      <c r="D148" s="251"/>
      <c r="E148" s="293"/>
      <c r="F148" s="293"/>
      <c r="G148" s="293"/>
      <c r="H148" s="293"/>
      <c r="I148" s="251"/>
      <c r="J148" s="212"/>
      <c r="K148" s="212"/>
      <c r="L148" s="253"/>
      <c r="M148" s="252"/>
      <c r="O148" s="211"/>
      <c r="P148" s="211"/>
      <c r="Q148" s="211"/>
      <c r="R148" s="286"/>
      <c r="T148" s="219"/>
      <c r="U148" s="219"/>
      <c r="V148" s="249"/>
      <c r="W148" s="252"/>
      <c r="X148" s="287"/>
      <c r="Y148" s="287"/>
      <c r="Z148" s="252"/>
      <c r="AA148" s="252"/>
      <c r="AB148" s="295"/>
      <c r="AF148" s="243"/>
      <c r="BS148" s="219"/>
    </row>
    <row r="149" spans="1:71" x14ac:dyDescent="0.15">
      <c r="A149" s="292"/>
      <c r="B149" s="251"/>
      <c r="C149" s="212"/>
      <c r="D149" s="251"/>
      <c r="E149" s="293"/>
      <c r="F149" s="293"/>
      <c r="G149" s="293"/>
      <c r="H149" s="293"/>
      <c r="I149" s="251"/>
      <c r="J149" s="212"/>
      <c r="K149" s="212"/>
      <c r="L149" s="253"/>
      <c r="M149" s="252"/>
      <c r="O149" s="211"/>
      <c r="P149" s="211"/>
      <c r="Q149" s="211"/>
      <c r="R149" s="286"/>
      <c r="T149" s="219"/>
      <c r="U149" s="219"/>
      <c r="V149" s="249"/>
      <c r="W149" s="252"/>
      <c r="X149" s="287"/>
      <c r="Y149" s="287"/>
      <c r="Z149" s="252"/>
      <c r="AA149" s="252"/>
      <c r="AB149" s="295"/>
      <c r="AF149" s="243"/>
      <c r="BS149" s="219"/>
    </row>
    <row r="150" spans="1:71" x14ac:dyDescent="0.15">
      <c r="A150" s="292"/>
      <c r="B150" s="251"/>
      <c r="C150" s="212"/>
      <c r="D150" s="251"/>
      <c r="E150" s="293"/>
      <c r="F150" s="293"/>
      <c r="G150" s="293"/>
      <c r="H150" s="293"/>
      <c r="I150" s="251"/>
      <c r="J150" s="212"/>
      <c r="K150" s="212"/>
      <c r="L150" s="253"/>
      <c r="M150" s="252"/>
      <c r="O150" s="211"/>
      <c r="P150" s="211"/>
      <c r="Q150" s="211"/>
      <c r="R150" s="286"/>
      <c r="T150" s="219"/>
      <c r="U150" s="219"/>
      <c r="V150" s="249"/>
      <c r="W150" s="252"/>
      <c r="X150" s="287"/>
      <c r="Y150" s="287"/>
      <c r="Z150" s="252"/>
      <c r="AA150" s="252"/>
      <c r="AB150" s="295"/>
      <c r="AF150" s="243"/>
      <c r="BS150" s="219"/>
    </row>
    <row r="151" spans="1:71" x14ac:dyDescent="0.15">
      <c r="A151" s="292"/>
      <c r="B151" s="251"/>
      <c r="C151" s="212"/>
      <c r="D151" s="251"/>
      <c r="E151" s="293"/>
      <c r="F151" s="293"/>
      <c r="G151" s="293"/>
      <c r="H151" s="293"/>
      <c r="I151" s="251"/>
      <c r="J151" s="212"/>
      <c r="K151" s="212"/>
      <c r="L151" s="253"/>
      <c r="M151" s="252"/>
      <c r="O151" s="211"/>
      <c r="P151" s="211"/>
      <c r="Q151" s="211"/>
      <c r="R151" s="286"/>
      <c r="T151" s="219"/>
      <c r="U151" s="219"/>
      <c r="V151" s="249"/>
      <c r="W151" s="252"/>
      <c r="X151" s="287"/>
      <c r="Y151" s="287"/>
      <c r="Z151" s="252"/>
      <c r="AA151" s="252"/>
      <c r="AB151" s="295"/>
      <c r="AF151" s="243"/>
      <c r="BS151" s="219"/>
    </row>
    <row r="152" spans="1:71" x14ac:dyDescent="0.15">
      <c r="A152" s="292"/>
      <c r="B152" s="251"/>
      <c r="C152" s="212"/>
      <c r="D152" s="251"/>
      <c r="E152" s="293"/>
      <c r="F152" s="293"/>
      <c r="G152" s="293"/>
      <c r="H152" s="293"/>
      <c r="I152" s="251"/>
      <c r="J152" s="212"/>
      <c r="K152" s="212"/>
      <c r="L152" s="253"/>
      <c r="M152" s="252"/>
      <c r="O152" s="211"/>
      <c r="P152" s="211"/>
      <c r="Q152" s="211"/>
      <c r="R152" s="286"/>
      <c r="T152" s="219"/>
      <c r="U152" s="219"/>
      <c r="V152" s="249"/>
      <c r="W152" s="252"/>
      <c r="X152" s="287"/>
      <c r="Y152" s="287"/>
      <c r="Z152" s="252"/>
      <c r="AA152" s="252"/>
      <c r="AB152" s="295"/>
      <c r="AF152" s="243"/>
      <c r="BS152" s="219"/>
    </row>
    <row r="153" spans="1:71" x14ac:dyDescent="0.15">
      <c r="A153" s="292"/>
      <c r="B153" s="251"/>
      <c r="C153" s="212"/>
      <c r="D153" s="251"/>
      <c r="E153" s="293"/>
      <c r="F153" s="293"/>
      <c r="G153" s="293"/>
      <c r="H153" s="293"/>
      <c r="I153" s="251"/>
      <c r="J153" s="212"/>
      <c r="K153" s="212"/>
      <c r="L153" s="253"/>
      <c r="M153" s="252"/>
      <c r="O153" s="211"/>
      <c r="P153" s="211"/>
      <c r="Q153" s="211"/>
      <c r="R153" s="286"/>
      <c r="T153" s="219"/>
      <c r="U153" s="219"/>
      <c r="V153" s="249"/>
      <c r="W153" s="252"/>
      <c r="X153" s="287"/>
      <c r="Y153" s="287"/>
      <c r="Z153" s="252"/>
      <c r="AA153" s="252"/>
      <c r="AB153" s="295"/>
      <c r="AF153" s="243"/>
      <c r="BS153" s="219"/>
    </row>
    <row r="154" spans="1:71" x14ac:dyDescent="0.15">
      <c r="A154" s="292"/>
      <c r="B154" s="251"/>
      <c r="C154" s="212"/>
      <c r="D154" s="251"/>
      <c r="E154" s="293"/>
      <c r="F154" s="293"/>
      <c r="G154" s="293"/>
      <c r="H154" s="293"/>
      <c r="I154" s="251"/>
      <c r="J154" s="212"/>
      <c r="K154" s="212"/>
      <c r="L154" s="253"/>
      <c r="M154" s="252"/>
      <c r="O154" s="211"/>
      <c r="P154" s="211"/>
      <c r="Q154" s="211"/>
      <c r="R154" s="286"/>
      <c r="T154" s="219"/>
      <c r="U154" s="219"/>
      <c r="V154" s="249"/>
      <c r="W154" s="252"/>
      <c r="X154" s="287"/>
      <c r="Y154" s="287"/>
      <c r="Z154" s="252"/>
      <c r="AA154" s="252"/>
      <c r="AB154" s="295"/>
      <c r="AF154" s="243"/>
      <c r="BS154" s="219"/>
    </row>
    <row r="155" spans="1:71" x14ac:dyDescent="0.15">
      <c r="A155" s="292"/>
      <c r="B155" s="251"/>
      <c r="C155" s="212"/>
      <c r="D155" s="251"/>
      <c r="E155" s="293"/>
      <c r="F155" s="293"/>
      <c r="G155" s="293"/>
      <c r="H155" s="293"/>
      <c r="I155" s="251"/>
      <c r="J155" s="212"/>
      <c r="K155" s="212"/>
      <c r="L155" s="253"/>
      <c r="M155" s="252"/>
      <c r="O155" s="211"/>
      <c r="P155" s="211"/>
      <c r="Q155" s="211"/>
      <c r="R155" s="286"/>
      <c r="T155" s="219"/>
      <c r="U155" s="219"/>
      <c r="V155" s="249"/>
      <c r="W155" s="252"/>
      <c r="X155" s="287"/>
      <c r="Y155" s="287"/>
      <c r="Z155" s="252"/>
      <c r="AA155" s="252"/>
      <c r="AB155" s="295"/>
      <c r="AF155" s="243"/>
      <c r="BS155" s="219"/>
    </row>
    <row r="156" spans="1:71" x14ac:dyDescent="0.15">
      <c r="A156" s="292"/>
      <c r="B156" s="251"/>
      <c r="C156" s="212"/>
      <c r="D156" s="251"/>
      <c r="E156" s="293"/>
      <c r="F156" s="293"/>
      <c r="G156" s="293"/>
      <c r="H156" s="293"/>
      <c r="I156" s="251"/>
      <c r="J156" s="212"/>
      <c r="K156" s="212"/>
      <c r="L156" s="253"/>
      <c r="M156" s="252"/>
      <c r="O156" s="211"/>
      <c r="P156" s="211"/>
      <c r="Q156" s="211"/>
      <c r="R156" s="286"/>
      <c r="T156" s="219"/>
      <c r="U156" s="219"/>
      <c r="V156" s="249"/>
      <c r="W156" s="252"/>
      <c r="X156" s="287"/>
      <c r="Y156" s="287"/>
      <c r="Z156" s="252"/>
      <c r="AA156" s="252"/>
      <c r="AB156" s="295"/>
      <c r="AF156" s="243"/>
      <c r="BS156" s="219"/>
    </row>
    <row r="157" spans="1:71" x14ac:dyDescent="0.15">
      <c r="A157" s="292"/>
      <c r="B157" s="251"/>
      <c r="C157" s="212"/>
      <c r="D157" s="251"/>
      <c r="E157" s="293"/>
      <c r="F157" s="293"/>
      <c r="G157" s="293"/>
      <c r="H157" s="293"/>
      <c r="I157" s="251"/>
      <c r="J157" s="212"/>
      <c r="K157" s="212"/>
      <c r="L157" s="253"/>
      <c r="M157" s="252"/>
      <c r="O157" s="211"/>
      <c r="P157" s="211"/>
      <c r="Q157" s="211"/>
      <c r="R157" s="286"/>
      <c r="T157" s="219"/>
      <c r="U157" s="219"/>
      <c r="V157" s="249"/>
      <c r="W157" s="252"/>
      <c r="X157" s="287"/>
      <c r="Y157" s="287"/>
      <c r="Z157" s="252"/>
      <c r="AA157" s="252"/>
      <c r="AB157" s="295"/>
      <c r="AF157" s="243"/>
      <c r="BS157" s="219"/>
    </row>
    <row r="158" spans="1:71" x14ac:dyDescent="0.15">
      <c r="A158" s="292"/>
      <c r="B158" s="251"/>
      <c r="C158" s="212"/>
      <c r="D158" s="251"/>
      <c r="E158" s="293"/>
      <c r="F158" s="293"/>
      <c r="G158" s="293"/>
      <c r="H158" s="293"/>
      <c r="I158" s="251"/>
      <c r="J158" s="212"/>
      <c r="K158" s="212"/>
      <c r="L158" s="253"/>
      <c r="M158" s="252"/>
      <c r="O158" s="211"/>
      <c r="P158" s="211"/>
      <c r="Q158" s="211"/>
      <c r="R158" s="286"/>
      <c r="T158" s="219"/>
      <c r="U158" s="219"/>
      <c r="V158" s="249"/>
      <c r="W158" s="252"/>
      <c r="X158" s="287"/>
      <c r="Y158" s="287"/>
      <c r="Z158" s="252"/>
      <c r="AA158" s="252"/>
      <c r="AB158" s="295"/>
      <c r="AF158" s="243"/>
      <c r="BS158" s="219"/>
    </row>
    <row r="159" spans="1:71" x14ac:dyDescent="0.15">
      <c r="A159" s="292"/>
      <c r="B159" s="251"/>
      <c r="C159" s="212"/>
      <c r="D159" s="251"/>
      <c r="E159" s="293"/>
      <c r="F159" s="293"/>
      <c r="G159" s="293"/>
      <c r="H159" s="293"/>
      <c r="I159" s="251"/>
      <c r="J159" s="212"/>
      <c r="K159" s="212"/>
      <c r="L159" s="253"/>
      <c r="M159" s="252"/>
      <c r="O159" s="211"/>
      <c r="P159" s="211"/>
      <c r="Q159" s="211"/>
      <c r="R159" s="286"/>
      <c r="T159" s="219"/>
      <c r="U159" s="219"/>
      <c r="V159" s="249"/>
      <c r="W159" s="252"/>
      <c r="X159" s="287"/>
      <c r="Y159" s="287"/>
      <c r="Z159" s="252"/>
      <c r="AA159" s="252"/>
      <c r="AB159" s="295"/>
      <c r="AF159" s="243"/>
      <c r="BS159" s="219"/>
    </row>
    <row r="160" spans="1:71" x14ac:dyDescent="0.15">
      <c r="A160" s="292"/>
      <c r="B160" s="251"/>
      <c r="C160" s="212"/>
      <c r="D160" s="251"/>
      <c r="E160" s="293"/>
      <c r="F160" s="293"/>
      <c r="G160" s="293"/>
      <c r="H160" s="293"/>
      <c r="I160" s="251"/>
      <c r="J160" s="212"/>
      <c r="K160" s="212"/>
      <c r="L160" s="253"/>
      <c r="M160" s="252"/>
      <c r="O160" s="211"/>
      <c r="P160" s="211"/>
      <c r="Q160" s="211"/>
      <c r="R160" s="286"/>
      <c r="T160" s="219"/>
      <c r="U160" s="219"/>
      <c r="V160" s="249"/>
      <c r="W160" s="252"/>
      <c r="X160" s="287"/>
      <c r="Y160" s="287"/>
      <c r="Z160" s="252"/>
      <c r="AA160" s="252"/>
      <c r="AB160" s="295"/>
      <c r="AF160" s="243"/>
      <c r="BS160" s="219"/>
    </row>
    <row r="161" spans="1:71" x14ac:dyDescent="0.15">
      <c r="A161" s="292"/>
      <c r="B161" s="251"/>
      <c r="C161" s="212"/>
      <c r="D161" s="251"/>
      <c r="E161" s="293"/>
      <c r="F161" s="293"/>
      <c r="G161" s="293"/>
      <c r="H161" s="293"/>
      <c r="I161" s="251"/>
      <c r="J161" s="212"/>
      <c r="K161" s="212"/>
      <c r="L161" s="253"/>
      <c r="M161" s="252"/>
      <c r="O161" s="211"/>
      <c r="P161" s="211"/>
      <c r="Q161" s="211"/>
      <c r="R161" s="286"/>
      <c r="T161" s="219"/>
      <c r="U161" s="219"/>
      <c r="V161" s="249"/>
      <c r="W161" s="252"/>
      <c r="X161" s="287"/>
      <c r="Y161" s="287"/>
      <c r="Z161" s="252"/>
      <c r="AA161" s="252"/>
      <c r="AB161" s="295"/>
      <c r="AF161" s="243"/>
      <c r="BS161" s="219"/>
    </row>
    <row r="162" spans="1:71" x14ac:dyDescent="0.15">
      <c r="A162" s="292"/>
      <c r="B162" s="251"/>
      <c r="C162" s="212"/>
      <c r="D162" s="251"/>
      <c r="E162" s="293"/>
      <c r="F162" s="293"/>
      <c r="G162" s="293"/>
      <c r="H162" s="293"/>
      <c r="I162" s="251"/>
      <c r="J162" s="212"/>
      <c r="K162" s="212"/>
      <c r="L162" s="253"/>
      <c r="M162" s="252"/>
      <c r="O162" s="211"/>
      <c r="P162" s="211"/>
      <c r="Q162" s="211"/>
      <c r="R162" s="286"/>
      <c r="T162" s="219"/>
      <c r="U162" s="219"/>
      <c r="V162" s="249"/>
      <c r="W162" s="252"/>
      <c r="X162" s="287"/>
      <c r="Y162" s="287"/>
      <c r="Z162" s="252"/>
      <c r="AA162" s="252"/>
      <c r="AB162" s="295"/>
      <c r="AF162" s="243"/>
      <c r="BS162" s="219"/>
    </row>
    <row r="163" spans="1:71" x14ac:dyDescent="0.15">
      <c r="A163" s="292"/>
      <c r="B163" s="251"/>
      <c r="C163" s="212"/>
      <c r="D163" s="251"/>
      <c r="E163" s="293"/>
      <c r="F163" s="293"/>
      <c r="G163" s="293"/>
      <c r="H163" s="293"/>
      <c r="I163" s="251"/>
      <c r="J163" s="212"/>
      <c r="K163" s="212"/>
      <c r="L163" s="253"/>
      <c r="M163" s="252"/>
      <c r="O163" s="211"/>
      <c r="P163" s="211"/>
      <c r="Q163" s="211"/>
      <c r="R163" s="286"/>
      <c r="T163" s="219"/>
      <c r="U163" s="219"/>
      <c r="V163" s="249"/>
      <c r="W163" s="252"/>
      <c r="X163" s="287"/>
      <c r="Y163" s="287"/>
      <c r="Z163" s="252"/>
      <c r="AA163" s="252"/>
      <c r="AB163" s="295"/>
      <c r="AF163" s="243"/>
      <c r="BS163" s="219"/>
    </row>
    <row r="164" spans="1:71" x14ac:dyDescent="0.15">
      <c r="A164" s="292"/>
      <c r="B164" s="251"/>
      <c r="C164" s="212"/>
      <c r="D164" s="251"/>
      <c r="E164" s="293"/>
      <c r="F164" s="293"/>
      <c r="G164" s="293"/>
      <c r="H164" s="293"/>
      <c r="I164" s="251"/>
      <c r="J164" s="212"/>
      <c r="K164" s="212"/>
      <c r="L164" s="253"/>
      <c r="M164" s="252"/>
      <c r="O164" s="211"/>
      <c r="P164" s="211"/>
      <c r="Q164" s="211"/>
      <c r="R164" s="286"/>
      <c r="T164" s="219"/>
      <c r="U164" s="219"/>
      <c r="V164" s="249"/>
      <c r="W164" s="252"/>
      <c r="X164" s="287"/>
      <c r="Y164" s="287"/>
      <c r="Z164" s="252"/>
      <c r="AA164" s="252"/>
      <c r="AB164" s="295"/>
      <c r="AF164" s="243"/>
      <c r="BS164" s="219"/>
    </row>
    <row r="165" spans="1:71" x14ac:dyDescent="0.15">
      <c r="A165" s="292"/>
      <c r="B165" s="251"/>
      <c r="C165" s="212"/>
      <c r="D165" s="251"/>
      <c r="E165" s="293"/>
      <c r="F165" s="293"/>
      <c r="G165" s="293"/>
      <c r="H165" s="293"/>
      <c r="I165" s="251"/>
      <c r="J165" s="212"/>
      <c r="K165" s="212"/>
      <c r="L165" s="253"/>
      <c r="M165" s="252"/>
      <c r="O165" s="211"/>
      <c r="P165" s="211"/>
      <c r="Q165" s="211"/>
      <c r="R165" s="286"/>
      <c r="T165" s="219"/>
      <c r="U165" s="219"/>
      <c r="V165" s="249"/>
      <c r="W165" s="252"/>
      <c r="X165" s="287"/>
      <c r="Y165" s="287"/>
      <c r="Z165" s="252"/>
      <c r="AA165" s="252"/>
      <c r="AB165" s="295"/>
      <c r="AF165" s="243"/>
      <c r="BS165" s="219"/>
    </row>
    <row r="166" spans="1:71" x14ac:dyDescent="0.15">
      <c r="A166" s="292"/>
      <c r="B166" s="251"/>
      <c r="C166" s="212"/>
      <c r="D166" s="251"/>
      <c r="E166" s="293"/>
      <c r="F166" s="293"/>
      <c r="G166" s="293"/>
      <c r="H166" s="293"/>
      <c r="I166" s="251"/>
      <c r="J166" s="212"/>
      <c r="K166" s="212"/>
      <c r="L166" s="253"/>
      <c r="M166" s="252"/>
      <c r="O166" s="211"/>
      <c r="P166" s="211"/>
      <c r="Q166" s="211"/>
      <c r="R166" s="286"/>
      <c r="T166" s="219"/>
      <c r="U166" s="219"/>
      <c r="V166" s="249"/>
      <c r="W166" s="252"/>
      <c r="X166" s="287"/>
      <c r="Y166" s="287"/>
      <c r="Z166" s="252"/>
      <c r="AA166" s="252"/>
      <c r="AB166" s="295"/>
      <c r="AF166" s="243"/>
      <c r="BS166" s="219"/>
    </row>
    <row r="167" spans="1:71" x14ac:dyDescent="0.15">
      <c r="A167" s="292"/>
      <c r="B167" s="251"/>
      <c r="C167" s="212"/>
      <c r="D167" s="251"/>
      <c r="E167" s="293"/>
      <c r="F167" s="293"/>
      <c r="G167" s="293"/>
      <c r="H167" s="293"/>
      <c r="I167" s="251"/>
      <c r="J167" s="212"/>
      <c r="K167" s="212"/>
      <c r="L167" s="253"/>
      <c r="M167" s="252"/>
      <c r="O167" s="211"/>
      <c r="P167" s="211"/>
      <c r="Q167" s="211"/>
      <c r="R167" s="286"/>
      <c r="T167" s="219"/>
      <c r="U167" s="219"/>
      <c r="V167" s="249"/>
      <c r="W167" s="252"/>
      <c r="X167" s="287"/>
      <c r="Y167" s="287"/>
      <c r="Z167" s="252"/>
      <c r="AA167" s="252"/>
      <c r="AB167" s="295"/>
      <c r="AF167" s="243"/>
      <c r="BS167" s="219"/>
    </row>
    <row r="168" spans="1:71" x14ac:dyDescent="0.15">
      <c r="A168" s="292"/>
      <c r="B168" s="251"/>
      <c r="C168" s="212"/>
      <c r="D168" s="251"/>
      <c r="E168" s="293"/>
      <c r="F168" s="293"/>
      <c r="G168" s="293"/>
      <c r="H168" s="293"/>
      <c r="I168" s="251"/>
      <c r="J168" s="212"/>
      <c r="K168" s="212"/>
      <c r="L168" s="253"/>
      <c r="M168" s="252"/>
      <c r="O168" s="211"/>
      <c r="P168" s="211"/>
      <c r="Q168" s="211"/>
      <c r="R168" s="286"/>
      <c r="T168" s="219"/>
      <c r="U168" s="219"/>
      <c r="V168" s="249"/>
      <c r="W168" s="252"/>
      <c r="X168" s="287"/>
      <c r="Y168" s="287"/>
      <c r="Z168" s="252"/>
      <c r="AA168" s="252"/>
      <c r="AB168" s="295"/>
      <c r="AF168" s="243"/>
      <c r="BS168" s="219"/>
    </row>
    <row r="169" spans="1:71" x14ac:dyDescent="0.15">
      <c r="A169" s="292"/>
      <c r="B169" s="251"/>
      <c r="C169" s="212"/>
      <c r="D169" s="251"/>
      <c r="E169" s="293"/>
      <c r="F169" s="293"/>
      <c r="G169" s="293"/>
      <c r="H169" s="293"/>
      <c r="I169" s="251"/>
      <c r="J169" s="212"/>
      <c r="K169" s="212"/>
      <c r="L169" s="253"/>
      <c r="M169" s="252"/>
      <c r="O169" s="211"/>
      <c r="P169" s="211"/>
      <c r="Q169" s="211"/>
      <c r="R169" s="286"/>
      <c r="T169" s="219"/>
      <c r="U169" s="219"/>
      <c r="V169" s="249"/>
      <c r="W169" s="252"/>
      <c r="X169" s="287"/>
      <c r="Y169" s="287"/>
      <c r="Z169" s="252"/>
      <c r="AA169" s="252"/>
      <c r="AB169" s="295"/>
      <c r="AF169" s="243"/>
      <c r="BS169" s="219"/>
    </row>
    <row r="170" spans="1:71" x14ac:dyDescent="0.15">
      <c r="A170" s="292"/>
      <c r="B170" s="251"/>
      <c r="C170" s="212"/>
      <c r="D170" s="251"/>
      <c r="E170" s="293"/>
      <c r="F170" s="293"/>
      <c r="G170" s="293"/>
      <c r="H170" s="293"/>
      <c r="I170" s="251"/>
      <c r="J170" s="212"/>
      <c r="K170" s="212"/>
      <c r="L170" s="253"/>
      <c r="M170" s="252"/>
      <c r="O170" s="211"/>
      <c r="P170" s="211"/>
      <c r="Q170" s="211"/>
      <c r="R170" s="286"/>
      <c r="T170" s="219"/>
      <c r="U170" s="219"/>
      <c r="V170" s="249"/>
      <c r="W170" s="252"/>
      <c r="X170" s="287"/>
      <c r="Y170" s="287"/>
      <c r="Z170" s="252"/>
      <c r="AA170" s="252"/>
      <c r="AB170" s="295"/>
      <c r="AF170" s="243"/>
      <c r="BS170" s="219"/>
    </row>
    <row r="171" spans="1:71" x14ac:dyDescent="0.15">
      <c r="A171" s="292"/>
      <c r="B171" s="251"/>
      <c r="C171" s="212"/>
      <c r="D171" s="251"/>
      <c r="E171" s="293"/>
      <c r="F171" s="293"/>
      <c r="G171" s="293"/>
      <c r="H171" s="293"/>
      <c r="I171" s="251"/>
      <c r="J171" s="212"/>
      <c r="K171" s="212"/>
      <c r="L171" s="253"/>
      <c r="M171" s="252"/>
      <c r="O171" s="211"/>
      <c r="P171" s="211"/>
      <c r="Q171" s="211"/>
      <c r="R171" s="286"/>
      <c r="T171" s="219"/>
      <c r="U171" s="219"/>
      <c r="V171" s="249"/>
      <c r="W171" s="252"/>
      <c r="X171" s="287"/>
      <c r="Y171" s="287"/>
      <c r="Z171" s="252"/>
      <c r="AA171" s="252"/>
      <c r="AB171" s="295"/>
      <c r="AF171" s="243"/>
      <c r="BS171" s="219"/>
    </row>
    <row r="172" spans="1:71" x14ac:dyDescent="0.15">
      <c r="A172" s="292"/>
      <c r="B172" s="251"/>
      <c r="C172" s="212"/>
      <c r="D172" s="251"/>
      <c r="E172" s="293"/>
      <c r="F172" s="293"/>
      <c r="G172" s="293"/>
      <c r="H172" s="293"/>
      <c r="I172" s="251"/>
      <c r="J172" s="212"/>
      <c r="K172" s="212"/>
      <c r="L172" s="253"/>
      <c r="M172" s="252"/>
      <c r="O172" s="211"/>
      <c r="P172" s="211"/>
      <c r="Q172" s="211"/>
      <c r="R172" s="286"/>
      <c r="T172" s="219"/>
      <c r="U172" s="219"/>
      <c r="V172" s="249"/>
      <c r="W172" s="252"/>
      <c r="X172" s="287"/>
      <c r="Y172" s="287"/>
      <c r="Z172" s="252"/>
      <c r="AA172" s="252"/>
      <c r="AB172" s="295"/>
      <c r="AF172" s="243"/>
      <c r="BS172" s="219"/>
    </row>
    <row r="173" spans="1:71" x14ac:dyDescent="0.15">
      <c r="A173" s="292"/>
      <c r="B173" s="251"/>
      <c r="C173" s="212"/>
      <c r="D173" s="251"/>
      <c r="E173" s="293"/>
      <c r="F173" s="293"/>
      <c r="G173" s="293"/>
      <c r="H173" s="293"/>
      <c r="I173" s="251"/>
      <c r="J173" s="212"/>
      <c r="K173" s="212"/>
      <c r="L173" s="253"/>
      <c r="M173" s="252"/>
      <c r="O173" s="211"/>
      <c r="P173" s="211"/>
      <c r="Q173" s="211"/>
      <c r="R173" s="286"/>
      <c r="T173" s="219"/>
      <c r="U173" s="219"/>
      <c r="V173" s="249"/>
      <c r="W173" s="252"/>
      <c r="X173" s="287"/>
      <c r="Y173" s="287"/>
      <c r="Z173" s="252"/>
      <c r="AA173" s="252"/>
      <c r="AB173" s="295"/>
      <c r="AF173" s="243"/>
      <c r="BS173" s="219"/>
    </row>
    <row r="174" spans="1:71" x14ac:dyDescent="0.15">
      <c r="A174" s="292"/>
      <c r="B174" s="251"/>
      <c r="C174" s="212"/>
      <c r="D174" s="251"/>
      <c r="E174" s="293"/>
      <c r="F174" s="293"/>
      <c r="G174" s="293"/>
      <c r="H174" s="293"/>
      <c r="I174" s="251"/>
      <c r="J174" s="212"/>
      <c r="K174" s="212"/>
      <c r="L174" s="253"/>
      <c r="M174" s="252"/>
      <c r="O174" s="211"/>
      <c r="P174" s="211"/>
      <c r="Q174" s="211"/>
      <c r="R174" s="286"/>
      <c r="T174" s="219"/>
      <c r="U174" s="219"/>
      <c r="V174" s="249"/>
      <c r="W174" s="252"/>
      <c r="X174" s="287"/>
      <c r="Y174" s="287"/>
      <c r="Z174" s="252"/>
      <c r="AA174" s="252"/>
      <c r="AB174" s="295"/>
      <c r="AF174" s="243"/>
      <c r="BS174" s="219"/>
    </row>
    <row r="175" spans="1:71" x14ac:dyDescent="0.15">
      <c r="A175" s="292"/>
      <c r="B175" s="251"/>
      <c r="C175" s="212"/>
      <c r="D175" s="251"/>
      <c r="E175" s="293"/>
      <c r="F175" s="293"/>
      <c r="G175" s="293"/>
      <c r="H175" s="293"/>
      <c r="I175" s="251"/>
      <c r="J175" s="212"/>
      <c r="K175" s="212"/>
      <c r="L175" s="253"/>
      <c r="M175" s="252"/>
      <c r="O175" s="211"/>
      <c r="P175" s="211"/>
      <c r="Q175" s="211"/>
      <c r="R175" s="286"/>
      <c r="T175" s="219"/>
      <c r="U175" s="219"/>
      <c r="V175" s="249"/>
      <c r="W175" s="252"/>
      <c r="X175" s="287"/>
      <c r="Y175" s="287"/>
      <c r="Z175" s="252"/>
      <c r="AA175" s="252"/>
      <c r="AB175" s="295"/>
      <c r="AF175" s="243"/>
      <c r="BS175" s="219"/>
    </row>
    <row r="176" spans="1:71" x14ac:dyDescent="0.15">
      <c r="A176" s="292"/>
      <c r="B176" s="251"/>
      <c r="C176" s="212"/>
      <c r="D176" s="251"/>
      <c r="E176" s="293"/>
      <c r="F176" s="293"/>
      <c r="G176" s="293"/>
      <c r="H176" s="293"/>
      <c r="I176" s="251"/>
      <c r="J176" s="212"/>
      <c r="K176" s="212"/>
      <c r="L176" s="253"/>
      <c r="M176" s="252"/>
      <c r="O176" s="211"/>
      <c r="P176" s="211"/>
      <c r="Q176" s="211"/>
      <c r="R176" s="286"/>
      <c r="T176" s="219"/>
      <c r="U176" s="219"/>
      <c r="V176" s="249"/>
      <c r="W176" s="252"/>
      <c r="X176" s="287"/>
      <c r="Y176" s="287"/>
      <c r="Z176" s="252"/>
      <c r="AA176" s="252"/>
      <c r="AB176" s="295"/>
      <c r="AF176" s="243"/>
      <c r="BS176" s="219"/>
    </row>
    <row r="177" spans="1:71" x14ac:dyDescent="0.15">
      <c r="A177" s="292"/>
      <c r="B177" s="251"/>
      <c r="C177" s="212"/>
      <c r="D177" s="251"/>
      <c r="E177" s="293"/>
      <c r="F177" s="293"/>
      <c r="G177" s="293"/>
      <c r="H177" s="293"/>
      <c r="I177" s="251"/>
      <c r="J177" s="212"/>
      <c r="K177" s="212"/>
      <c r="L177" s="253"/>
      <c r="M177" s="252"/>
      <c r="O177" s="211"/>
      <c r="P177" s="211"/>
      <c r="Q177" s="211"/>
      <c r="R177" s="286"/>
      <c r="T177" s="219"/>
      <c r="U177" s="219"/>
      <c r="V177" s="249"/>
      <c r="W177" s="252"/>
      <c r="X177" s="287"/>
      <c r="Y177" s="287"/>
      <c r="Z177" s="252"/>
      <c r="AA177" s="252"/>
      <c r="AB177" s="295"/>
      <c r="AF177" s="243"/>
      <c r="BS177" s="219"/>
    </row>
    <row r="178" spans="1:71" x14ac:dyDescent="0.15">
      <c r="A178" s="292"/>
      <c r="B178" s="251"/>
      <c r="C178" s="212"/>
      <c r="D178" s="251"/>
      <c r="E178" s="293"/>
      <c r="F178" s="293"/>
      <c r="G178" s="293"/>
      <c r="H178" s="293"/>
      <c r="I178" s="251"/>
      <c r="J178" s="212"/>
      <c r="K178" s="212"/>
      <c r="L178" s="253"/>
      <c r="M178" s="252"/>
      <c r="O178" s="211"/>
      <c r="P178" s="211"/>
      <c r="Q178" s="211"/>
      <c r="R178" s="286"/>
      <c r="T178" s="219"/>
      <c r="U178" s="219"/>
      <c r="V178" s="249"/>
      <c r="W178" s="252"/>
      <c r="X178" s="287"/>
      <c r="Y178" s="287"/>
      <c r="Z178" s="252"/>
      <c r="AA178" s="252"/>
      <c r="AB178" s="295"/>
      <c r="AF178" s="243"/>
      <c r="BS178" s="219"/>
    </row>
    <row r="179" spans="1:71" x14ac:dyDescent="0.15">
      <c r="A179" s="292"/>
      <c r="B179" s="251"/>
      <c r="C179" s="212"/>
      <c r="D179" s="251"/>
      <c r="E179" s="293"/>
      <c r="F179" s="293"/>
      <c r="G179" s="293"/>
      <c r="H179" s="293"/>
      <c r="I179" s="251"/>
      <c r="J179" s="212"/>
      <c r="K179" s="212"/>
      <c r="L179" s="253"/>
      <c r="M179" s="252"/>
      <c r="O179" s="211"/>
      <c r="P179" s="211"/>
      <c r="Q179" s="211"/>
      <c r="R179" s="286"/>
      <c r="T179" s="219"/>
      <c r="U179" s="219"/>
      <c r="V179" s="249"/>
      <c r="W179" s="252"/>
      <c r="X179" s="287"/>
      <c r="Y179" s="287"/>
      <c r="Z179" s="252"/>
      <c r="AA179" s="252"/>
      <c r="AB179" s="295"/>
      <c r="AF179" s="243"/>
      <c r="BS179" s="219"/>
    </row>
    <row r="180" spans="1:71" x14ac:dyDescent="0.15">
      <c r="A180" s="292"/>
      <c r="B180" s="251"/>
      <c r="C180" s="212"/>
      <c r="D180" s="251"/>
      <c r="E180" s="293"/>
      <c r="F180" s="293"/>
      <c r="G180" s="293"/>
      <c r="H180" s="293"/>
      <c r="I180" s="251"/>
      <c r="J180" s="212"/>
      <c r="K180" s="212"/>
      <c r="L180" s="253"/>
      <c r="M180" s="252"/>
      <c r="O180" s="211"/>
      <c r="P180" s="211"/>
      <c r="Q180" s="211"/>
      <c r="R180" s="286"/>
      <c r="T180" s="219"/>
      <c r="U180" s="219"/>
      <c r="V180" s="249"/>
      <c r="W180" s="252"/>
      <c r="X180" s="287"/>
      <c r="Y180" s="287"/>
      <c r="Z180" s="252"/>
      <c r="AA180" s="252"/>
      <c r="AB180" s="295"/>
      <c r="AF180" s="243"/>
      <c r="BS180" s="219"/>
    </row>
    <row r="181" spans="1:71" x14ac:dyDescent="0.15">
      <c r="A181" s="292"/>
      <c r="B181" s="251"/>
      <c r="C181" s="212"/>
      <c r="D181" s="251"/>
      <c r="E181" s="293"/>
      <c r="F181" s="293"/>
      <c r="G181" s="293"/>
      <c r="H181" s="293"/>
      <c r="I181" s="251"/>
      <c r="J181" s="212"/>
      <c r="K181" s="212"/>
      <c r="L181" s="253"/>
      <c r="M181" s="252"/>
      <c r="O181" s="211"/>
      <c r="P181" s="211"/>
      <c r="Q181" s="211"/>
      <c r="R181" s="286"/>
      <c r="T181" s="219"/>
      <c r="U181" s="219"/>
      <c r="V181" s="249"/>
      <c r="W181" s="252"/>
      <c r="X181" s="287"/>
      <c r="Y181" s="287"/>
      <c r="Z181" s="252"/>
      <c r="AA181" s="252"/>
      <c r="AB181" s="295"/>
      <c r="AF181" s="243"/>
      <c r="BS181" s="219"/>
    </row>
    <row r="182" spans="1:71" x14ac:dyDescent="0.15">
      <c r="A182" s="292"/>
      <c r="B182" s="251"/>
      <c r="C182" s="212"/>
      <c r="D182" s="251"/>
      <c r="E182" s="293"/>
      <c r="F182" s="293"/>
      <c r="G182" s="293"/>
      <c r="H182" s="293"/>
      <c r="I182" s="251"/>
      <c r="J182" s="212"/>
      <c r="K182" s="212"/>
      <c r="L182" s="253"/>
      <c r="M182" s="252"/>
      <c r="O182" s="211"/>
      <c r="P182" s="211"/>
      <c r="Q182" s="211"/>
      <c r="R182" s="286"/>
      <c r="T182" s="219"/>
      <c r="U182" s="219"/>
      <c r="V182" s="249"/>
      <c r="W182" s="252"/>
      <c r="X182" s="287"/>
      <c r="Y182" s="287"/>
      <c r="Z182" s="252"/>
      <c r="AA182" s="252"/>
      <c r="AB182" s="295"/>
      <c r="AF182" s="243"/>
      <c r="BS182" s="219"/>
    </row>
    <row r="183" spans="1:71" x14ac:dyDescent="0.15">
      <c r="A183" s="292"/>
      <c r="B183" s="251"/>
      <c r="C183" s="212"/>
      <c r="D183" s="251"/>
      <c r="E183" s="293"/>
      <c r="F183" s="293"/>
      <c r="G183" s="293"/>
      <c r="H183" s="293"/>
      <c r="I183" s="251"/>
      <c r="J183" s="212"/>
      <c r="K183" s="212"/>
      <c r="L183" s="253"/>
      <c r="M183" s="252"/>
      <c r="O183" s="211"/>
      <c r="P183" s="211"/>
      <c r="Q183" s="211"/>
      <c r="R183" s="286"/>
      <c r="T183" s="219"/>
      <c r="U183" s="219"/>
      <c r="V183" s="249"/>
      <c r="W183" s="252"/>
      <c r="X183" s="287"/>
      <c r="Y183" s="287"/>
      <c r="Z183" s="252"/>
      <c r="AA183" s="252"/>
      <c r="AB183" s="295"/>
      <c r="AF183" s="243"/>
      <c r="BS183" s="219"/>
    </row>
    <row r="184" spans="1:71" x14ac:dyDescent="0.15">
      <c r="A184" s="292"/>
      <c r="B184" s="251"/>
      <c r="C184" s="212"/>
      <c r="D184" s="251"/>
      <c r="E184" s="293"/>
      <c r="F184" s="293"/>
      <c r="G184" s="293"/>
      <c r="H184" s="293"/>
      <c r="I184" s="251"/>
      <c r="J184" s="212"/>
      <c r="K184" s="212"/>
      <c r="L184" s="253"/>
      <c r="M184" s="252"/>
      <c r="O184" s="211"/>
      <c r="P184" s="211"/>
      <c r="Q184" s="211"/>
      <c r="R184" s="286"/>
      <c r="T184" s="219"/>
      <c r="U184" s="219"/>
      <c r="V184" s="249"/>
      <c r="W184" s="252"/>
      <c r="X184" s="287"/>
      <c r="Y184" s="287"/>
      <c r="Z184" s="252"/>
      <c r="AA184" s="252"/>
      <c r="AB184" s="295"/>
      <c r="AF184" s="243"/>
      <c r="BS184" s="219"/>
    </row>
    <row r="185" spans="1:71" x14ac:dyDescent="0.15">
      <c r="A185" s="292"/>
      <c r="B185" s="251"/>
      <c r="C185" s="212"/>
      <c r="D185" s="251"/>
      <c r="E185" s="293"/>
      <c r="F185" s="293"/>
      <c r="G185" s="293"/>
      <c r="H185" s="293"/>
      <c r="I185" s="251"/>
      <c r="J185" s="212"/>
      <c r="K185" s="212"/>
      <c r="L185" s="253"/>
      <c r="M185" s="252"/>
      <c r="O185" s="211"/>
      <c r="P185" s="211"/>
      <c r="Q185" s="211"/>
      <c r="R185" s="286"/>
      <c r="T185" s="219"/>
      <c r="U185" s="219"/>
      <c r="V185" s="249"/>
      <c r="W185" s="252"/>
      <c r="X185" s="287"/>
      <c r="Y185" s="287"/>
      <c r="Z185" s="252"/>
      <c r="AA185" s="252"/>
      <c r="AB185" s="295"/>
      <c r="AF185" s="243"/>
      <c r="BS185" s="219"/>
    </row>
    <row r="186" spans="1:71" x14ac:dyDescent="0.15">
      <c r="A186" s="292"/>
      <c r="B186" s="251"/>
      <c r="C186" s="212"/>
      <c r="D186" s="251"/>
      <c r="E186" s="293"/>
      <c r="F186" s="293"/>
      <c r="G186" s="293"/>
      <c r="H186" s="293"/>
      <c r="I186" s="251"/>
      <c r="J186" s="212"/>
      <c r="K186" s="212"/>
      <c r="L186" s="253"/>
      <c r="M186" s="252"/>
      <c r="O186" s="211"/>
      <c r="P186" s="211"/>
      <c r="Q186" s="211"/>
      <c r="R186" s="286"/>
      <c r="T186" s="219"/>
      <c r="U186" s="219"/>
      <c r="V186" s="249"/>
      <c r="W186" s="252"/>
      <c r="X186" s="287"/>
      <c r="Y186" s="287"/>
      <c r="Z186" s="252"/>
      <c r="AA186" s="252"/>
      <c r="AB186" s="295"/>
      <c r="AF186" s="243"/>
      <c r="BS186" s="219"/>
    </row>
    <row r="187" spans="1:71" x14ac:dyDescent="0.15">
      <c r="A187" s="292"/>
      <c r="B187" s="251"/>
      <c r="C187" s="212"/>
      <c r="D187" s="251"/>
      <c r="E187" s="293"/>
      <c r="F187" s="293"/>
      <c r="G187" s="293"/>
      <c r="H187" s="293"/>
      <c r="I187" s="251"/>
      <c r="J187" s="212"/>
      <c r="K187" s="212"/>
      <c r="L187" s="253"/>
      <c r="M187" s="252"/>
      <c r="O187" s="211"/>
      <c r="P187" s="211"/>
      <c r="Q187" s="211"/>
      <c r="R187" s="286"/>
      <c r="T187" s="219"/>
      <c r="U187" s="219"/>
      <c r="V187" s="249"/>
      <c r="W187" s="252"/>
      <c r="X187" s="287"/>
      <c r="Y187" s="287"/>
      <c r="Z187" s="252"/>
      <c r="AA187" s="252"/>
      <c r="AB187" s="295"/>
      <c r="AF187" s="243"/>
      <c r="BS187" s="219"/>
    </row>
    <row r="188" spans="1:71" x14ac:dyDescent="0.15">
      <c r="A188" s="292"/>
      <c r="B188" s="251"/>
      <c r="C188" s="212"/>
      <c r="D188" s="251"/>
      <c r="E188" s="293"/>
      <c r="F188" s="293"/>
      <c r="G188" s="293"/>
      <c r="H188" s="293"/>
      <c r="I188" s="251"/>
      <c r="J188" s="212"/>
      <c r="K188" s="212"/>
      <c r="L188" s="253"/>
      <c r="M188" s="252"/>
      <c r="O188" s="211"/>
      <c r="P188" s="211"/>
      <c r="Q188" s="211"/>
      <c r="R188" s="286"/>
      <c r="T188" s="219"/>
      <c r="U188" s="219"/>
      <c r="V188" s="249"/>
      <c r="W188" s="252"/>
      <c r="X188" s="287"/>
      <c r="Y188" s="287"/>
      <c r="Z188" s="252"/>
      <c r="AA188" s="252"/>
      <c r="AB188" s="295"/>
      <c r="AF188" s="243"/>
      <c r="BS188" s="219"/>
    </row>
    <row r="189" spans="1:71" x14ac:dyDescent="0.15">
      <c r="A189" s="292"/>
      <c r="B189" s="251"/>
      <c r="C189" s="212"/>
      <c r="D189" s="251"/>
      <c r="E189" s="293"/>
      <c r="F189" s="293"/>
      <c r="G189" s="293"/>
      <c r="H189" s="293"/>
      <c r="I189" s="251"/>
      <c r="J189" s="212"/>
      <c r="K189" s="212"/>
      <c r="L189" s="253"/>
      <c r="M189" s="252"/>
      <c r="O189" s="211"/>
      <c r="P189" s="211"/>
      <c r="Q189" s="211"/>
      <c r="R189" s="286"/>
      <c r="T189" s="219"/>
      <c r="U189" s="219"/>
      <c r="V189" s="249"/>
      <c r="W189" s="252"/>
      <c r="X189" s="287"/>
      <c r="Y189" s="287"/>
      <c r="Z189" s="252"/>
      <c r="AA189" s="252"/>
      <c r="AB189" s="295"/>
      <c r="AF189" s="243"/>
      <c r="BS189" s="219"/>
    </row>
    <row r="190" spans="1:71" x14ac:dyDescent="0.15">
      <c r="A190" s="292"/>
      <c r="B190" s="251"/>
      <c r="C190" s="212"/>
      <c r="D190" s="251"/>
      <c r="E190" s="293"/>
      <c r="F190" s="293"/>
      <c r="G190" s="293"/>
      <c r="H190" s="293"/>
      <c r="I190" s="251"/>
      <c r="J190" s="212"/>
      <c r="K190" s="212"/>
      <c r="L190" s="253"/>
      <c r="M190" s="252"/>
      <c r="O190" s="211"/>
      <c r="P190" s="211"/>
      <c r="Q190" s="211"/>
      <c r="R190" s="286"/>
      <c r="T190" s="219"/>
      <c r="U190" s="219"/>
      <c r="V190" s="249"/>
      <c r="W190" s="252"/>
      <c r="X190" s="287"/>
      <c r="Y190" s="287"/>
      <c r="Z190" s="252"/>
      <c r="AA190" s="252"/>
      <c r="AB190" s="295"/>
      <c r="AF190" s="243"/>
      <c r="BS190" s="219"/>
    </row>
    <row r="191" spans="1:71" x14ac:dyDescent="0.15">
      <c r="A191" s="292"/>
      <c r="B191" s="251"/>
      <c r="C191" s="212"/>
      <c r="D191" s="251"/>
      <c r="E191" s="293"/>
      <c r="F191" s="293"/>
      <c r="G191" s="293"/>
      <c r="H191" s="293"/>
      <c r="I191" s="251"/>
      <c r="J191" s="212"/>
      <c r="K191" s="212"/>
      <c r="L191" s="253"/>
      <c r="M191" s="252"/>
      <c r="O191" s="211"/>
      <c r="P191" s="211"/>
      <c r="Q191" s="211"/>
      <c r="R191" s="286"/>
      <c r="T191" s="219"/>
      <c r="U191" s="219"/>
      <c r="V191" s="249"/>
      <c r="W191" s="252"/>
      <c r="X191" s="287"/>
      <c r="Y191" s="287"/>
      <c r="Z191" s="252"/>
      <c r="AA191" s="252"/>
      <c r="AB191" s="295"/>
      <c r="AF191" s="243"/>
      <c r="BS191" s="219"/>
    </row>
    <row r="192" spans="1:71" x14ac:dyDescent="0.15">
      <c r="A192" s="292"/>
      <c r="B192" s="251"/>
      <c r="C192" s="212"/>
      <c r="D192" s="251"/>
      <c r="E192" s="293"/>
      <c r="F192" s="293"/>
      <c r="G192" s="293"/>
      <c r="H192" s="293"/>
      <c r="I192" s="251"/>
      <c r="J192" s="212"/>
      <c r="K192" s="212"/>
      <c r="L192" s="253"/>
      <c r="M192" s="252"/>
      <c r="O192" s="211"/>
      <c r="P192" s="211"/>
      <c r="Q192" s="211"/>
      <c r="R192" s="286"/>
      <c r="T192" s="219"/>
      <c r="U192" s="219"/>
      <c r="V192" s="249"/>
      <c r="W192" s="252"/>
      <c r="X192" s="287"/>
      <c r="Y192" s="287"/>
      <c r="Z192" s="252"/>
      <c r="AA192" s="252"/>
      <c r="AB192" s="295"/>
      <c r="AF192" s="243"/>
      <c r="BS192" s="219"/>
    </row>
    <row r="193" spans="1:71" x14ac:dyDescent="0.15">
      <c r="A193" s="292"/>
      <c r="B193" s="251"/>
      <c r="C193" s="212"/>
      <c r="D193" s="251"/>
      <c r="E193" s="293"/>
      <c r="F193" s="293"/>
      <c r="G193" s="293"/>
      <c r="H193" s="293"/>
      <c r="I193" s="251"/>
      <c r="J193" s="212"/>
      <c r="K193" s="212"/>
      <c r="L193" s="253"/>
      <c r="M193" s="252"/>
      <c r="O193" s="211"/>
      <c r="P193" s="211"/>
      <c r="Q193" s="211"/>
      <c r="R193" s="286"/>
      <c r="T193" s="219"/>
      <c r="U193" s="219"/>
      <c r="V193" s="249"/>
      <c r="W193" s="252"/>
      <c r="X193" s="287"/>
      <c r="Y193" s="287"/>
      <c r="Z193" s="252"/>
      <c r="AA193" s="252"/>
      <c r="AB193" s="295"/>
      <c r="AF193" s="243"/>
      <c r="BS193" s="219"/>
    </row>
    <row r="194" spans="1:71" x14ac:dyDescent="0.15">
      <c r="A194" s="292"/>
      <c r="B194" s="251"/>
      <c r="C194" s="212"/>
      <c r="D194" s="251"/>
      <c r="E194" s="293"/>
      <c r="F194" s="293"/>
      <c r="G194" s="293"/>
      <c r="H194" s="293"/>
      <c r="I194" s="251"/>
      <c r="J194" s="212"/>
      <c r="K194" s="212"/>
      <c r="L194" s="253"/>
      <c r="M194" s="252"/>
      <c r="O194" s="211"/>
      <c r="P194" s="211"/>
      <c r="Q194" s="211"/>
      <c r="R194" s="286"/>
      <c r="T194" s="219"/>
      <c r="U194" s="219"/>
      <c r="V194" s="249"/>
      <c r="W194" s="252"/>
      <c r="X194" s="287"/>
      <c r="Y194" s="287"/>
      <c r="Z194" s="252"/>
      <c r="AA194" s="252"/>
      <c r="AB194" s="295"/>
      <c r="AF194" s="243"/>
      <c r="BS194" s="219"/>
    </row>
    <row r="195" spans="1:71" x14ac:dyDescent="0.15">
      <c r="A195" s="292"/>
      <c r="B195" s="251"/>
      <c r="C195" s="212"/>
      <c r="D195" s="251"/>
      <c r="E195" s="293"/>
      <c r="F195" s="293"/>
      <c r="G195" s="293"/>
      <c r="H195" s="293"/>
      <c r="I195" s="251"/>
      <c r="J195" s="212"/>
      <c r="K195" s="212"/>
      <c r="L195" s="253"/>
      <c r="M195" s="252"/>
      <c r="O195" s="211"/>
      <c r="P195" s="211"/>
      <c r="Q195" s="211"/>
      <c r="R195" s="286"/>
      <c r="T195" s="219"/>
      <c r="U195" s="219"/>
      <c r="V195" s="249"/>
      <c r="W195" s="252"/>
      <c r="X195" s="287"/>
      <c r="Y195" s="287"/>
      <c r="Z195" s="252"/>
      <c r="AA195" s="252"/>
      <c r="AB195" s="295"/>
      <c r="AF195" s="243"/>
      <c r="BS195" s="219"/>
    </row>
    <row r="196" spans="1:71" x14ac:dyDescent="0.15">
      <c r="A196" s="292"/>
      <c r="B196" s="251"/>
      <c r="C196" s="212"/>
      <c r="D196" s="251"/>
      <c r="E196" s="293"/>
      <c r="F196" s="293"/>
      <c r="G196" s="293"/>
      <c r="H196" s="293"/>
      <c r="I196" s="251"/>
      <c r="J196" s="212"/>
      <c r="K196" s="212"/>
      <c r="L196" s="253"/>
      <c r="M196" s="252"/>
      <c r="O196" s="211"/>
      <c r="P196" s="211"/>
      <c r="Q196" s="211"/>
      <c r="R196" s="286"/>
      <c r="T196" s="219"/>
      <c r="U196" s="219"/>
      <c r="V196" s="249"/>
      <c r="W196" s="252"/>
      <c r="X196" s="287"/>
      <c r="Y196" s="287"/>
      <c r="Z196" s="252"/>
      <c r="AA196" s="252"/>
      <c r="AB196" s="295"/>
      <c r="AF196" s="243"/>
      <c r="BS196" s="219"/>
    </row>
    <row r="197" spans="1:71" x14ac:dyDescent="0.15">
      <c r="A197" s="292"/>
      <c r="B197" s="251"/>
      <c r="C197" s="212"/>
      <c r="D197" s="251"/>
      <c r="E197" s="293"/>
      <c r="F197" s="293"/>
      <c r="G197" s="293"/>
      <c r="H197" s="293"/>
      <c r="I197" s="251"/>
      <c r="J197" s="212"/>
      <c r="K197" s="212"/>
      <c r="L197" s="253"/>
      <c r="M197" s="252"/>
      <c r="O197" s="211"/>
      <c r="P197" s="211"/>
      <c r="Q197" s="211"/>
      <c r="R197" s="286"/>
      <c r="T197" s="219"/>
      <c r="U197" s="219"/>
      <c r="V197" s="249"/>
      <c r="W197" s="252"/>
      <c r="X197" s="287"/>
      <c r="Y197" s="287"/>
      <c r="Z197" s="252"/>
      <c r="AA197" s="252"/>
      <c r="AB197" s="295"/>
      <c r="AF197" s="243"/>
      <c r="BS197" s="219"/>
    </row>
    <row r="198" spans="1:71" x14ac:dyDescent="0.15">
      <c r="A198" s="292"/>
      <c r="B198" s="251"/>
      <c r="C198" s="212"/>
      <c r="D198" s="251"/>
      <c r="E198" s="293"/>
      <c r="F198" s="293"/>
      <c r="G198" s="293"/>
      <c r="H198" s="293"/>
      <c r="I198" s="251"/>
      <c r="J198" s="212"/>
      <c r="K198" s="212"/>
      <c r="L198" s="253"/>
      <c r="M198" s="252"/>
      <c r="O198" s="211"/>
      <c r="P198" s="211"/>
      <c r="Q198" s="211"/>
      <c r="R198" s="286"/>
      <c r="T198" s="219"/>
      <c r="U198" s="219"/>
      <c r="V198" s="249"/>
      <c r="W198" s="252"/>
      <c r="X198" s="287"/>
      <c r="Y198" s="287"/>
      <c r="Z198" s="252"/>
      <c r="AA198" s="252"/>
      <c r="AB198" s="295"/>
      <c r="AF198" s="243"/>
      <c r="BS198" s="219"/>
    </row>
    <row r="199" spans="1:71" x14ac:dyDescent="0.15">
      <c r="A199" s="292"/>
      <c r="B199" s="251"/>
      <c r="C199" s="212"/>
      <c r="D199" s="251"/>
      <c r="E199" s="293"/>
      <c r="F199" s="293"/>
      <c r="G199" s="293"/>
      <c r="H199" s="293"/>
      <c r="I199" s="251"/>
      <c r="J199" s="212"/>
      <c r="K199" s="212"/>
      <c r="L199" s="253"/>
      <c r="M199" s="252"/>
      <c r="O199" s="211"/>
      <c r="P199" s="211"/>
      <c r="Q199" s="211"/>
      <c r="R199" s="286"/>
      <c r="T199" s="219"/>
      <c r="U199" s="219"/>
      <c r="V199" s="249"/>
      <c r="W199" s="252"/>
      <c r="X199" s="287"/>
      <c r="Y199" s="287"/>
      <c r="Z199" s="252"/>
      <c r="AA199" s="252"/>
      <c r="AB199" s="295"/>
      <c r="AF199" s="243"/>
      <c r="BS199" s="219"/>
    </row>
    <row r="200" spans="1:71" x14ac:dyDescent="0.15">
      <c r="A200" s="292"/>
      <c r="B200" s="251"/>
      <c r="C200" s="212"/>
      <c r="D200" s="251"/>
      <c r="E200" s="293"/>
      <c r="F200" s="293"/>
      <c r="G200" s="293"/>
      <c r="H200" s="293"/>
      <c r="I200" s="251"/>
      <c r="J200" s="212"/>
      <c r="K200" s="212"/>
      <c r="L200" s="253"/>
      <c r="M200" s="252"/>
      <c r="O200" s="211"/>
      <c r="P200" s="211"/>
      <c r="Q200" s="211"/>
      <c r="R200" s="286"/>
      <c r="T200" s="219"/>
      <c r="U200" s="219"/>
      <c r="V200" s="249"/>
      <c r="W200" s="252"/>
      <c r="X200" s="287"/>
      <c r="Y200" s="287"/>
      <c r="Z200" s="252"/>
      <c r="AA200" s="252"/>
      <c r="AB200" s="295"/>
      <c r="AF200" s="243"/>
      <c r="BS200" s="219"/>
    </row>
    <row r="201" spans="1:71" x14ac:dyDescent="0.15">
      <c r="A201" s="292"/>
      <c r="B201" s="251"/>
      <c r="C201" s="212"/>
      <c r="D201" s="251"/>
      <c r="E201" s="293"/>
      <c r="F201" s="293"/>
      <c r="G201" s="293"/>
      <c r="H201" s="293"/>
      <c r="I201" s="251"/>
      <c r="J201" s="212"/>
      <c r="K201" s="212"/>
      <c r="L201" s="253"/>
      <c r="M201" s="252"/>
      <c r="O201" s="211"/>
      <c r="P201" s="211"/>
      <c r="Q201" s="211"/>
      <c r="R201" s="286"/>
      <c r="T201" s="219"/>
      <c r="U201" s="219"/>
      <c r="V201" s="249"/>
      <c r="W201" s="252"/>
      <c r="X201" s="287"/>
      <c r="Y201" s="287"/>
      <c r="Z201" s="252"/>
      <c r="AA201" s="252"/>
      <c r="AB201" s="295"/>
      <c r="AF201" s="243"/>
      <c r="BS201" s="219"/>
    </row>
    <row r="202" spans="1:71" x14ac:dyDescent="0.15">
      <c r="A202" s="292"/>
      <c r="B202" s="251"/>
      <c r="C202" s="212"/>
      <c r="D202" s="251"/>
      <c r="E202" s="293"/>
      <c r="F202" s="293"/>
      <c r="G202" s="293"/>
      <c r="H202" s="293"/>
      <c r="I202" s="251"/>
      <c r="J202" s="212"/>
      <c r="K202" s="212"/>
      <c r="L202" s="253"/>
      <c r="M202" s="252"/>
      <c r="O202" s="211"/>
      <c r="P202" s="211"/>
      <c r="Q202" s="211"/>
      <c r="R202" s="286"/>
      <c r="T202" s="219"/>
      <c r="U202" s="219"/>
      <c r="V202" s="249"/>
      <c r="W202" s="252"/>
      <c r="X202" s="287"/>
      <c r="Y202" s="287"/>
      <c r="Z202" s="252"/>
      <c r="AA202" s="252"/>
      <c r="AB202" s="295"/>
      <c r="AF202" s="243"/>
      <c r="BS202" s="219"/>
    </row>
    <row r="203" spans="1:71" x14ac:dyDescent="0.15">
      <c r="A203" s="292"/>
      <c r="B203" s="251"/>
      <c r="C203" s="212"/>
      <c r="D203" s="251"/>
      <c r="E203" s="293"/>
      <c r="F203" s="293"/>
      <c r="G203" s="293"/>
      <c r="H203" s="293"/>
      <c r="I203" s="251"/>
      <c r="J203" s="212"/>
      <c r="K203" s="212"/>
      <c r="L203" s="253"/>
      <c r="M203" s="252"/>
      <c r="O203" s="211"/>
      <c r="P203" s="211"/>
      <c r="Q203" s="211"/>
      <c r="R203" s="286"/>
      <c r="T203" s="219"/>
      <c r="U203" s="219"/>
      <c r="V203" s="249"/>
      <c r="W203" s="252"/>
      <c r="X203" s="287"/>
      <c r="Y203" s="287"/>
      <c r="Z203" s="252"/>
      <c r="AA203" s="252"/>
      <c r="AB203" s="295"/>
      <c r="AF203" s="243"/>
      <c r="BS203" s="219"/>
    </row>
    <row r="204" spans="1:71" x14ac:dyDescent="0.15">
      <c r="A204" s="292"/>
      <c r="B204" s="251"/>
      <c r="C204" s="212"/>
      <c r="D204" s="251"/>
      <c r="E204" s="293"/>
      <c r="F204" s="293"/>
      <c r="G204" s="293"/>
      <c r="H204" s="293"/>
      <c r="I204" s="251"/>
      <c r="J204" s="212"/>
      <c r="K204" s="212"/>
      <c r="L204" s="253"/>
      <c r="M204" s="252"/>
      <c r="O204" s="211"/>
      <c r="P204" s="211"/>
      <c r="Q204" s="211"/>
      <c r="R204" s="286"/>
      <c r="T204" s="219"/>
      <c r="U204" s="219"/>
      <c r="V204" s="249"/>
      <c r="W204" s="252"/>
      <c r="X204" s="287"/>
      <c r="Y204" s="287"/>
      <c r="Z204" s="252"/>
      <c r="AA204" s="252"/>
      <c r="AB204" s="295"/>
      <c r="AF204" s="243"/>
      <c r="BS204" s="219"/>
    </row>
    <row r="205" spans="1:71" x14ac:dyDescent="0.15">
      <c r="A205" s="292"/>
      <c r="B205" s="251"/>
      <c r="C205" s="212"/>
      <c r="D205" s="251"/>
      <c r="E205" s="293"/>
      <c r="F205" s="293"/>
      <c r="G205" s="293"/>
      <c r="H205" s="293"/>
      <c r="I205" s="251"/>
      <c r="J205" s="212"/>
      <c r="K205" s="212"/>
      <c r="L205" s="253"/>
      <c r="M205" s="252"/>
      <c r="O205" s="211"/>
      <c r="P205" s="211"/>
      <c r="Q205" s="211"/>
      <c r="R205" s="286"/>
      <c r="T205" s="219"/>
      <c r="U205" s="219"/>
      <c r="V205" s="249"/>
      <c r="W205" s="252"/>
      <c r="X205" s="287"/>
      <c r="Y205" s="287"/>
      <c r="Z205" s="252"/>
      <c r="AA205" s="252"/>
      <c r="AB205" s="295"/>
      <c r="AF205" s="243"/>
      <c r="BS205" s="219"/>
    </row>
    <row r="206" spans="1:71" x14ac:dyDescent="0.15">
      <c r="A206" s="292"/>
      <c r="B206" s="251"/>
      <c r="C206" s="212"/>
      <c r="D206" s="251"/>
      <c r="E206" s="293"/>
      <c r="F206" s="293"/>
      <c r="G206" s="293"/>
      <c r="H206" s="293"/>
      <c r="I206" s="251"/>
      <c r="J206" s="212"/>
      <c r="K206" s="212"/>
      <c r="L206" s="253"/>
      <c r="M206" s="252"/>
      <c r="O206" s="211"/>
      <c r="P206" s="211"/>
      <c r="Q206" s="211"/>
      <c r="R206" s="286"/>
      <c r="T206" s="219"/>
      <c r="U206" s="219"/>
      <c r="V206" s="249"/>
      <c r="W206" s="252"/>
      <c r="X206" s="287"/>
      <c r="Y206" s="287"/>
      <c r="Z206" s="252"/>
      <c r="AA206" s="252"/>
      <c r="AB206" s="295"/>
      <c r="AF206" s="243"/>
      <c r="BS206" s="219"/>
    </row>
    <row r="207" spans="1:71" x14ac:dyDescent="0.15">
      <c r="A207" s="292"/>
      <c r="B207" s="251"/>
      <c r="C207" s="212"/>
      <c r="D207" s="251"/>
      <c r="E207" s="293"/>
      <c r="F207" s="293"/>
      <c r="G207" s="293"/>
      <c r="H207" s="293"/>
      <c r="I207" s="251"/>
      <c r="J207" s="212"/>
      <c r="K207" s="212"/>
      <c r="L207" s="253"/>
      <c r="M207" s="252"/>
      <c r="O207" s="211"/>
      <c r="P207" s="211"/>
      <c r="Q207" s="211"/>
      <c r="R207" s="286"/>
      <c r="T207" s="219"/>
      <c r="U207" s="219"/>
      <c r="V207" s="249"/>
      <c r="W207" s="252"/>
      <c r="X207" s="287"/>
      <c r="Y207" s="287"/>
      <c r="Z207" s="252"/>
      <c r="AA207" s="252"/>
      <c r="AB207" s="295"/>
      <c r="AF207" s="243"/>
      <c r="BS207" s="219"/>
    </row>
    <row r="208" spans="1:71" x14ac:dyDescent="0.15">
      <c r="A208" s="292"/>
      <c r="B208" s="251"/>
      <c r="C208" s="212"/>
      <c r="D208" s="251"/>
      <c r="E208" s="293"/>
      <c r="F208" s="293"/>
      <c r="G208" s="293"/>
      <c r="H208" s="293"/>
      <c r="I208" s="251"/>
      <c r="J208" s="212"/>
      <c r="K208" s="212"/>
      <c r="L208" s="253"/>
      <c r="M208" s="252"/>
      <c r="O208" s="211"/>
      <c r="P208" s="211"/>
      <c r="Q208" s="211"/>
      <c r="R208" s="286"/>
      <c r="T208" s="219"/>
      <c r="U208" s="219"/>
      <c r="V208" s="249"/>
      <c r="W208" s="252"/>
      <c r="X208" s="287"/>
      <c r="Y208" s="287"/>
      <c r="Z208" s="252"/>
      <c r="AA208" s="252"/>
      <c r="AB208" s="295"/>
      <c r="AF208" s="243"/>
      <c r="BS208" s="219"/>
    </row>
    <row r="209" spans="1:71" x14ac:dyDescent="0.15">
      <c r="A209" s="292"/>
      <c r="B209" s="251"/>
      <c r="C209" s="212"/>
      <c r="D209" s="251"/>
      <c r="E209" s="293"/>
      <c r="F209" s="293"/>
      <c r="G209" s="293"/>
      <c r="H209" s="293"/>
      <c r="I209" s="251"/>
      <c r="J209" s="212"/>
      <c r="K209" s="212"/>
      <c r="L209" s="253"/>
      <c r="M209" s="252"/>
      <c r="O209" s="211"/>
      <c r="P209" s="211"/>
      <c r="Q209" s="211"/>
      <c r="R209" s="286"/>
      <c r="T209" s="219"/>
      <c r="U209" s="219"/>
      <c r="V209" s="249"/>
      <c r="W209" s="252"/>
      <c r="X209" s="287"/>
      <c r="Y209" s="287"/>
      <c r="Z209" s="252"/>
      <c r="AA209" s="252"/>
      <c r="AB209" s="295"/>
      <c r="AF209" s="243"/>
      <c r="BS209" s="219"/>
    </row>
    <row r="210" spans="1:71" x14ac:dyDescent="0.15">
      <c r="A210" s="292"/>
      <c r="B210" s="251"/>
      <c r="C210" s="212"/>
      <c r="D210" s="251"/>
      <c r="E210" s="293"/>
      <c r="F210" s="293"/>
      <c r="G210" s="293"/>
      <c r="H210" s="293"/>
      <c r="I210" s="251"/>
      <c r="J210" s="212"/>
      <c r="K210" s="212"/>
      <c r="L210" s="253"/>
      <c r="M210" s="252"/>
      <c r="O210" s="211"/>
      <c r="P210" s="211"/>
      <c r="Q210" s="211"/>
      <c r="R210" s="286"/>
      <c r="T210" s="219"/>
      <c r="U210" s="219"/>
      <c r="V210" s="249"/>
      <c r="W210" s="252"/>
      <c r="X210" s="287"/>
      <c r="Y210" s="287"/>
      <c r="Z210" s="252"/>
      <c r="AA210" s="252"/>
      <c r="AB210" s="295"/>
      <c r="AF210" s="243"/>
      <c r="BS210" s="219"/>
    </row>
    <row r="211" spans="1:71" x14ac:dyDescent="0.15">
      <c r="A211" s="292"/>
      <c r="B211" s="251"/>
      <c r="C211" s="212"/>
      <c r="D211" s="251"/>
      <c r="E211" s="293"/>
      <c r="F211" s="293"/>
      <c r="G211" s="293"/>
      <c r="H211" s="293"/>
      <c r="I211" s="251"/>
      <c r="J211" s="212"/>
      <c r="K211" s="212"/>
      <c r="L211" s="253"/>
      <c r="M211" s="252"/>
      <c r="O211" s="211"/>
      <c r="P211" s="211"/>
      <c r="Q211" s="211"/>
      <c r="R211" s="286"/>
      <c r="T211" s="219"/>
      <c r="U211" s="219"/>
      <c r="V211" s="249"/>
      <c r="W211" s="252"/>
      <c r="X211" s="287"/>
      <c r="Y211" s="287"/>
      <c r="Z211" s="252"/>
      <c r="AA211" s="252"/>
      <c r="AB211" s="295"/>
      <c r="AF211" s="243"/>
      <c r="BS211" s="219"/>
    </row>
    <row r="212" spans="1:71" x14ac:dyDescent="0.15">
      <c r="A212" s="292"/>
      <c r="B212" s="251"/>
      <c r="C212" s="212"/>
      <c r="D212" s="251"/>
      <c r="E212" s="293"/>
      <c r="F212" s="293"/>
      <c r="G212" s="293"/>
      <c r="H212" s="293"/>
      <c r="I212" s="251"/>
      <c r="J212" s="212"/>
      <c r="K212" s="212"/>
      <c r="L212" s="253"/>
      <c r="M212" s="252"/>
      <c r="O212" s="211"/>
      <c r="P212" s="211"/>
      <c r="Q212" s="211"/>
      <c r="R212" s="286"/>
      <c r="T212" s="219"/>
      <c r="U212" s="219"/>
      <c r="V212" s="249"/>
      <c r="W212" s="252"/>
      <c r="X212" s="287"/>
      <c r="Y212" s="287"/>
      <c r="Z212" s="252"/>
      <c r="AA212" s="252"/>
      <c r="AB212" s="295"/>
      <c r="AF212" s="243"/>
      <c r="BS212" s="219"/>
    </row>
    <row r="213" spans="1:71" x14ac:dyDescent="0.15">
      <c r="A213" s="292"/>
      <c r="B213" s="251"/>
      <c r="C213" s="212"/>
      <c r="D213" s="251"/>
      <c r="E213" s="293"/>
      <c r="F213" s="293"/>
      <c r="G213" s="293"/>
      <c r="H213" s="293"/>
      <c r="I213" s="251"/>
      <c r="J213" s="212"/>
      <c r="K213" s="212"/>
      <c r="L213" s="253"/>
      <c r="M213" s="252"/>
      <c r="O213" s="211"/>
      <c r="P213" s="211"/>
      <c r="Q213" s="211"/>
      <c r="R213" s="286"/>
      <c r="T213" s="219"/>
      <c r="U213" s="219"/>
      <c r="V213" s="249"/>
      <c r="W213" s="252"/>
      <c r="X213" s="287"/>
      <c r="Y213" s="287"/>
      <c r="Z213" s="252"/>
      <c r="AA213" s="252"/>
      <c r="AB213" s="295"/>
      <c r="AF213" s="243"/>
      <c r="BS213" s="219"/>
    </row>
    <row r="214" spans="1:71" x14ac:dyDescent="0.15">
      <c r="A214" s="292"/>
      <c r="B214" s="251"/>
      <c r="C214" s="212"/>
      <c r="D214" s="251"/>
      <c r="E214" s="293"/>
      <c r="F214" s="293"/>
      <c r="G214" s="293"/>
      <c r="H214" s="293"/>
      <c r="I214" s="251"/>
      <c r="J214" s="212"/>
      <c r="K214" s="212"/>
      <c r="L214" s="253"/>
      <c r="M214" s="252"/>
      <c r="O214" s="211"/>
      <c r="P214" s="211"/>
      <c r="Q214" s="211"/>
      <c r="R214" s="286"/>
      <c r="T214" s="219"/>
      <c r="U214" s="219"/>
      <c r="V214" s="249"/>
      <c r="W214" s="252"/>
      <c r="X214" s="287"/>
      <c r="Y214" s="287"/>
      <c r="Z214" s="252"/>
      <c r="AA214" s="252"/>
      <c r="AB214" s="295"/>
      <c r="AF214" s="243"/>
      <c r="BS214" s="219"/>
    </row>
    <row r="215" spans="1:71" x14ac:dyDescent="0.15">
      <c r="A215" s="292"/>
      <c r="B215" s="251"/>
      <c r="C215" s="212"/>
      <c r="D215" s="251"/>
      <c r="E215" s="293"/>
      <c r="F215" s="293"/>
      <c r="G215" s="293"/>
      <c r="H215" s="293"/>
      <c r="I215" s="251"/>
      <c r="J215" s="212"/>
      <c r="K215" s="212"/>
      <c r="L215" s="253"/>
      <c r="M215" s="252"/>
      <c r="O215" s="211"/>
      <c r="P215" s="211"/>
      <c r="Q215" s="211"/>
      <c r="R215" s="286"/>
      <c r="T215" s="219"/>
      <c r="U215" s="219"/>
      <c r="V215" s="249"/>
      <c r="W215" s="252"/>
      <c r="X215" s="287"/>
      <c r="Y215" s="287"/>
      <c r="Z215" s="252"/>
      <c r="AA215" s="252"/>
      <c r="AB215" s="295"/>
      <c r="AF215" s="243"/>
      <c r="BS215" s="219"/>
    </row>
    <row r="216" spans="1:71" x14ac:dyDescent="0.15">
      <c r="A216" s="292"/>
      <c r="B216" s="251"/>
      <c r="C216" s="212"/>
      <c r="D216" s="251"/>
      <c r="E216" s="293"/>
      <c r="F216" s="293"/>
      <c r="G216" s="293"/>
      <c r="H216" s="293"/>
      <c r="I216" s="251"/>
      <c r="J216" s="212"/>
      <c r="K216" s="212"/>
      <c r="L216" s="253"/>
      <c r="M216" s="252"/>
      <c r="O216" s="211"/>
      <c r="P216" s="211"/>
      <c r="Q216" s="211"/>
      <c r="R216" s="286"/>
      <c r="T216" s="219"/>
      <c r="U216" s="219"/>
      <c r="V216" s="249"/>
      <c r="W216" s="252"/>
      <c r="X216" s="287"/>
      <c r="Y216" s="287"/>
      <c r="Z216" s="252"/>
      <c r="AA216" s="252"/>
      <c r="AB216" s="295"/>
      <c r="AF216" s="243"/>
      <c r="BS216" s="219"/>
    </row>
    <row r="217" spans="1:71" x14ac:dyDescent="0.15">
      <c r="A217" s="292"/>
      <c r="B217" s="251"/>
      <c r="C217" s="212"/>
      <c r="D217" s="251"/>
      <c r="E217" s="293"/>
      <c r="F217" s="293"/>
      <c r="G217" s="293"/>
      <c r="H217" s="293"/>
      <c r="I217" s="251"/>
      <c r="J217" s="212"/>
      <c r="K217" s="212"/>
      <c r="L217" s="253"/>
      <c r="M217" s="252"/>
      <c r="O217" s="211"/>
      <c r="P217" s="211"/>
      <c r="Q217" s="211"/>
      <c r="R217" s="286"/>
      <c r="T217" s="219"/>
      <c r="U217" s="219"/>
      <c r="V217" s="249"/>
      <c r="W217" s="252"/>
      <c r="X217" s="287"/>
      <c r="Y217" s="287"/>
      <c r="Z217" s="252"/>
      <c r="AA217" s="252"/>
      <c r="AB217" s="295"/>
      <c r="AF217" s="243"/>
      <c r="BS217" s="219"/>
    </row>
    <row r="218" spans="1:71" x14ac:dyDescent="0.15">
      <c r="A218" s="292"/>
      <c r="B218" s="251"/>
      <c r="C218" s="212"/>
      <c r="D218" s="251"/>
      <c r="E218" s="293"/>
      <c r="F218" s="293"/>
      <c r="G218" s="293"/>
      <c r="H218" s="293"/>
      <c r="I218" s="251"/>
      <c r="J218" s="212"/>
      <c r="K218" s="212"/>
      <c r="L218" s="253"/>
      <c r="M218" s="252"/>
      <c r="O218" s="211"/>
      <c r="P218" s="211"/>
      <c r="Q218" s="211"/>
      <c r="R218" s="286"/>
      <c r="T218" s="219"/>
      <c r="U218" s="219"/>
      <c r="V218" s="249"/>
      <c r="W218" s="252"/>
      <c r="X218" s="287"/>
      <c r="Y218" s="287"/>
      <c r="Z218" s="252"/>
      <c r="AA218" s="252"/>
      <c r="AB218" s="295"/>
      <c r="AF218" s="243"/>
      <c r="BS218" s="219"/>
    </row>
    <row r="219" spans="1:71" x14ac:dyDescent="0.15">
      <c r="A219" s="292"/>
      <c r="B219" s="251"/>
      <c r="C219" s="212"/>
      <c r="D219" s="251"/>
      <c r="E219" s="293"/>
      <c r="F219" s="293"/>
      <c r="G219" s="293"/>
      <c r="H219" s="293"/>
      <c r="I219" s="251"/>
      <c r="J219" s="212"/>
      <c r="K219" s="212"/>
      <c r="L219" s="253"/>
      <c r="M219" s="252"/>
      <c r="O219" s="211"/>
      <c r="P219" s="211"/>
      <c r="Q219" s="211"/>
      <c r="R219" s="286"/>
      <c r="T219" s="219"/>
      <c r="U219" s="219"/>
      <c r="V219" s="249"/>
      <c r="W219" s="252"/>
      <c r="X219" s="287"/>
      <c r="Y219" s="287"/>
      <c r="Z219" s="252"/>
      <c r="AA219" s="252"/>
      <c r="AB219" s="295"/>
      <c r="AF219" s="243"/>
      <c r="BS219" s="219"/>
    </row>
    <row r="220" spans="1:71" x14ac:dyDescent="0.15">
      <c r="A220" s="292"/>
      <c r="B220" s="251"/>
      <c r="C220" s="212"/>
      <c r="D220" s="251"/>
      <c r="E220" s="293"/>
      <c r="F220" s="293"/>
      <c r="G220" s="293"/>
      <c r="H220" s="293"/>
      <c r="I220" s="251"/>
      <c r="J220" s="212"/>
      <c r="K220" s="212"/>
      <c r="L220" s="253"/>
      <c r="M220" s="252"/>
      <c r="O220" s="211"/>
      <c r="P220" s="211"/>
      <c r="Q220" s="211"/>
      <c r="R220" s="286"/>
      <c r="T220" s="219"/>
      <c r="U220" s="219"/>
      <c r="V220" s="249"/>
      <c r="W220" s="252"/>
      <c r="X220" s="287"/>
      <c r="Y220" s="287"/>
      <c r="Z220" s="252"/>
      <c r="AA220" s="252"/>
      <c r="AB220" s="295"/>
      <c r="AF220" s="243"/>
      <c r="BS220" s="219"/>
    </row>
    <row r="221" spans="1:71" x14ac:dyDescent="0.15">
      <c r="A221" s="292"/>
      <c r="B221" s="251"/>
      <c r="C221" s="212"/>
      <c r="D221" s="251"/>
      <c r="E221" s="293"/>
      <c r="F221" s="293"/>
      <c r="G221" s="293"/>
      <c r="H221" s="293"/>
      <c r="I221" s="251"/>
      <c r="J221" s="212"/>
      <c r="K221" s="212"/>
      <c r="L221" s="253"/>
      <c r="M221" s="252"/>
      <c r="O221" s="211"/>
      <c r="P221" s="211"/>
      <c r="Q221" s="211"/>
      <c r="R221" s="286"/>
      <c r="T221" s="219"/>
      <c r="U221" s="219"/>
      <c r="V221" s="249"/>
      <c r="W221" s="252"/>
      <c r="X221" s="287"/>
      <c r="Y221" s="287"/>
      <c r="Z221" s="252"/>
      <c r="AA221" s="252"/>
      <c r="AB221" s="295"/>
      <c r="AF221" s="243"/>
      <c r="BS221" s="219"/>
    </row>
    <row r="222" spans="1:71" x14ac:dyDescent="0.15">
      <c r="A222" s="292"/>
      <c r="B222" s="251"/>
      <c r="C222" s="212"/>
      <c r="D222" s="251"/>
      <c r="E222" s="293"/>
      <c r="F222" s="293"/>
      <c r="G222" s="293"/>
      <c r="H222" s="293"/>
      <c r="I222" s="251"/>
      <c r="J222" s="212"/>
      <c r="K222" s="212"/>
      <c r="L222" s="253"/>
      <c r="M222" s="252"/>
      <c r="O222" s="211"/>
      <c r="P222" s="211"/>
      <c r="Q222" s="211"/>
      <c r="R222" s="286"/>
      <c r="T222" s="219"/>
      <c r="U222" s="219"/>
      <c r="V222" s="249"/>
      <c r="W222" s="252"/>
      <c r="X222" s="287"/>
      <c r="Y222" s="287"/>
      <c r="Z222" s="252"/>
      <c r="AA222" s="252"/>
      <c r="AB222" s="295"/>
      <c r="AF222" s="243"/>
      <c r="BS222" s="219"/>
    </row>
    <row r="223" spans="1:71" x14ac:dyDescent="0.15">
      <c r="A223" s="292"/>
      <c r="B223" s="251"/>
      <c r="C223" s="212"/>
      <c r="D223" s="251"/>
      <c r="E223" s="293"/>
      <c r="F223" s="293"/>
      <c r="G223" s="293"/>
      <c r="H223" s="293"/>
      <c r="I223" s="251"/>
      <c r="J223" s="212"/>
      <c r="K223" s="212"/>
      <c r="L223" s="253"/>
      <c r="M223" s="252"/>
      <c r="O223" s="211"/>
      <c r="P223" s="211"/>
      <c r="Q223" s="211"/>
      <c r="R223" s="286"/>
      <c r="T223" s="219"/>
      <c r="U223" s="219"/>
      <c r="V223" s="249"/>
      <c r="W223" s="252"/>
      <c r="X223" s="287"/>
      <c r="Y223" s="287"/>
      <c r="Z223" s="252"/>
      <c r="AA223" s="252"/>
      <c r="AB223" s="295"/>
      <c r="AF223" s="243"/>
      <c r="BS223" s="219"/>
    </row>
    <row r="224" spans="1:71" x14ac:dyDescent="0.15">
      <c r="A224" s="292"/>
      <c r="B224" s="251"/>
      <c r="C224" s="212"/>
      <c r="D224" s="251"/>
      <c r="E224" s="293"/>
      <c r="F224" s="293"/>
      <c r="G224" s="293"/>
      <c r="H224" s="293"/>
      <c r="I224" s="251"/>
      <c r="J224" s="212"/>
      <c r="K224" s="212"/>
      <c r="L224" s="253"/>
      <c r="M224" s="252"/>
      <c r="O224" s="211"/>
      <c r="P224" s="211"/>
      <c r="Q224" s="211"/>
      <c r="R224" s="286"/>
      <c r="T224" s="219"/>
      <c r="U224" s="219"/>
      <c r="V224" s="249"/>
      <c r="W224" s="252"/>
      <c r="X224" s="287"/>
      <c r="Y224" s="287"/>
      <c r="Z224" s="252"/>
      <c r="AA224" s="252"/>
      <c r="AB224" s="295"/>
      <c r="AF224" s="243"/>
      <c r="BS224" s="219"/>
    </row>
    <row r="225" spans="1:71" x14ac:dyDescent="0.15">
      <c r="A225" s="292"/>
      <c r="B225" s="251"/>
      <c r="C225" s="212"/>
      <c r="D225" s="251"/>
      <c r="E225" s="293"/>
      <c r="F225" s="293"/>
      <c r="G225" s="293"/>
      <c r="H225" s="293"/>
      <c r="I225" s="251"/>
      <c r="J225" s="212"/>
      <c r="K225" s="212"/>
      <c r="L225" s="253"/>
      <c r="M225" s="252"/>
      <c r="O225" s="211"/>
      <c r="P225" s="211"/>
      <c r="Q225" s="211"/>
      <c r="R225" s="286"/>
      <c r="T225" s="219"/>
      <c r="U225" s="219"/>
      <c r="V225" s="249"/>
      <c r="W225" s="252"/>
      <c r="X225" s="287"/>
      <c r="Y225" s="287"/>
      <c r="Z225" s="252"/>
      <c r="AA225" s="252"/>
      <c r="AB225" s="295"/>
      <c r="AF225" s="243"/>
      <c r="BS225" s="219"/>
    </row>
    <row r="226" spans="1:71" x14ac:dyDescent="0.15">
      <c r="A226" s="292"/>
      <c r="B226" s="251"/>
      <c r="C226" s="212"/>
      <c r="D226" s="251"/>
      <c r="E226" s="293"/>
      <c r="F226" s="293"/>
      <c r="G226" s="293"/>
      <c r="H226" s="293"/>
      <c r="I226" s="251"/>
      <c r="J226" s="212"/>
      <c r="K226" s="212"/>
      <c r="L226" s="253"/>
      <c r="M226" s="252"/>
      <c r="O226" s="211"/>
      <c r="P226" s="211"/>
      <c r="Q226" s="211"/>
      <c r="R226" s="286"/>
      <c r="T226" s="219"/>
      <c r="U226" s="219"/>
      <c r="V226" s="249"/>
      <c r="W226" s="252"/>
      <c r="X226" s="287"/>
      <c r="Y226" s="287"/>
      <c r="Z226" s="252"/>
      <c r="AA226" s="252"/>
      <c r="AB226" s="295"/>
      <c r="AF226" s="243"/>
      <c r="BS226" s="219"/>
    </row>
    <row r="227" spans="1:71" x14ac:dyDescent="0.15">
      <c r="A227" s="292"/>
      <c r="B227" s="251"/>
      <c r="C227" s="212"/>
      <c r="D227" s="251"/>
      <c r="E227" s="293"/>
      <c r="F227" s="293"/>
      <c r="G227" s="293"/>
      <c r="H227" s="293"/>
      <c r="I227" s="251"/>
      <c r="J227" s="212"/>
      <c r="K227" s="212"/>
      <c r="L227" s="253"/>
      <c r="M227" s="252"/>
      <c r="O227" s="211"/>
      <c r="P227" s="211"/>
      <c r="Q227" s="211"/>
      <c r="R227" s="286"/>
      <c r="T227" s="219"/>
      <c r="U227" s="219"/>
      <c r="V227" s="249"/>
      <c r="W227" s="252"/>
      <c r="X227" s="287"/>
      <c r="Y227" s="287"/>
      <c r="Z227" s="252"/>
      <c r="AA227" s="252"/>
      <c r="AB227" s="295"/>
      <c r="AF227" s="243"/>
      <c r="BS227" s="219"/>
    </row>
    <row r="228" spans="1:71" x14ac:dyDescent="0.15">
      <c r="A228" s="292"/>
      <c r="B228" s="251"/>
      <c r="C228" s="212"/>
      <c r="D228" s="251"/>
      <c r="E228" s="293"/>
      <c r="F228" s="293"/>
      <c r="G228" s="293"/>
      <c r="H228" s="293"/>
      <c r="I228" s="251"/>
      <c r="J228" s="212"/>
      <c r="K228" s="212"/>
      <c r="L228" s="253"/>
      <c r="M228" s="252"/>
      <c r="O228" s="211"/>
      <c r="P228" s="211"/>
      <c r="Q228" s="211"/>
      <c r="R228" s="286"/>
      <c r="T228" s="219"/>
      <c r="U228" s="219"/>
      <c r="V228" s="249"/>
      <c r="W228" s="252"/>
      <c r="X228" s="287"/>
      <c r="Y228" s="287"/>
      <c r="Z228" s="252"/>
      <c r="AA228" s="252"/>
      <c r="AB228" s="295"/>
      <c r="AF228" s="243"/>
      <c r="BS228" s="219"/>
    </row>
    <row r="229" spans="1:71" x14ac:dyDescent="0.15">
      <c r="A229" s="292"/>
      <c r="B229" s="251"/>
      <c r="C229" s="212"/>
      <c r="D229" s="251"/>
      <c r="E229" s="293"/>
      <c r="F229" s="293"/>
      <c r="G229" s="293"/>
      <c r="H229" s="293"/>
      <c r="I229" s="251"/>
      <c r="J229" s="212"/>
      <c r="K229" s="212"/>
      <c r="L229" s="253"/>
      <c r="M229" s="252"/>
      <c r="O229" s="211"/>
      <c r="P229" s="211"/>
      <c r="Q229" s="211"/>
      <c r="R229" s="286"/>
      <c r="T229" s="219"/>
      <c r="U229" s="219"/>
      <c r="V229" s="249"/>
      <c r="W229" s="252"/>
      <c r="X229" s="287"/>
      <c r="Y229" s="287"/>
      <c r="Z229" s="252"/>
      <c r="AA229" s="252"/>
      <c r="AB229" s="295"/>
      <c r="AF229" s="243"/>
      <c r="BS229" s="219"/>
    </row>
    <row r="230" spans="1:71" x14ac:dyDescent="0.15">
      <c r="A230" s="292"/>
      <c r="B230" s="251"/>
      <c r="C230" s="212"/>
      <c r="D230" s="251"/>
      <c r="E230" s="293"/>
      <c r="F230" s="293"/>
      <c r="G230" s="293"/>
      <c r="H230" s="293"/>
      <c r="I230" s="251"/>
      <c r="J230" s="212"/>
      <c r="K230" s="212"/>
      <c r="L230" s="253"/>
      <c r="M230" s="252"/>
      <c r="O230" s="211"/>
      <c r="P230" s="211"/>
      <c r="Q230" s="211"/>
      <c r="R230" s="286"/>
      <c r="T230" s="219"/>
      <c r="U230" s="219"/>
      <c r="V230" s="249"/>
      <c r="W230" s="252"/>
      <c r="X230" s="287"/>
      <c r="Y230" s="287"/>
      <c r="Z230" s="252"/>
      <c r="AA230" s="252"/>
      <c r="AB230" s="295"/>
      <c r="AF230" s="243"/>
      <c r="BS230" s="219"/>
    </row>
    <row r="231" spans="1:71" x14ac:dyDescent="0.15">
      <c r="A231" s="292"/>
      <c r="B231" s="251"/>
      <c r="C231" s="212"/>
      <c r="D231" s="251"/>
      <c r="E231" s="293"/>
      <c r="F231" s="293"/>
      <c r="G231" s="293"/>
      <c r="H231" s="293"/>
      <c r="I231" s="251"/>
      <c r="J231" s="212"/>
      <c r="K231" s="212"/>
      <c r="L231" s="253"/>
      <c r="M231" s="252"/>
      <c r="O231" s="211"/>
      <c r="P231" s="211"/>
      <c r="Q231" s="211"/>
      <c r="R231" s="286"/>
      <c r="T231" s="219"/>
      <c r="U231" s="219"/>
      <c r="V231" s="249"/>
      <c r="W231" s="252"/>
      <c r="X231" s="287"/>
      <c r="Y231" s="287"/>
      <c r="Z231" s="252"/>
      <c r="AA231" s="252"/>
      <c r="AB231" s="295"/>
      <c r="AF231" s="243"/>
      <c r="BS231" s="219"/>
    </row>
    <row r="232" spans="1:71" x14ac:dyDescent="0.15">
      <c r="A232" s="292"/>
      <c r="B232" s="251"/>
      <c r="C232" s="212"/>
      <c r="D232" s="251"/>
      <c r="E232" s="293"/>
      <c r="F232" s="293"/>
      <c r="G232" s="293"/>
      <c r="H232" s="293"/>
      <c r="I232" s="251"/>
      <c r="J232" s="212"/>
      <c r="K232" s="212"/>
      <c r="L232" s="253"/>
      <c r="M232" s="252"/>
      <c r="O232" s="211"/>
      <c r="P232" s="211"/>
      <c r="Q232" s="211"/>
      <c r="R232" s="286"/>
      <c r="T232" s="219"/>
      <c r="U232" s="219"/>
      <c r="V232" s="249"/>
      <c r="W232" s="252"/>
      <c r="X232" s="287"/>
      <c r="Y232" s="287"/>
      <c r="Z232" s="252"/>
      <c r="AA232" s="252"/>
      <c r="AB232" s="295"/>
      <c r="AF232" s="243"/>
      <c r="BS232" s="219"/>
    </row>
    <row r="233" spans="1:71" x14ac:dyDescent="0.15">
      <c r="A233" s="292"/>
      <c r="B233" s="251"/>
      <c r="C233" s="212"/>
      <c r="D233" s="251"/>
      <c r="E233" s="293"/>
      <c r="F233" s="293"/>
      <c r="G233" s="293"/>
      <c r="H233" s="293"/>
      <c r="I233" s="251"/>
      <c r="J233" s="212"/>
      <c r="K233" s="212"/>
      <c r="L233" s="253"/>
      <c r="M233" s="252"/>
      <c r="O233" s="211"/>
      <c r="P233" s="211"/>
      <c r="Q233" s="211"/>
      <c r="R233" s="286"/>
      <c r="T233" s="219"/>
      <c r="U233" s="219"/>
      <c r="V233" s="249"/>
      <c r="W233" s="252"/>
      <c r="X233" s="287"/>
      <c r="Y233" s="287"/>
      <c r="Z233" s="252"/>
      <c r="AA233" s="252"/>
      <c r="AB233" s="295"/>
      <c r="AF233" s="243"/>
      <c r="BS233" s="219"/>
    </row>
    <row r="234" spans="1:71" x14ac:dyDescent="0.15">
      <c r="A234" s="292"/>
      <c r="B234" s="251"/>
      <c r="C234" s="212"/>
      <c r="D234" s="251"/>
      <c r="E234" s="293"/>
      <c r="F234" s="293"/>
      <c r="G234" s="293"/>
      <c r="H234" s="293"/>
      <c r="I234" s="251"/>
      <c r="J234" s="212"/>
      <c r="K234" s="212"/>
      <c r="L234" s="253"/>
      <c r="M234" s="252"/>
      <c r="O234" s="211"/>
      <c r="P234" s="211"/>
      <c r="Q234" s="211"/>
      <c r="R234" s="286"/>
      <c r="T234" s="219"/>
      <c r="U234" s="219"/>
      <c r="V234" s="249"/>
      <c r="W234" s="252"/>
      <c r="X234" s="287"/>
      <c r="Y234" s="287"/>
      <c r="Z234" s="252"/>
      <c r="AA234" s="252"/>
      <c r="AB234" s="295"/>
      <c r="AF234" s="243"/>
      <c r="BS234" s="219"/>
    </row>
    <row r="235" spans="1:71" x14ac:dyDescent="0.15">
      <c r="A235" s="292"/>
      <c r="B235" s="251"/>
      <c r="C235" s="212"/>
      <c r="D235" s="251"/>
      <c r="E235" s="293"/>
      <c r="F235" s="293"/>
      <c r="G235" s="293"/>
      <c r="H235" s="293"/>
      <c r="I235" s="251"/>
      <c r="J235" s="212"/>
      <c r="K235" s="212"/>
      <c r="L235" s="253"/>
      <c r="M235" s="252"/>
      <c r="O235" s="211"/>
      <c r="P235" s="211"/>
      <c r="Q235" s="211"/>
      <c r="R235" s="286"/>
      <c r="T235" s="219"/>
      <c r="U235" s="219"/>
      <c r="V235" s="249"/>
      <c r="W235" s="252"/>
      <c r="X235" s="287"/>
      <c r="Y235" s="287"/>
      <c r="Z235" s="252"/>
      <c r="AA235" s="252"/>
      <c r="AB235" s="295"/>
      <c r="AF235" s="243"/>
      <c r="BS235" s="219"/>
    </row>
    <row r="236" spans="1:71" x14ac:dyDescent="0.15">
      <c r="A236" s="292"/>
      <c r="B236" s="251"/>
      <c r="C236" s="212"/>
      <c r="D236" s="251"/>
      <c r="E236" s="293"/>
      <c r="F236" s="293"/>
      <c r="G236" s="293"/>
      <c r="H236" s="293"/>
      <c r="I236" s="251"/>
      <c r="J236" s="212"/>
      <c r="K236" s="212"/>
      <c r="L236" s="253"/>
      <c r="M236" s="252"/>
      <c r="O236" s="211"/>
      <c r="P236" s="211"/>
      <c r="Q236" s="211"/>
      <c r="R236" s="286"/>
      <c r="T236" s="219"/>
      <c r="U236" s="219"/>
      <c r="V236" s="249"/>
      <c r="W236" s="252"/>
      <c r="X236" s="287"/>
      <c r="Y236" s="287"/>
      <c r="Z236" s="252"/>
      <c r="AA236" s="252"/>
      <c r="AB236" s="295"/>
      <c r="AF236" s="243"/>
      <c r="BS236" s="219"/>
    </row>
    <row r="237" spans="1:71" x14ac:dyDescent="0.15">
      <c r="A237" s="292"/>
      <c r="B237" s="251"/>
      <c r="C237" s="212"/>
      <c r="D237" s="251"/>
      <c r="E237" s="293"/>
      <c r="F237" s="293"/>
      <c r="G237" s="293"/>
      <c r="H237" s="293"/>
      <c r="I237" s="251"/>
      <c r="J237" s="212"/>
      <c r="K237" s="212"/>
      <c r="L237" s="253"/>
      <c r="M237" s="252"/>
      <c r="O237" s="211"/>
      <c r="P237" s="211"/>
      <c r="Q237" s="211"/>
      <c r="R237" s="286"/>
      <c r="T237" s="219"/>
      <c r="U237" s="219"/>
      <c r="V237" s="249"/>
      <c r="W237" s="252"/>
      <c r="X237" s="287"/>
      <c r="Y237" s="287"/>
      <c r="Z237" s="252"/>
      <c r="AA237" s="252"/>
      <c r="AB237" s="295"/>
      <c r="AF237" s="243"/>
      <c r="BS237" s="219"/>
    </row>
    <row r="238" spans="1:71" x14ac:dyDescent="0.15">
      <c r="A238" s="292"/>
      <c r="B238" s="251"/>
      <c r="C238" s="212"/>
      <c r="D238" s="251"/>
      <c r="E238" s="293"/>
      <c r="F238" s="293"/>
      <c r="G238" s="293"/>
      <c r="H238" s="293"/>
      <c r="I238" s="251"/>
      <c r="J238" s="212"/>
      <c r="K238" s="212"/>
      <c r="L238" s="253"/>
      <c r="M238" s="252"/>
      <c r="O238" s="211"/>
      <c r="P238" s="211"/>
      <c r="Q238" s="211"/>
      <c r="R238" s="286"/>
      <c r="T238" s="219"/>
      <c r="U238" s="219"/>
      <c r="V238" s="249"/>
      <c r="W238" s="252"/>
      <c r="X238" s="287"/>
      <c r="Y238" s="287"/>
      <c r="Z238" s="252"/>
      <c r="AA238" s="252"/>
      <c r="AB238" s="295"/>
      <c r="AF238" s="243"/>
      <c r="BS238" s="219"/>
    </row>
    <row r="239" spans="1:71" x14ac:dyDescent="0.15">
      <c r="A239" s="292"/>
      <c r="B239" s="251"/>
      <c r="C239" s="212"/>
      <c r="D239" s="251"/>
      <c r="E239" s="293"/>
      <c r="F239" s="293"/>
      <c r="G239" s="293"/>
      <c r="H239" s="293"/>
      <c r="I239" s="251"/>
      <c r="J239" s="212"/>
      <c r="K239" s="212"/>
      <c r="L239" s="253"/>
      <c r="M239" s="252"/>
      <c r="O239" s="211"/>
      <c r="P239" s="211"/>
      <c r="Q239" s="211"/>
      <c r="R239" s="286"/>
      <c r="T239" s="219"/>
      <c r="U239" s="219"/>
      <c r="V239" s="249"/>
      <c r="W239" s="252"/>
      <c r="X239" s="287"/>
      <c r="Y239" s="287"/>
      <c r="Z239" s="252"/>
      <c r="AA239" s="252"/>
      <c r="AB239" s="295"/>
      <c r="AF239" s="243"/>
      <c r="BS239" s="219"/>
    </row>
    <row r="240" spans="1:71" x14ac:dyDescent="0.15">
      <c r="A240" s="292"/>
      <c r="B240" s="251"/>
      <c r="C240" s="212"/>
      <c r="D240" s="251"/>
      <c r="E240" s="293"/>
      <c r="F240" s="293"/>
      <c r="G240" s="293"/>
      <c r="H240" s="293"/>
      <c r="I240" s="251"/>
      <c r="J240" s="212"/>
      <c r="K240" s="212"/>
      <c r="L240" s="253"/>
      <c r="M240" s="252"/>
      <c r="O240" s="211"/>
      <c r="P240" s="211"/>
      <c r="Q240" s="211"/>
      <c r="R240" s="286"/>
      <c r="T240" s="219"/>
      <c r="U240" s="219"/>
      <c r="V240" s="249"/>
      <c r="W240" s="252"/>
      <c r="X240" s="287"/>
      <c r="Y240" s="287"/>
      <c r="Z240" s="252"/>
      <c r="AA240" s="252"/>
      <c r="AB240" s="295"/>
      <c r="AF240" s="243"/>
      <c r="BS240" s="219"/>
    </row>
    <row r="241" spans="1:71" x14ac:dyDescent="0.15">
      <c r="A241" s="292"/>
      <c r="B241" s="251"/>
      <c r="C241" s="212"/>
      <c r="D241" s="251"/>
      <c r="E241" s="293"/>
      <c r="F241" s="293"/>
      <c r="G241" s="293"/>
      <c r="H241" s="293"/>
      <c r="I241" s="251"/>
      <c r="J241" s="212"/>
      <c r="K241" s="212"/>
      <c r="L241" s="253"/>
      <c r="M241" s="252"/>
      <c r="O241" s="211"/>
      <c r="P241" s="211"/>
      <c r="Q241" s="211"/>
      <c r="R241" s="286"/>
      <c r="T241" s="219"/>
      <c r="U241" s="219"/>
      <c r="V241" s="249"/>
      <c r="W241" s="252"/>
      <c r="X241" s="287"/>
      <c r="Y241" s="287"/>
      <c r="Z241" s="252"/>
      <c r="AA241" s="252"/>
      <c r="AB241" s="295"/>
      <c r="AF241" s="243"/>
      <c r="BS241" s="219"/>
    </row>
    <row r="242" spans="1:71" x14ac:dyDescent="0.15">
      <c r="A242" s="292"/>
      <c r="B242" s="251"/>
      <c r="C242" s="212"/>
      <c r="D242" s="251"/>
      <c r="E242" s="293"/>
      <c r="F242" s="293"/>
      <c r="G242" s="293"/>
      <c r="H242" s="293"/>
      <c r="I242" s="251"/>
      <c r="J242" s="212"/>
      <c r="K242" s="212"/>
      <c r="L242" s="253"/>
      <c r="M242" s="252"/>
      <c r="O242" s="211"/>
      <c r="P242" s="211"/>
      <c r="Q242" s="211"/>
      <c r="R242" s="286"/>
      <c r="T242" s="219"/>
      <c r="U242" s="219"/>
      <c r="V242" s="249"/>
      <c r="W242" s="252"/>
      <c r="X242" s="287"/>
      <c r="Y242" s="287"/>
      <c r="Z242" s="252"/>
      <c r="AA242" s="252"/>
      <c r="AB242" s="295"/>
      <c r="AF242" s="243"/>
      <c r="BS242" s="219"/>
    </row>
    <row r="243" spans="1:71" x14ac:dyDescent="0.15">
      <c r="A243" s="292"/>
      <c r="B243" s="251"/>
      <c r="C243" s="212"/>
      <c r="D243" s="251"/>
      <c r="E243" s="293"/>
      <c r="F243" s="293"/>
      <c r="G243" s="293"/>
      <c r="H243" s="293"/>
      <c r="I243" s="251"/>
      <c r="J243" s="212"/>
      <c r="K243" s="212"/>
      <c r="L243" s="253"/>
      <c r="M243" s="252"/>
      <c r="O243" s="211"/>
      <c r="P243" s="211"/>
      <c r="Q243" s="211"/>
      <c r="R243" s="286"/>
      <c r="T243" s="219"/>
      <c r="U243" s="219"/>
      <c r="V243" s="249"/>
      <c r="W243" s="252"/>
      <c r="X243" s="287"/>
      <c r="Y243" s="287"/>
      <c r="Z243" s="252"/>
      <c r="AA243" s="252"/>
      <c r="AB243" s="295"/>
      <c r="AF243" s="243"/>
      <c r="BS243" s="219"/>
    </row>
    <row r="244" spans="1:71" x14ac:dyDescent="0.15">
      <c r="A244" s="292"/>
      <c r="B244" s="251"/>
      <c r="C244" s="212"/>
      <c r="D244" s="251"/>
      <c r="E244" s="293"/>
      <c r="F244" s="293"/>
      <c r="G244" s="293"/>
      <c r="H244" s="293"/>
      <c r="I244" s="251"/>
      <c r="J244" s="212"/>
      <c r="K244" s="212"/>
      <c r="L244" s="253"/>
      <c r="M244" s="252"/>
      <c r="O244" s="211"/>
      <c r="P244" s="211"/>
      <c r="Q244" s="211"/>
      <c r="R244" s="286"/>
      <c r="T244" s="219"/>
      <c r="U244" s="219"/>
      <c r="V244" s="249"/>
      <c r="W244" s="252"/>
      <c r="X244" s="287"/>
      <c r="Y244" s="287"/>
      <c r="Z244" s="252"/>
      <c r="AA244" s="252"/>
      <c r="AB244" s="295"/>
      <c r="AF244" s="243"/>
      <c r="BS244" s="219"/>
    </row>
    <row r="245" spans="1:71" x14ac:dyDescent="0.15">
      <c r="A245" s="292"/>
      <c r="B245" s="251"/>
      <c r="C245" s="212"/>
      <c r="D245" s="251"/>
      <c r="E245" s="293"/>
      <c r="F245" s="293"/>
      <c r="G245" s="293"/>
      <c r="H245" s="293"/>
      <c r="I245" s="251"/>
      <c r="J245" s="212"/>
      <c r="K245" s="212"/>
      <c r="L245" s="253"/>
      <c r="M245" s="252"/>
      <c r="O245" s="211"/>
      <c r="P245" s="211"/>
      <c r="Q245" s="211"/>
      <c r="R245" s="286"/>
      <c r="T245" s="219"/>
      <c r="U245" s="219"/>
      <c r="V245" s="249"/>
      <c r="W245" s="252"/>
      <c r="X245" s="287"/>
      <c r="Y245" s="287"/>
      <c r="Z245" s="252"/>
      <c r="AA245" s="252"/>
      <c r="AB245" s="295"/>
      <c r="AF245" s="243"/>
      <c r="BS245" s="219"/>
    </row>
    <row r="246" spans="1:71" x14ac:dyDescent="0.15">
      <c r="A246" s="292"/>
      <c r="B246" s="251"/>
      <c r="C246" s="212"/>
      <c r="D246" s="251"/>
      <c r="E246" s="293"/>
      <c r="F246" s="293"/>
      <c r="G246" s="293"/>
      <c r="H246" s="293"/>
      <c r="I246" s="251"/>
      <c r="J246" s="212"/>
      <c r="K246" s="212"/>
      <c r="L246" s="253"/>
      <c r="M246" s="252"/>
      <c r="O246" s="211"/>
      <c r="P246" s="211"/>
      <c r="Q246" s="211"/>
      <c r="R246" s="286"/>
      <c r="T246" s="219"/>
      <c r="U246" s="219"/>
      <c r="V246" s="249"/>
      <c r="W246" s="252"/>
      <c r="X246" s="287"/>
      <c r="Y246" s="287"/>
      <c r="Z246" s="252"/>
      <c r="AA246" s="252"/>
      <c r="AB246" s="295"/>
      <c r="AF246" s="243"/>
      <c r="BS246" s="219"/>
    </row>
    <row r="247" spans="1:71" x14ac:dyDescent="0.15">
      <c r="A247" s="292"/>
      <c r="B247" s="251"/>
      <c r="C247" s="212"/>
      <c r="D247" s="251"/>
      <c r="E247" s="293"/>
      <c r="F247" s="293"/>
      <c r="G247" s="293"/>
      <c r="H247" s="293"/>
      <c r="I247" s="251"/>
      <c r="J247" s="212"/>
      <c r="K247" s="212"/>
      <c r="L247" s="253"/>
      <c r="M247" s="252"/>
      <c r="O247" s="211"/>
      <c r="P247" s="211"/>
      <c r="Q247" s="211"/>
      <c r="R247" s="286"/>
      <c r="T247" s="219"/>
      <c r="U247" s="219"/>
      <c r="V247" s="249"/>
      <c r="W247" s="252"/>
      <c r="X247" s="287"/>
      <c r="Y247" s="287"/>
      <c r="Z247" s="252"/>
      <c r="AA247" s="252"/>
      <c r="AB247" s="295"/>
      <c r="AF247" s="243"/>
      <c r="BS247" s="219"/>
    </row>
    <row r="248" spans="1:71" x14ac:dyDescent="0.15">
      <c r="A248" s="292"/>
      <c r="B248" s="251"/>
      <c r="C248" s="212"/>
      <c r="D248" s="251"/>
      <c r="E248" s="293"/>
      <c r="F248" s="293"/>
      <c r="G248" s="293"/>
      <c r="H248" s="293"/>
      <c r="I248" s="251"/>
      <c r="J248" s="212"/>
      <c r="K248" s="212"/>
      <c r="L248" s="253"/>
      <c r="M248" s="252"/>
      <c r="O248" s="211"/>
      <c r="P248" s="211"/>
      <c r="Q248" s="211"/>
      <c r="R248" s="286"/>
      <c r="T248" s="219"/>
      <c r="U248" s="219"/>
      <c r="V248" s="249"/>
      <c r="W248" s="252"/>
      <c r="X248" s="287"/>
      <c r="Y248" s="287"/>
      <c r="Z248" s="252"/>
      <c r="AA248" s="252"/>
      <c r="AB248" s="295"/>
      <c r="AF248" s="243"/>
      <c r="BS248" s="219"/>
    </row>
    <row r="249" spans="1:71" x14ac:dyDescent="0.15">
      <c r="A249" s="292"/>
      <c r="B249" s="251"/>
      <c r="C249" s="212"/>
      <c r="D249" s="251"/>
      <c r="E249" s="293"/>
      <c r="F249" s="293"/>
      <c r="G249" s="293"/>
      <c r="H249" s="293"/>
      <c r="I249" s="251"/>
      <c r="J249" s="212"/>
      <c r="K249" s="212"/>
      <c r="L249" s="253"/>
      <c r="M249" s="252"/>
      <c r="O249" s="211"/>
      <c r="P249" s="211"/>
      <c r="Q249" s="211"/>
      <c r="R249" s="286"/>
      <c r="T249" s="219"/>
      <c r="U249" s="219"/>
      <c r="V249" s="249"/>
      <c r="W249" s="252"/>
      <c r="X249" s="287"/>
      <c r="Y249" s="287"/>
      <c r="Z249" s="252"/>
      <c r="AA249" s="252"/>
      <c r="AB249" s="295"/>
      <c r="AF249" s="243"/>
      <c r="BS249" s="219"/>
    </row>
    <row r="250" spans="1:71" x14ac:dyDescent="0.15">
      <c r="A250" s="292"/>
      <c r="B250" s="251"/>
      <c r="C250" s="212"/>
      <c r="D250" s="251"/>
      <c r="E250" s="293"/>
      <c r="F250" s="293"/>
      <c r="G250" s="293"/>
      <c r="H250" s="293"/>
      <c r="I250" s="251"/>
      <c r="J250" s="212"/>
      <c r="K250" s="212"/>
      <c r="L250" s="253"/>
      <c r="M250" s="252"/>
      <c r="O250" s="211"/>
      <c r="P250" s="211"/>
      <c r="Q250" s="211"/>
      <c r="R250" s="286"/>
      <c r="T250" s="219"/>
      <c r="U250" s="219"/>
      <c r="V250" s="249"/>
      <c r="W250" s="252"/>
      <c r="X250" s="287"/>
      <c r="Y250" s="287"/>
      <c r="Z250" s="252"/>
      <c r="AA250" s="252"/>
      <c r="AB250" s="295"/>
      <c r="AF250" s="243"/>
      <c r="BS250" s="219"/>
    </row>
    <row r="251" spans="1:71" x14ac:dyDescent="0.15">
      <c r="A251" s="292"/>
      <c r="B251" s="251"/>
      <c r="C251" s="212"/>
      <c r="D251" s="251"/>
      <c r="E251" s="293"/>
      <c r="F251" s="293"/>
      <c r="G251" s="293"/>
      <c r="H251" s="293"/>
      <c r="I251" s="251"/>
      <c r="J251" s="212"/>
      <c r="K251" s="212"/>
      <c r="L251" s="253"/>
      <c r="M251" s="252"/>
      <c r="O251" s="211"/>
      <c r="P251" s="211"/>
      <c r="Q251" s="211"/>
      <c r="R251" s="286"/>
      <c r="T251" s="219"/>
      <c r="U251" s="219"/>
      <c r="V251" s="249"/>
      <c r="W251" s="252"/>
      <c r="X251" s="287"/>
      <c r="Y251" s="287"/>
      <c r="Z251" s="252"/>
      <c r="AA251" s="252"/>
      <c r="AB251" s="295"/>
      <c r="AF251" s="243"/>
      <c r="BS251" s="219"/>
    </row>
    <row r="252" spans="1:71" x14ac:dyDescent="0.15">
      <c r="A252" s="292"/>
      <c r="B252" s="251"/>
      <c r="C252" s="212"/>
      <c r="D252" s="251"/>
      <c r="E252" s="293"/>
      <c r="F252" s="293"/>
      <c r="G252" s="293"/>
      <c r="H252" s="293"/>
      <c r="I252" s="251"/>
      <c r="J252" s="212"/>
      <c r="K252" s="212"/>
      <c r="L252" s="253"/>
      <c r="M252" s="252"/>
      <c r="O252" s="211"/>
      <c r="P252" s="211"/>
      <c r="Q252" s="211"/>
      <c r="R252" s="286"/>
      <c r="T252" s="219"/>
      <c r="U252" s="219"/>
      <c r="V252" s="249"/>
      <c r="W252" s="252"/>
      <c r="X252" s="287"/>
      <c r="Y252" s="287"/>
      <c r="Z252" s="252"/>
      <c r="AA252" s="252"/>
      <c r="AB252" s="295"/>
      <c r="AF252" s="243"/>
      <c r="BS252" s="219"/>
    </row>
    <row r="253" spans="1:71" x14ac:dyDescent="0.15">
      <c r="A253" s="292"/>
      <c r="B253" s="251"/>
      <c r="C253" s="212"/>
      <c r="D253" s="251"/>
      <c r="E253" s="293"/>
      <c r="F253" s="293"/>
      <c r="G253" s="293"/>
      <c r="H253" s="293"/>
      <c r="I253" s="251"/>
      <c r="J253" s="212"/>
      <c r="K253" s="212"/>
      <c r="L253" s="253"/>
      <c r="M253" s="252"/>
      <c r="O253" s="211"/>
      <c r="P253" s="211"/>
      <c r="Q253" s="211"/>
      <c r="R253" s="286"/>
      <c r="T253" s="219"/>
      <c r="U253" s="219"/>
      <c r="V253" s="249"/>
      <c r="W253" s="252"/>
      <c r="X253" s="287"/>
      <c r="Y253" s="287"/>
      <c r="Z253" s="252"/>
      <c r="AA253" s="252"/>
      <c r="AB253" s="295"/>
      <c r="AF253" s="243"/>
      <c r="BS253" s="219"/>
    </row>
    <row r="254" spans="1:71" x14ac:dyDescent="0.15">
      <c r="A254" s="292"/>
      <c r="B254" s="251"/>
      <c r="C254" s="212"/>
      <c r="D254" s="251"/>
      <c r="E254" s="293"/>
      <c r="F254" s="293"/>
      <c r="G254" s="293"/>
      <c r="H254" s="293"/>
      <c r="I254" s="251"/>
      <c r="J254" s="212"/>
      <c r="K254" s="212"/>
      <c r="L254" s="253"/>
      <c r="M254" s="252"/>
      <c r="O254" s="211"/>
      <c r="P254" s="211"/>
      <c r="Q254" s="211"/>
      <c r="R254" s="286"/>
      <c r="T254" s="219"/>
      <c r="U254" s="219"/>
      <c r="V254" s="249"/>
      <c r="W254" s="252"/>
      <c r="X254" s="287"/>
      <c r="Y254" s="287"/>
      <c r="Z254" s="252"/>
      <c r="AA254" s="252"/>
      <c r="AB254" s="295"/>
      <c r="AF254" s="243"/>
      <c r="BS254" s="219"/>
    </row>
    <row r="255" spans="1:71" x14ac:dyDescent="0.15">
      <c r="A255" s="292"/>
      <c r="B255" s="251"/>
      <c r="C255" s="212"/>
      <c r="D255" s="251"/>
      <c r="E255" s="293"/>
      <c r="F255" s="293"/>
      <c r="G255" s="293"/>
      <c r="H255" s="293"/>
      <c r="I255" s="251"/>
      <c r="J255" s="212"/>
      <c r="K255" s="212"/>
      <c r="L255" s="253"/>
      <c r="M255" s="252"/>
      <c r="O255" s="211"/>
      <c r="P255" s="211"/>
      <c r="Q255" s="211"/>
      <c r="R255" s="286"/>
      <c r="T255" s="219"/>
      <c r="U255" s="219"/>
      <c r="V255" s="249"/>
      <c r="W255" s="252"/>
      <c r="X255" s="287"/>
      <c r="Y255" s="287"/>
      <c r="Z255" s="252"/>
      <c r="AA255" s="252"/>
      <c r="AB255" s="295"/>
      <c r="AF255" s="243"/>
      <c r="BS255" s="219"/>
    </row>
    <row r="256" spans="1:71" x14ac:dyDescent="0.15">
      <c r="A256" s="292"/>
      <c r="B256" s="251"/>
      <c r="C256" s="212"/>
      <c r="D256" s="251"/>
      <c r="E256" s="293"/>
      <c r="F256" s="293"/>
      <c r="G256" s="293"/>
      <c r="H256" s="293"/>
      <c r="I256" s="251"/>
      <c r="J256" s="212"/>
      <c r="K256" s="212"/>
      <c r="L256" s="253"/>
      <c r="M256" s="252"/>
      <c r="O256" s="211"/>
      <c r="P256" s="211"/>
      <c r="Q256" s="211"/>
      <c r="R256" s="286"/>
      <c r="T256" s="219"/>
      <c r="U256" s="219"/>
      <c r="V256" s="249"/>
      <c r="W256" s="252"/>
      <c r="X256" s="287"/>
      <c r="Y256" s="287"/>
      <c r="Z256" s="252"/>
      <c r="AA256" s="252"/>
      <c r="AB256" s="295"/>
      <c r="AF256" s="243"/>
      <c r="BS256" s="219"/>
    </row>
    <row r="257" spans="1:71" x14ac:dyDescent="0.15">
      <c r="A257" s="292"/>
      <c r="B257" s="251"/>
      <c r="C257" s="212"/>
      <c r="D257" s="251"/>
      <c r="E257" s="293"/>
      <c r="F257" s="293"/>
      <c r="G257" s="293"/>
      <c r="H257" s="293"/>
      <c r="I257" s="251"/>
      <c r="J257" s="212"/>
      <c r="K257" s="212"/>
      <c r="L257" s="253"/>
      <c r="M257" s="252"/>
      <c r="O257" s="211"/>
      <c r="P257" s="211"/>
      <c r="Q257" s="211"/>
      <c r="R257" s="286"/>
      <c r="T257" s="219"/>
      <c r="U257" s="219"/>
      <c r="V257" s="249"/>
      <c r="W257" s="252"/>
      <c r="X257" s="287"/>
      <c r="Y257" s="287"/>
      <c r="Z257" s="252"/>
      <c r="AA257" s="252"/>
      <c r="AB257" s="295"/>
      <c r="AF257" s="243"/>
      <c r="BS257" s="219"/>
    </row>
    <row r="258" spans="1:71" x14ac:dyDescent="0.15">
      <c r="A258" s="292"/>
      <c r="B258" s="251"/>
      <c r="C258" s="212"/>
      <c r="D258" s="251"/>
      <c r="E258" s="293"/>
      <c r="F258" s="293"/>
      <c r="G258" s="293"/>
      <c r="H258" s="293"/>
      <c r="I258" s="251"/>
      <c r="J258" s="212"/>
      <c r="K258" s="212"/>
      <c r="L258" s="253"/>
      <c r="M258" s="252"/>
      <c r="O258" s="211"/>
      <c r="P258" s="211"/>
      <c r="Q258" s="211"/>
      <c r="R258" s="286"/>
      <c r="T258" s="219"/>
      <c r="U258" s="219"/>
      <c r="V258" s="249"/>
      <c r="W258" s="252"/>
      <c r="X258" s="287"/>
      <c r="Y258" s="287"/>
      <c r="Z258" s="252"/>
      <c r="AA258" s="252"/>
      <c r="AB258" s="295"/>
      <c r="AF258" s="243"/>
      <c r="BS258" s="219"/>
    </row>
    <row r="259" spans="1:71" x14ac:dyDescent="0.15">
      <c r="A259" s="292"/>
      <c r="B259" s="251"/>
      <c r="C259" s="212"/>
      <c r="D259" s="251"/>
      <c r="E259" s="293"/>
      <c r="F259" s="293"/>
      <c r="G259" s="293"/>
      <c r="H259" s="293"/>
      <c r="I259" s="251"/>
      <c r="J259" s="212"/>
      <c r="K259" s="212"/>
      <c r="L259" s="253"/>
      <c r="M259" s="252"/>
      <c r="O259" s="211"/>
      <c r="P259" s="211"/>
      <c r="Q259" s="211"/>
      <c r="R259" s="286"/>
      <c r="T259" s="219"/>
      <c r="U259" s="219"/>
      <c r="V259" s="249"/>
      <c r="W259" s="252"/>
      <c r="X259" s="287"/>
      <c r="Y259" s="287"/>
      <c r="Z259" s="252"/>
      <c r="AA259" s="252"/>
      <c r="AB259" s="295"/>
      <c r="AF259" s="243"/>
      <c r="BS259" s="219"/>
    </row>
    <row r="260" spans="1:71" x14ac:dyDescent="0.15">
      <c r="A260" s="292"/>
      <c r="B260" s="251"/>
      <c r="C260" s="212"/>
      <c r="D260" s="251"/>
      <c r="E260" s="293"/>
      <c r="F260" s="293"/>
      <c r="G260" s="293"/>
      <c r="H260" s="293"/>
      <c r="I260" s="251"/>
      <c r="J260" s="212"/>
      <c r="K260" s="212"/>
      <c r="L260" s="253"/>
      <c r="M260" s="252"/>
      <c r="O260" s="211"/>
      <c r="P260" s="211"/>
      <c r="Q260" s="211"/>
      <c r="R260" s="286"/>
      <c r="T260" s="219"/>
      <c r="U260" s="219"/>
      <c r="V260" s="249"/>
      <c r="W260" s="252"/>
      <c r="X260" s="287"/>
      <c r="Y260" s="287"/>
      <c r="Z260" s="252"/>
      <c r="AA260" s="252"/>
      <c r="AB260" s="295"/>
      <c r="AF260" s="243"/>
      <c r="BS260" s="219"/>
    </row>
    <row r="261" spans="1:71" x14ac:dyDescent="0.15">
      <c r="A261" s="292"/>
      <c r="B261" s="251"/>
      <c r="C261" s="212"/>
      <c r="D261" s="251"/>
      <c r="E261" s="293"/>
      <c r="F261" s="293"/>
      <c r="G261" s="293"/>
      <c r="H261" s="293"/>
      <c r="I261" s="251"/>
      <c r="J261" s="212"/>
      <c r="K261" s="212"/>
      <c r="L261" s="253"/>
      <c r="M261" s="252"/>
      <c r="O261" s="211"/>
      <c r="P261" s="211"/>
      <c r="Q261" s="211"/>
      <c r="R261" s="286"/>
      <c r="T261" s="219"/>
      <c r="U261" s="219"/>
      <c r="V261" s="249"/>
      <c r="W261" s="252"/>
      <c r="X261" s="287"/>
      <c r="Y261" s="287"/>
      <c r="Z261" s="252"/>
      <c r="AA261" s="252"/>
      <c r="AB261" s="295"/>
      <c r="AF261" s="243"/>
      <c r="BS261" s="219"/>
    </row>
    <row r="262" spans="1:71" x14ac:dyDescent="0.15">
      <c r="A262" s="292"/>
      <c r="B262" s="251"/>
      <c r="C262" s="212"/>
      <c r="D262" s="251"/>
      <c r="E262" s="293"/>
      <c r="F262" s="293"/>
      <c r="G262" s="293"/>
      <c r="H262" s="293"/>
      <c r="I262" s="251"/>
      <c r="J262" s="212"/>
      <c r="K262" s="212"/>
      <c r="L262" s="253"/>
      <c r="M262" s="252"/>
      <c r="O262" s="211"/>
      <c r="P262" s="211"/>
      <c r="Q262" s="211"/>
      <c r="R262" s="286"/>
      <c r="T262" s="219"/>
      <c r="U262" s="219"/>
      <c r="V262" s="249"/>
      <c r="W262" s="252"/>
      <c r="X262" s="287"/>
      <c r="Y262" s="287"/>
      <c r="Z262" s="252"/>
      <c r="AA262" s="252"/>
      <c r="AB262" s="295"/>
      <c r="AF262" s="243"/>
      <c r="BS262" s="219"/>
    </row>
    <row r="263" spans="1:71" x14ac:dyDescent="0.15">
      <c r="A263" s="292"/>
      <c r="B263" s="251"/>
      <c r="C263" s="212"/>
      <c r="D263" s="251"/>
      <c r="E263" s="293"/>
      <c r="F263" s="293"/>
      <c r="G263" s="293"/>
      <c r="H263" s="293"/>
      <c r="I263" s="251"/>
      <c r="J263" s="212"/>
      <c r="K263" s="212"/>
      <c r="L263" s="253"/>
      <c r="M263" s="252"/>
      <c r="O263" s="211"/>
      <c r="P263" s="211"/>
      <c r="Q263" s="211"/>
      <c r="R263" s="286"/>
      <c r="T263" s="219"/>
      <c r="U263" s="219"/>
      <c r="V263" s="249"/>
      <c r="W263" s="252"/>
      <c r="X263" s="287"/>
      <c r="Y263" s="287"/>
      <c r="Z263" s="252"/>
      <c r="AA263" s="252"/>
      <c r="AB263" s="295"/>
      <c r="AF263" s="243"/>
      <c r="BS263" s="219"/>
    </row>
    <row r="264" spans="1:71" x14ac:dyDescent="0.15">
      <c r="A264" s="292"/>
      <c r="B264" s="251"/>
      <c r="C264" s="212"/>
      <c r="D264" s="251"/>
      <c r="E264" s="293"/>
      <c r="F264" s="293"/>
      <c r="G264" s="293"/>
      <c r="H264" s="293"/>
      <c r="I264" s="251"/>
      <c r="J264" s="212"/>
      <c r="K264" s="212"/>
      <c r="L264" s="253"/>
      <c r="M264" s="252"/>
      <c r="O264" s="211"/>
      <c r="P264" s="211"/>
      <c r="Q264" s="211"/>
      <c r="R264" s="286"/>
      <c r="T264" s="219"/>
      <c r="U264" s="219"/>
      <c r="V264" s="249"/>
      <c r="W264" s="252"/>
      <c r="X264" s="287"/>
      <c r="Y264" s="287"/>
      <c r="Z264" s="252"/>
      <c r="AA264" s="252"/>
      <c r="AB264" s="295"/>
      <c r="AF264" s="243"/>
      <c r="BS264" s="219"/>
    </row>
    <row r="265" spans="1:71" x14ac:dyDescent="0.15">
      <c r="A265" s="292"/>
      <c r="B265" s="251"/>
      <c r="C265" s="212"/>
      <c r="D265" s="251"/>
      <c r="E265" s="293"/>
      <c r="F265" s="293"/>
      <c r="G265" s="293"/>
      <c r="H265" s="293"/>
      <c r="I265" s="251"/>
      <c r="J265" s="212"/>
      <c r="K265" s="212"/>
      <c r="L265" s="253"/>
      <c r="M265" s="252"/>
      <c r="O265" s="211"/>
      <c r="P265" s="211"/>
      <c r="Q265" s="211"/>
      <c r="R265" s="286"/>
      <c r="T265" s="219"/>
      <c r="U265" s="219"/>
      <c r="V265" s="249"/>
      <c r="W265" s="252"/>
      <c r="X265" s="287"/>
      <c r="Y265" s="287"/>
      <c r="Z265" s="252"/>
      <c r="AA265" s="252"/>
      <c r="AB265" s="295"/>
      <c r="AF265" s="243"/>
      <c r="BS265" s="219"/>
    </row>
    <row r="266" spans="1:71" x14ac:dyDescent="0.15">
      <c r="A266" s="292"/>
      <c r="B266" s="251"/>
      <c r="C266" s="212"/>
      <c r="D266" s="251"/>
      <c r="E266" s="293"/>
      <c r="F266" s="293"/>
      <c r="G266" s="293"/>
      <c r="H266" s="293"/>
      <c r="I266" s="251"/>
      <c r="J266" s="212"/>
      <c r="K266" s="212"/>
      <c r="L266" s="253"/>
      <c r="M266" s="252"/>
      <c r="O266" s="211"/>
      <c r="P266" s="211"/>
      <c r="Q266" s="211"/>
      <c r="R266" s="286"/>
      <c r="T266" s="219"/>
      <c r="U266" s="219"/>
      <c r="V266" s="249"/>
      <c r="W266" s="252"/>
      <c r="X266" s="287"/>
      <c r="Y266" s="287"/>
      <c r="Z266" s="252"/>
      <c r="AA266" s="252"/>
      <c r="AB266" s="295"/>
      <c r="AF266" s="243"/>
      <c r="BS266" s="219"/>
    </row>
    <row r="267" spans="1:71" x14ac:dyDescent="0.15">
      <c r="A267" s="292"/>
      <c r="B267" s="251"/>
      <c r="C267" s="212"/>
      <c r="D267" s="251"/>
      <c r="E267" s="293"/>
      <c r="F267" s="293"/>
      <c r="G267" s="293"/>
      <c r="H267" s="293"/>
      <c r="I267" s="251"/>
      <c r="J267" s="212"/>
      <c r="K267" s="212"/>
      <c r="L267" s="253"/>
      <c r="M267" s="252"/>
      <c r="O267" s="211"/>
      <c r="P267" s="211"/>
      <c r="Q267" s="211"/>
      <c r="R267" s="286"/>
      <c r="T267" s="219"/>
      <c r="U267" s="219"/>
      <c r="V267" s="249"/>
      <c r="W267" s="252"/>
      <c r="X267" s="287"/>
      <c r="Y267" s="287"/>
      <c r="Z267" s="252"/>
      <c r="AA267" s="252"/>
      <c r="AB267" s="295"/>
      <c r="AF267" s="243"/>
      <c r="BS267" s="219"/>
    </row>
    <row r="268" spans="1:71" x14ac:dyDescent="0.15">
      <c r="A268" s="292"/>
      <c r="B268" s="251"/>
      <c r="C268" s="212"/>
      <c r="D268" s="251"/>
      <c r="E268" s="293"/>
      <c r="F268" s="293"/>
      <c r="G268" s="293"/>
      <c r="H268" s="293"/>
      <c r="I268" s="251"/>
      <c r="J268" s="212"/>
      <c r="K268" s="212"/>
      <c r="L268" s="253"/>
      <c r="M268" s="252"/>
      <c r="O268" s="211"/>
      <c r="P268" s="211"/>
      <c r="Q268" s="211"/>
      <c r="R268" s="286"/>
      <c r="T268" s="219"/>
      <c r="U268" s="219"/>
      <c r="V268" s="249"/>
      <c r="W268" s="252"/>
      <c r="X268" s="287"/>
      <c r="Y268" s="287"/>
      <c r="Z268" s="252"/>
      <c r="AA268" s="252"/>
      <c r="AB268" s="295"/>
      <c r="AF268" s="243"/>
      <c r="BS268" s="219"/>
    </row>
    <row r="269" spans="1:71" x14ac:dyDescent="0.15">
      <c r="A269" s="292"/>
      <c r="B269" s="251"/>
      <c r="C269" s="212"/>
      <c r="D269" s="251"/>
      <c r="E269" s="293"/>
      <c r="F269" s="293"/>
      <c r="G269" s="293"/>
      <c r="H269" s="293"/>
      <c r="I269" s="251"/>
      <c r="J269" s="212"/>
      <c r="K269" s="212"/>
      <c r="L269" s="253"/>
      <c r="M269" s="252"/>
      <c r="O269" s="211"/>
      <c r="P269" s="211"/>
      <c r="Q269" s="211"/>
      <c r="R269" s="286"/>
      <c r="T269" s="219"/>
      <c r="U269" s="219"/>
      <c r="V269" s="249"/>
      <c r="W269" s="252"/>
      <c r="X269" s="287"/>
      <c r="Y269" s="287"/>
      <c r="Z269" s="252"/>
      <c r="AA269" s="252"/>
      <c r="AB269" s="295"/>
      <c r="AF269" s="243"/>
      <c r="BS269" s="219"/>
    </row>
    <row r="270" spans="1:71" x14ac:dyDescent="0.15">
      <c r="A270" s="292"/>
      <c r="B270" s="251"/>
      <c r="C270" s="212"/>
      <c r="D270" s="251"/>
      <c r="E270" s="293"/>
      <c r="F270" s="293"/>
      <c r="G270" s="293"/>
      <c r="H270" s="293"/>
      <c r="I270" s="251"/>
      <c r="J270" s="212"/>
      <c r="K270" s="212"/>
      <c r="L270" s="253"/>
      <c r="M270" s="252"/>
      <c r="O270" s="211"/>
      <c r="P270" s="211"/>
      <c r="Q270" s="211"/>
      <c r="R270" s="286"/>
      <c r="T270" s="219"/>
      <c r="U270" s="219"/>
      <c r="V270" s="249"/>
      <c r="W270" s="252"/>
      <c r="X270" s="287"/>
      <c r="Y270" s="287"/>
      <c r="Z270" s="252"/>
      <c r="AA270" s="252"/>
      <c r="AB270" s="295"/>
      <c r="AF270" s="243"/>
      <c r="BS270" s="219"/>
    </row>
    <row r="271" spans="1:71" x14ac:dyDescent="0.15">
      <c r="A271" s="292"/>
      <c r="B271" s="251"/>
      <c r="C271" s="212"/>
      <c r="D271" s="251"/>
      <c r="E271" s="293"/>
      <c r="F271" s="293"/>
      <c r="G271" s="293"/>
      <c r="H271" s="293"/>
      <c r="I271" s="251"/>
      <c r="J271" s="212"/>
      <c r="K271" s="212"/>
      <c r="L271" s="253"/>
      <c r="M271" s="252"/>
      <c r="O271" s="211"/>
      <c r="P271" s="211"/>
      <c r="Q271" s="211"/>
      <c r="R271" s="286"/>
      <c r="T271" s="219"/>
      <c r="U271" s="219"/>
      <c r="V271" s="249"/>
      <c r="W271" s="252"/>
      <c r="X271" s="287"/>
      <c r="Y271" s="287"/>
      <c r="Z271" s="252"/>
      <c r="AA271" s="252"/>
      <c r="AB271" s="295"/>
      <c r="AF271" s="243"/>
      <c r="BS271" s="219"/>
    </row>
    <row r="272" spans="1:71" x14ac:dyDescent="0.15">
      <c r="A272" s="292"/>
      <c r="B272" s="251"/>
      <c r="C272" s="212"/>
      <c r="D272" s="251"/>
      <c r="E272" s="293"/>
      <c r="F272" s="293"/>
      <c r="G272" s="293"/>
      <c r="H272" s="293"/>
      <c r="I272" s="251"/>
      <c r="J272" s="212"/>
      <c r="K272" s="212"/>
      <c r="L272" s="253"/>
      <c r="M272" s="252"/>
      <c r="O272" s="211"/>
      <c r="P272" s="211"/>
      <c r="Q272" s="211"/>
      <c r="R272" s="286"/>
      <c r="T272" s="219"/>
      <c r="U272" s="219"/>
      <c r="V272" s="249"/>
      <c r="W272" s="252"/>
      <c r="X272" s="287"/>
      <c r="Y272" s="287"/>
      <c r="Z272" s="252"/>
      <c r="AA272" s="252"/>
      <c r="AB272" s="295"/>
      <c r="AF272" s="243"/>
      <c r="BS272" s="219"/>
    </row>
    <row r="273" spans="1:71" x14ac:dyDescent="0.15">
      <c r="A273" s="292"/>
      <c r="B273" s="251"/>
      <c r="C273" s="212"/>
      <c r="D273" s="251"/>
      <c r="E273" s="293"/>
      <c r="F273" s="293"/>
      <c r="G273" s="293"/>
      <c r="H273" s="293"/>
      <c r="I273" s="251"/>
      <c r="J273" s="212"/>
      <c r="K273" s="212"/>
      <c r="L273" s="253"/>
      <c r="M273" s="252"/>
      <c r="O273" s="211"/>
      <c r="P273" s="211"/>
      <c r="Q273" s="211"/>
      <c r="R273" s="286"/>
      <c r="T273" s="219"/>
      <c r="U273" s="219"/>
      <c r="V273" s="249"/>
      <c r="W273" s="252"/>
      <c r="X273" s="287"/>
      <c r="Y273" s="287"/>
      <c r="Z273" s="252"/>
      <c r="AA273" s="252"/>
      <c r="AB273" s="295"/>
      <c r="AF273" s="243"/>
      <c r="BS273" s="219"/>
    </row>
    <row r="274" spans="1:71" x14ac:dyDescent="0.15">
      <c r="A274" s="292"/>
      <c r="B274" s="251"/>
      <c r="C274" s="212"/>
      <c r="D274" s="251"/>
      <c r="E274" s="293"/>
      <c r="F274" s="293"/>
      <c r="G274" s="293"/>
      <c r="H274" s="293"/>
      <c r="I274" s="251"/>
      <c r="J274" s="212"/>
      <c r="K274" s="212"/>
      <c r="L274" s="253"/>
      <c r="M274" s="252"/>
      <c r="O274" s="211"/>
      <c r="P274" s="211"/>
      <c r="Q274" s="211"/>
      <c r="R274" s="286"/>
      <c r="T274" s="219"/>
      <c r="U274" s="219"/>
      <c r="V274" s="249"/>
      <c r="W274" s="252"/>
      <c r="X274" s="287"/>
      <c r="Y274" s="287"/>
      <c r="Z274" s="252"/>
      <c r="AA274" s="252"/>
      <c r="AB274" s="295"/>
      <c r="AF274" s="243"/>
      <c r="BS274" s="219"/>
    </row>
    <row r="275" spans="1:71" x14ac:dyDescent="0.15">
      <c r="A275" s="292"/>
      <c r="B275" s="251"/>
      <c r="C275" s="212"/>
      <c r="D275" s="251"/>
      <c r="E275" s="293"/>
      <c r="F275" s="293"/>
      <c r="G275" s="293"/>
      <c r="H275" s="293"/>
      <c r="I275" s="251"/>
      <c r="J275" s="212"/>
      <c r="K275" s="212"/>
      <c r="L275" s="253"/>
      <c r="M275" s="252"/>
      <c r="O275" s="211"/>
      <c r="P275" s="211"/>
      <c r="Q275" s="211"/>
      <c r="R275" s="286"/>
      <c r="T275" s="219"/>
      <c r="U275" s="219"/>
      <c r="V275" s="249"/>
      <c r="W275" s="252"/>
      <c r="X275" s="287"/>
      <c r="Y275" s="287"/>
      <c r="Z275" s="252"/>
      <c r="AA275" s="252"/>
      <c r="AB275" s="295"/>
      <c r="AF275" s="243"/>
      <c r="BS275" s="219"/>
    </row>
    <row r="276" spans="1:71" x14ac:dyDescent="0.15">
      <c r="A276" s="292"/>
      <c r="B276" s="251"/>
      <c r="C276" s="212"/>
      <c r="D276" s="251"/>
      <c r="E276" s="293"/>
      <c r="F276" s="293"/>
      <c r="G276" s="293"/>
      <c r="H276" s="293"/>
      <c r="I276" s="251"/>
      <c r="J276" s="212"/>
      <c r="K276" s="212"/>
      <c r="L276" s="253"/>
      <c r="M276" s="252"/>
      <c r="O276" s="211"/>
      <c r="P276" s="211"/>
      <c r="Q276" s="211"/>
      <c r="R276" s="286"/>
      <c r="T276" s="219"/>
      <c r="U276" s="219"/>
      <c r="V276" s="249"/>
      <c r="W276" s="252"/>
      <c r="X276" s="287"/>
      <c r="Y276" s="287"/>
      <c r="Z276" s="252"/>
      <c r="AA276" s="252"/>
      <c r="AB276" s="295"/>
      <c r="AF276" s="243"/>
      <c r="BS276" s="219"/>
    </row>
    <row r="277" spans="1:71" x14ac:dyDescent="0.15">
      <c r="A277" s="292"/>
      <c r="B277" s="251"/>
      <c r="C277" s="212"/>
      <c r="D277" s="251"/>
      <c r="E277" s="293"/>
      <c r="F277" s="293"/>
      <c r="G277" s="293"/>
      <c r="H277" s="293"/>
      <c r="I277" s="251"/>
      <c r="J277" s="212"/>
      <c r="K277" s="212"/>
      <c r="L277" s="253"/>
      <c r="M277" s="252"/>
      <c r="O277" s="211"/>
      <c r="P277" s="211"/>
      <c r="Q277" s="211"/>
      <c r="R277" s="286"/>
      <c r="T277" s="219"/>
      <c r="U277" s="219"/>
      <c r="V277" s="249"/>
      <c r="W277" s="252"/>
      <c r="X277" s="287"/>
      <c r="Y277" s="287"/>
      <c r="Z277" s="252"/>
      <c r="AA277" s="252"/>
      <c r="AB277" s="295"/>
      <c r="AF277" s="243"/>
      <c r="BS277" s="219"/>
    </row>
    <row r="278" spans="1:71" x14ac:dyDescent="0.15">
      <c r="A278" s="292"/>
      <c r="B278" s="251"/>
      <c r="C278" s="212"/>
      <c r="D278" s="251"/>
      <c r="E278" s="293"/>
      <c r="F278" s="293"/>
      <c r="G278" s="293"/>
      <c r="H278" s="293"/>
      <c r="I278" s="251"/>
      <c r="J278" s="212"/>
      <c r="K278" s="212"/>
      <c r="L278" s="253"/>
      <c r="M278" s="252"/>
      <c r="O278" s="211"/>
      <c r="P278" s="211"/>
      <c r="Q278" s="211"/>
      <c r="R278" s="286"/>
      <c r="T278" s="219"/>
      <c r="U278" s="219"/>
      <c r="V278" s="249"/>
      <c r="W278" s="252"/>
      <c r="X278" s="287"/>
      <c r="Y278" s="287"/>
      <c r="Z278" s="252"/>
      <c r="AA278" s="252"/>
      <c r="AB278" s="295"/>
      <c r="AF278" s="243"/>
      <c r="BS278" s="219"/>
    </row>
    <row r="279" spans="1:71" x14ac:dyDescent="0.15">
      <c r="A279" s="292"/>
      <c r="B279" s="251"/>
      <c r="C279" s="212"/>
      <c r="D279" s="251"/>
      <c r="E279" s="293"/>
      <c r="F279" s="293"/>
      <c r="G279" s="293"/>
      <c r="H279" s="293"/>
      <c r="I279" s="251"/>
      <c r="J279" s="212"/>
      <c r="K279" s="212"/>
      <c r="L279" s="253"/>
      <c r="M279" s="252"/>
      <c r="O279" s="211"/>
      <c r="P279" s="211"/>
      <c r="Q279" s="211"/>
      <c r="R279" s="286"/>
      <c r="T279" s="219"/>
      <c r="U279" s="219"/>
      <c r="V279" s="249"/>
      <c r="W279" s="252"/>
      <c r="X279" s="287"/>
      <c r="Y279" s="287"/>
      <c r="Z279" s="252"/>
      <c r="AA279" s="252"/>
      <c r="AB279" s="295"/>
      <c r="AF279" s="243"/>
      <c r="BS279" s="219"/>
    </row>
    <row r="280" spans="1:71" x14ac:dyDescent="0.15">
      <c r="A280" s="292"/>
      <c r="B280" s="251"/>
      <c r="C280" s="212"/>
      <c r="D280" s="251"/>
      <c r="E280" s="293"/>
      <c r="F280" s="293"/>
      <c r="G280" s="293"/>
      <c r="H280" s="293"/>
      <c r="I280" s="251"/>
      <c r="J280" s="212"/>
      <c r="K280" s="212"/>
      <c r="L280" s="253"/>
      <c r="M280" s="252"/>
      <c r="O280" s="211"/>
      <c r="P280" s="211"/>
      <c r="Q280" s="211"/>
      <c r="R280" s="286"/>
      <c r="T280" s="219"/>
      <c r="U280" s="219"/>
      <c r="V280" s="249"/>
      <c r="W280" s="252"/>
      <c r="X280" s="287"/>
      <c r="Y280" s="287"/>
      <c r="Z280" s="252"/>
      <c r="AA280" s="252"/>
      <c r="AB280" s="295"/>
      <c r="AF280" s="243"/>
      <c r="BS280" s="219"/>
    </row>
    <row r="281" spans="1:71" x14ac:dyDescent="0.15">
      <c r="A281" s="292"/>
      <c r="B281" s="251"/>
      <c r="C281" s="212"/>
      <c r="D281" s="251"/>
      <c r="E281" s="293"/>
      <c r="F281" s="293"/>
      <c r="G281" s="293"/>
      <c r="H281" s="293"/>
      <c r="I281" s="251"/>
      <c r="J281" s="212"/>
      <c r="K281" s="212"/>
      <c r="L281" s="253"/>
      <c r="M281" s="252"/>
      <c r="O281" s="211"/>
      <c r="P281" s="211"/>
      <c r="Q281" s="211"/>
      <c r="R281" s="286"/>
      <c r="T281" s="219"/>
      <c r="U281" s="219"/>
      <c r="V281" s="249"/>
      <c r="W281" s="252"/>
      <c r="X281" s="287"/>
      <c r="Y281" s="287"/>
      <c r="Z281" s="252"/>
      <c r="AA281" s="252"/>
      <c r="AB281" s="295"/>
      <c r="AF281" s="243"/>
      <c r="BS281" s="219"/>
    </row>
    <row r="282" spans="1:71" x14ac:dyDescent="0.15">
      <c r="A282" s="292"/>
      <c r="B282" s="251"/>
      <c r="C282" s="212"/>
      <c r="D282" s="251"/>
      <c r="E282" s="293"/>
      <c r="F282" s="293"/>
      <c r="G282" s="293"/>
      <c r="H282" s="293"/>
      <c r="I282" s="251"/>
      <c r="J282" s="212"/>
      <c r="K282" s="212"/>
      <c r="L282" s="253"/>
      <c r="M282" s="252"/>
      <c r="O282" s="211"/>
      <c r="P282" s="211"/>
      <c r="Q282" s="211"/>
      <c r="R282" s="286"/>
      <c r="T282" s="219"/>
      <c r="U282" s="219"/>
      <c r="V282" s="249"/>
      <c r="W282" s="252"/>
      <c r="X282" s="287"/>
      <c r="Y282" s="287"/>
      <c r="Z282" s="252"/>
      <c r="AA282" s="252"/>
      <c r="AB282" s="295"/>
      <c r="AF282" s="243"/>
      <c r="BS282" s="219"/>
    </row>
    <row r="283" spans="1:71" x14ac:dyDescent="0.15">
      <c r="A283" s="292"/>
      <c r="B283" s="251"/>
      <c r="C283" s="212"/>
      <c r="D283" s="251"/>
      <c r="E283" s="293"/>
      <c r="F283" s="293"/>
      <c r="G283" s="293"/>
      <c r="H283" s="293"/>
      <c r="I283" s="251"/>
      <c r="J283" s="212"/>
      <c r="K283" s="212"/>
      <c r="L283" s="253"/>
      <c r="M283" s="252"/>
      <c r="O283" s="211"/>
      <c r="P283" s="211"/>
      <c r="Q283" s="211"/>
      <c r="R283" s="286"/>
      <c r="T283" s="219"/>
      <c r="U283" s="219"/>
      <c r="V283" s="249"/>
      <c r="W283" s="252"/>
      <c r="X283" s="287"/>
      <c r="Y283" s="287"/>
      <c r="Z283" s="252"/>
      <c r="AA283" s="252"/>
      <c r="AB283" s="295"/>
      <c r="AF283" s="243"/>
      <c r="BS283" s="219"/>
    </row>
    <row r="284" spans="1:71" x14ac:dyDescent="0.15">
      <c r="A284" s="292"/>
      <c r="B284" s="251"/>
      <c r="C284" s="212"/>
      <c r="D284" s="251"/>
      <c r="E284" s="293"/>
      <c r="F284" s="293"/>
      <c r="G284" s="293"/>
      <c r="H284" s="293"/>
      <c r="I284" s="251"/>
      <c r="J284" s="212"/>
      <c r="K284" s="212"/>
      <c r="L284" s="253"/>
      <c r="M284" s="252"/>
      <c r="O284" s="211"/>
      <c r="P284" s="211"/>
      <c r="Q284" s="211"/>
      <c r="R284" s="286"/>
      <c r="T284" s="219"/>
      <c r="U284" s="219"/>
      <c r="V284" s="249"/>
      <c r="W284" s="252"/>
      <c r="X284" s="287"/>
      <c r="Y284" s="287"/>
      <c r="Z284" s="252"/>
      <c r="AA284" s="252"/>
      <c r="AB284" s="295"/>
      <c r="AF284" s="243"/>
      <c r="BS284" s="219"/>
    </row>
    <row r="285" spans="1:71" x14ac:dyDescent="0.15">
      <c r="A285" s="292"/>
      <c r="B285" s="251"/>
      <c r="C285" s="212"/>
      <c r="D285" s="251"/>
      <c r="E285" s="293"/>
      <c r="F285" s="293"/>
      <c r="G285" s="293"/>
      <c r="H285" s="293"/>
      <c r="I285" s="251"/>
      <c r="J285" s="212"/>
      <c r="K285" s="212"/>
      <c r="L285" s="253"/>
      <c r="M285" s="252"/>
      <c r="O285" s="211"/>
      <c r="P285" s="211"/>
      <c r="Q285" s="211"/>
      <c r="R285" s="286"/>
      <c r="T285" s="219"/>
      <c r="U285" s="219"/>
      <c r="V285" s="249"/>
      <c r="W285" s="252"/>
      <c r="X285" s="287"/>
      <c r="Y285" s="287"/>
      <c r="Z285" s="252"/>
      <c r="AA285" s="252"/>
      <c r="AB285" s="295"/>
      <c r="AF285" s="243"/>
      <c r="BS285" s="219"/>
    </row>
    <row r="286" spans="1:71" x14ac:dyDescent="0.15">
      <c r="A286" s="292"/>
      <c r="B286" s="251"/>
      <c r="C286" s="212"/>
      <c r="D286" s="251"/>
      <c r="E286" s="293"/>
      <c r="F286" s="293"/>
      <c r="G286" s="293"/>
      <c r="H286" s="293"/>
      <c r="I286" s="251"/>
      <c r="J286" s="212"/>
      <c r="K286" s="212"/>
      <c r="L286" s="253"/>
      <c r="M286" s="252"/>
      <c r="O286" s="211"/>
      <c r="P286" s="211"/>
      <c r="Q286" s="211"/>
      <c r="R286" s="286"/>
      <c r="T286" s="219"/>
      <c r="U286" s="219"/>
      <c r="V286" s="249"/>
      <c r="W286" s="252"/>
      <c r="X286" s="287"/>
      <c r="Y286" s="287"/>
      <c r="Z286" s="252"/>
      <c r="AA286" s="252"/>
      <c r="AB286" s="295"/>
      <c r="AF286" s="243"/>
      <c r="BS286" s="219"/>
    </row>
    <row r="287" spans="1:71" x14ac:dyDescent="0.15">
      <c r="A287" s="292"/>
      <c r="B287" s="251"/>
      <c r="C287" s="212"/>
      <c r="D287" s="251"/>
      <c r="E287" s="293"/>
      <c r="F287" s="293"/>
      <c r="G287" s="293"/>
      <c r="H287" s="293"/>
      <c r="I287" s="251"/>
      <c r="J287" s="212"/>
      <c r="K287" s="212"/>
      <c r="L287" s="253"/>
      <c r="M287" s="252"/>
      <c r="O287" s="211"/>
      <c r="P287" s="211"/>
      <c r="Q287" s="211"/>
      <c r="R287" s="286"/>
      <c r="T287" s="219"/>
      <c r="U287" s="219"/>
      <c r="V287" s="249"/>
      <c r="W287" s="252"/>
      <c r="X287" s="287"/>
      <c r="Y287" s="287"/>
      <c r="Z287" s="252"/>
      <c r="AA287" s="252"/>
      <c r="AB287" s="295"/>
      <c r="AF287" s="243"/>
      <c r="BS287" s="219"/>
    </row>
    <row r="288" spans="1:71" x14ac:dyDescent="0.15">
      <c r="A288" s="292"/>
      <c r="B288" s="251"/>
      <c r="C288" s="212"/>
      <c r="D288" s="251"/>
      <c r="E288" s="293"/>
      <c r="F288" s="293"/>
      <c r="G288" s="293"/>
      <c r="H288" s="293"/>
      <c r="I288" s="251"/>
      <c r="J288" s="212"/>
      <c r="K288" s="212"/>
      <c r="L288" s="253"/>
      <c r="M288" s="252"/>
      <c r="O288" s="211"/>
      <c r="P288" s="211"/>
      <c r="Q288" s="211"/>
      <c r="R288" s="286"/>
      <c r="T288" s="219"/>
      <c r="U288" s="219"/>
      <c r="V288" s="249"/>
      <c r="W288" s="252"/>
      <c r="X288" s="287"/>
      <c r="Y288" s="287"/>
      <c r="Z288" s="252"/>
      <c r="AA288" s="252"/>
      <c r="AB288" s="295"/>
      <c r="AF288" s="243"/>
      <c r="BS288" s="219"/>
    </row>
    <row r="289" spans="1:71" x14ac:dyDescent="0.15">
      <c r="A289" s="292"/>
      <c r="B289" s="251"/>
      <c r="C289" s="212"/>
      <c r="D289" s="251"/>
      <c r="E289" s="293"/>
      <c r="F289" s="293"/>
      <c r="G289" s="293"/>
      <c r="H289" s="293"/>
      <c r="I289" s="251"/>
      <c r="J289" s="212"/>
      <c r="K289" s="212"/>
      <c r="L289" s="253"/>
      <c r="M289" s="252"/>
      <c r="O289" s="211"/>
      <c r="P289" s="211"/>
      <c r="Q289" s="211"/>
      <c r="R289" s="286"/>
      <c r="T289" s="219"/>
      <c r="U289" s="219"/>
      <c r="V289" s="249"/>
      <c r="W289" s="252"/>
      <c r="X289" s="287"/>
      <c r="Y289" s="287"/>
      <c r="Z289" s="252"/>
      <c r="AA289" s="252"/>
      <c r="AB289" s="295"/>
      <c r="AF289" s="243"/>
      <c r="BS289" s="219"/>
    </row>
    <row r="290" spans="1:71" x14ac:dyDescent="0.15">
      <c r="A290" s="292"/>
      <c r="B290" s="251"/>
      <c r="C290" s="212"/>
      <c r="D290" s="251"/>
      <c r="E290" s="293"/>
      <c r="F290" s="293"/>
      <c r="G290" s="293"/>
      <c r="H290" s="293"/>
      <c r="I290" s="251"/>
      <c r="J290" s="212"/>
      <c r="K290" s="212"/>
      <c r="L290" s="253"/>
      <c r="M290" s="252"/>
      <c r="O290" s="211"/>
      <c r="P290" s="211"/>
      <c r="Q290" s="211"/>
      <c r="R290" s="286"/>
      <c r="T290" s="219"/>
      <c r="U290" s="219"/>
      <c r="V290" s="249"/>
      <c r="W290" s="252"/>
      <c r="X290" s="287"/>
      <c r="Y290" s="287"/>
      <c r="Z290" s="252"/>
      <c r="AA290" s="252"/>
      <c r="AB290" s="295"/>
      <c r="AF290" s="243"/>
      <c r="BS290" s="219"/>
    </row>
    <row r="291" spans="1:71" x14ac:dyDescent="0.15">
      <c r="A291" s="292"/>
      <c r="B291" s="251"/>
      <c r="C291" s="212"/>
      <c r="D291" s="251"/>
      <c r="E291" s="293"/>
      <c r="F291" s="293"/>
      <c r="G291" s="293"/>
      <c r="H291" s="293"/>
      <c r="I291" s="251"/>
      <c r="J291" s="212"/>
      <c r="K291" s="212"/>
      <c r="L291" s="253"/>
      <c r="M291" s="252"/>
      <c r="O291" s="211"/>
      <c r="P291" s="211"/>
      <c r="Q291" s="211"/>
      <c r="R291" s="286"/>
      <c r="T291" s="219"/>
      <c r="U291" s="219"/>
      <c r="V291" s="249"/>
      <c r="W291" s="252"/>
      <c r="X291" s="287"/>
      <c r="Y291" s="287"/>
      <c r="Z291" s="252"/>
      <c r="AA291" s="252"/>
      <c r="AB291" s="295"/>
      <c r="AF291" s="243"/>
      <c r="BS291" s="219"/>
    </row>
    <row r="292" spans="1:71" x14ac:dyDescent="0.15">
      <c r="A292" s="292"/>
      <c r="B292" s="251"/>
      <c r="C292" s="212"/>
      <c r="D292" s="251"/>
      <c r="E292" s="293"/>
      <c r="F292" s="293"/>
      <c r="G292" s="293"/>
      <c r="H292" s="293"/>
      <c r="I292" s="251"/>
      <c r="J292" s="212"/>
      <c r="K292" s="212"/>
      <c r="L292" s="253"/>
      <c r="M292" s="252"/>
      <c r="O292" s="211"/>
      <c r="P292" s="211"/>
      <c r="Q292" s="211"/>
      <c r="R292" s="286"/>
      <c r="T292" s="219"/>
      <c r="U292" s="219"/>
      <c r="V292" s="249"/>
      <c r="W292" s="252"/>
      <c r="X292" s="287"/>
      <c r="Y292" s="287"/>
      <c r="Z292" s="252"/>
      <c r="AA292" s="252"/>
      <c r="AB292" s="295"/>
      <c r="AF292" s="243"/>
      <c r="BS292" s="219"/>
    </row>
    <row r="293" spans="1:71" x14ac:dyDescent="0.15">
      <c r="A293" s="292"/>
      <c r="B293" s="251"/>
      <c r="C293" s="212"/>
      <c r="D293" s="251"/>
      <c r="E293" s="293"/>
      <c r="F293" s="293"/>
      <c r="G293" s="293"/>
      <c r="H293" s="293"/>
      <c r="I293" s="251"/>
      <c r="J293" s="212"/>
      <c r="K293" s="212"/>
      <c r="L293" s="253"/>
      <c r="M293" s="252"/>
      <c r="O293" s="211"/>
      <c r="P293" s="211"/>
      <c r="Q293" s="211"/>
      <c r="R293" s="286"/>
      <c r="T293" s="219"/>
      <c r="U293" s="219"/>
      <c r="V293" s="249"/>
      <c r="W293" s="252"/>
      <c r="X293" s="287"/>
      <c r="Y293" s="287"/>
      <c r="Z293" s="252"/>
      <c r="AA293" s="252"/>
      <c r="AB293" s="295"/>
      <c r="AF293" s="243"/>
      <c r="BS293" s="219"/>
    </row>
    <row r="294" spans="1:71" x14ac:dyDescent="0.15">
      <c r="A294" s="292"/>
      <c r="B294" s="251"/>
      <c r="C294" s="212"/>
      <c r="D294" s="251"/>
      <c r="E294" s="293"/>
      <c r="F294" s="293"/>
      <c r="G294" s="293"/>
      <c r="H294" s="293"/>
      <c r="I294" s="251"/>
      <c r="J294" s="212"/>
      <c r="K294" s="212"/>
      <c r="L294" s="253"/>
      <c r="M294" s="252"/>
      <c r="O294" s="211"/>
      <c r="P294" s="211"/>
      <c r="Q294" s="211"/>
      <c r="R294" s="286"/>
      <c r="T294" s="219"/>
      <c r="U294" s="219"/>
      <c r="V294" s="249"/>
      <c r="W294" s="252"/>
      <c r="X294" s="287"/>
      <c r="Y294" s="287"/>
      <c r="Z294" s="252"/>
      <c r="AA294" s="252"/>
      <c r="AB294" s="295"/>
      <c r="AF294" s="243"/>
      <c r="BS294" s="219"/>
    </row>
    <row r="295" spans="1:71" x14ac:dyDescent="0.15">
      <c r="A295" s="292"/>
      <c r="B295" s="251"/>
      <c r="C295" s="212"/>
      <c r="D295" s="251"/>
      <c r="E295" s="293"/>
      <c r="F295" s="293"/>
      <c r="G295" s="293"/>
      <c r="H295" s="293"/>
      <c r="I295" s="251"/>
      <c r="J295" s="212"/>
      <c r="K295" s="212"/>
      <c r="L295" s="253"/>
      <c r="M295" s="252"/>
      <c r="O295" s="211"/>
      <c r="P295" s="211"/>
      <c r="Q295" s="211"/>
      <c r="R295" s="286"/>
      <c r="T295" s="219"/>
      <c r="U295" s="219"/>
      <c r="V295" s="249"/>
      <c r="W295" s="252"/>
      <c r="X295" s="287"/>
      <c r="Y295" s="287"/>
      <c r="Z295" s="252"/>
      <c r="AA295" s="252"/>
      <c r="AB295" s="295"/>
      <c r="AF295" s="243"/>
      <c r="BS295" s="219"/>
    </row>
    <row r="296" spans="1:71" x14ac:dyDescent="0.15">
      <c r="A296" s="292"/>
      <c r="B296" s="251"/>
      <c r="C296" s="212"/>
      <c r="D296" s="251"/>
      <c r="E296" s="293"/>
      <c r="F296" s="293"/>
      <c r="G296" s="293"/>
      <c r="H296" s="293"/>
      <c r="I296" s="251"/>
      <c r="J296" s="212"/>
      <c r="K296" s="212"/>
      <c r="L296" s="253"/>
      <c r="M296" s="252"/>
      <c r="O296" s="211"/>
      <c r="P296" s="211"/>
      <c r="Q296" s="211"/>
      <c r="R296" s="286"/>
      <c r="T296" s="219"/>
      <c r="U296" s="219"/>
      <c r="V296" s="249"/>
      <c r="W296" s="252"/>
      <c r="X296" s="287"/>
      <c r="Y296" s="287"/>
      <c r="Z296" s="252"/>
      <c r="AA296" s="252"/>
      <c r="AB296" s="295"/>
      <c r="AF296" s="243"/>
      <c r="BS296" s="219"/>
    </row>
    <row r="297" spans="1:71" x14ac:dyDescent="0.15">
      <c r="A297" s="292"/>
      <c r="B297" s="251"/>
      <c r="C297" s="212"/>
      <c r="D297" s="251"/>
      <c r="E297" s="293"/>
      <c r="F297" s="293"/>
      <c r="G297" s="293"/>
      <c r="H297" s="293"/>
      <c r="I297" s="251"/>
      <c r="J297" s="212"/>
      <c r="K297" s="212"/>
      <c r="L297" s="253"/>
      <c r="M297" s="252"/>
      <c r="O297" s="211"/>
      <c r="P297" s="211"/>
      <c r="Q297" s="211"/>
      <c r="R297" s="286"/>
      <c r="T297" s="219"/>
      <c r="U297" s="219"/>
      <c r="V297" s="249"/>
      <c r="W297" s="252"/>
      <c r="X297" s="287"/>
      <c r="Y297" s="287"/>
      <c r="Z297" s="252"/>
      <c r="AA297" s="252"/>
      <c r="AB297" s="295"/>
      <c r="AF297" s="243"/>
      <c r="BS297" s="219"/>
    </row>
    <row r="298" spans="1:71" x14ac:dyDescent="0.15">
      <c r="A298" s="292"/>
      <c r="B298" s="251"/>
      <c r="C298" s="212"/>
      <c r="D298" s="251"/>
      <c r="E298" s="293"/>
      <c r="F298" s="293"/>
      <c r="G298" s="293"/>
      <c r="H298" s="293"/>
      <c r="I298" s="251"/>
      <c r="J298" s="212"/>
      <c r="K298" s="212"/>
      <c r="L298" s="253"/>
      <c r="M298" s="252"/>
      <c r="O298" s="211"/>
      <c r="P298" s="211"/>
      <c r="Q298" s="211"/>
      <c r="R298" s="286"/>
      <c r="T298" s="219"/>
      <c r="U298" s="219"/>
      <c r="V298" s="249"/>
      <c r="W298" s="252"/>
      <c r="X298" s="287"/>
      <c r="Y298" s="287"/>
      <c r="Z298" s="252"/>
      <c r="AA298" s="252"/>
      <c r="AB298" s="295"/>
      <c r="AF298" s="243"/>
      <c r="BS298" s="219"/>
    </row>
    <row r="299" spans="1:71" x14ac:dyDescent="0.15">
      <c r="A299" s="292"/>
      <c r="B299" s="251"/>
      <c r="C299" s="212"/>
      <c r="D299" s="251"/>
      <c r="E299" s="293"/>
      <c r="F299" s="293"/>
      <c r="G299" s="293"/>
      <c r="H299" s="293"/>
      <c r="I299" s="251"/>
      <c r="J299" s="212"/>
      <c r="K299" s="212"/>
      <c r="L299" s="253"/>
      <c r="M299" s="252"/>
      <c r="O299" s="211"/>
      <c r="P299" s="211"/>
      <c r="Q299" s="211"/>
      <c r="R299" s="286"/>
      <c r="T299" s="219"/>
      <c r="U299" s="219"/>
      <c r="V299" s="249"/>
      <c r="W299" s="252"/>
      <c r="X299" s="287"/>
      <c r="Y299" s="287"/>
      <c r="Z299" s="252"/>
      <c r="AA299" s="252"/>
      <c r="AB299" s="295"/>
      <c r="AF299" s="243"/>
      <c r="BS299" s="219"/>
    </row>
    <row r="300" spans="1:71" x14ac:dyDescent="0.15">
      <c r="A300" s="292"/>
      <c r="B300" s="251"/>
      <c r="C300" s="212"/>
      <c r="D300" s="251"/>
      <c r="E300" s="293"/>
      <c r="F300" s="293"/>
      <c r="G300" s="293"/>
      <c r="H300" s="293"/>
      <c r="I300" s="251"/>
      <c r="J300" s="212"/>
      <c r="K300" s="212"/>
      <c r="L300" s="253"/>
      <c r="M300" s="252"/>
      <c r="O300" s="211"/>
      <c r="P300" s="211"/>
      <c r="Q300" s="211"/>
      <c r="R300" s="286"/>
      <c r="T300" s="219"/>
      <c r="U300" s="219"/>
      <c r="V300" s="249"/>
      <c r="W300" s="252"/>
      <c r="X300" s="287"/>
      <c r="Y300" s="287"/>
      <c r="Z300" s="252"/>
      <c r="AA300" s="252"/>
      <c r="AB300" s="295"/>
      <c r="AF300" s="243"/>
      <c r="BS300" s="219"/>
    </row>
    <row r="301" spans="1:71" x14ac:dyDescent="0.15">
      <c r="A301" s="292"/>
      <c r="B301" s="251"/>
      <c r="C301" s="212"/>
      <c r="D301" s="251"/>
      <c r="E301" s="293"/>
      <c r="F301" s="293"/>
      <c r="G301" s="293"/>
      <c r="H301" s="293"/>
      <c r="I301" s="251"/>
      <c r="J301" s="212"/>
      <c r="K301" s="212"/>
      <c r="L301" s="253"/>
      <c r="M301" s="252"/>
      <c r="O301" s="211"/>
      <c r="P301" s="211"/>
      <c r="Q301" s="211"/>
      <c r="R301" s="286"/>
      <c r="T301" s="219"/>
      <c r="U301" s="219"/>
      <c r="V301" s="249"/>
      <c r="W301" s="252"/>
      <c r="X301" s="287"/>
      <c r="Y301" s="287"/>
      <c r="Z301" s="252"/>
      <c r="AA301" s="252"/>
      <c r="AB301" s="295"/>
      <c r="AF301" s="243"/>
      <c r="BS301" s="219"/>
    </row>
    <row r="302" spans="1:71" x14ac:dyDescent="0.15">
      <c r="A302" s="292"/>
      <c r="B302" s="251"/>
      <c r="C302" s="212"/>
      <c r="D302" s="251"/>
      <c r="E302" s="293"/>
      <c r="F302" s="293"/>
      <c r="G302" s="293"/>
      <c r="H302" s="293"/>
      <c r="I302" s="251"/>
      <c r="J302" s="212"/>
      <c r="K302" s="212"/>
      <c r="L302" s="253"/>
      <c r="M302" s="252"/>
      <c r="O302" s="211"/>
      <c r="P302" s="211"/>
      <c r="Q302" s="211"/>
      <c r="R302" s="286"/>
      <c r="T302" s="219"/>
      <c r="U302" s="219"/>
      <c r="V302" s="249"/>
      <c r="W302" s="252"/>
      <c r="X302" s="287"/>
      <c r="Y302" s="287"/>
      <c r="Z302" s="252"/>
      <c r="AA302" s="252"/>
      <c r="AB302" s="295"/>
      <c r="AF302" s="243"/>
      <c r="BS302" s="219"/>
    </row>
    <row r="303" spans="1:71" x14ac:dyDescent="0.15">
      <c r="A303" s="292"/>
      <c r="B303" s="251"/>
      <c r="C303" s="212"/>
      <c r="D303" s="251"/>
      <c r="E303" s="293"/>
      <c r="F303" s="293"/>
      <c r="G303" s="293"/>
      <c r="H303" s="293"/>
      <c r="I303" s="251"/>
      <c r="J303" s="212"/>
      <c r="K303" s="212"/>
      <c r="L303" s="253"/>
      <c r="M303" s="252"/>
      <c r="O303" s="211"/>
      <c r="P303" s="211"/>
      <c r="Q303" s="211"/>
      <c r="R303" s="286"/>
      <c r="T303" s="219"/>
      <c r="U303" s="219"/>
      <c r="V303" s="249"/>
      <c r="W303" s="252"/>
      <c r="X303" s="287"/>
      <c r="Y303" s="287"/>
      <c r="Z303" s="252"/>
      <c r="AA303" s="252"/>
      <c r="AB303" s="295"/>
      <c r="AF303" s="243"/>
      <c r="BS303" s="219"/>
    </row>
    <row r="304" spans="1:71" x14ac:dyDescent="0.15">
      <c r="A304" s="292"/>
      <c r="B304" s="251"/>
      <c r="C304" s="212"/>
      <c r="D304" s="251"/>
      <c r="E304" s="293"/>
      <c r="F304" s="293"/>
      <c r="G304" s="293"/>
      <c r="H304" s="293"/>
      <c r="I304" s="251"/>
      <c r="J304" s="212"/>
      <c r="K304" s="212"/>
      <c r="L304" s="253"/>
      <c r="M304" s="252"/>
      <c r="O304" s="211"/>
      <c r="P304" s="211"/>
      <c r="Q304" s="211"/>
      <c r="R304" s="286"/>
      <c r="T304" s="219"/>
      <c r="U304" s="219"/>
      <c r="V304" s="249"/>
      <c r="W304" s="252"/>
      <c r="X304" s="287"/>
      <c r="Y304" s="287"/>
      <c r="Z304" s="252"/>
      <c r="AA304" s="252"/>
      <c r="AB304" s="295"/>
      <c r="AF304" s="243"/>
      <c r="BS304" s="219"/>
    </row>
    <row r="305" spans="1:71" x14ac:dyDescent="0.15">
      <c r="A305" s="292"/>
      <c r="B305" s="251"/>
      <c r="C305" s="212"/>
      <c r="D305" s="251"/>
      <c r="E305" s="293"/>
      <c r="F305" s="293"/>
      <c r="G305" s="293"/>
      <c r="H305" s="293"/>
      <c r="I305" s="251"/>
      <c r="J305" s="212"/>
      <c r="K305" s="212"/>
      <c r="L305" s="253"/>
      <c r="M305" s="252"/>
      <c r="O305" s="211"/>
      <c r="P305" s="211"/>
      <c r="Q305" s="211"/>
      <c r="R305" s="286"/>
      <c r="T305" s="219"/>
      <c r="U305" s="219"/>
      <c r="V305" s="249"/>
      <c r="W305" s="252"/>
      <c r="X305" s="287"/>
      <c r="Y305" s="287"/>
      <c r="Z305" s="252"/>
      <c r="AA305" s="252"/>
      <c r="AB305" s="295"/>
      <c r="AF305" s="243"/>
      <c r="BS305" s="219"/>
    </row>
    <row r="306" spans="1:71" x14ac:dyDescent="0.15">
      <c r="A306" s="292"/>
      <c r="B306" s="251"/>
      <c r="C306" s="212"/>
      <c r="D306" s="251"/>
      <c r="E306" s="293"/>
      <c r="F306" s="293"/>
      <c r="G306" s="293"/>
      <c r="H306" s="293"/>
      <c r="I306" s="251"/>
      <c r="J306" s="212"/>
      <c r="K306" s="212"/>
      <c r="L306" s="253"/>
      <c r="M306" s="252"/>
      <c r="O306" s="211"/>
      <c r="P306" s="211"/>
      <c r="Q306" s="211"/>
      <c r="R306" s="286"/>
      <c r="T306" s="219"/>
      <c r="U306" s="219"/>
      <c r="V306" s="249"/>
      <c r="W306" s="252"/>
      <c r="X306" s="287"/>
      <c r="Y306" s="287"/>
      <c r="Z306" s="252"/>
      <c r="AA306" s="252"/>
      <c r="AB306" s="295"/>
      <c r="AF306" s="243"/>
      <c r="BS306" s="219"/>
    </row>
    <row r="307" spans="1:71" x14ac:dyDescent="0.15">
      <c r="A307" s="292"/>
      <c r="B307" s="251"/>
      <c r="C307" s="212"/>
      <c r="D307" s="251"/>
      <c r="E307" s="293"/>
      <c r="F307" s="293"/>
      <c r="G307" s="293"/>
      <c r="H307" s="293"/>
      <c r="I307" s="251"/>
      <c r="J307" s="212"/>
      <c r="K307" s="212"/>
      <c r="L307" s="253"/>
      <c r="M307" s="252"/>
      <c r="O307" s="211"/>
      <c r="P307" s="211"/>
      <c r="Q307" s="211"/>
      <c r="R307" s="286"/>
      <c r="T307" s="219"/>
      <c r="U307" s="219"/>
      <c r="V307" s="249"/>
      <c r="W307" s="252"/>
      <c r="X307" s="287"/>
      <c r="Y307" s="287"/>
      <c r="Z307" s="252"/>
      <c r="AA307" s="252"/>
      <c r="AB307" s="295"/>
      <c r="AF307" s="243"/>
      <c r="BS307" s="219"/>
    </row>
    <row r="308" spans="1:71" x14ac:dyDescent="0.15">
      <c r="A308" s="292"/>
      <c r="B308" s="251"/>
      <c r="C308" s="212"/>
      <c r="D308" s="251"/>
      <c r="E308" s="293"/>
      <c r="F308" s="293"/>
      <c r="G308" s="293"/>
      <c r="H308" s="293"/>
      <c r="I308" s="251"/>
      <c r="J308" s="212"/>
      <c r="K308" s="212"/>
      <c r="L308" s="253"/>
      <c r="M308" s="252"/>
      <c r="O308" s="211"/>
      <c r="P308" s="211"/>
      <c r="Q308" s="211"/>
      <c r="R308" s="286"/>
      <c r="T308" s="219"/>
      <c r="U308" s="219"/>
      <c r="V308" s="249"/>
      <c r="W308" s="252"/>
      <c r="X308" s="287"/>
      <c r="Y308" s="287"/>
      <c r="Z308" s="252"/>
      <c r="AA308" s="252"/>
      <c r="AB308" s="295"/>
      <c r="AF308" s="243"/>
      <c r="BS308" s="219"/>
    </row>
    <row r="309" spans="1:71" x14ac:dyDescent="0.15">
      <c r="A309" s="292"/>
      <c r="B309" s="251"/>
      <c r="C309" s="212"/>
      <c r="D309" s="251"/>
      <c r="E309" s="293"/>
      <c r="F309" s="293"/>
      <c r="G309" s="293"/>
      <c r="H309" s="293"/>
      <c r="I309" s="251"/>
      <c r="J309" s="212"/>
      <c r="K309" s="212"/>
      <c r="L309" s="253"/>
      <c r="M309" s="252"/>
      <c r="O309" s="211"/>
      <c r="P309" s="211"/>
      <c r="Q309" s="211"/>
      <c r="R309" s="286"/>
      <c r="T309" s="219"/>
      <c r="U309" s="219"/>
      <c r="V309" s="249"/>
      <c r="W309" s="252"/>
      <c r="X309" s="287"/>
      <c r="Y309" s="287"/>
      <c r="Z309" s="252"/>
      <c r="AA309" s="252"/>
      <c r="AB309" s="295"/>
      <c r="AF309" s="243"/>
      <c r="BS309" s="219"/>
    </row>
    <row r="310" spans="1:71" x14ac:dyDescent="0.15">
      <c r="A310" s="292"/>
      <c r="B310" s="251"/>
      <c r="C310" s="212"/>
      <c r="D310" s="251"/>
      <c r="E310" s="293"/>
      <c r="F310" s="293"/>
      <c r="G310" s="293"/>
      <c r="H310" s="293"/>
      <c r="I310" s="251"/>
      <c r="J310" s="212"/>
      <c r="K310" s="212"/>
      <c r="L310" s="253"/>
      <c r="M310" s="252"/>
      <c r="O310" s="211"/>
      <c r="P310" s="211"/>
      <c r="Q310" s="211"/>
      <c r="R310" s="286"/>
      <c r="T310" s="219"/>
      <c r="U310" s="219"/>
      <c r="V310" s="249"/>
      <c r="W310" s="252"/>
      <c r="X310" s="287"/>
      <c r="Y310" s="287"/>
      <c r="Z310" s="252"/>
      <c r="AA310" s="252"/>
      <c r="AB310" s="295"/>
      <c r="AF310" s="243"/>
      <c r="BS310" s="219"/>
    </row>
    <row r="311" spans="1:71" x14ac:dyDescent="0.15">
      <c r="A311" s="292"/>
      <c r="B311" s="251"/>
      <c r="C311" s="212"/>
      <c r="D311" s="251"/>
      <c r="E311" s="293"/>
      <c r="F311" s="293"/>
      <c r="G311" s="293"/>
      <c r="H311" s="293"/>
      <c r="I311" s="251"/>
      <c r="J311" s="212"/>
      <c r="K311" s="212"/>
      <c r="L311" s="253"/>
      <c r="M311" s="252"/>
      <c r="O311" s="211"/>
      <c r="P311" s="211"/>
      <c r="Q311" s="211"/>
      <c r="R311" s="286"/>
      <c r="T311" s="219"/>
      <c r="U311" s="219"/>
      <c r="V311" s="249"/>
      <c r="W311" s="252"/>
      <c r="X311" s="287"/>
      <c r="Y311" s="287"/>
      <c r="Z311" s="252"/>
      <c r="AA311" s="252"/>
      <c r="AB311" s="295"/>
      <c r="AF311" s="243"/>
      <c r="BS311" s="219"/>
    </row>
    <row r="312" spans="1:71" x14ac:dyDescent="0.15">
      <c r="A312" s="292"/>
      <c r="B312" s="251"/>
      <c r="C312" s="212"/>
      <c r="D312" s="251"/>
      <c r="E312" s="293"/>
      <c r="F312" s="293"/>
      <c r="G312" s="293"/>
      <c r="H312" s="293"/>
      <c r="I312" s="251"/>
      <c r="J312" s="212"/>
      <c r="K312" s="212"/>
      <c r="L312" s="253"/>
      <c r="M312" s="252"/>
      <c r="O312" s="211"/>
      <c r="P312" s="211"/>
      <c r="Q312" s="211"/>
      <c r="R312" s="286"/>
      <c r="T312" s="219"/>
      <c r="U312" s="219"/>
      <c r="V312" s="249"/>
      <c r="W312" s="252"/>
      <c r="X312" s="287"/>
      <c r="Y312" s="287"/>
      <c r="Z312" s="252"/>
      <c r="AA312" s="252"/>
      <c r="AB312" s="295"/>
      <c r="AF312" s="243"/>
      <c r="BS312" s="219"/>
    </row>
    <row r="313" spans="1:71" x14ac:dyDescent="0.15">
      <c r="A313" s="292"/>
      <c r="B313" s="251"/>
      <c r="C313" s="212"/>
      <c r="D313" s="251"/>
      <c r="E313" s="293"/>
      <c r="F313" s="293"/>
      <c r="G313" s="293"/>
      <c r="H313" s="293"/>
      <c r="I313" s="251"/>
      <c r="J313" s="212"/>
      <c r="K313" s="212"/>
      <c r="L313" s="253"/>
      <c r="M313" s="252"/>
      <c r="O313" s="211"/>
      <c r="P313" s="211"/>
      <c r="Q313" s="211"/>
      <c r="R313" s="286"/>
      <c r="T313" s="219"/>
      <c r="U313" s="219"/>
      <c r="V313" s="249"/>
      <c r="W313" s="252"/>
      <c r="X313" s="287"/>
      <c r="Y313" s="287"/>
      <c r="Z313" s="252"/>
      <c r="AA313" s="252"/>
      <c r="AB313" s="295"/>
      <c r="AF313" s="243"/>
      <c r="BS313" s="219"/>
    </row>
    <row r="314" spans="1:71" x14ac:dyDescent="0.15">
      <c r="A314" s="292"/>
      <c r="B314" s="251"/>
      <c r="C314" s="212"/>
      <c r="D314" s="251"/>
      <c r="E314" s="293"/>
      <c r="F314" s="293"/>
      <c r="G314" s="293"/>
      <c r="H314" s="293"/>
      <c r="I314" s="251"/>
      <c r="J314" s="212"/>
      <c r="K314" s="212"/>
      <c r="L314" s="253"/>
      <c r="M314" s="252"/>
      <c r="O314" s="211"/>
      <c r="P314" s="211"/>
      <c r="Q314" s="211"/>
      <c r="R314" s="286"/>
      <c r="T314" s="219"/>
      <c r="U314" s="219"/>
      <c r="V314" s="249"/>
      <c r="W314" s="252"/>
      <c r="X314" s="287"/>
      <c r="Y314" s="287"/>
      <c r="Z314" s="252"/>
      <c r="AA314" s="252"/>
      <c r="AB314" s="295"/>
      <c r="AF314" s="243"/>
      <c r="BS314" s="219"/>
    </row>
    <row r="315" spans="1:71" x14ac:dyDescent="0.15">
      <c r="A315" s="292"/>
      <c r="B315" s="251"/>
      <c r="C315" s="212"/>
      <c r="D315" s="251"/>
      <c r="E315" s="293"/>
      <c r="F315" s="293"/>
      <c r="G315" s="293"/>
      <c r="H315" s="293"/>
      <c r="I315" s="251"/>
      <c r="J315" s="212"/>
      <c r="K315" s="212"/>
      <c r="L315" s="253"/>
      <c r="M315" s="252"/>
      <c r="O315" s="211"/>
      <c r="P315" s="211"/>
      <c r="Q315" s="211"/>
      <c r="R315" s="286"/>
      <c r="T315" s="219"/>
      <c r="U315" s="219"/>
      <c r="V315" s="249"/>
      <c r="W315" s="252"/>
      <c r="X315" s="287"/>
      <c r="Y315" s="287"/>
      <c r="Z315" s="252"/>
      <c r="AA315" s="252"/>
      <c r="AB315" s="295"/>
      <c r="AF315" s="243"/>
      <c r="BS315" s="219"/>
    </row>
    <row r="316" spans="1:71" x14ac:dyDescent="0.15">
      <c r="A316" s="292"/>
      <c r="B316" s="251"/>
      <c r="C316" s="212"/>
      <c r="D316" s="251"/>
      <c r="E316" s="293"/>
      <c r="F316" s="293"/>
      <c r="G316" s="293"/>
      <c r="H316" s="293"/>
      <c r="I316" s="251"/>
      <c r="J316" s="212"/>
      <c r="K316" s="212"/>
      <c r="L316" s="253"/>
      <c r="M316" s="252"/>
      <c r="O316" s="211"/>
      <c r="P316" s="211"/>
      <c r="Q316" s="211"/>
      <c r="R316" s="286"/>
      <c r="T316" s="219"/>
      <c r="U316" s="219"/>
      <c r="V316" s="249"/>
      <c r="W316" s="252"/>
      <c r="X316" s="287"/>
      <c r="Y316" s="287"/>
      <c r="Z316" s="252"/>
      <c r="AA316" s="252"/>
      <c r="AB316" s="295"/>
      <c r="AF316" s="243"/>
      <c r="BS316" s="219"/>
    </row>
    <row r="317" spans="1:71" x14ac:dyDescent="0.15">
      <c r="A317" s="292"/>
      <c r="B317" s="251"/>
      <c r="C317" s="212"/>
      <c r="D317" s="251"/>
      <c r="E317" s="293"/>
      <c r="F317" s="293"/>
      <c r="G317" s="293"/>
      <c r="H317" s="293"/>
      <c r="I317" s="251"/>
      <c r="J317" s="212"/>
      <c r="K317" s="212"/>
      <c r="L317" s="253"/>
      <c r="M317" s="252"/>
      <c r="O317" s="211"/>
      <c r="P317" s="211"/>
      <c r="Q317" s="211"/>
      <c r="R317" s="286"/>
      <c r="T317" s="219"/>
      <c r="U317" s="219"/>
      <c r="V317" s="249"/>
      <c r="W317" s="252"/>
      <c r="X317" s="287"/>
      <c r="Y317" s="287"/>
      <c r="Z317" s="252"/>
      <c r="AA317" s="252"/>
      <c r="AB317" s="295"/>
      <c r="AF317" s="243"/>
      <c r="BS317" s="219"/>
    </row>
    <row r="318" spans="1:71" x14ac:dyDescent="0.15">
      <c r="A318" s="292"/>
      <c r="B318" s="251"/>
      <c r="C318" s="212"/>
      <c r="D318" s="251"/>
      <c r="E318" s="293"/>
      <c r="F318" s="293"/>
      <c r="G318" s="293"/>
      <c r="H318" s="293"/>
      <c r="I318" s="251"/>
      <c r="J318" s="212"/>
      <c r="K318" s="212"/>
      <c r="L318" s="253"/>
      <c r="M318" s="252"/>
      <c r="O318" s="211"/>
      <c r="P318" s="211"/>
      <c r="Q318" s="211"/>
      <c r="R318" s="286"/>
      <c r="T318" s="219"/>
      <c r="U318" s="219"/>
      <c r="V318" s="249"/>
      <c r="W318" s="252"/>
      <c r="X318" s="287"/>
      <c r="Y318" s="287"/>
      <c r="Z318" s="252"/>
      <c r="AA318" s="252"/>
      <c r="AB318" s="295"/>
      <c r="AF318" s="243"/>
      <c r="BS318" s="219"/>
    </row>
    <row r="319" spans="1:71" x14ac:dyDescent="0.15">
      <c r="A319" s="292"/>
      <c r="B319" s="251"/>
      <c r="C319" s="212"/>
      <c r="D319" s="251"/>
      <c r="E319" s="293"/>
      <c r="F319" s="293"/>
      <c r="G319" s="293"/>
      <c r="H319" s="293"/>
      <c r="I319" s="251"/>
      <c r="J319" s="212"/>
      <c r="K319" s="212"/>
      <c r="L319" s="253"/>
      <c r="M319" s="252"/>
      <c r="O319" s="211"/>
      <c r="P319" s="211"/>
      <c r="Q319" s="211"/>
      <c r="R319" s="286"/>
      <c r="T319" s="219"/>
      <c r="U319" s="219"/>
      <c r="V319" s="249"/>
      <c r="W319" s="252"/>
      <c r="X319" s="287"/>
      <c r="Y319" s="287"/>
      <c r="Z319" s="252"/>
      <c r="AA319" s="252"/>
      <c r="AB319" s="295"/>
      <c r="AF319" s="243"/>
      <c r="BS319" s="219"/>
    </row>
    <row r="320" spans="1:71" x14ac:dyDescent="0.15">
      <c r="A320" s="292"/>
      <c r="B320" s="251"/>
      <c r="C320" s="212"/>
      <c r="D320" s="251"/>
      <c r="E320" s="293"/>
      <c r="F320" s="293"/>
      <c r="G320" s="293"/>
      <c r="H320" s="293"/>
      <c r="I320" s="251"/>
      <c r="J320" s="212"/>
      <c r="K320" s="212"/>
      <c r="L320" s="253"/>
      <c r="M320" s="252"/>
      <c r="O320" s="211"/>
      <c r="P320" s="211"/>
      <c r="Q320" s="211"/>
      <c r="R320" s="286"/>
      <c r="T320" s="219"/>
      <c r="U320" s="219"/>
      <c r="V320" s="249"/>
      <c r="W320" s="252"/>
      <c r="X320" s="287"/>
      <c r="Y320" s="287"/>
      <c r="Z320" s="252"/>
      <c r="AA320" s="252"/>
      <c r="AB320" s="295"/>
      <c r="AF320" s="243"/>
      <c r="BS320" s="219"/>
    </row>
    <row r="321" spans="1:71" x14ac:dyDescent="0.15">
      <c r="A321" s="292"/>
      <c r="B321" s="251"/>
      <c r="C321" s="212"/>
      <c r="D321" s="251"/>
      <c r="E321" s="293"/>
      <c r="F321" s="293"/>
      <c r="G321" s="293"/>
      <c r="H321" s="293"/>
      <c r="I321" s="251"/>
      <c r="J321" s="212"/>
      <c r="K321" s="212"/>
      <c r="L321" s="253"/>
      <c r="M321" s="252"/>
      <c r="O321" s="211"/>
      <c r="P321" s="211"/>
      <c r="Q321" s="211"/>
      <c r="R321" s="286"/>
      <c r="T321" s="219"/>
      <c r="U321" s="219"/>
      <c r="V321" s="249"/>
      <c r="W321" s="252"/>
      <c r="X321" s="287"/>
      <c r="Y321" s="287"/>
      <c r="Z321" s="252"/>
      <c r="AA321" s="252"/>
      <c r="AB321" s="295"/>
      <c r="AF321" s="243"/>
      <c r="BS321" s="219"/>
    </row>
    <row r="322" spans="1:71" x14ac:dyDescent="0.15">
      <c r="A322" s="292"/>
      <c r="B322" s="251"/>
      <c r="C322" s="212"/>
      <c r="D322" s="251"/>
      <c r="E322" s="293"/>
      <c r="F322" s="293"/>
      <c r="G322" s="293"/>
      <c r="H322" s="293"/>
      <c r="I322" s="251"/>
      <c r="J322" s="212"/>
      <c r="K322" s="212"/>
      <c r="L322" s="253"/>
      <c r="M322" s="252"/>
      <c r="O322" s="211"/>
      <c r="P322" s="211"/>
      <c r="Q322" s="211"/>
      <c r="R322" s="286"/>
      <c r="T322" s="219"/>
      <c r="U322" s="219"/>
      <c r="V322" s="249"/>
      <c r="W322" s="252"/>
      <c r="X322" s="287"/>
      <c r="Y322" s="287"/>
      <c r="Z322" s="252"/>
      <c r="AA322" s="252"/>
      <c r="AB322" s="295"/>
      <c r="AF322" s="243"/>
      <c r="BS322" s="219"/>
    </row>
    <row r="323" spans="1:71" x14ac:dyDescent="0.15">
      <c r="A323" s="292"/>
      <c r="B323" s="251"/>
      <c r="C323" s="212"/>
      <c r="D323" s="251"/>
      <c r="E323" s="293"/>
      <c r="F323" s="293"/>
      <c r="G323" s="293"/>
      <c r="H323" s="293"/>
      <c r="I323" s="251"/>
      <c r="J323" s="212"/>
      <c r="K323" s="212"/>
      <c r="L323" s="253"/>
      <c r="M323" s="252"/>
      <c r="O323" s="211"/>
      <c r="P323" s="211"/>
      <c r="Q323" s="211"/>
      <c r="R323" s="286"/>
      <c r="T323" s="219"/>
      <c r="U323" s="219"/>
      <c r="V323" s="249"/>
      <c r="W323" s="252"/>
      <c r="X323" s="287"/>
      <c r="Y323" s="287"/>
      <c r="Z323" s="252"/>
      <c r="AA323" s="252"/>
      <c r="AB323" s="295"/>
      <c r="AF323" s="243"/>
      <c r="BS323" s="219"/>
    </row>
    <row r="324" spans="1:71" x14ac:dyDescent="0.15">
      <c r="A324" s="292"/>
      <c r="B324" s="251"/>
      <c r="C324" s="212"/>
      <c r="D324" s="251"/>
      <c r="E324" s="293"/>
      <c r="F324" s="293"/>
      <c r="G324" s="293"/>
      <c r="H324" s="293"/>
      <c r="I324" s="251"/>
      <c r="J324" s="212"/>
      <c r="K324" s="212"/>
      <c r="L324" s="253"/>
      <c r="M324" s="252"/>
      <c r="O324" s="211"/>
      <c r="P324" s="211"/>
      <c r="Q324" s="211"/>
      <c r="R324" s="286"/>
      <c r="T324" s="219"/>
      <c r="U324" s="219"/>
      <c r="V324" s="249"/>
      <c r="W324" s="252"/>
      <c r="X324" s="287"/>
      <c r="Y324" s="287"/>
      <c r="Z324" s="252"/>
      <c r="AA324" s="252"/>
      <c r="AB324" s="295"/>
      <c r="AF324" s="243"/>
      <c r="BS324" s="219"/>
    </row>
    <row r="325" spans="1:71" x14ac:dyDescent="0.15">
      <c r="A325" s="292"/>
      <c r="B325" s="251"/>
      <c r="C325" s="212"/>
      <c r="D325" s="251"/>
      <c r="E325" s="293"/>
      <c r="F325" s="293"/>
      <c r="G325" s="293"/>
      <c r="H325" s="293"/>
      <c r="I325" s="251"/>
      <c r="J325" s="212"/>
      <c r="K325" s="212"/>
      <c r="L325" s="253"/>
      <c r="M325" s="252"/>
      <c r="O325" s="211"/>
      <c r="P325" s="211"/>
      <c r="Q325" s="211"/>
      <c r="R325" s="286"/>
      <c r="T325" s="219"/>
      <c r="U325" s="219"/>
      <c r="V325" s="249"/>
      <c r="W325" s="252"/>
      <c r="X325" s="287"/>
      <c r="Y325" s="287"/>
      <c r="Z325" s="252"/>
      <c r="AA325" s="252"/>
      <c r="AB325" s="295"/>
      <c r="AF325" s="243"/>
      <c r="BS325" s="219"/>
    </row>
    <row r="326" spans="1:71" x14ac:dyDescent="0.15">
      <c r="A326" s="292"/>
      <c r="B326" s="251"/>
      <c r="C326" s="212"/>
      <c r="D326" s="251"/>
      <c r="E326" s="293"/>
      <c r="F326" s="293"/>
      <c r="G326" s="293"/>
      <c r="H326" s="293"/>
      <c r="I326" s="251"/>
      <c r="J326" s="212"/>
      <c r="K326" s="212"/>
      <c r="L326" s="253"/>
      <c r="M326" s="252"/>
      <c r="O326" s="211"/>
      <c r="P326" s="211"/>
      <c r="Q326" s="211"/>
      <c r="R326" s="286"/>
      <c r="T326" s="219"/>
      <c r="U326" s="219"/>
      <c r="V326" s="249"/>
      <c r="W326" s="252"/>
      <c r="X326" s="287"/>
      <c r="Y326" s="287"/>
      <c r="Z326" s="252"/>
      <c r="AA326" s="252"/>
      <c r="AB326" s="295"/>
      <c r="AF326" s="243"/>
      <c r="BS326" s="219"/>
    </row>
    <row r="327" spans="1:71" x14ac:dyDescent="0.15">
      <c r="A327" s="292"/>
      <c r="B327" s="251"/>
      <c r="C327" s="212"/>
      <c r="D327" s="251"/>
      <c r="E327" s="293"/>
      <c r="F327" s="293"/>
      <c r="G327" s="293"/>
      <c r="H327" s="293"/>
      <c r="I327" s="251"/>
      <c r="J327" s="212"/>
      <c r="K327" s="212"/>
      <c r="L327" s="253"/>
      <c r="M327" s="252"/>
      <c r="O327" s="211"/>
      <c r="P327" s="211"/>
      <c r="Q327" s="211"/>
      <c r="R327" s="286"/>
      <c r="T327" s="219"/>
      <c r="U327" s="219"/>
      <c r="V327" s="249"/>
      <c r="W327" s="252"/>
      <c r="X327" s="287"/>
      <c r="Y327" s="287"/>
      <c r="Z327" s="252"/>
      <c r="AA327" s="252"/>
      <c r="AB327" s="295"/>
      <c r="AF327" s="243"/>
      <c r="BS327" s="219"/>
    </row>
    <row r="328" spans="1:71" x14ac:dyDescent="0.15">
      <c r="A328" s="292"/>
      <c r="B328" s="251"/>
      <c r="C328" s="212"/>
      <c r="D328" s="251"/>
      <c r="E328" s="293"/>
      <c r="F328" s="293"/>
      <c r="G328" s="293"/>
      <c r="H328" s="293"/>
      <c r="I328" s="251"/>
      <c r="J328" s="212"/>
      <c r="K328" s="212"/>
      <c r="L328" s="253"/>
      <c r="M328" s="252"/>
      <c r="O328" s="211"/>
      <c r="P328" s="211"/>
      <c r="Q328" s="211"/>
      <c r="R328" s="286"/>
      <c r="T328" s="219"/>
      <c r="U328" s="219"/>
      <c r="V328" s="249"/>
      <c r="W328" s="252"/>
      <c r="X328" s="287"/>
      <c r="Y328" s="287"/>
      <c r="Z328" s="252"/>
      <c r="AA328" s="252"/>
      <c r="AB328" s="295"/>
      <c r="AF328" s="243"/>
      <c r="BS328" s="219"/>
    </row>
    <row r="329" spans="1:71" x14ac:dyDescent="0.15">
      <c r="A329" s="292"/>
      <c r="B329" s="251"/>
      <c r="C329" s="212"/>
      <c r="D329" s="251"/>
      <c r="E329" s="293"/>
      <c r="F329" s="293"/>
      <c r="G329" s="293"/>
      <c r="H329" s="293"/>
      <c r="I329" s="251"/>
      <c r="J329" s="212"/>
      <c r="K329" s="212"/>
      <c r="L329" s="253"/>
      <c r="M329" s="252"/>
      <c r="O329" s="211"/>
      <c r="P329" s="211"/>
      <c r="Q329" s="211"/>
      <c r="R329" s="286"/>
      <c r="T329" s="219"/>
      <c r="U329" s="219"/>
      <c r="V329" s="249"/>
      <c r="W329" s="252"/>
      <c r="X329" s="287"/>
      <c r="Y329" s="287"/>
      <c r="Z329" s="252"/>
      <c r="AA329" s="252"/>
      <c r="AB329" s="295"/>
      <c r="AF329" s="243"/>
      <c r="BS329" s="219"/>
    </row>
    <row r="330" spans="1:71" x14ac:dyDescent="0.15">
      <c r="A330" s="292"/>
      <c r="B330" s="251"/>
      <c r="C330" s="212"/>
      <c r="D330" s="251"/>
      <c r="E330" s="293"/>
      <c r="F330" s="293"/>
      <c r="G330" s="293"/>
      <c r="H330" s="293"/>
      <c r="I330" s="251"/>
      <c r="J330" s="212"/>
      <c r="K330" s="212"/>
      <c r="L330" s="253"/>
      <c r="M330" s="252"/>
      <c r="O330" s="211"/>
      <c r="P330" s="211"/>
      <c r="Q330" s="211"/>
      <c r="R330" s="286"/>
      <c r="T330" s="219"/>
      <c r="U330" s="219"/>
      <c r="V330" s="249"/>
      <c r="W330" s="252"/>
      <c r="X330" s="287"/>
      <c r="Y330" s="287"/>
      <c r="Z330" s="252"/>
      <c r="AA330" s="252"/>
      <c r="AB330" s="295"/>
      <c r="AF330" s="243"/>
      <c r="BS330" s="219"/>
    </row>
    <row r="331" spans="1:71" x14ac:dyDescent="0.15">
      <c r="A331" s="292"/>
      <c r="B331" s="251"/>
      <c r="C331" s="212"/>
      <c r="D331" s="251"/>
      <c r="E331" s="293"/>
      <c r="F331" s="293"/>
      <c r="G331" s="293"/>
      <c r="H331" s="293"/>
      <c r="I331" s="251"/>
      <c r="J331" s="212"/>
      <c r="K331" s="212"/>
      <c r="L331" s="253"/>
      <c r="M331" s="252"/>
      <c r="O331" s="211"/>
      <c r="P331" s="211"/>
      <c r="Q331" s="211"/>
      <c r="R331" s="286"/>
      <c r="T331" s="219"/>
      <c r="U331" s="219"/>
      <c r="V331" s="249"/>
      <c r="W331" s="252"/>
      <c r="X331" s="287"/>
      <c r="Y331" s="287"/>
      <c r="Z331" s="252"/>
      <c r="AA331" s="252"/>
      <c r="AB331" s="295"/>
      <c r="AF331" s="243"/>
      <c r="BS331" s="219"/>
    </row>
    <row r="332" spans="1:71" x14ac:dyDescent="0.15">
      <c r="A332" s="292"/>
      <c r="B332" s="251"/>
      <c r="C332" s="212"/>
      <c r="D332" s="251"/>
      <c r="E332" s="293"/>
      <c r="F332" s="293"/>
      <c r="G332" s="293"/>
      <c r="H332" s="293"/>
      <c r="I332" s="251"/>
      <c r="J332" s="212"/>
      <c r="K332" s="212"/>
      <c r="L332" s="253"/>
      <c r="M332" s="252"/>
      <c r="O332" s="211"/>
      <c r="P332" s="211"/>
      <c r="Q332" s="211"/>
      <c r="R332" s="286"/>
      <c r="T332" s="219"/>
      <c r="U332" s="219"/>
      <c r="V332" s="249"/>
      <c r="W332" s="252"/>
      <c r="X332" s="287"/>
      <c r="Y332" s="287"/>
      <c r="Z332" s="252"/>
      <c r="AA332" s="252"/>
      <c r="AB332" s="295"/>
      <c r="AF332" s="243"/>
      <c r="BS332" s="219"/>
    </row>
    <row r="333" spans="1:71" x14ac:dyDescent="0.15">
      <c r="A333" s="292"/>
      <c r="B333" s="251"/>
      <c r="C333" s="212"/>
      <c r="D333" s="251"/>
      <c r="E333" s="293"/>
      <c r="F333" s="293"/>
      <c r="G333" s="293"/>
      <c r="H333" s="293"/>
      <c r="I333" s="251"/>
      <c r="J333" s="212"/>
      <c r="K333" s="212"/>
      <c r="L333" s="253"/>
      <c r="M333" s="252"/>
      <c r="O333" s="211"/>
      <c r="P333" s="211"/>
      <c r="Q333" s="211"/>
      <c r="R333" s="286"/>
      <c r="T333" s="219"/>
      <c r="U333" s="219"/>
      <c r="V333" s="249"/>
      <c r="W333" s="252"/>
      <c r="X333" s="287"/>
      <c r="Y333" s="287"/>
      <c r="Z333" s="252"/>
      <c r="AA333" s="252"/>
      <c r="AB333" s="295"/>
      <c r="AF333" s="243"/>
      <c r="BS333" s="219"/>
    </row>
    <row r="334" spans="1:71" x14ac:dyDescent="0.15">
      <c r="A334" s="292"/>
      <c r="B334" s="251"/>
      <c r="C334" s="212"/>
      <c r="D334" s="251"/>
      <c r="E334" s="293"/>
      <c r="F334" s="293"/>
      <c r="G334" s="293"/>
      <c r="H334" s="293"/>
      <c r="I334" s="251"/>
      <c r="J334" s="212"/>
      <c r="K334" s="212"/>
      <c r="L334" s="253"/>
      <c r="M334" s="252"/>
      <c r="O334" s="211"/>
      <c r="P334" s="211"/>
      <c r="Q334" s="211"/>
      <c r="R334" s="286"/>
      <c r="T334" s="219"/>
      <c r="U334" s="219"/>
      <c r="V334" s="249"/>
      <c r="W334" s="252"/>
      <c r="X334" s="287"/>
      <c r="Y334" s="287"/>
      <c r="Z334" s="252"/>
      <c r="AA334" s="252"/>
      <c r="AB334" s="295"/>
      <c r="AF334" s="243"/>
      <c r="BS334" s="219"/>
    </row>
    <row r="335" spans="1:71" x14ac:dyDescent="0.15">
      <c r="A335" s="292"/>
      <c r="B335" s="251"/>
      <c r="C335" s="212"/>
      <c r="D335" s="251"/>
      <c r="E335" s="293"/>
      <c r="F335" s="293"/>
      <c r="G335" s="293"/>
      <c r="H335" s="293"/>
      <c r="I335" s="251"/>
      <c r="J335" s="212"/>
      <c r="K335" s="212"/>
      <c r="L335" s="253"/>
      <c r="M335" s="252"/>
      <c r="O335" s="211"/>
      <c r="P335" s="211"/>
      <c r="Q335" s="211"/>
      <c r="R335" s="286"/>
      <c r="T335" s="219"/>
      <c r="U335" s="219"/>
      <c r="V335" s="249"/>
      <c r="W335" s="252"/>
      <c r="X335" s="287"/>
      <c r="Y335" s="287"/>
      <c r="Z335" s="252"/>
      <c r="AA335" s="252"/>
      <c r="AB335" s="295"/>
      <c r="AF335" s="243"/>
      <c r="BS335" s="219"/>
    </row>
    <row r="336" spans="1:71" x14ac:dyDescent="0.15">
      <c r="A336" s="292"/>
      <c r="B336" s="251"/>
      <c r="C336" s="212"/>
      <c r="D336" s="251"/>
      <c r="E336" s="293"/>
      <c r="F336" s="293"/>
      <c r="G336" s="293"/>
      <c r="H336" s="293"/>
      <c r="I336" s="251"/>
      <c r="J336" s="212"/>
      <c r="K336" s="212"/>
      <c r="L336" s="253"/>
      <c r="M336" s="252"/>
      <c r="O336" s="211"/>
      <c r="P336" s="211"/>
      <c r="Q336" s="211"/>
      <c r="R336" s="286"/>
      <c r="T336" s="219"/>
      <c r="U336" s="219"/>
      <c r="V336" s="249"/>
      <c r="W336" s="252"/>
      <c r="X336" s="287"/>
      <c r="Y336" s="287"/>
      <c r="Z336" s="252"/>
      <c r="AA336" s="252"/>
      <c r="AB336" s="295"/>
      <c r="AF336" s="243"/>
      <c r="BS336" s="219"/>
    </row>
    <row r="337" spans="1:71" x14ac:dyDescent="0.15">
      <c r="A337" s="292"/>
      <c r="B337" s="251"/>
      <c r="C337" s="212"/>
      <c r="D337" s="251"/>
      <c r="E337" s="293"/>
      <c r="F337" s="293"/>
      <c r="G337" s="293"/>
      <c r="H337" s="293"/>
      <c r="I337" s="251"/>
      <c r="J337" s="212"/>
      <c r="K337" s="212"/>
      <c r="L337" s="253"/>
      <c r="M337" s="252"/>
      <c r="O337" s="211"/>
      <c r="P337" s="211"/>
      <c r="Q337" s="211"/>
      <c r="R337" s="286"/>
      <c r="T337" s="219"/>
      <c r="U337" s="219"/>
      <c r="V337" s="249"/>
      <c r="W337" s="252"/>
      <c r="X337" s="287"/>
      <c r="Y337" s="287"/>
      <c r="Z337" s="252"/>
      <c r="AA337" s="252"/>
      <c r="AB337" s="295"/>
      <c r="AF337" s="243"/>
      <c r="BS337" s="219"/>
    </row>
    <row r="338" spans="1:71" x14ac:dyDescent="0.15">
      <c r="A338" s="292"/>
      <c r="B338" s="251"/>
      <c r="C338" s="212"/>
      <c r="D338" s="251"/>
      <c r="E338" s="293"/>
      <c r="F338" s="293"/>
      <c r="G338" s="293"/>
      <c r="H338" s="293"/>
      <c r="I338" s="251"/>
      <c r="J338" s="212"/>
      <c r="K338" s="212"/>
      <c r="L338" s="253"/>
      <c r="M338" s="252"/>
      <c r="O338" s="211"/>
      <c r="P338" s="211"/>
      <c r="Q338" s="211"/>
      <c r="R338" s="286"/>
      <c r="T338" s="219"/>
      <c r="U338" s="219"/>
      <c r="V338" s="249"/>
      <c r="W338" s="252"/>
      <c r="X338" s="287"/>
      <c r="Y338" s="287"/>
      <c r="Z338" s="252"/>
      <c r="AA338" s="252"/>
      <c r="AB338" s="295"/>
      <c r="AF338" s="243"/>
      <c r="BS338" s="219"/>
    </row>
    <row r="339" spans="1:71" x14ac:dyDescent="0.15">
      <c r="A339" s="292"/>
      <c r="B339" s="251"/>
      <c r="C339" s="212"/>
      <c r="D339" s="251"/>
      <c r="E339" s="293"/>
      <c r="F339" s="293"/>
      <c r="G339" s="293"/>
      <c r="H339" s="293"/>
      <c r="I339" s="251"/>
      <c r="J339" s="212"/>
      <c r="K339" s="212"/>
      <c r="L339" s="253"/>
      <c r="M339" s="252"/>
      <c r="O339" s="211"/>
      <c r="P339" s="211"/>
      <c r="Q339" s="211"/>
      <c r="R339" s="286"/>
      <c r="T339" s="219"/>
      <c r="U339" s="219"/>
      <c r="V339" s="249"/>
      <c r="W339" s="252"/>
      <c r="X339" s="287"/>
      <c r="Y339" s="287"/>
      <c r="Z339" s="252"/>
      <c r="AA339" s="252"/>
      <c r="AB339" s="295"/>
      <c r="AF339" s="243"/>
      <c r="BS339" s="219"/>
    </row>
    <row r="340" spans="1:71" x14ac:dyDescent="0.15">
      <c r="A340" s="292"/>
      <c r="B340" s="251"/>
      <c r="C340" s="212"/>
      <c r="D340" s="251"/>
      <c r="E340" s="293"/>
      <c r="F340" s="293"/>
      <c r="G340" s="293"/>
      <c r="H340" s="293"/>
      <c r="I340" s="251"/>
      <c r="J340" s="212"/>
      <c r="K340" s="212"/>
      <c r="L340" s="253"/>
      <c r="M340" s="252"/>
      <c r="O340" s="211"/>
      <c r="P340" s="211"/>
      <c r="Q340" s="211"/>
      <c r="R340" s="286"/>
      <c r="T340" s="219"/>
      <c r="U340" s="219"/>
      <c r="V340" s="249"/>
      <c r="W340" s="252"/>
      <c r="X340" s="287"/>
      <c r="Y340" s="287"/>
      <c r="Z340" s="252"/>
      <c r="AA340" s="252"/>
      <c r="AB340" s="295"/>
      <c r="AF340" s="243"/>
      <c r="BS340" s="219"/>
    </row>
    <row r="341" spans="1:71" x14ac:dyDescent="0.15">
      <c r="A341" s="292"/>
      <c r="B341" s="251"/>
      <c r="C341" s="212"/>
      <c r="D341" s="251"/>
      <c r="E341" s="293"/>
      <c r="F341" s="293"/>
      <c r="G341" s="293"/>
      <c r="H341" s="293"/>
      <c r="I341" s="251"/>
      <c r="J341" s="212"/>
      <c r="K341" s="212"/>
      <c r="L341" s="253"/>
      <c r="M341" s="252"/>
      <c r="O341" s="211"/>
      <c r="P341" s="211"/>
      <c r="Q341" s="211"/>
      <c r="R341" s="286"/>
      <c r="T341" s="219"/>
      <c r="U341" s="219"/>
      <c r="V341" s="249"/>
      <c r="W341" s="252"/>
      <c r="X341" s="287"/>
      <c r="Y341" s="287"/>
      <c r="Z341" s="252"/>
      <c r="AA341" s="252"/>
      <c r="AB341" s="295"/>
      <c r="AF341" s="243"/>
      <c r="BS341" s="219"/>
    </row>
    <row r="342" spans="1:71" x14ac:dyDescent="0.15">
      <c r="A342" s="292"/>
      <c r="B342" s="251"/>
      <c r="C342" s="212"/>
      <c r="D342" s="251"/>
      <c r="E342" s="293"/>
      <c r="F342" s="293"/>
      <c r="G342" s="293"/>
      <c r="H342" s="293"/>
      <c r="I342" s="251"/>
      <c r="J342" s="212"/>
      <c r="K342" s="212"/>
      <c r="L342" s="253"/>
      <c r="M342" s="252"/>
      <c r="O342" s="211"/>
      <c r="P342" s="211"/>
      <c r="Q342" s="211"/>
      <c r="R342" s="286"/>
      <c r="T342" s="219"/>
      <c r="U342" s="219"/>
      <c r="V342" s="249"/>
      <c r="W342" s="252"/>
      <c r="X342" s="287"/>
      <c r="Y342" s="287"/>
      <c r="Z342" s="252"/>
      <c r="AA342" s="252"/>
      <c r="AB342" s="295"/>
      <c r="AF342" s="243"/>
      <c r="BS342" s="219"/>
    </row>
    <row r="343" spans="1:71" x14ac:dyDescent="0.15">
      <c r="A343" s="292"/>
      <c r="B343" s="251"/>
      <c r="C343" s="212"/>
      <c r="D343" s="251"/>
      <c r="E343" s="293"/>
      <c r="F343" s="293"/>
      <c r="G343" s="293"/>
      <c r="H343" s="293"/>
      <c r="I343" s="251"/>
      <c r="J343" s="212"/>
      <c r="K343" s="212"/>
      <c r="L343" s="253"/>
      <c r="M343" s="252"/>
      <c r="O343" s="211"/>
      <c r="P343" s="211"/>
      <c r="Q343" s="211"/>
      <c r="R343" s="286"/>
      <c r="T343" s="219"/>
      <c r="U343" s="219"/>
      <c r="V343" s="249"/>
      <c r="W343" s="252"/>
      <c r="X343" s="287"/>
      <c r="Y343" s="287"/>
      <c r="Z343" s="252"/>
      <c r="AA343" s="252"/>
      <c r="AB343" s="295"/>
      <c r="AF343" s="243"/>
      <c r="BS343" s="219"/>
    </row>
    <row r="344" spans="1:71" x14ac:dyDescent="0.15">
      <c r="A344" s="292"/>
      <c r="B344" s="251"/>
      <c r="C344" s="212"/>
      <c r="D344" s="251"/>
      <c r="E344" s="293"/>
      <c r="F344" s="293"/>
      <c r="G344" s="293"/>
      <c r="H344" s="293"/>
      <c r="I344" s="251"/>
      <c r="J344" s="212"/>
      <c r="K344" s="212"/>
      <c r="L344" s="253"/>
      <c r="M344" s="252"/>
      <c r="O344" s="211"/>
      <c r="P344" s="211"/>
      <c r="Q344" s="211"/>
      <c r="R344" s="286"/>
      <c r="T344" s="219"/>
      <c r="U344" s="219"/>
      <c r="V344" s="249"/>
      <c r="W344" s="252"/>
      <c r="X344" s="287"/>
      <c r="Y344" s="287"/>
      <c r="Z344" s="252"/>
      <c r="AA344" s="252"/>
      <c r="AB344" s="295"/>
      <c r="AF344" s="243"/>
      <c r="BS344" s="219"/>
    </row>
    <row r="345" spans="1:71" x14ac:dyDescent="0.15">
      <c r="A345" s="292"/>
      <c r="B345" s="251"/>
      <c r="C345" s="212"/>
      <c r="D345" s="251"/>
      <c r="E345" s="293"/>
      <c r="F345" s="293"/>
      <c r="G345" s="293"/>
      <c r="H345" s="293"/>
      <c r="I345" s="251"/>
      <c r="J345" s="212"/>
      <c r="K345" s="212"/>
      <c r="L345" s="253"/>
      <c r="M345" s="252"/>
      <c r="O345" s="211"/>
      <c r="P345" s="211"/>
      <c r="Q345" s="211"/>
      <c r="R345" s="286"/>
      <c r="T345" s="219"/>
      <c r="U345" s="219"/>
      <c r="V345" s="249"/>
      <c r="W345" s="252"/>
      <c r="X345" s="287"/>
      <c r="Y345" s="287"/>
      <c r="Z345" s="252"/>
      <c r="AA345" s="252"/>
      <c r="AB345" s="295"/>
      <c r="AF345" s="243"/>
      <c r="BS345" s="219"/>
    </row>
    <row r="346" spans="1:71" x14ac:dyDescent="0.15">
      <c r="A346" s="292"/>
      <c r="B346" s="251"/>
      <c r="C346" s="212"/>
      <c r="D346" s="251"/>
      <c r="E346" s="293"/>
      <c r="F346" s="293"/>
      <c r="G346" s="293"/>
      <c r="H346" s="293"/>
      <c r="I346" s="251"/>
      <c r="J346" s="212"/>
      <c r="K346" s="212"/>
      <c r="L346" s="253"/>
      <c r="M346" s="252"/>
      <c r="O346" s="211"/>
      <c r="P346" s="211"/>
      <c r="Q346" s="211"/>
      <c r="R346" s="286"/>
      <c r="T346" s="219"/>
      <c r="U346" s="219"/>
      <c r="V346" s="249"/>
      <c r="W346" s="252"/>
      <c r="X346" s="287"/>
      <c r="Y346" s="287"/>
      <c r="Z346" s="252"/>
      <c r="AA346" s="252"/>
      <c r="AB346" s="295"/>
      <c r="AF346" s="243"/>
      <c r="BS346" s="219"/>
    </row>
    <row r="347" spans="1:71" x14ac:dyDescent="0.15">
      <c r="A347" s="292"/>
      <c r="B347" s="251"/>
      <c r="C347" s="212"/>
      <c r="D347" s="251"/>
      <c r="E347" s="293"/>
      <c r="F347" s="293"/>
      <c r="G347" s="293"/>
      <c r="H347" s="293"/>
      <c r="I347" s="251"/>
      <c r="J347" s="212"/>
      <c r="K347" s="212"/>
      <c r="L347" s="253"/>
      <c r="M347" s="252"/>
      <c r="O347" s="211"/>
      <c r="P347" s="211"/>
      <c r="Q347" s="211"/>
      <c r="R347" s="286"/>
      <c r="T347" s="219"/>
      <c r="U347" s="219"/>
      <c r="V347" s="249"/>
      <c r="W347" s="252"/>
      <c r="X347" s="287"/>
      <c r="Y347" s="287"/>
      <c r="Z347" s="252"/>
      <c r="AA347" s="252"/>
      <c r="AB347" s="295"/>
      <c r="AF347" s="243"/>
      <c r="BS347" s="219"/>
    </row>
    <row r="348" spans="1:71" x14ac:dyDescent="0.15">
      <c r="A348" s="292"/>
      <c r="B348" s="251"/>
      <c r="C348" s="212"/>
      <c r="D348" s="251"/>
      <c r="E348" s="293"/>
      <c r="F348" s="293"/>
      <c r="G348" s="293"/>
      <c r="H348" s="293"/>
      <c r="I348" s="251"/>
      <c r="J348" s="212"/>
      <c r="K348" s="212"/>
      <c r="L348" s="253"/>
      <c r="M348" s="252"/>
      <c r="O348" s="211"/>
      <c r="P348" s="211"/>
      <c r="Q348" s="211"/>
      <c r="R348" s="286"/>
      <c r="T348" s="219"/>
      <c r="U348" s="219"/>
      <c r="V348" s="249"/>
      <c r="W348" s="252"/>
      <c r="X348" s="287"/>
      <c r="Y348" s="287"/>
      <c r="Z348" s="252"/>
      <c r="AA348" s="252"/>
      <c r="AB348" s="295"/>
      <c r="AF348" s="243"/>
      <c r="BS348" s="219"/>
    </row>
    <row r="349" spans="1:71" x14ac:dyDescent="0.15">
      <c r="A349" s="292"/>
      <c r="B349" s="251"/>
      <c r="C349" s="212"/>
      <c r="D349" s="251"/>
      <c r="E349" s="293"/>
      <c r="F349" s="293"/>
      <c r="G349" s="293"/>
      <c r="H349" s="293"/>
      <c r="I349" s="251"/>
      <c r="J349" s="212"/>
      <c r="K349" s="212"/>
      <c r="L349" s="253"/>
      <c r="M349" s="252"/>
      <c r="O349" s="211"/>
      <c r="P349" s="211"/>
      <c r="Q349" s="211"/>
      <c r="R349" s="286"/>
      <c r="T349" s="219"/>
      <c r="U349" s="219"/>
      <c r="V349" s="249"/>
      <c r="W349" s="252"/>
      <c r="X349" s="287"/>
      <c r="Y349" s="287"/>
      <c r="Z349" s="252"/>
      <c r="AA349" s="252"/>
      <c r="AB349" s="295"/>
      <c r="AF349" s="243"/>
      <c r="BS349" s="219"/>
    </row>
    <row r="350" spans="1:71" x14ac:dyDescent="0.15">
      <c r="A350" s="292"/>
      <c r="B350" s="251"/>
      <c r="C350" s="212"/>
      <c r="D350" s="251"/>
      <c r="E350" s="293"/>
      <c r="F350" s="293"/>
      <c r="G350" s="293"/>
      <c r="H350" s="293"/>
      <c r="I350" s="251"/>
      <c r="J350" s="212"/>
      <c r="K350" s="212"/>
      <c r="L350" s="253"/>
      <c r="M350" s="252"/>
      <c r="O350" s="211"/>
      <c r="P350" s="211"/>
      <c r="Q350" s="211"/>
      <c r="R350" s="286"/>
      <c r="T350" s="219"/>
      <c r="U350" s="219"/>
      <c r="V350" s="249"/>
      <c r="W350" s="252"/>
      <c r="X350" s="287"/>
      <c r="Y350" s="287"/>
      <c r="Z350" s="252"/>
      <c r="AA350" s="252"/>
      <c r="AB350" s="295"/>
      <c r="AF350" s="243"/>
      <c r="BS350" s="219"/>
    </row>
    <row r="351" spans="1:71" x14ac:dyDescent="0.15">
      <c r="A351" s="292"/>
      <c r="B351" s="251"/>
      <c r="C351" s="212"/>
      <c r="D351" s="251"/>
      <c r="E351" s="293"/>
      <c r="F351" s="293"/>
      <c r="G351" s="293"/>
      <c r="H351" s="293"/>
      <c r="I351" s="251"/>
      <c r="J351" s="212"/>
      <c r="K351" s="212"/>
      <c r="L351" s="253"/>
      <c r="M351" s="252"/>
      <c r="O351" s="211"/>
      <c r="P351" s="211"/>
      <c r="Q351" s="211"/>
      <c r="R351" s="286"/>
      <c r="T351" s="219"/>
      <c r="U351" s="219"/>
      <c r="V351" s="249"/>
      <c r="W351" s="252"/>
      <c r="X351" s="287"/>
      <c r="Y351" s="287"/>
      <c r="Z351" s="252"/>
      <c r="AA351" s="252"/>
      <c r="AB351" s="295"/>
      <c r="AF351" s="243"/>
      <c r="BS351" s="219"/>
    </row>
    <row r="352" spans="1:71" x14ac:dyDescent="0.15">
      <c r="A352" s="292"/>
      <c r="B352" s="251"/>
      <c r="C352" s="212"/>
      <c r="D352" s="251"/>
      <c r="E352" s="293"/>
      <c r="F352" s="293"/>
      <c r="G352" s="293"/>
      <c r="H352" s="293"/>
      <c r="I352" s="251"/>
      <c r="J352" s="212"/>
      <c r="K352" s="212"/>
      <c r="L352" s="253"/>
      <c r="M352" s="252"/>
      <c r="O352" s="211"/>
      <c r="P352" s="211"/>
      <c r="Q352" s="211"/>
      <c r="R352" s="286"/>
      <c r="T352" s="219"/>
      <c r="U352" s="219"/>
      <c r="V352" s="249"/>
      <c r="W352" s="252"/>
      <c r="X352" s="287"/>
      <c r="Y352" s="287"/>
      <c r="Z352" s="252"/>
      <c r="AA352" s="252"/>
      <c r="AB352" s="295"/>
      <c r="AF352" s="243"/>
      <c r="BS352" s="219"/>
    </row>
    <row r="353" spans="1:71" x14ac:dyDescent="0.15">
      <c r="A353" s="292"/>
      <c r="B353" s="251"/>
      <c r="C353" s="212"/>
      <c r="D353" s="251"/>
      <c r="E353" s="293"/>
      <c r="F353" s="293"/>
      <c r="G353" s="293"/>
      <c r="H353" s="293"/>
      <c r="I353" s="251"/>
      <c r="J353" s="212"/>
      <c r="K353" s="212"/>
      <c r="L353" s="253"/>
      <c r="M353" s="252"/>
      <c r="O353" s="211"/>
      <c r="P353" s="211"/>
      <c r="Q353" s="211"/>
      <c r="R353" s="286"/>
      <c r="T353" s="219"/>
      <c r="U353" s="219"/>
      <c r="V353" s="249"/>
      <c r="W353" s="252"/>
      <c r="X353" s="287"/>
      <c r="Y353" s="287"/>
      <c r="Z353" s="252"/>
      <c r="AA353" s="252"/>
      <c r="AB353" s="295"/>
      <c r="AF353" s="243"/>
      <c r="BS353" s="219"/>
    </row>
    <row r="354" spans="1:71" x14ac:dyDescent="0.15">
      <c r="A354" s="292"/>
      <c r="B354" s="251"/>
      <c r="C354" s="212"/>
      <c r="D354" s="251"/>
      <c r="E354" s="293"/>
      <c r="F354" s="293"/>
      <c r="G354" s="293"/>
      <c r="H354" s="293"/>
      <c r="I354" s="251"/>
      <c r="J354" s="212"/>
      <c r="K354" s="212"/>
      <c r="L354" s="253"/>
      <c r="M354" s="252"/>
      <c r="O354" s="211"/>
      <c r="P354" s="211"/>
      <c r="Q354" s="211"/>
      <c r="R354" s="286"/>
      <c r="T354" s="219"/>
      <c r="U354" s="219"/>
      <c r="V354" s="249"/>
      <c r="W354" s="252"/>
      <c r="X354" s="287"/>
      <c r="Y354" s="287"/>
      <c r="Z354" s="252"/>
      <c r="AA354" s="252"/>
      <c r="AB354" s="295"/>
      <c r="AF354" s="243"/>
      <c r="BS354" s="219"/>
    </row>
    <row r="355" spans="1:71" x14ac:dyDescent="0.15">
      <c r="A355" s="292"/>
      <c r="B355" s="251"/>
      <c r="C355" s="212"/>
      <c r="D355" s="251"/>
      <c r="E355" s="293"/>
      <c r="F355" s="293"/>
      <c r="G355" s="293"/>
      <c r="H355" s="293"/>
      <c r="I355" s="251"/>
      <c r="J355" s="212"/>
      <c r="K355" s="212"/>
      <c r="L355" s="253"/>
      <c r="M355" s="252"/>
      <c r="O355" s="211"/>
      <c r="P355" s="211"/>
      <c r="Q355" s="211"/>
      <c r="R355" s="286"/>
      <c r="T355" s="219"/>
      <c r="U355" s="219"/>
      <c r="V355" s="249"/>
      <c r="W355" s="252"/>
      <c r="X355" s="287"/>
      <c r="Y355" s="287"/>
      <c r="Z355" s="252"/>
      <c r="AA355" s="252"/>
      <c r="AB355" s="295"/>
      <c r="AF355" s="243"/>
      <c r="BS355" s="219"/>
    </row>
    <row r="356" spans="1:71" x14ac:dyDescent="0.15">
      <c r="A356" s="292"/>
      <c r="B356" s="251"/>
      <c r="C356" s="212"/>
      <c r="D356" s="251"/>
      <c r="E356" s="293"/>
      <c r="F356" s="293"/>
      <c r="G356" s="293"/>
      <c r="H356" s="293"/>
      <c r="I356" s="251"/>
      <c r="J356" s="212"/>
      <c r="K356" s="212"/>
      <c r="L356" s="253"/>
      <c r="M356" s="252"/>
      <c r="O356" s="211"/>
      <c r="P356" s="211"/>
      <c r="Q356" s="211"/>
      <c r="R356" s="286"/>
      <c r="T356" s="219"/>
      <c r="U356" s="219"/>
      <c r="V356" s="249"/>
      <c r="W356" s="252"/>
      <c r="X356" s="287"/>
      <c r="Y356" s="287"/>
      <c r="Z356" s="252"/>
      <c r="AA356" s="252"/>
      <c r="AB356" s="295"/>
      <c r="AF356" s="243"/>
      <c r="BS356" s="219"/>
    </row>
    <row r="357" spans="1:71" x14ac:dyDescent="0.15">
      <c r="A357" s="292"/>
      <c r="B357" s="251"/>
      <c r="C357" s="212"/>
      <c r="D357" s="251"/>
      <c r="E357" s="293"/>
      <c r="F357" s="293"/>
      <c r="G357" s="293"/>
      <c r="H357" s="293"/>
      <c r="I357" s="251"/>
      <c r="J357" s="212"/>
      <c r="K357" s="212"/>
      <c r="L357" s="253"/>
      <c r="M357" s="252"/>
      <c r="O357" s="211"/>
      <c r="P357" s="211"/>
      <c r="Q357" s="211"/>
      <c r="R357" s="286"/>
      <c r="T357" s="219"/>
      <c r="U357" s="219"/>
      <c r="V357" s="249"/>
      <c r="W357" s="252"/>
      <c r="X357" s="287"/>
      <c r="Y357" s="287"/>
      <c r="Z357" s="252"/>
      <c r="AA357" s="252"/>
      <c r="AB357" s="295"/>
      <c r="AF357" s="243"/>
      <c r="BS357" s="219"/>
    </row>
    <row r="358" spans="1:71" x14ac:dyDescent="0.15">
      <c r="A358" s="292"/>
      <c r="B358" s="251"/>
      <c r="C358" s="212"/>
      <c r="D358" s="251"/>
      <c r="E358" s="293"/>
      <c r="F358" s="293"/>
      <c r="G358" s="293"/>
      <c r="H358" s="293"/>
      <c r="I358" s="251"/>
      <c r="J358" s="212"/>
      <c r="K358" s="212"/>
      <c r="L358" s="253"/>
      <c r="M358" s="252"/>
      <c r="O358" s="211"/>
      <c r="P358" s="211"/>
      <c r="Q358" s="211"/>
      <c r="R358" s="286"/>
      <c r="T358" s="219"/>
      <c r="U358" s="219"/>
      <c r="V358" s="249"/>
      <c r="W358" s="252"/>
      <c r="X358" s="287"/>
      <c r="Y358" s="287"/>
      <c r="Z358" s="252"/>
      <c r="AA358" s="252"/>
      <c r="AB358" s="295"/>
      <c r="AF358" s="243"/>
      <c r="BS358" s="219"/>
    </row>
    <row r="359" spans="1:71" x14ac:dyDescent="0.15">
      <c r="A359" s="292"/>
      <c r="B359" s="251"/>
      <c r="C359" s="212"/>
      <c r="D359" s="251"/>
      <c r="E359" s="293"/>
      <c r="F359" s="293"/>
      <c r="G359" s="293"/>
      <c r="H359" s="293"/>
      <c r="I359" s="251"/>
      <c r="J359" s="212"/>
      <c r="K359" s="212"/>
      <c r="L359" s="253"/>
      <c r="M359" s="252"/>
      <c r="O359" s="211"/>
      <c r="P359" s="211"/>
      <c r="Q359" s="211"/>
      <c r="R359" s="286"/>
      <c r="T359" s="219"/>
      <c r="U359" s="219"/>
      <c r="V359" s="249"/>
      <c r="W359" s="252"/>
      <c r="X359" s="287"/>
      <c r="Y359" s="287"/>
      <c r="Z359" s="252"/>
      <c r="AA359" s="252"/>
      <c r="AB359" s="295"/>
      <c r="AF359" s="243"/>
      <c r="BS359" s="219"/>
    </row>
    <row r="360" spans="1:71" x14ac:dyDescent="0.15">
      <c r="A360" s="292"/>
      <c r="B360" s="251"/>
      <c r="C360" s="212"/>
      <c r="D360" s="251"/>
      <c r="E360" s="293"/>
      <c r="F360" s="293"/>
      <c r="G360" s="293"/>
      <c r="H360" s="293"/>
      <c r="I360" s="251"/>
      <c r="J360" s="212"/>
      <c r="K360" s="212"/>
      <c r="L360" s="253"/>
      <c r="M360" s="252"/>
      <c r="O360" s="211"/>
      <c r="P360" s="211"/>
      <c r="Q360" s="211"/>
      <c r="R360" s="286"/>
      <c r="T360" s="219"/>
      <c r="U360" s="219"/>
      <c r="V360" s="249"/>
      <c r="W360" s="252"/>
      <c r="X360" s="287"/>
      <c r="Y360" s="287"/>
      <c r="Z360" s="252"/>
      <c r="AA360" s="252"/>
      <c r="AB360" s="295"/>
      <c r="AF360" s="243"/>
      <c r="BS360" s="219"/>
    </row>
    <row r="361" spans="1:71" x14ac:dyDescent="0.15">
      <c r="A361" s="292"/>
      <c r="B361" s="251"/>
      <c r="C361" s="212"/>
      <c r="D361" s="251"/>
      <c r="E361" s="293"/>
      <c r="F361" s="293"/>
      <c r="G361" s="293"/>
      <c r="H361" s="293"/>
      <c r="I361" s="251"/>
      <c r="J361" s="212"/>
      <c r="K361" s="212"/>
      <c r="L361" s="253"/>
      <c r="M361" s="252"/>
      <c r="O361" s="211"/>
      <c r="P361" s="211"/>
      <c r="Q361" s="211"/>
      <c r="R361" s="286"/>
      <c r="T361" s="219"/>
      <c r="U361" s="219"/>
      <c r="V361" s="249"/>
      <c r="W361" s="252"/>
      <c r="X361" s="287"/>
      <c r="Y361" s="287"/>
      <c r="Z361" s="252"/>
      <c r="AA361" s="252"/>
      <c r="AB361" s="295"/>
      <c r="AF361" s="243"/>
      <c r="BS361" s="219"/>
    </row>
    <row r="362" spans="1:71" x14ac:dyDescent="0.15">
      <c r="A362" s="292"/>
      <c r="B362" s="251"/>
      <c r="C362" s="212"/>
      <c r="D362" s="251"/>
      <c r="E362" s="293"/>
      <c r="F362" s="293"/>
      <c r="G362" s="293"/>
      <c r="H362" s="293"/>
      <c r="I362" s="251"/>
      <c r="J362" s="212"/>
      <c r="K362" s="212"/>
      <c r="L362" s="253"/>
      <c r="M362" s="252"/>
      <c r="O362" s="211"/>
      <c r="P362" s="211"/>
      <c r="Q362" s="211"/>
      <c r="R362" s="286"/>
      <c r="T362" s="219"/>
      <c r="U362" s="219"/>
      <c r="V362" s="249"/>
      <c r="W362" s="252"/>
      <c r="X362" s="287"/>
      <c r="Y362" s="287"/>
      <c r="Z362" s="252"/>
      <c r="AA362" s="252"/>
      <c r="AB362" s="295"/>
      <c r="AF362" s="243"/>
      <c r="BS362" s="219"/>
    </row>
    <row r="363" spans="1:71" x14ac:dyDescent="0.15">
      <c r="A363" s="292"/>
      <c r="B363" s="251"/>
      <c r="C363" s="212"/>
      <c r="D363" s="251"/>
      <c r="E363" s="293"/>
      <c r="F363" s="293"/>
      <c r="G363" s="293"/>
      <c r="H363" s="293"/>
      <c r="I363" s="251"/>
      <c r="J363" s="212"/>
      <c r="K363" s="212"/>
      <c r="L363" s="253"/>
      <c r="M363" s="252"/>
      <c r="O363" s="211"/>
      <c r="P363" s="211"/>
      <c r="Q363" s="211"/>
      <c r="R363" s="286"/>
      <c r="T363" s="219"/>
      <c r="U363" s="219"/>
      <c r="V363" s="249"/>
      <c r="W363" s="252"/>
      <c r="X363" s="287"/>
      <c r="Y363" s="287"/>
      <c r="Z363" s="252"/>
      <c r="AA363" s="252"/>
      <c r="AB363" s="295"/>
      <c r="AF363" s="243"/>
      <c r="BS363" s="219"/>
    </row>
    <row r="364" spans="1:71" x14ac:dyDescent="0.15">
      <c r="A364" s="292"/>
      <c r="B364" s="251"/>
      <c r="C364" s="212"/>
      <c r="D364" s="251"/>
      <c r="E364" s="293"/>
      <c r="F364" s="293"/>
      <c r="G364" s="293"/>
      <c r="H364" s="293"/>
      <c r="I364" s="251"/>
      <c r="J364" s="212"/>
      <c r="K364" s="212"/>
      <c r="L364" s="253"/>
      <c r="M364" s="252"/>
      <c r="O364" s="211"/>
      <c r="P364" s="211"/>
      <c r="Q364" s="211"/>
      <c r="R364" s="286"/>
      <c r="T364" s="219"/>
      <c r="U364" s="219"/>
      <c r="V364" s="249"/>
      <c r="W364" s="252"/>
      <c r="X364" s="287"/>
      <c r="Y364" s="287"/>
      <c r="Z364" s="252"/>
      <c r="AA364" s="252"/>
      <c r="AB364" s="295"/>
      <c r="AF364" s="243"/>
      <c r="BS364" s="219"/>
    </row>
    <row r="365" spans="1:71" x14ac:dyDescent="0.15">
      <c r="A365" s="292"/>
      <c r="B365" s="251"/>
      <c r="C365" s="212"/>
      <c r="D365" s="251"/>
      <c r="E365" s="293"/>
      <c r="F365" s="293"/>
      <c r="G365" s="293"/>
      <c r="H365" s="293"/>
      <c r="I365" s="251"/>
      <c r="J365" s="212"/>
      <c r="K365" s="212"/>
      <c r="L365" s="253"/>
      <c r="M365" s="252"/>
      <c r="O365" s="211"/>
      <c r="P365" s="211"/>
      <c r="Q365" s="211"/>
      <c r="R365" s="286"/>
      <c r="T365" s="219"/>
      <c r="U365" s="219"/>
      <c r="V365" s="249"/>
      <c r="W365" s="252"/>
      <c r="X365" s="287"/>
      <c r="Y365" s="287"/>
      <c r="Z365" s="252"/>
      <c r="AA365" s="252"/>
      <c r="AB365" s="295"/>
      <c r="AF365" s="243"/>
      <c r="BS365" s="219"/>
    </row>
    <row r="366" spans="1:71" x14ac:dyDescent="0.15">
      <c r="A366" s="292"/>
      <c r="B366" s="251"/>
      <c r="C366" s="212"/>
      <c r="D366" s="251"/>
      <c r="E366" s="293"/>
      <c r="F366" s="293"/>
      <c r="G366" s="293"/>
      <c r="H366" s="293"/>
      <c r="I366" s="251"/>
      <c r="J366" s="212"/>
      <c r="K366" s="212"/>
      <c r="L366" s="253"/>
      <c r="M366" s="252"/>
      <c r="O366" s="211"/>
      <c r="P366" s="211"/>
      <c r="Q366" s="211"/>
      <c r="R366" s="286"/>
      <c r="T366" s="219"/>
      <c r="U366" s="219"/>
      <c r="V366" s="249"/>
      <c r="W366" s="252"/>
      <c r="X366" s="287"/>
      <c r="Y366" s="287"/>
      <c r="Z366" s="252"/>
      <c r="AA366" s="252"/>
      <c r="AB366" s="295"/>
      <c r="AF366" s="243"/>
      <c r="BS366" s="219"/>
    </row>
    <row r="367" spans="1:71" x14ac:dyDescent="0.15">
      <c r="A367" s="292"/>
      <c r="B367" s="251"/>
      <c r="C367" s="212"/>
      <c r="D367" s="251"/>
      <c r="E367" s="293"/>
      <c r="F367" s="293"/>
      <c r="G367" s="293"/>
      <c r="H367" s="293"/>
      <c r="I367" s="251"/>
      <c r="J367" s="212"/>
      <c r="K367" s="212"/>
      <c r="L367" s="253"/>
      <c r="M367" s="252"/>
      <c r="O367" s="211"/>
      <c r="P367" s="211"/>
      <c r="Q367" s="211"/>
      <c r="R367" s="286"/>
      <c r="T367" s="219"/>
      <c r="U367" s="219"/>
      <c r="V367" s="249"/>
      <c r="W367" s="252"/>
      <c r="X367" s="287"/>
      <c r="Y367" s="287"/>
      <c r="Z367" s="252"/>
      <c r="AA367" s="252"/>
      <c r="AB367" s="295"/>
      <c r="AF367" s="243"/>
      <c r="BS367" s="219"/>
    </row>
    <row r="368" spans="1:71" x14ac:dyDescent="0.15">
      <c r="A368" s="292"/>
      <c r="B368" s="251"/>
      <c r="C368" s="212"/>
      <c r="D368" s="251"/>
      <c r="E368" s="293"/>
      <c r="F368" s="293"/>
      <c r="G368" s="293"/>
      <c r="H368" s="293"/>
      <c r="I368" s="251"/>
      <c r="J368" s="212"/>
      <c r="K368" s="212"/>
      <c r="L368" s="253"/>
      <c r="M368" s="252"/>
      <c r="O368" s="211"/>
      <c r="P368" s="211"/>
      <c r="Q368" s="211"/>
      <c r="R368" s="286"/>
      <c r="T368" s="219"/>
      <c r="U368" s="219"/>
      <c r="V368" s="249"/>
      <c r="W368" s="252"/>
      <c r="X368" s="287"/>
      <c r="Y368" s="287"/>
      <c r="Z368" s="252"/>
      <c r="AA368" s="252"/>
      <c r="AB368" s="295"/>
      <c r="AF368" s="243"/>
      <c r="BS368" s="219"/>
    </row>
    <row r="369" spans="1:71" x14ac:dyDescent="0.15">
      <c r="A369" s="292"/>
      <c r="B369" s="251"/>
      <c r="C369" s="212"/>
      <c r="D369" s="251"/>
      <c r="E369" s="293"/>
      <c r="F369" s="293"/>
      <c r="G369" s="293"/>
      <c r="H369" s="293"/>
      <c r="I369" s="251"/>
      <c r="J369" s="212"/>
      <c r="K369" s="212"/>
      <c r="L369" s="253"/>
      <c r="M369" s="252"/>
      <c r="O369" s="211"/>
      <c r="P369" s="211"/>
      <c r="Q369" s="211"/>
      <c r="R369" s="286"/>
      <c r="T369" s="219"/>
      <c r="U369" s="219"/>
      <c r="V369" s="249"/>
      <c r="W369" s="252"/>
      <c r="X369" s="287"/>
      <c r="Y369" s="287"/>
      <c r="Z369" s="252"/>
      <c r="AA369" s="252"/>
      <c r="AB369" s="295"/>
      <c r="AF369" s="243"/>
      <c r="BS369" s="219"/>
    </row>
    <row r="370" spans="1:71" x14ac:dyDescent="0.15">
      <c r="A370" s="292"/>
      <c r="B370" s="251"/>
      <c r="C370" s="212"/>
      <c r="D370" s="251"/>
      <c r="E370" s="293"/>
      <c r="F370" s="293"/>
      <c r="G370" s="293"/>
      <c r="H370" s="293"/>
      <c r="I370" s="251"/>
      <c r="J370" s="212"/>
      <c r="K370" s="212"/>
      <c r="L370" s="253"/>
      <c r="M370" s="252"/>
      <c r="O370" s="211"/>
      <c r="P370" s="211"/>
      <c r="Q370" s="211"/>
      <c r="R370" s="286"/>
      <c r="T370" s="219"/>
      <c r="U370" s="219"/>
      <c r="V370" s="249"/>
      <c r="W370" s="252"/>
      <c r="X370" s="287"/>
      <c r="Y370" s="287"/>
      <c r="Z370" s="252"/>
      <c r="AA370" s="252"/>
      <c r="AB370" s="295"/>
      <c r="AF370" s="243"/>
      <c r="BS370" s="219"/>
    </row>
    <row r="371" spans="1:71" x14ac:dyDescent="0.15">
      <c r="A371" s="292"/>
      <c r="B371" s="251"/>
      <c r="C371" s="212"/>
      <c r="D371" s="251"/>
      <c r="E371" s="293"/>
      <c r="F371" s="293"/>
      <c r="G371" s="293"/>
      <c r="H371" s="293"/>
      <c r="I371" s="251"/>
      <c r="J371" s="212"/>
      <c r="K371" s="212"/>
      <c r="L371" s="253"/>
      <c r="M371" s="252"/>
      <c r="O371" s="211"/>
      <c r="P371" s="211"/>
      <c r="Q371" s="211"/>
      <c r="R371" s="286"/>
      <c r="T371" s="219"/>
      <c r="U371" s="219"/>
      <c r="V371" s="249"/>
      <c r="W371" s="252"/>
      <c r="X371" s="287"/>
      <c r="Y371" s="287"/>
      <c r="Z371" s="252"/>
      <c r="AA371" s="252"/>
      <c r="AB371" s="295"/>
      <c r="AF371" s="243"/>
      <c r="BS371" s="219"/>
    </row>
    <row r="372" spans="1:71" x14ac:dyDescent="0.15">
      <c r="A372" s="292"/>
      <c r="B372" s="251"/>
      <c r="C372" s="212"/>
      <c r="D372" s="251"/>
      <c r="E372" s="293"/>
      <c r="F372" s="293"/>
      <c r="G372" s="293"/>
      <c r="H372" s="293"/>
      <c r="I372" s="251"/>
      <c r="J372" s="212"/>
      <c r="K372" s="212"/>
      <c r="L372" s="253"/>
      <c r="M372" s="252"/>
      <c r="O372" s="211"/>
      <c r="P372" s="211"/>
      <c r="Q372" s="211"/>
      <c r="R372" s="286"/>
      <c r="T372" s="219"/>
      <c r="U372" s="219"/>
      <c r="V372" s="249"/>
      <c r="W372" s="252"/>
      <c r="X372" s="287"/>
      <c r="Y372" s="287"/>
      <c r="Z372" s="252"/>
      <c r="AA372" s="252"/>
      <c r="AB372" s="295"/>
      <c r="AF372" s="243"/>
      <c r="BS372" s="219"/>
    </row>
    <row r="373" spans="1:71" x14ac:dyDescent="0.15">
      <c r="A373" s="292"/>
      <c r="B373" s="251"/>
      <c r="C373" s="212"/>
      <c r="D373" s="251"/>
      <c r="E373" s="293"/>
      <c r="F373" s="293"/>
      <c r="G373" s="293"/>
      <c r="H373" s="293"/>
      <c r="I373" s="251"/>
      <c r="J373" s="212"/>
      <c r="K373" s="212"/>
      <c r="L373" s="253"/>
      <c r="M373" s="252"/>
      <c r="O373" s="211"/>
      <c r="P373" s="211"/>
      <c r="Q373" s="211"/>
      <c r="R373" s="286"/>
      <c r="T373" s="219"/>
      <c r="U373" s="219"/>
      <c r="V373" s="249"/>
      <c r="W373" s="252"/>
      <c r="X373" s="287"/>
      <c r="Y373" s="287"/>
      <c r="Z373" s="252"/>
      <c r="AA373" s="252"/>
      <c r="AB373" s="295"/>
      <c r="AF373" s="243"/>
      <c r="BS373" s="219"/>
    </row>
    <row r="374" spans="1:71" x14ac:dyDescent="0.15">
      <c r="A374" s="292"/>
      <c r="B374" s="251"/>
      <c r="C374" s="212"/>
      <c r="D374" s="251"/>
      <c r="E374" s="293"/>
      <c r="F374" s="293"/>
      <c r="G374" s="293"/>
      <c r="H374" s="293"/>
      <c r="I374" s="251"/>
      <c r="J374" s="212"/>
      <c r="K374" s="212"/>
      <c r="L374" s="253"/>
      <c r="M374" s="252"/>
      <c r="O374" s="211"/>
      <c r="P374" s="211"/>
      <c r="Q374" s="211"/>
      <c r="R374" s="286"/>
      <c r="T374" s="219"/>
      <c r="U374" s="219"/>
      <c r="V374" s="249"/>
      <c r="W374" s="252"/>
      <c r="X374" s="287"/>
      <c r="Y374" s="287"/>
      <c r="Z374" s="252"/>
      <c r="AA374" s="252"/>
      <c r="AB374" s="295"/>
      <c r="AF374" s="243"/>
      <c r="BS374" s="219"/>
    </row>
    <row r="375" spans="1:71" x14ac:dyDescent="0.15">
      <c r="A375" s="292"/>
      <c r="B375" s="251"/>
      <c r="C375" s="212"/>
      <c r="D375" s="251"/>
      <c r="E375" s="293"/>
      <c r="F375" s="293"/>
      <c r="G375" s="293"/>
      <c r="H375" s="293"/>
      <c r="I375" s="251"/>
      <c r="J375" s="212"/>
      <c r="K375" s="212"/>
      <c r="L375" s="253"/>
      <c r="M375" s="252"/>
      <c r="O375" s="211"/>
      <c r="P375" s="211"/>
      <c r="Q375" s="211"/>
      <c r="R375" s="286"/>
      <c r="T375" s="219"/>
      <c r="U375" s="219"/>
      <c r="V375" s="249"/>
      <c r="W375" s="252"/>
      <c r="X375" s="287"/>
      <c r="Y375" s="287"/>
      <c r="Z375" s="252"/>
      <c r="AA375" s="252"/>
      <c r="AB375" s="295"/>
      <c r="AF375" s="243"/>
      <c r="BS375" s="219"/>
    </row>
    <row r="376" spans="1:71" x14ac:dyDescent="0.15">
      <c r="A376" s="292"/>
      <c r="B376" s="251"/>
      <c r="C376" s="212"/>
      <c r="D376" s="251"/>
      <c r="E376" s="293"/>
      <c r="F376" s="293"/>
      <c r="G376" s="293"/>
      <c r="H376" s="293"/>
      <c r="I376" s="251"/>
      <c r="J376" s="212"/>
      <c r="K376" s="212"/>
      <c r="L376" s="253"/>
      <c r="M376" s="252"/>
      <c r="O376" s="211"/>
      <c r="P376" s="211"/>
      <c r="Q376" s="211"/>
      <c r="R376" s="286"/>
      <c r="T376" s="219"/>
      <c r="U376" s="219"/>
      <c r="V376" s="249"/>
      <c r="W376" s="252"/>
      <c r="X376" s="287"/>
      <c r="Y376" s="287"/>
      <c r="Z376" s="252"/>
      <c r="AA376" s="252"/>
      <c r="AB376" s="295"/>
      <c r="AF376" s="243"/>
      <c r="BS376" s="219"/>
    </row>
    <row r="377" spans="1:71" x14ac:dyDescent="0.15">
      <c r="A377" s="292"/>
      <c r="B377" s="251"/>
      <c r="C377" s="212"/>
      <c r="D377" s="251"/>
      <c r="E377" s="293"/>
      <c r="F377" s="293"/>
      <c r="G377" s="293"/>
      <c r="H377" s="293"/>
      <c r="I377" s="251"/>
      <c r="J377" s="212"/>
      <c r="K377" s="212"/>
      <c r="L377" s="253"/>
      <c r="M377" s="252"/>
      <c r="O377" s="211"/>
      <c r="P377" s="211"/>
      <c r="Q377" s="211"/>
      <c r="R377" s="286"/>
      <c r="T377" s="219"/>
      <c r="U377" s="219"/>
      <c r="V377" s="249"/>
      <c r="W377" s="252"/>
      <c r="X377" s="287"/>
      <c r="Y377" s="287"/>
      <c r="Z377" s="252"/>
      <c r="AA377" s="252"/>
      <c r="AB377" s="295"/>
      <c r="AF377" s="243"/>
      <c r="BS377" s="219"/>
    </row>
    <row r="378" spans="1:71" x14ac:dyDescent="0.15">
      <c r="A378" s="292"/>
      <c r="B378" s="251"/>
      <c r="C378" s="212"/>
      <c r="D378" s="251"/>
      <c r="E378" s="293"/>
      <c r="F378" s="293"/>
      <c r="G378" s="293"/>
      <c r="H378" s="293"/>
      <c r="I378" s="251"/>
      <c r="J378" s="212"/>
      <c r="K378" s="212"/>
      <c r="L378" s="253"/>
      <c r="M378" s="252"/>
      <c r="O378" s="211"/>
      <c r="P378" s="211"/>
      <c r="Q378" s="211"/>
      <c r="R378" s="286"/>
      <c r="T378" s="219"/>
      <c r="U378" s="219"/>
      <c r="V378" s="249"/>
      <c r="W378" s="252"/>
      <c r="X378" s="287"/>
      <c r="Y378" s="287"/>
      <c r="Z378" s="252"/>
      <c r="AA378" s="252"/>
      <c r="AB378" s="295"/>
      <c r="AF378" s="243"/>
      <c r="BS378" s="219"/>
    </row>
    <row r="379" spans="1:71" x14ac:dyDescent="0.15">
      <c r="A379" s="292"/>
      <c r="B379" s="251"/>
      <c r="C379" s="212"/>
      <c r="D379" s="251"/>
      <c r="E379" s="293"/>
      <c r="F379" s="293"/>
      <c r="G379" s="293"/>
      <c r="H379" s="293"/>
      <c r="I379" s="251"/>
      <c r="J379" s="212"/>
      <c r="K379" s="212"/>
      <c r="L379" s="253"/>
      <c r="M379" s="252"/>
      <c r="O379" s="211"/>
      <c r="P379" s="211"/>
      <c r="Q379" s="211"/>
      <c r="R379" s="286"/>
      <c r="T379" s="219"/>
      <c r="U379" s="219"/>
      <c r="V379" s="249"/>
      <c r="W379" s="252"/>
      <c r="X379" s="287"/>
      <c r="Y379" s="287"/>
      <c r="Z379" s="252"/>
      <c r="AA379" s="252"/>
      <c r="AB379" s="295"/>
      <c r="AF379" s="243"/>
      <c r="BS379" s="219"/>
    </row>
    <row r="380" spans="1:71" x14ac:dyDescent="0.15">
      <c r="A380" s="292"/>
      <c r="B380" s="251"/>
      <c r="C380" s="212"/>
      <c r="D380" s="251"/>
      <c r="E380" s="293"/>
      <c r="F380" s="293"/>
      <c r="G380" s="293"/>
      <c r="H380" s="293"/>
      <c r="I380" s="251"/>
      <c r="J380" s="212"/>
      <c r="K380" s="212"/>
      <c r="L380" s="253"/>
      <c r="M380" s="252"/>
      <c r="O380" s="211"/>
      <c r="P380" s="211"/>
      <c r="Q380" s="211"/>
      <c r="R380" s="286"/>
      <c r="T380" s="219"/>
      <c r="U380" s="219"/>
      <c r="V380" s="249"/>
      <c r="W380" s="252"/>
      <c r="X380" s="287"/>
      <c r="Y380" s="287"/>
      <c r="Z380" s="252"/>
      <c r="AA380" s="252"/>
      <c r="AB380" s="295"/>
      <c r="AF380" s="243"/>
      <c r="BS380" s="219"/>
    </row>
    <row r="381" spans="1:71" x14ac:dyDescent="0.15">
      <c r="A381" s="292"/>
      <c r="B381" s="251"/>
      <c r="C381" s="212"/>
      <c r="D381" s="251"/>
      <c r="E381" s="293"/>
      <c r="F381" s="293"/>
      <c r="G381" s="293"/>
      <c r="H381" s="293"/>
      <c r="I381" s="251"/>
      <c r="J381" s="212"/>
      <c r="K381" s="212"/>
      <c r="L381" s="253"/>
      <c r="M381" s="252"/>
      <c r="O381" s="211"/>
      <c r="P381" s="211"/>
      <c r="Q381" s="211"/>
      <c r="R381" s="286"/>
      <c r="T381" s="219"/>
      <c r="U381" s="219"/>
      <c r="V381" s="249"/>
      <c r="W381" s="252"/>
      <c r="X381" s="287"/>
      <c r="Y381" s="287"/>
      <c r="Z381" s="252"/>
      <c r="AA381" s="252"/>
      <c r="AB381" s="295"/>
      <c r="AF381" s="243"/>
      <c r="BS381" s="219"/>
    </row>
    <row r="382" spans="1:71" x14ac:dyDescent="0.15">
      <c r="A382" s="292"/>
      <c r="B382" s="251"/>
      <c r="C382" s="212"/>
      <c r="D382" s="251"/>
      <c r="E382" s="293"/>
      <c r="F382" s="293"/>
      <c r="G382" s="293"/>
      <c r="H382" s="293"/>
      <c r="I382" s="251"/>
      <c r="J382" s="212"/>
      <c r="K382" s="212"/>
      <c r="L382" s="253"/>
      <c r="M382" s="252"/>
      <c r="O382" s="211"/>
      <c r="P382" s="211"/>
      <c r="Q382" s="211"/>
      <c r="R382" s="286"/>
      <c r="T382" s="219"/>
      <c r="U382" s="219"/>
      <c r="V382" s="249"/>
      <c r="W382" s="252"/>
      <c r="X382" s="287"/>
      <c r="Y382" s="287"/>
      <c r="Z382" s="252"/>
      <c r="AA382" s="252"/>
      <c r="AB382" s="295"/>
      <c r="AF382" s="243"/>
      <c r="BS382" s="219"/>
    </row>
    <row r="383" spans="1:71" x14ac:dyDescent="0.15">
      <c r="A383" s="292"/>
      <c r="B383" s="251"/>
      <c r="C383" s="212"/>
      <c r="D383" s="251"/>
      <c r="E383" s="293"/>
      <c r="F383" s="293"/>
      <c r="G383" s="293"/>
      <c r="H383" s="293"/>
      <c r="I383" s="251"/>
      <c r="J383" s="212"/>
      <c r="K383" s="212"/>
      <c r="L383" s="253"/>
      <c r="M383" s="252"/>
      <c r="O383" s="211"/>
      <c r="P383" s="211"/>
      <c r="Q383" s="211"/>
      <c r="R383" s="286"/>
      <c r="T383" s="219"/>
      <c r="U383" s="219"/>
      <c r="V383" s="249"/>
      <c r="W383" s="252"/>
      <c r="X383" s="287"/>
      <c r="Y383" s="287"/>
      <c r="Z383" s="252"/>
      <c r="AA383" s="252"/>
      <c r="AB383" s="295"/>
      <c r="AF383" s="243"/>
      <c r="BS383" s="219"/>
    </row>
    <row r="384" spans="1:71" x14ac:dyDescent="0.15">
      <c r="A384" s="292"/>
      <c r="B384" s="251"/>
      <c r="C384" s="212"/>
      <c r="D384" s="251"/>
      <c r="E384" s="293"/>
      <c r="F384" s="293"/>
      <c r="G384" s="293"/>
      <c r="H384" s="293"/>
      <c r="I384" s="251"/>
      <c r="J384" s="212"/>
      <c r="K384" s="212"/>
      <c r="L384" s="253"/>
      <c r="M384" s="252"/>
      <c r="O384" s="211"/>
      <c r="P384" s="211"/>
      <c r="Q384" s="211"/>
      <c r="R384" s="286"/>
      <c r="T384" s="219"/>
      <c r="U384" s="219"/>
      <c r="V384" s="249"/>
      <c r="W384" s="252"/>
      <c r="X384" s="287"/>
      <c r="Y384" s="287"/>
      <c r="Z384" s="252"/>
      <c r="AA384" s="252"/>
      <c r="AB384" s="295"/>
      <c r="AF384" s="243"/>
      <c r="BS384" s="219"/>
    </row>
    <row r="385" spans="1:71" x14ac:dyDescent="0.15">
      <c r="A385" s="292"/>
      <c r="B385" s="251"/>
      <c r="C385" s="212"/>
      <c r="D385" s="251"/>
      <c r="E385" s="293"/>
      <c r="F385" s="293"/>
      <c r="G385" s="293"/>
      <c r="H385" s="293"/>
      <c r="I385" s="251"/>
      <c r="J385" s="212"/>
      <c r="K385" s="212"/>
      <c r="L385" s="253"/>
      <c r="M385" s="252"/>
      <c r="O385" s="211"/>
      <c r="P385" s="211"/>
      <c r="Q385" s="211"/>
      <c r="R385" s="286"/>
      <c r="T385" s="219"/>
      <c r="U385" s="219"/>
      <c r="V385" s="249"/>
      <c r="W385" s="252"/>
      <c r="X385" s="287"/>
      <c r="Y385" s="287"/>
      <c r="Z385" s="252"/>
      <c r="AA385" s="252"/>
      <c r="AB385" s="295"/>
      <c r="AF385" s="243"/>
      <c r="BS385" s="219"/>
    </row>
    <row r="386" spans="1:71" x14ac:dyDescent="0.15">
      <c r="A386" s="292"/>
      <c r="B386" s="251"/>
      <c r="C386" s="212"/>
      <c r="D386" s="251"/>
      <c r="E386" s="293"/>
      <c r="F386" s="293"/>
      <c r="G386" s="293"/>
      <c r="H386" s="293"/>
      <c r="I386" s="251"/>
      <c r="J386" s="212"/>
      <c r="K386" s="212"/>
      <c r="L386" s="253"/>
      <c r="M386" s="252"/>
      <c r="O386" s="211"/>
      <c r="P386" s="211"/>
      <c r="Q386" s="211"/>
      <c r="R386" s="286"/>
      <c r="T386" s="219"/>
      <c r="U386" s="219"/>
      <c r="V386" s="249"/>
      <c r="W386" s="252"/>
      <c r="X386" s="287"/>
      <c r="Y386" s="287"/>
      <c r="Z386" s="252"/>
      <c r="AA386" s="252"/>
      <c r="AB386" s="295"/>
      <c r="AF386" s="243"/>
      <c r="BS386" s="219"/>
    </row>
    <row r="387" spans="1:71" x14ac:dyDescent="0.15">
      <c r="A387" s="292"/>
      <c r="B387" s="212"/>
      <c r="C387" s="212"/>
      <c r="D387" s="212"/>
      <c r="E387" s="212"/>
      <c r="F387" s="251"/>
      <c r="G387" s="212"/>
      <c r="H387" s="251"/>
      <c r="J387" s="212"/>
      <c r="K387" s="212"/>
      <c r="L387" s="253"/>
      <c r="M387" s="252"/>
      <c r="O387" s="211"/>
      <c r="P387" s="211"/>
      <c r="Q387" s="211"/>
      <c r="R387" s="286"/>
      <c r="T387" s="219"/>
      <c r="U387" s="219"/>
      <c r="V387" s="249"/>
      <c r="W387" s="252"/>
      <c r="X387" s="287"/>
      <c r="Y387" s="287"/>
      <c r="Z387" s="252"/>
      <c r="AA387" s="252"/>
      <c r="AB387" s="295"/>
      <c r="AF387" s="243"/>
      <c r="BS387" s="219"/>
    </row>
    <row r="388" spans="1:71" x14ac:dyDescent="0.15">
      <c r="A388" s="292"/>
      <c r="B388" s="212"/>
      <c r="C388" s="212"/>
      <c r="D388" s="212"/>
      <c r="E388" s="212"/>
      <c r="F388" s="251"/>
      <c r="G388" s="212"/>
      <c r="H388" s="251"/>
      <c r="J388" s="212"/>
      <c r="K388" s="212"/>
      <c r="L388" s="253"/>
      <c r="M388" s="252"/>
      <c r="O388" s="211"/>
      <c r="P388" s="211"/>
      <c r="Q388" s="211"/>
      <c r="R388" s="286"/>
      <c r="T388" s="219"/>
      <c r="U388" s="219"/>
      <c r="V388" s="249"/>
      <c r="W388" s="252"/>
      <c r="X388" s="287"/>
      <c r="Y388" s="287"/>
      <c r="Z388" s="252"/>
      <c r="AA388" s="252"/>
      <c r="AB388" s="295"/>
      <c r="AF388" s="243"/>
      <c r="BS388" s="219"/>
    </row>
    <row r="389" spans="1:71" x14ac:dyDescent="0.15">
      <c r="A389" s="292"/>
      <c r="B389" s="212"/>
      <c r="C389" s="212"/>
      <c r="D389" s="212"/>
      <c r="E389" s="212"/>
      <c r="F389" s="251"/>
      <c r="G389" s="212"/>
      <c r="H389" s="251"/>
      <c r="J389" s="212"/>
      <c r="K389" s="212"/>
      <c r="L389" s="253"/>
      <c r="M389" s="252"/>
      <c r="O389" s="211"/>
      <c r="P389" s="211"/>
      <c r="Q389" s="211"/>
      <c r="R389" s="286"/>
      <c r="T389" s="219"/>
      <c r="U389" s="219"/>
      <c r="V389" s="249"/>
      <c r="W389" s="252"/>
      <c r="X389" s="287"/>
      <c r="Y389" s="287"/>
      <c r="Z389" s="252"/>
      <c r="AA389" s="252"/>
      <c r="AB389" s="295"/>
      <c r="AF389" s="243"/>
      <c r="BS389" s="219"/>
    </row>
    <row r="390" spans="1:71" x14ac:dyDescent="0.15">
      <c r="A390" s="292"/>
      <c r="B390" s="212"/>
      <c r="C390" s="212"/>
      <c r="D390" s="212"/>
      <c r="E390" s="212"/>
      <c r="F390" s="251"/>
      <c r="G390" s="212"/>
      <c r="H390" s="251"/>
      <c r="J390" s="212"/>
      <c r="K390" s="212"/>
      <c r="L390" s="253"/>
      <c r="M390" s="252"/>
      <c r="O390" s="211"/>
      <c r="P390" s="211"/>
      <c r="Q390" s="211"/>
      <c r="R390" s="286"/>
      <c r="T390" s="219"/>
      <c r="U390" s="219"/>
      <c r="V390" s="249"/>
      <c r="W390" s="252"/>
      <c r="X390" s="287"/>
      <c r="Y390" s="287"/>
      <c r="Z390" s="252"/>
      <c r="AA390" s="252"/>
      <c r="AB390" s="295"/>
      <c r="AF390" s="243"/>
      <c r="BS390" s="219"/>
    </row>
    <row r="391" spans="1:71" x14ac:dyDescent="0.15">
      <c r="A391" s="292"/>
      <c r="B391" s="212"/>
      <c r="C391" s="212"/>
      <c r="D391" s="212"/>
      <c r="E391" s="212"/>
      <c r="F391" s="251"/>
      <c r="G391" s="212"/>
      <c r="H391" s="251"/>
      <c r="J391" s="212"/>
      <c r="K391" s="212"/>
      <c r="L391" s="253"/>
      <c r="M391" s="252"/>
      <c r="O391" s="211"/>
      <c r="P391" s="211"/>
      <c r="Q391" s="211"/>
      <c r="R391" s="286"/>
      <c r="T391" s="219"/>
      <c r="U391" s="219"/>
      <c r="V391" s="249"/>
      <c r="W391" s="252"/>
      <c r="X391" s="287"/>
      <c r="Y391" s="287"/>
      <c r="Z391" s="252"/>
      <c r="AA391" s="252"/>
      <c r="AB391" s="295"/>
      <c r="AF391" s="243"/>
      <c r="BS391" s="219"/>
    </row>
    <row r="392" spans="1:71" x14ac:dyDescent="0.15">
      <c r="A392" s="292"/>
      <c r="B392" s="212"/>
      <c r="C392" s="212"/>
      <c r="D392" s="212"/>
      <c r="E392" s="212"/>
      <c r="F392" s="251"/>
      <c r="G392" s="212"/>
      <c r="H392" s="251"/>
      <c r="J392" s="212"/>
      <c r="K392" s="212"/>
      <c r="L392" s="253"/>
      <c r="M392" s="252"/>
      <c r="O392" s="211"/>
      <c r="P392" s="211"/>
      <c r="Q392" s="211"/>
      <c r="R392" s="286"/>
      <c r="T392" s="219"/>
      <c r="U392" s="219"/>
      <c r="V392" s="249"/>
      <c r="W392" s="252"/>
      <c r="X392" s="287"/>
      <c r="Y392" s="287"/>
      <c r="Z392" s="252"/>
      <c r="AA392" s="252"/>
      <c r="AB392" s="295"/>
      <c r="AF392" s="243"/>
      <c r="BS392" s="219"/>
    </row>
    <row r="393" spans="1:71" x14ac:dyDescent="0.15">
      <c r="A393" s="292"/>
      <c r="B393" s="212"/>
      <c r="C393" s="212"/>
      <c r="D393" s="212"/>
      <c r="E393" s="212"/>
      <c r="F393" s="251"/>
      <c r="G393" s="212"/>
      <c r="H393" s="251"/>
      <c r="J393" s="212"/>
      <c r="K393" s="212"/>
      <c r="L393" s="253"/>
      <c r="M393" s="252"/>
      <c r="O393" s="211"/>
      <c r="P393" s="211"/>
      <c r="Q393" s="211"/>
      <c r="R393" s="286"/>
      <c r="T393" s="219"/>
      <c r="U393" s="219"/>
      <c r="V393" s="249"/>
      <c r="W393" s="252"/>
      <c r="X393" s="287"/>
      <c r="Y393" s="287"/>
      <c r="Z393" s="252"/>
      <c r="AA393" s="252"/>
      <c r="AB393" s="295"/>
      <c r="AF393" s="243"/>
      <c r="BS393" s="219"/>
    </row>
    <row r="394" spans="1:71" x14ac:dyDescent="0.15">
      <c r="A394" s="292"/>
      <c r="B394" s="212"/>
      <c r="C394" s="212"/>
      <c r="D394" s="212"/>
      <c r="E394" s="212"/>
      <c r="F394" s="251"/>
      <c r="G394" s="212"/>
      <c r="H394" s="251"/>
      <c r="J394" s="212"/>
      <c r="K394" s="212"/>
      <c r="L394" s="253"/>
      <c r="M394" s="252"/>
      <c r="O394" s="211"/>
      <c r="P394" s="211"/>
      <c r="Q394" s="211"/>
      <c r="R394" s="286"/>
      <c r="T394" s="219"/>
      <c r="U394" s="219"/>
      <c r="V394" s="249"/>
      <c r="W394" s="252"/>
      <c r="X394" s="287"/>
      <c r="Y394" s="287"/>
      <c r="Z394" s="252"/>
      <c r="AA394" s="252"/>
      <c r="AB394" s="295"/>
      <c r="AF394" s="243"/>
      <c r="BS394" s="219"/>
    </row>
    <row r="395" spans="1:71" x14ac:dyDescent="0.15">
      <c r="A395" s="292"/>
      <c r="B395" s="212"/>
      <c r="C395" s="212"/>
      <c r="D395" s="212"/>
      <c r="E395" s="212"/>
      <c r="F395" s="251"/>
      <c r="G395" s="212"/>
      <c r="H395" s="251"/>
      <c r="J395" s="212"/>
      <c r="K395" s="212"/>
      <c r="L395" s="253"/>
      <c r="M395" s="252"/>
      <c r="O395" s="211"/>
      <c r="P395" s="211"/>
      <c r="Q395" s="211"/>
      <c r="R395" s="286"/>
      <c r="T395" s="219"/>
      <c r="U395" s="219"/>
      <c r="V395" s="249"/>
      <c r="W395" s="252"/>
      <c r="X395" s="287"/>
      <c r="Y395" s="287"/>
      <c r="Z395" s="252"/>
      <c r="AA395" s="252"/>
      <c r="AB395" s="295"/>
      <c r="AF395" s="243"/>
      <c r="BS395" s="219"/>
    </row>
    <row r="396" spans="1:71" x14ac:dyDescent="0.15">
      <c r="A396" s="292"/>
      <c r="B396" s="212"/>
      <c r="C396" s="212"/>
      <c r="D396" s="212"/>
      <c r="E396" s="212"/>
      <c r="F396" s="251"/>
      <c r="G396" s="212"/>
      <c r="H396" s="251"/>
      <c r="J396" s="212"/>
      <c r="K396" s="212"/>
      <c r="L396" s="253"/>
      <c r="M396" s="252"/>
      <c r="O396" s="211"/>
      <c r="P396" s="211"/>
      <c r="Q396" s="211"/>
      <c r="R396" s="286"/>
      <c r="T396" s="219"/>
      <c r="U396" s="219"/>
      <c r="V396" s="249"/>
      <c r="W396" s="252"/>
      <c r="X396" s="287"/>
      <c r="Y396" s="287"/>
      <c r="Z396" s="252"/>
      <c r="AA396" s="252"/>
      <c r="AB396" s="295"/>
      <c r="AF396" s="243"/>
      <c r="BS396" s="219"/>
    </row>
    <row r="397" spans="1:71" x14ac:dyDescent="0.15">
      <c r="A397" s="292"/>
      <c r="B397" s="212"/>
      <c r="C397" s="212"/>
      <c r="D397" s="212"/>
      <c r="E397" s="212"/>
      <c r="F397" s="251"/>
      <c r="G397" s="212"/>
      <c r="H397" s="251"/>
      <c r="J397" s="212"/>
      <c r="K397" s="212"/>
      <c r="L397" s="253"/>
      <c r="M397" s="252"/>
      <c r="O397" s="211"/>
      <c r="P397" s="211"/>
      <c r="Q397" s="211"/>
      <c r="R397" s="286"/>
      <c r="T397" s="219"/>
      <c r="U397" s="219"/>
      <c r="V397" s="249"/>
      <c r="W397" s="252"/>
      <c r="X397" s="287"/>
      <c r="Y397" s="287"/>
      <c r="Z397" s="252"/>
      <c r="AA397" s="252"/>
      <c r="AB397" s="295"/>
      <c r="AF397" s="243"/>
      <c r="BS397" s="219"/>
    </row>
    <row r="398" spans="1:71" x14ac:dyDescent="0.15">
      <c r="A398" s="292"/>
      <c r="B398" s="212"/>
      <c r="C398" s="212"/>
      <c r="D398" s="212"/>
      <c r="E398" s="212"/>
      <c r="F398" s="251"/>
      <c r="G398" s="212"/>
      <c r="H398" s="251"/>
      <c r="J398" s="212"/>
      <c r="K398" s="212"/>
      <c r="L398" s="253"/>
      <c r="M398" s="252"/>
      <c r="O398" s="211"/>
      <c r="P398" s="211"/>
      <c r="Q398" s="211"/>
      <c r="R398" s="286"/>
      <c r="T398" s="219"/>
      <c r="U398" s="219"/>
      <c r="V398" s="249"/>
      <c r="W398" s="252"/>
      <c r="X398" s="287"/>
      <c r="Y398" s="287"/>
      <c r="Z398" s="252"/>
      <c r="AA398" s="252"/>
      <c r="AB398" s="295"/>
      <c r="AF398" s="243"/>
      <c r="BS398" s="219"/>
    </row>
    <row r="399" spans="1:71" x14ac:dyDescent="0.15">
      <c r="A399" s="292"/>
      <c r="B399" s="212"/>
      <c r="C399" s="212"/>
      <c r="D399" s="212"/>
      <c r="E399" s="212"/>
      <c r="F399" s="251"/>
      <c r="G399" s="212"/>
      <c r="H399" s="251"/>
      <c r="J399" s="212"/>
      <c r="K399" s="212"/>
      <c r="L399" s="253"/>
      <c r="M399" s="252"/>
      <c r="O399" s="211"/>
      <c r="P399" s="211"/>
      <c r="Q399" s="211"/>
      <c r="R399" s="286"/>
      <c r="T399" s="219"/>
      <c r="U399" s="219"/>
      <c r="V399" s="249"/>
      <c r="W399" s="252"/>
      <c r="X399" s="287"/>
      <c r="Y399" s="287"/>
      <c r="Z399" s="252"/>
      <c r="AA399" s="252"/>
      <c r="AB399" s="295"/>
      <c r="AF399" s="243"/>
      <c r="BS399" s="219"/>
    </row>
    <row r="400" spans="1:71" x14ac:dyDescent="0.15">
      <c r="A400" s="292"/>
      <c r="B400" s="212"/>
      <c r="C400" s="212"/>
      <c r="D400" s="212"/>
      <c r="E400" s="212"/>
      <c r="F400" s="251"/>
      <c r="G400" s="212"/>
      <c r="H400" s="251"/>
      <c r="J400" s="212"/>
      <c r="K400" s="212"/>
      <c r="L400" s="253"/>
      <c r="M400" s="252"/>
      <c r="O400" s="211"/>
      <c r="P400" s="211"/>
      <c r="Q400" s="211"/>
      <c r="R400" s="286"/>
      <c r="T400" s="219"/>
      <c r="U400" s="219"/>
      <c r="V400" s="249"/>
      <c r="W400" s="252"/>
      <c r="X400" s="287"/>
      <c r="Y400" s="287"/>
      <c r="Z400" s="252"/>
      <c r="AA400" s="252"/>
      <c r="AB400" s="295"/>
      <c r="AF400" s="243"/>
      <c r="BS400" s="219"/>
    </row>
    <row r="401" spans="1:71" x14ac:dyDescent="0.15">
      <c r="A401" s="292"/>
      <c r="B401" s="212"/>
      <c r="C401" s="212"/>
      <c r="D401" s="212"/>
      <c r="E401" s="212"/>
      <c r="F401" s="251"/>
      <c r="G401" s="212"/>
      <c r="H401" s="251"/>
      <c r="J401" s="212"/>
      <c r="K401" s="212"/>
      <c r="L401" s="253"/>
      <c r="M401" s="252"/>
      <c r="O401" s="211"/>
      <c r="P401" s="211"/>
      <c r="Q401" s="211"/>
      <c r="R401" s="286"/>
      <c r="T401" s="219"/>
      <c r="U401" s="219"/>
      <c r="V401" s="249"/>
      <c r="W401" s="252"/>
      <c r="X401" s="287"/>
      <c r="Y401" s="287"/>
      <c r="Z401" s="252"/>
      <c r="AA401" s="252"/>
      <c r="AB401" s="295"/>
      <c r="AF401" s="243"/>
      <c r="BS401" s="219"/>
    </row>
    <row r="402" spans="1:71" x14ac:dyDescent="0.15">
      <c r="A402" s="292"/>
      <c r="B402" s="212"/>
      <c r="C402" s="212"/>
      <c r="D402" s="212"/>
      <c r="E402" s="212"/>
      <c r="F402" s="251"/>
      <c r="G402" s="212"/>
      <c r="H402" s="251"/>
      <c r="J402" s="212"/>
      <c r="K402" s="212"/>
      <c r="L402" s="253"/>
      <c r="M402" s="252"/>
      <c r="O402" s="211"/>
      <c r="P402" s="211"/>
      <c r="Q402" s="211"/>
      <c r="R402" s="286"/>
      <c r="T402" s="219"/>
      <c r="U402" s="219"/>
      <c r="V402" s="249"/>
      <c r="W402" s="252"/>
      <c r="X402" s="287"/>
      <c r="Y402" s="287"/>
      <c r="Z402" s="252"/>
      <c r="AA402" s="252"/>
      <c r="AB402" s="295"/>
      <c r="AF402" s="243"/>
      <c r="BS402" s="219"/>
    </row>
    <row r="403" spans="1:71" x14ac:dyDescent="0.15">
      <c r="A403" s="292"/>
      <c r="B403" s="212"/>
      <c r="C403" s="212"/>
      <c r="D403" s="212"/>
      <c r="E403" s="212"/>
      <c r="F403" s="251"/>
      <c r="G403" s="212"/>
      <c r="H403" s="251"/>
      <c r="J403" s="212"/>
      <c r="K403" s="212"/>
      <c r="L403" s="253"/>
      <c r="M403" s="252"/>
      <c r="O403" s="211"/>
      <c r="P403" s="211"/>
      <c r="Q403" s="211"/>
      <c r="R403" s="286"/>
      <c r="T403" s="219"/>
      <c r="U403" s="219"/>
      <c r="V403" s="249"/>
      <c r="W403" s="252"/>
      <c r="X403" s="287"/>
      <c r="Y403" s="287"/>
      <c r="Z403" s="252"/>
      <c r="AA403" s="252"/>
      <c r="AB403" s="295"/>
      <c r="AF403" s="243"/>
      <c r="BS403" s="219"/>
    </row>
    <row r="404" spans="1:71" x14ac:dyDescent="0.15">
      <c r="A404" s="292"/>
      <c r="B404" s="212"/>
      <c r="C404" s="212"/>
      <c r="D404" s="212"/>
      <c r="E404" s="212"/>
      <c r="F404" s="251"/>
      <c r="G404" s="212"/>
      <c r="H404" s="251"/>
      <c r="J404" s="212"/>
      <c r="K404" s="212"/>
      <c r="L404" s="253"/>
      <c r="M404" s="252"/>
      <c r="O404" s="211"/>
      <c r="P404" s="211"/>
      <c r="Q404" s="211"/>
      <c r="R404" s="286"/>
      <c r="T404" s="219"/>
      <c r="U404" s="219"/>
      <c r="V404" s="249"/>
      <c r="W404" s="252"/>
      <c r="X404" s="287"/>
      <c r="Y404" s="287"/>
      <c r="Z404" s="252"/>
      <c r="AA404" s="252"/>
      <c r="AB404" s="295"/>
      <c r="AF404" s="243"/>
      <c r="BS404" s="219"/>
    </row>
    <row r="405" spans="1:71" x14ac:dyDescent="0.15">
      <c r="A405" s="292"/>
      <c r="B405" s="212"/>
      <c r="C405" s="212"/>
      <c r="D405" s="212"/>
      <c r="E405" s="212"/>
      <c r="F405" s="251"/>
      <c r="G405" s="212"/>
      <c r="H405" s="251"/>
      <c r="J405" s="212"/>
      <c r="K405" s="212"/>
      <c r="L405" s="253"/>
      <c r="M405" s="252"/>
      <c r="O405" s="211"/>
      <c r="P405" s="211"/>
      <c r="Q405" s="211"/>
      <c r="R405" s="286"/>
      <c r="T405" s="219"/>
      <c r="U405" s="219"/>
      <c r="V405" s="249"/>
      <c r="W405" s="252"/>
      <c r="X405" s="287"/>
      <c r="Y405" s="287"/>
      <c r="Z405" s="252"/>
      <c r="AA405" s="252"/>
      <c r="AB405" s="295"/>
      <c r="AF405" s="243"/>
      <c r="BS405" s="219"/>
    </row>
    <row r="406" spans="1:71" x14ac:dyDescent="0.15">
      <c r="A406" s="292"/>
      <c r="B406" s="212"/>
      <c r="C406" s="212"/>
      <c r="D406" s="212"/>
      <c r="E406" s="212"/>
      <c r="F406" s="251"/>
      <c r="G406" s="212"/>
      <c r="H406" s="251"/>
      <c r="J406" s="212"/>
      <c r="K406" s="212"/>
      <c r="L406" s="253"/>
      <c r="M406" s="252"/>
      <c r="O406" s="211"/>
      <c r="P406" s="211"/>
      <c r="Q406" s="211"/>
      <c r="R406" s="286"/>
      <c r="T406" s="219"/>
      <c r="U406" s="219"/>
      <c r="V406" s="249"/>
      <c r="W406" s="252"/>
      <c r="X406" s="287"/>
      <c r="Y406" s="287"/>
      <c r="Z406" s="252"/>
      <c r="AA406" s="252"/>
      <c r="AB406" s="295"/>
      <c r="AF406" s="243"/>
      <c r="BS406" s="219"/>
    </row>
    <row r="407" spans="1:71" x14ac:dyDescent="0.15">
      <c r="A407" s="292"/>
      <c r="B407" s="212"/>
      <c r="C407" s="212"/>
      <c r="D407" s="212"/>
      <c r="E407" s="212"/>
      <c r="F407" s="251"/>
      <c r="G407" s="212"/>
      <c r="H407" s="251"/>
      <c r="J407" s="212"/>
      <c r="K407" s="212"/>
      <c r="L407" s="253"/>
      <c r="M407" s="252"/>
      <c r="O407" s="211"/>
      <c r="P407" s="211"/>
      <c r="Q407" s="211"/>
      <c r="R407" s="286"/>
      <c r="T407" s="219"/>
      <c r="U407" s="219"/>
      <c r="V407" s="249"/>
      <c r="W407" s="252"/>
      <c r="X407" s="287"/>
      <c r="Y407" s="287"/>
      <c r="Z407" s="252"/>
      <c r="AA407" s="252"/>
      <c r="AB407" s="295"/>
      <c r="AF407" s="243"/>
      <c r="BS407" s="219"/>
    </row>
    <row r="408" spans="1:71" x14ac:dyDescent="0.15">
      <c r="A408" s="292"/>
      <c r="B408" s="212"/>
      <c r="C408" s="212"/>
      <c r="D408" s="212"/>
      <c r="E408" s="212"/>
      <c r="F408" s="251"/>
      <c r="G408" s="212"/>
      <c r="H408" s="251"/>
      <c r="J408" s="212"/>
      <c r="K408" s="212"/>
      <c r="L408" s="253"/>
      <c r="M408" s="252"/>
      <c r="O408" s="211"/>
      <c r="P408" s="211"/>
      <c r="Q408" s="211"/>
      <c r="R408" s="286"/>
      <c r="T408" s="219"/>
      <c r="U408" s="219"/>
      <c r="V408" s="249"/>
      <c r="W408" s="252"/>
      <c r="X408" s="287"/>
      <c r="Y408" s="287"/>
      <c r="Z408" s="252"/>
      <c r="AA408" s="252"/>
      <c r="AB408" s="295"/>
      <c r="AF408" s="243"/>
      <c r="BS408" s="219"/>
    </row>
    <row r="409" spans="1:71" x14ac:dyDescent="0.15">
      <c r="A409" s="292"/>
      <c r="B409" s="212"/>
      <c r="C409" s="212"/>
      <c r="D409" s="212"/>
      <c r="E409" s="212"/>
      <c r="F409" s="251"/>
      <c r="G409" s="212"/>
      <c r="H409" s="251"/>
      <c r="J409" s="212"/>
      <c r="K409" s="212"/>
      <c r="L409" s="253"/>
      <c r="M409" s="252"/>
      <c r="O409" s="211"/>
      <c r="P409" s="211"/>
      <c r="Q409" s="211"/>
      <c r="R409" s="286"/>
      <c r="T409" s="219"/>
      <c r="U409" s="219"/>
      <c r="V409" s="249"/>
      <c r="W409" s="252"/>
      <c r="X409" s="287"/>
      <c r="Y409" s="287"/>
      <c r="Z409" s="252"/>
      <c r="AA409" s="252"/>
      <c r="AB409" s="295"/>
      <c r="AF409" s="243"/>
      <c r="BS409" s="219"/>
    </row>
    <row r="410" spans="1:71" x14ac:dyDescent="0.15">
      <c r="A410" s="292"/>
      <c r="B410" s="212"/>
      <c r="C410" s="212"/>
      <c r="D410" s="212"/>
      <c r="E410" s="212"/>
      <c r="F410" s="251"/>
      <c r="G410" s="212"/>
      <c r="H410" s="251"/>
      <c r="J410" s="212"/>
      <c r="K410" s="212"/>
      <c r="L410" s="253"/>
      <c r="M410" s="252"/>
      <c r="O410" s="211"/>
      <c r="P410" s="211"/>
      <c r="Q410" s="211"/>
      <c r="R410" s="286"/>
      <c r="T410" s="219"/>
      <c r="U410" s="219"/>
      <c r="V410" s="249"/>
      <c r="W410" s="252"/>
      <c r="X410" s="287"/>
      <c r="Y410" s="287"/>
      <c r="Z410" s="252"/>
      <c r="AA410" s="252"/>
      <c r="AB410" s="295"/>
      <c r="AF410" s="243"/>
      <c r="BS410" s="219"/>
    </row>
    <row r="411" spans="1:71" x14ac:dyDescent="0.15">
      <c r="A411" s="292"/>
      <c r="B411" s="212"/>
      <c r="C411" s="212"/>
      <c r="D411" s="212"/>
      <c r="E411" s="212"/>
      <c r="F411" s="251"/>
      <c r="G411" s="212"/>
      <c r="H411" s="251"/>
      <c r="J411" s="212"/>
      <c r="K411" s="212"/>
      <c r="L411" s="253"/>
      <c r="M411" s="252"/>
      <c r="O411" s="211"/>
      <c r="P411" s="211"/>
      <c r="Q411" s="211"/>
      <c r="R411" s="286"/>
      <c r="T411" s="219"/>
      <c r="U411" s="219"/>
      <c r="V411" s="249"/>
      <c r="W411" s="252"/>
      <c r="X411" s="287"/>
      <c r="Y411" s="287"/>
      <c r="Z411" s="252"/>
      <c r="AA411" s="252"/>
      <c r="AB411" s="295"/>
      <c r="AF411" s="243"/>
      <c r="BS411" s="219"/>
    </row>
    <row r="412" spans="1:71" x14ac:dyDescent="0.15">
      <c r="A412" s="292"/>
      <c r="B412" s="212"/>
      <c r="C412" s="212"/>
      <c r="D412" s="212"/>
      <c r="E412" s="212"/>
      <c r="F412" s="251"/>
      <c r="G412" s="212"/>
      <c r="H412" s="251"/>
      <c r="J412" s="212"/>
      <c r="K412" s="212"/>
      <c r="L412" s="253"/>
      <c r="M412" s="252"/>
      <c r="O412" s="211"/>
      <c r="P412" s="211"/>
      <c r="Q412" s="211"/>
      <c r="R412" s="286"/>
      <c r="T412" s="219"/>
      <c r="U412" s="219"/>
      <c r="V412" s="249"/>
      <c r="W412" s="252"/>
      <c r="X412" s="287"/>
      <c r="Y412" s="287"/>
      <c r="Z412" s="252"/>
      <c r="AA412" s="252"/>
      <c r="AB412" s="295"/>
      <c r="AF412" s="243"/>
      <c r="BS412" s="219"/>
    </row>
    <row r="413" spans="1:71" x14ac:dyDescent="0.15">
      <c r="A413" s="292"/>
      <c r="B413" s="212"/>
      <c r="C413" s="212"/>
      <c r="D413" s="212"/>
      <c r="E413" s="212"/>
      <c r="F413" s="251"/>
      <c r="G413" s="212"/>
      <c r="H413" s="251"/>
      <c r="J413" s="212"/>
      <c r="K413" s="212"/>
      <c r="L413" s="253"/>
      <c r="M413" s="252"/>
      <c r="O413" s="211"/>
      <c r="P413" s="211"/>
      <c r="Q413" s="211"/>
      <c r="R413" s="286"/>
      <c r="T413" s="219"/>
      <c r="U413" s="219"/>
      <c r="V413" s="249"/>
      <c r="W413" s="252"/>
      <c r="X413" s="287"/>
      <c r="Y413" s="287"/>
      <c r="Z413" s="252"/>
      <c r="AA413" s="252"/>
      <c r="AB413" s="295"/>
      <c r="AF413" s="243"/>
      <c r="BS413" s="219"/>
    </row>
    <row r="414" spans="1:71" x14ac:dyDescent="0.15">
      <c r="A414" s="292"/>
      <c r="B414" s="212"/>
      <c r="C414" s="212"/>
      <c r="D414" s="212"/>
      <c r="E414" s="212"/>
      <c r="F414" s="251"/>
      <c r="G414" s="212"/>
      <c r="H414" s="251"/>
      <c r="J414" s="212"/>
      <c r="K414" s="212"/>
      <c r="L414" s="253"/>
      <c r="M414" s="252"/>
      <c r="O414" s="211"/>
      <c r="P414" s="211"/>
      <c r="Q414" s="211"/>
      <c r="R414" s="286"/>
      <c r="T414" s="219"/>
      <c r="U414" s="219"/>
      <c r="V414" s="249"/>
      <c r="W414" s="252"/>
      <c r="X414" s="287"/>
      <c r="Y414" s="287"/>
      <c r="Z414" s="252"/>
      <c r="AA414" s="252"/>
      <c r="AB414" s="295"/>
      <c r="AF414" s="243"/>
      <c r="BS414" s="219"/>
    </row>
    <row r="415" spans="1:71" x14ac:dyDescent="0.15">
      <c r="A415" s="292"/>
      <c r="B415" s="212"/>
      <c r="C415" s="212"/>
      <c r="D415" s="212"/>
      <c r="E415" s="212"/>
      <c r="F415" s="251"/>
      <c r="G415" s="212"/>
      <c r="H415" s="251"/>
      <c r="J415" s="212"/>
      <c r="K415" s="212"/>
      <c r="L415" s="253"/>
      <c r="M415" s="252"/>
      <c r="O415" s="211"/>
      <c r="P415" s="211"/>
      <c r="Q415" s="211"/>
      <c r="R415" s="286"/>
      <c r="T415" s="219"/>
      <c r="U415" s="219"/>
      <c r="V415" s="249"/>
      <c r="W415" s="252"/>
      <c r="X415" s="287"/>
      <c r="Y415" s="287"/>
      <c r="Z415" s="252"/>
      <c r="AA415" s="252"/>
      <c r="AB415" s="295"/>
      <c r="AF415" s="243"/>
      <c r="BS415" s="219"/>
    </row>
    <row r="416" spans="1:71" x14ac:dyDescent="0.15">
      <c r="A416" s="292"/>
      <c r="B416" s="212"/>
      <c r="C416" s="212"/>
      <c r="D416" s="212"/>
      <c r="E416" s="212"/>
      <c r="F416" s="251"/>
      <c r="G416" s="212"/>
      <c r="H416" s="251"/>
      <c r="J416" s="212"/>
      <c r="K416" s="212"/>
      <c r="L416" s="253"/>
      <c r="M416" s="252"/>
      <c r="O416" s="211"/>
      <c r="P416" s="211"/>
      <c r="Q416" s="211"/>
      <c r="R416" s="286"/>
      <c r="T416" s="219"/>
      <c r="U416" s="219"/>
      <c r="V416" s="249"/>
      <c r="W416" s="252"/>
      <c r="X416" s="287"/>
      <c r="Y416" s="287"/>
      <c r="Z416" s="252"/>
      <c r="AA416" s="252"/>
      <c r="AB416" s="295"/>
      <c r="AF416" s="243"/>
      <c r="BS416" s="219"/>
    </row>
    <row r="417" spans="1:71" x14ac:dyDescent="0.15">
      <c r="A417" s="292"/>
      <c r="B417" s="212"/>
      <c r="C417" s="212"/>
      <c r="D417" s="212"/>
      <c r="E417" s="212"/>
      <c r="F417" s="251"/>
      <c r="G417" s="212"/>
      <c r="H417" s="251"/>
      <c r="J417" s="212"/>
      <c r="K417" s="212"/>
      <c r="L417" s="253"/>
      <c r="M417" s="252"/>
      <c r="O417" s="211"/>
      <c r="P417" s="211"/>
      <c r="Q417" s="211"/>
      <c r="R417" s="286"/>
      <c r="T417" s="219"/>
      <c r="U417" s="219"/>
      <c r="V417" s="249"/>
      <c r="W417" s="252"/>
      <c r="X417" s="287"/>
      <c r="Y417" s="287"/>
      <c r="Z417" s="252"/>
      <c r="AA417" s="252"/>
      <c r="AB417" s="295"/>
      <c r="AF417" s="243"/>
      <c r="BS417" s="219"/>
    </row>
    <row r="418" spans="1:71" x14ac:dyDescent="0.15">
      <c r="A418" s="292"/>
      <c r="B418" s="212"/>
      <c r="C418" s="212"/>
      <c r="D418" s="212"/>
      <c r="E418" s="212"/>
      <c r="F418" s="251"/>
      <c r="G418" s="212"/>
      <c r="H418" s="251"/>
      <c r="J418" s="212"/>
      <c r="K418" s="212"/>
      <c r="L418" s="253"/>
      <c r="M418" s="252"/>
      <c r="O418" s="211"/>
      <c r="P418" s="211"/>
      <c r="Q418" s="211"/>
      <c r="R418" s="286"/>
      <c r="T418" s="219"/>
      <c r="U418" s="219"/>
      <c r="V418" s="249"/>
      <c r="W418" s="252"/>
      <c r="X418" s="287"/>
      <c r="Y418" s="287"/>
      <c r="Z418" s="252"/>
      <c r="AA418" s="252"/>
      <c r="AB418" s="295"/>
      <c r="AF418" s="243"/>
      <c r="BS418" s="219"/>
    </row>
    <row r="419" spans="1:71" x14ac:dyDescent="0.15">
      <c r="A419" s="292"/>
      <c r="B419" s="212"/>
      <c r="C419" s="212"/>
      <c r="D419" s="212"/>
      <c r="E419" s="212"/>
      <c r="F419" s="251"/>
      <c r="G419" s="212"/>
      <c r="H419" s="251"/>
      <c r="J419" s="212"/>
      <c r="K419" s="212"/>
      <c r="L419" s="253"/>
      <c r="M419" s="252"/>
      <c r="O419" s="211"/>
      <c r="P419" s="211"/>
      <c r="Q419" s="211"/>
      <c r="R419" s="286"/>
      <c r="T419" s="219"/>
      <c r="U419" s="219"/>
      <c r="V419" s="249"/>
      <c r="W419" s="252"/>
      <c r="X419" s="287"/>
      <c r="Y419" s="287"/>
      <c r="Z419" s="252"/>
      <c r="AA419" s="252"/>
      <c r="AB419" s="295"/>
      <c r="AF419" s="243"/>
      <c r="BS419" s="219"/>
    </row>
    <row r="420" spans="1:71" x14ac:dyDescent="0.15">
      <c r="A420" s="292"/>
      <c r="B420" s="212"/>
      <c r="C420" s="212"/>
      <c r="D420" s="212"/>
      <c r="E420" s="212"/>
      <c r="F420" s="251"/>
      <c r="G420" s="212"/>
      <c r="H420" s="251"/>
      <c r="J420" s="212"/>
      <c r="K420" s="212"/>
      <c r="L420" s="253"/>
      <c r="M420" s="252"/>
      <c r="O420" s="211"/>
      <c r="P420" s="211"/>
      <c r="Q420" s="211"/>
      <c r="R420" s="286"/>
      <c r="T420" s="219"/>
      <c r="U420" s="219"/>
      <c r="V420" s="249"/>
      <c r="W420" s="252"/>
      <c r="X420" s="287"/>
      <c r="Y420" s="287"/>
      <c r="Z420" s="252"/>
      <c r="AA420" s="252"/>
      <c r="AB420" s="295"/>
      <c r="AF420" s="243"/>
      <c r="BS420" s="219"/>
    </row>
    <row r="421" spans="1:71" x14ac:dyDescent="0.15">
      <c r="A421" s="292"/>
      <c r="B421" s="212"/>
      <c r="C421" s="212"/>
      <c r="D421" s="212"/>
      <c r="E421" s="212"/>
      <c r="F421" s="251"/>
      <c r="G421" s="212"/>
      <c r="H421" s="251"/>
      <c r="J421" s="212"/>
      <c r="K421" s="212"/>
      <c r="L421" s="253"/>
      <c r="M421" s="252"/>
      <c r="O421" s="211"/>
      <c r="P421" s="211"/>
      <c r="Q421" s="211"/>
      <c r="R421" s="286"/>
      <c r="T421" s="219"/>
      <c r="U421" s="219"/>
      <c r="V421" s="249"/>
      <c r="W421" s="252"/>
      <c r="X421" s="287"/>
      <c r="Y421" s="287"/>
      <c r="Z421" s="252"/>
      <c r="AA421" s="252"/>
      <c r="AB421" s="295"/>
      <c r="AF421" s="243"/>
      <c r="BS421" s="219"/>
    </row>
    <row r="422" spans="1:71" x14ac:dyDescent="0.15">
      <c r="A422" s="292"/>
      <c r="B422" s="212"/>
      <c r="C422" s="212"/>
      <c r="D422" s="212"/>
      <c r="E422" s="212"/>
      <c r="F422" s="251"/>
      <c r="G422" s="212"/>
      <c r="H422" s="251"/>
      <c r="J422" s="212"/>
      <c r="K422" s="212"/>
      <c r="L422" s="253"/>
      <c r="M422" s="252"/>
      <c r="O422" s="211"/>
      <c r="P422" s="211"/>
      <c r="Q422" s="211"/>
      <c r="R422" s="286"/>
      <c r="T422" s="219"/>
      <c r="U422" s="219"/>
      <c r="V422" s="249"/>
      <c r="W422" s="252"/>
      <c r="X422" s="287"/>
      <c r="Y422" s="287"/>
      <c r="Z422" s="252"/>
      <c r="AA422" s="252"/>
      <c r="AB422" s="295"/>
      <c r="AF422" s="243"/>
      <c r="BS422" s="219"/>
    </row>
    <row r="423" spans="1:71" x14ac:dyDescent="0.15">
      <c r="A423" s="292"/>
      <c r="B423" s="212"/>
      <c r="C423" s="212"/>
      <c r="D423" s="212"/>
      <c r="E423" s="212"/>
      <c r="F423" s="251"/>
      <c r="G423" s="212"/>
      <c r="H423" s="251"/>
      <c r="J423" s="212"/>
      <c r="K423" s="212"/>
      <c r="L423" s="253"/>
      <c r="M423" s="252"/>
      <c r="O423" s="211"/>
      <c r="P423" s="211"/>
      <c r="Q423" s="211"/>
      <c r="R423" s="286"/>
      <c r="T423" s="219"/>
      <c r="U423" s="219"/>
      <c r="V423" s="249"/>
      <c r="W423" s="252"/>
      <c r="X423" s="287"/>
      <c r="Y423" s="287"/>
      <c r="Z423" s="252"/>
      <c r="AA423" s="252"/>
      <c r="AB423" s="295"/>
      <c r="AF423" s="243"/>
      <c r="BS423" s="219"/>
    </row>
    <row r="424" spans="1:71" x14ac:dyDescent="0.15">
      <c r="A424" s="292"/>
      <c r="B424" s="212"/>
      <c r="C424" s="212"/>
      <c r="D424" s="212"/>
      <c r="E424" s="212"/>
      <c r="F424" s="251"/>
      <c r="G424" s="212"/>
      <c r="H424" s="251"/>
      <c r="J424" s="212"/>
      <c r="K424" s="212"/>
      <c r="L424" s="253"/>
      <c r="M424" s="252"/>
      <c r="O424" s="211"/>
      <c r="P424" s="211"/>
      <c r="Q424" s="211"/>
      <c r="R424" s="286"/>
      <c r="T424" s="219"/>
      <c r="U424" s="219"/>
      <c r="V424" s="249"/>
      <c r="W424" s="252"/>
      <c r="X424" s="287"/>
      <c r="Y424" s="287"/>
      <c r="Z424" s="252"/>
      <c r="AA424" s="252"/>
      <c r="AB424" s="295"/>
      <c r="AF424" s="243"/>
      <c r="BS424" s="219"/>
    </row>
    <row r="425" spans="1:71" x14ac:dyDescent="0.15">
      <c r="A425" s="292"/>
      <c r="B425" s="212"/>
      <c r="C425" s="212"/>
      <c r="D425" s="212"/>
      <c r="E425" s="212"/>
      <c r="F425" s="251"/>
      <c r="G425" s="212"/>
      <c r="H425" s="251"/>
      <c r="J425" s="212"/>
      <c r="K425" s="212"/>
      <c r="L425" s="253"/>
      <c r="M425" s="252"/>
      <c r="O425" s="211"/>
      <c r="P425" s="211"/>
      <c r="Q425" s="211"/>
      <c r="R425" s="286"/>
      <c r="T425" s="219"/>
      <c r="U425" s="219"/>
      <c r="V425" s="249"/>
      <c r="W425" s="252"/>
      <c r="X425" s="287"/>
      <c r="Y425" s="287"/>
      <c r="Z425" s="252"/>
      <c r="AA425" s="252"/>
      <c r="AB425" s="295"/>
      <c r="AF425" s="243"/>
      <c r="BS425" s="219"/>
    </row>
    <row r="426" spans="1:71" x14ac:dyDescent="0.15">
      <c r="A426" s="292"/>
      <c r="B426" s="212"/>
      <c r="C426" s="212"/>
      <c r="D426" s="212"/>
      <c r="E426" s="212"/>
      <c r="F426" s="251"/>
      <c r="G426" s="212"/>
      <c r="H426" s="251"/>
      <c r="J426" s="212"/>
      <c r="K426" s="212"/>
      <c r="L426" s="253"/>
      <c r="M426" s="252"/>
      <c r="O426" s="211"/>
      <c r="P426" s="211"/>
      <c r="Q426" s="211"/>
      <c r="R426" s="286"/>
      <c r="T426" s="219"/>
      <c r="U426" s="219"/>
      <c r="V426" s="249"/>
      <c r="W426" s="252"/>
      <c r="X426" s="287"/>
      <c r="Y426" s="287"/>
      <c r="Z426" s="252"/>
      <c r="AA426" s="252"/>
      <c r="AB426" s="295"/>
      <c r="AF426" s="243"/>
      <c r="BS426" s="219"/>
    </row>
    <row r="427" spans="1:71" x14ac:dyDescent="0.15">
      <c r="A427" s="292"/>
      <c r="B427" s="212"/>
      <c r="C427" s="212"/>
      <c r="D427" s="212"/>
      <c r="E427" s="212"/>
      <c r="F427" s="251"/>
      <c r="G427" s="212"/>
      <c r="H427" s="251"/>
      <c r="J427" s="212"/>
      <c r="K427" s="212"/>
      <c r="L427" s="253"/>
      <c r="M427" s="252"/>
      <c r="O427" s="211"/>
      <c r="P427" s="211"/>
      <c r="Q427" s="211"/>
      <c r="R427" s="286"/>
      <c r="T427" s="219"/>
      <c r="U427" s="219"/>
      <c r="V427" s="249"/>
      <c r="W427" s="252"/>
      <c r="X427" s="287"/>
      <c r="Y427" s="287"/>
      <c r="Z427" s="252"/>
      <c r="AA427" s="252"/>
      <c r="AB427" s="295"/>
      <c r="AF427" s="243"/>
      <c r="BS427" s="219"/>
    </row>
    <row r="428" spans="1:71" x14ac:dyDescent="0.15">
      <c r="B428" s="212"/>
      <c r="C428" s="212"/>
      <c r="D428" s="212"/>
      <c r="E428" s="212"/>
      <c r="F428" s="251"/>
      <c r="G428" s="212"/>
      <c r="H428" s="251"/>
      <c r="J428" s="212"/>
      <c r="K428" s="212"/>
      <c r="L428" s="253"/>
      <c r="M428" s="252"/>
      <c r="O428" s="211"/>
      <c r="P428" s="211"/>
      <c r="Q428" s="211"/>
      <c r="R428" s="286"/>
      <c r="T428" s="219"/>
      <c r="U428" s="219"/>
      <c r="V428" s="249"/>
      <c r="W428" s="252"/>
      <c r="X428" s="287"/>
      <c r="Y428" s="287"/>
      <c r="Z428" s="252"/>
      <c r="AA428" s="252"/>
      <c r="AB428" s="295"/>
      <c r="AF428" s="243"/>
      <c r="BS428" s="219"/>
    </row>
    <row r="429" spans="1:71" x14ac:dyDescent="0.15">
      <c r="B429" s="212"/>
      <c r="C429" s="212"/>
      <c r="D429" s="212"/>
      <c r="E429" s="212"/>
      <c r="F429" s="251"/>
      <c r="G429" s="212"/>
      <c r="H429" s="251"/>
      <c r="J429" s="212"/>
      <c r="K429" s="212"/>
      <c r="L429" s="253"/>
      <c r="M429" s="252"/>
      <c r="O429" s="211"/>
      <c r="P429" s="211"/>
      <c r="Q429" s="211"/>
      <c r="R429" s="286"/>
      <c r="T429" s="219"/>
      <c r="U429" s="219"/>
      <c r="V429" s="249"/>
      <c r="W429" s="252"/>
      <c r="X429" s="287"/>
      <c r="Y429" s="287"/>
      <c r="Z429" s="252"/>
      <c r="AA429" s="252"/>
      <c r="AB429" s="295"/>
      <c r="AF429" s="243"/>
      <c r="BS429" s="219"/>
    </row>
    <row r="430" spans="1:71" x14ac:dyDescent="0.15">
      <c r="B430" s="212"/>
      <c r="C430" s="212"/>
      <c r="D430" s="212"/>
      <c r="E430" s="212"/>
      <c r="F430" s="251"/>
      <c r="G430" s="212"/>
      <c r="H430" s="251"/>
      <c r="J430" s="212"/>
      <c r="K430" s="212"/>
      <c r="L430" s="253"/>
      <c r="M430" s="252"/>
      <c r="O430" s="211"/>
      <c r="P430" s="211"/>
      <c r="Q430" s="211"/>
      <c r="R430" s="286"/>
      <c r="T430" s="219"/>
      <c r="U430" s="219"/>
      <c r="V430" s="249"/>
      <c r="W430" s="252"/>
      <c r="X430" s="287"/>
      <c r="Y430" s="287"/>
      <c r="Z430" s="252"/>
      <c r="AA430" s="252"/>
      <c r="AB430" s="295"/>
      <c r="AF430" s="243"/>
      <c r="BS430" s="219"/>
    </row>
    <row r="431" spans="1:71" x14ac:dyDescent="0.15">
      <c r="B431" s="212"/>
      <c r="C431" s="212"/>
      <c r="D431" s="212"/>
      <c r="E431" s="212"/>
      <c r="F431" s="251"/>
      <c r="G431" s="212"/>
      <c r="H431" s="251"/>
      <c r="J431" s="212"/>
      <c r="K431" s="212"/>
      <c r="L431" s="253"/>
      <c r="M431" s="252"/>
      <c r="O431" s="211"/>
      <c r="P431" s="211"/>
      <c r="Q431" s="211"/>
      <c r="R431" s="286"/>
      <c r="T431" s="219"/>
      <c r="U431" s="219"/>
      <c r="V431" s="249"/>
      <c r="W431" s="252"/>
      <c r="X431" s="287"/>
      <c r="Y431" s="287"/>
      <c r="Z431" s="252"/>
      <c r="AA431" s="252"/>
      <c r="AB431" s="295"/>
      <c r="AF431" s="243"/>
      <c r="BS431" s="219"/>
    </row>
    <row r="432" spans="1:71" x14ac:dyDescent="0.15">
      <c r="B432" s="212"/>
      <c r="C432" s="212"/>
      <c r="D432" s="212"/>
      <c r="E432" s="212"/>
      <c r="F432" s="251"/>
      <c r="G432" s="212"/>
      <c r="H432" s="251"/>
      <c r="J432" s="212"/>
      <c r="K432" s="212"/>
      <c r="L432" s="253"/>
      <c r="M432" s="252"/>
      <c r="O432" s="211"/>
      <c r="P432" s="211"/>
      <c r="Q432" s="211"/>
      <c r="R432" s="286"/>
      <c r="T432" s="219"/>
      <c r="U432" s="219"/>
      <c r="V432" s="249"/>
      <c r="W432" s="252"/>
      <c r="X432" s="287"/>
      <c r="Y432" s="287"/>
      <c r="Z432" s="252"/>
      <c r="AA432" s="252"/>
      <c r="AB432" s="295"/>
      <c r="AF432" s="243"/>
      <c r="BS432" s="219"/>
    </row>
    <row r="433" spans="2:71" x14ac:dyDescent="0.15">
      <c r="B433" s="212"/>
      <c r="C433" s="212"/>
      <c r="D433" s="212"/>
      <c r="E433" s="212"/>
      <c r="F433" s="251"/>
      <c r="G433" s="212"/>
      <c r="H433" s="251"/>
      <c r="J433" s="212"/>
      <c r="K433" s="212"/>
      <c r="L433" s="253"/>
      <c r="M433" s="252"/>
      <c r="O433" s="211"/>
      <c r="P433" s="211"/>
      <c r="Q433" s="211"/>
      <c r="R433" s="286"/>
      <c r="T433" s="219"/>
      <c r="U433" s="219"/>
      <c r="V433" s="249"/>
      <c r="W433" s="252"/>
      <c r="X433" s="287"/>
      <c r="Y433" s="287"/>
      <c r="Z433" s="252"/>
      <c r="AA433" s="252"/>
      <c r="AB433" s="295"/>
      <c r="AF433" s="243"/>
      <c r="BS433" s="219"/>
    </row>
    <row r="434" spans="2:71" x14ac:dyDescent="0.15">
      <c r="B434" s="212"/>
      <c r="C434" s="212"/>
      <c r="D434" s="212"/>
      <c r="E434" s="212"/>
      <c r="F434" s="251"/>
      <c r="G434" s="212"/>
      <c r="H434" s="251"/>
      <c r="J434" s="212"/>
      <c r="K434" s="212"/>
      <c r="L434" s="253"/>
      <c r="M434" s="252"/>
      <c r="O434" s="211"/>
      <c r="P434" s="211"/>
      <c r="Q434" s="211"/>
      <c r="R434" s="286"/>
      <c r="T434" s="219"/>
      <c r="U434" s="219"/>
      <c r="V434" s="249"/>
      <c r="W434" s="252"/>
      <c r="X434" s="287"/>
      <c r="Y434" s="287"/>
      <c r="Z434" s="252"/>
      <c r="AA434" s="252"/>
      <c r="AB434" s="295"/>
      <c r="AF434" s="243"/>
      <c r="BS434" s="219"/>
    </row>
    <row r="435" spans="2:71" x14ac:dyDescent="0.15">
      <c r="B435" s="212"/>
      <c r="C435" s="212"/>
      <c r="D435" s="212"/>
      <c r="E435" s="212"/>
      <c r="F435" s="251"/>
      <c r="G435" s="212"/>
      <c r="H435" s="251"/>
      <c r="J435" s="212"/>
      <c r="K435" s="212"/>
      <c r="L435" s="253"/>
      <c r="M435" s="252"/>
      <c r="O435" s="211"/>
      <c r="P435" s="211"/>
      <c r="Q435" s="211"/>
      <c r="R435" s="286"/>
      <c r="T435" s="219"/>
      <c r="U435" s="219"/>
      <c r="V435" s="249"/>
      <c r="W435" s="252"/>
      <c r="X435" s="287"/>
      <c r="Y435" s="287"/>
      <c r="Z435" s="252"/>
      <c r="AA435" s="252"/>
      <c r="AB435" s="295"/>
      <c r="AF435" s="243"/>
      <c r="BS435" s="219"/>
    </row>
    <row r="436" spans="2:71" x14ac:dyDescent="0.15">
      <c r="B436" s="212"/>
      <c r="C436" s="212"/>
      <c r="D436" s="212"/>
      <c r="E436" s="212"/>
      <c r="F436" s="251"/>
      <c r="G436" s="212"/>
      <c r="H436" s="251"/>
      <c r="J436" s="212"/>
      <c r="K436" s="212"/>
      <c r="L436" s="253"/>
      <c r="M436" s="252"/>
      <c r="O436" s="211"/>
      <c r="P436" s="211"/>
      <c r="Q436" s="211"/>
      <c r="R436" s="286"/>
      <c r="T436" s="219"/>
      <c r="U436" s="219"/>
      <c r="V436" s="249"/>
      <c r="W436" s="252"/>
      <c r="X436" s="287"/>
      <c r="Y436" s="287"/>
      <c r="Z436" s="252"/>
      <c r="AA436" s="252"/>
      <c r="AB436" s="295"/>
      <c r="AF436" s="243"/>
      <c r="BS436" s="219"/>
    </row>
    <row r="437" spans="2:71" x14ac:dyDescent="0.15">
      <c r="B437" s="212"/>
      <c r="C437" s="212"/>
      <c r="D437" s="212"/>
      <c r="E437" s="212"/>
      <c r="F437" s="251"/>
      <c r="G437" s="212"/>
      <c r="H437" s="251"/>
      <c r="J437" s="212"/>
      <c r="K437" s="212"/>
      <c r="L437" s="253"/>
      <c r="M437" s="252"/>
      <c r="O437" s="211"/>
      <c r="P437" s="211"/>
      <c r="Q437" s="211"/>
      <c r="R437" s="286"/>
      <c r="T437" s="219"/>
      <c r="U437" s="219"/>
      <c r="V437" s="249"/>
      <c r="W437" s="252"/>
      <c r="X437" s="287"/>
      <c r="Y437" s="287"/>
      <c r="Z437" s="252"/>
      <c r="AA437" s="252"/>
      <c r="AB437" s="295"/>
      <c r="AF437" s="243"/>
      <c r="BS437" s="219"/>
    </row>
    <row r="438" spans="2:71" x14ac:dyDescent="0.15">
      <c r="B438" s="212"/>
      <c r="C438" s="212"/>
      <c r="D438" s="212"/>
      <c r="E438" s="212"/>
      <c r="F438" s="251"/>
      <c r="G438" s="212"/>
      <c r="H438" s="251"/>
      <c r="J438" s="212"/>
      <c r="K438" s="212"/>
      <c r="L438" s="253"/>
      <c r="M438" s="252"/>
      <c r="O438" s="211"/>
      <c r="P438" s="211"/>
      <c r="Q438" s="211"/>
      <c r="R438" s="286"/>
      <c r="T438" s="219"/>
      <c r="U438" s="219"/>
      <c r="V438" s="249"/>
      <c r="W438" s="252"/>
      <c r="X438" s="287"/>
      <c r="Y438" s="287"/>
      <c r="Z438" s="252"/>
      <c r="AA438" s="252"/>
      <c r="AB438" s="295"/>
      <c r="AF438" s="243"/>
      <c r="BS438" s="219"/>
    </row>
    <row r="439" spans="2:71" x14ac:dyDescent="0.15">
      <c r="B439" s="212"/>
      <c r="C439" s="212"/>
      <c r="D439" s="212"/>
      <c r="E439" s="212"/>
      <c r="F439" s="251"/>
      <c r="G439" s="212"/>
      <c r="H439" s="251"/>
      <c r="J439" s="212"/>
      <c r="K439" s="212"/>
      <c r="L439" s="253"/>
      <c r="M439" s="252"/>
      <c r="O439" s="211"/>
      <c r="P439" s="211"/>
      <c r="Q439" s="211"/>
      <c r="R439" s="286"/>
      <c r="T439" s="219"/>
      <c r="U439" s="219"/>
      <c r="V439" s="249"/>
      <c r="W439" s="252"/>
      <c r="X439" s="287"/>
      <c r="Y439" s="287"/>
      <c r="Z439" s="252"/>
      <c r="AA439" s="252"/>
      <c r="AB439" s="295"/>
      <c r="AF439" s="243"/>
      <c r="BS439" s="219"/>
    </row>
    <row r="440" spans="2:71" x14ac:dyDescent="0.15">
      <c r="B440" s="212"/>
      <c r="C440" s="212"/>
      <c r="D440" s="212"/>
      <c r="E440" s="212"/>
      <c r="F440" s="251"/>
      <c r="G440" s="212"/>
      <c r="H440" s="251"/>
      <c r="J440" s="212"/>
      <c r="K440" s="212"/>
      <c r="L440" s="253"/>
      <c r="M440" s="252"/>
      <c r="O440" s="211"/>
      <c r="P440" s="211"/>
      <c r="Q440" s="211"/>
      <c r="R440" s="286"/>
      <c r="T440" s="219"/>
      <c r="U440" s="219"/>
      <c r="V440" s="249"/>
      <c r="W440" s="252"/>
      <c r="X440" s="287"/>
      <c r="Y440" s="287"/>
      <c r="Z440" s="252"/>
      <c r="AA440" s="252"/>
      <c r="AB440" s="295"/>
      <c r="AF440" s="243"/>
      <c r="BS440" s="219"/>
    </row>
    <row r="441" spans="2:71" x14ac:dyDescent="0.15">
      <c r="B441" s="212"/>
      <c r="C441" s="212"/>
      <c r="D441" s="212"/>
      <c r="E441" s="212"/>
      <c r="F441" s="251"/>
      <c r="G441" s="212"/>
      <c r="H441" s="251"/>
      <c r="J441" s="212"/>
      <c r="K441" s="212"/>
      <c r="L441" s="253"/>
      <c r="M441" s="252"/>
      <c r="O441" s="211"/>
      <c r="P441" s="211"/>
      <c r="Q441" s="211"/>
      <c r="R441" s="286"/>
      <c r="T441" s="219"/>
      <c r="U441" s="219"/>
      <c r="V441" s="249"/>
      <c r="W441" s="252"/>
      <c r="X441" s="287"/>
      <c r="Y441" s="287"/>
      <c r="Z441" s="252"/>
      <c r="AA441" s="252"/>
      <c r="AB441" s="295"/>
      <c r="AF441" s="243"/>
      <c r="BS441" s="219"/>
    </row>
    <row r="442" spans="2:71" x14ac:dyDescent="0.15">
      <c r="B442" s="212"/>
      <c r="C442" s="212"/>
      <c r="D442" s="212"/>
      <c r="E442" s="212"/>
      <c r="F442" s="251"/>
      <c r="G442" s="212"/>
      <c r="H442" s="251"/>
      <c r="J442" s="212"/>
      <c r="K442" s="212"/>
      <c r="L442" s="253"/>
      <c r="M442" s="252"/>
      <c r="O442" s="211"/>
      <c r="P442" s="211"/>
      <c r="Q442" s="211"/>
      <c r="R442" s="286"/>
      <c r="T442" s="219"/>
      <c r="U442" s="219"/>
      <c r="V442" s="249"/>
      <c r="W442" s="252"/>
      <c r="X442" s="287"/>
      <c r="Y442" s="287"/>
      <c r="Z442" s="252"/>
      <c r="AA442" s="252"/>
      <c r="AB442" s="295"/>
      <c r="AF442" s="243"/>
      <c r="BS442" s="219"/>
    </row>
    <row r="443" spans="2:71" x14ac:dyDescent="0.15">
      <c r="B443" s="212"/>
      <c r="C443" s="212"/>
      <c r="D443" s="212"/>
      <c r="E443" s="212"/>
      <c r="F443" s="251"/>
      <c r="G443" s="212"/>
      <c r="H443" s="251"/>
      <c r="J443" s="212"/>
      <c r="K443" s="212"/>
      <c r="L443" s="253"/>
      <c r="M443" s="252"/>
      <c r="O443" s="211"/>
      <c r="P443" s="211"/>
      <c r="Q443" s="211"/>
      <c r="R443" s="286"/>
      <c r="T443" s="219"/>
      <c r="U443" s="219"/>
      <c r="V443" s="249"/>
      <c r="W443" s="252"/>
      <c r="X443" s="287"/>
      <c r="Y443" s="287"/>
      <c r="Z443" s="252"/>
      <c r="AA443" s="252"/>
      <c r="AB443" s="295"/>
      <c r="AF443" s="243"/>
      <c r="BS443" s="219"/>
    </row>
    <row r="444" spans="2:71" x14ac:dyDescent="0.15">
      <c r="B444" s="212"/>
      <c r="C444" s="212"/>
      <c r="D444" s="212"/>
      <c r="E444" s="212"/>
      <c r="F444" s="251"/>
      <c r="G444" s="212"/>
      <c r="H444" s="251"/>
      <c r="J444" s="212"/>
      <c r="K444" s="212"/>
      <c r="L444" s="253"/>
      <c r="M444" s="252"/>
      <c r="O444" s="211"/>
      <c r="P444" s="211"/>
      <c r="Q444" s="211"/>
      <c r="R444" s="286"/>
      <c r="T444" s="219"/>
      <c r="U444" s="219"/>
      <c r="V444" s="249"/>
      <c r="W444" s="252"/>
      <c r="X444" s="287"/>
      <c r="Y444" s="287"/>
      <c r="Z444" s="252"/>
      <c r="AA444" s="252"/>
      <c r="AB444" s="295"/>
      <c r="AF444" s="243"/>
      <c r="BS444" s="219"/>
    </row>
    <row r="445" spans="2:71" x14ac:dyDescent="0.15">
      <c r="B445" s="212"/>
      <c r="C445" s="212"/>
      <c r="D445" s="212"/>
      <c r="E445" s="212"/>
      <c r="F445" s="251"/>
      <c r="G445" s="212"/>
      <c r="H445" s="251"/>
      <c r="J445" s="212"/>
      <c r="K445" s="212"/>
      <c r="L445" s="253"/>
      <c r="M445" s="252"/>
      <c r="O445" s="211"/>
      <c r="P445" s="211"/>
      <c r="Q445" s="211"/>
      <c r="R445" s="286"/>
      <c r="T445" s="219"/>
      <c r="U445" s="219"/>
      <c r="V445" s="249"/>
      <c r="W445" s="252"/>
      <c r="X445" s="287"/>
      <c r="Y445" s="287"/>
      <c r="Z445" s="252"/>
      <c r="AA445" s="252"/>
      <c r="AB445" s="295"/>
      <c r="AF445" s="243"/>
      <c r="BS445" s="219"/>
    </row>
    <row r="446" spans="2:71" x14ac:dyDescent="0.15">
      <c r="B446" s="212"/>
      <c r="C446" s="212"/>
      <c r="D446" s="212"/>
      <c r="E446" s="212"/>
      <c r="F446" s="251"/>
      <c r="G446" s="212"/>
      <c r="H446" s="251"/>
      <c r="J446" s="212"/>
      <c r="K446" s="212"/>
      <c r="L446" s="253"/>
      <c r="M446" s="252"/>
      <c r="O446" s="211"/>
      <c r="P446" s="211"/>
      <c r="Q446" s="211"/>
      <c r="R446" s="286"/>
      <c r="T446" s="219"/>
      <c r="U446" s="219"/>
      <c r="V446" s="249"/>
      <c r="W446" s="252"/>
      <c r="X446" s="287"/>
      <c r="Y446" s="287"/>
      <c r="Z446" s="252"/>
      <c r="AA446" s="252"/>
      <c r="AB446" s="295"/>
      <c r="AF446" s="243"/>
      <c r="BS446" s="219"/>
    </row>
    <row r="447" spans="2:71" x14ac:dyDescent="0.15">
      <c r="B447" s="212"/>
      <c r="C447" s="212"/>
      <c r="D447" s="212"/>
      <c r="E447" s="212"/>
      <c r="F447" s="251"/>
      <c r="G447" s="212"/>
      <c r="H447" s="251"/>
      <c r="J447" s="212"/>
      <c r="K447" s="212"/>
      <c r="L447" s="253"/>
      <c r="M447" s="252"/>
      <c r="O447" s="211"/>
      <c r="P447" s="211"/>
      <c r="Q447" s="211"/>
      <c r="R447" s="286"/>
      <c r="T447" s="219"/>
      <c r="U447" s="219"/>
      <c r="V447" s="249"/>
      <c r="W447" s="252"/>
      <c r="X447" s="287"/>
      <c r="Y447" s="287"/>
      <c r="Z447" s="252"/>
      <c r="AA447" s="252"/>
      <c r="AB447" s="295"/>
      <c r="AF447" s="243"/>
      <c r="BS447" s="219"/>
    </row>
    <row r="448" spans="2:71" x14ac:dyDescent="0.15">
      <c r="B448" s="212"/>
      <c r="C448" s="212"/>
      <c r="D448" s="212"/>
      <c r="E448" s="212"/>
      <c r="F448" s="251"/>
      <c r="G448" s="212"/>
      <c r="H448" s="251"/>
      <c r="J448" s="212"/>
      <c r="K448" s="212"/>
      <c r="L448" s="253"/>
      <c r="M448" s="252"/>
      <c r="O448" s="211"/>
      <c r="P448" s="211"/>
      <c r="Q448" s="211"/>
      <c r="R448" s="286"/>
      <c r="T448" s="219"/>
      <c r="U448" s="219"/>
      <c r="V448" s="249"/>
      <c r="W448" s="252"/>
      <c r="X448" s="287"/>
      <c r="Y448" s="287"/>
      <c r="Z448" s="252"/>
      <c r="AA448" s="252"/>
      <c r="AB448" s="295"/>
      <c r="AF448" s="243"/>
      <c r="BS448" s="219"/>
    </row>
    <row r="449" spans="2:71" x14ac:dyDescent="0.15">
      <c r="B449" s="212"/>
      <c r="C449" s="212"/>
      <c r="D449" s="212"/>
      <c r="E449" s="212"/>
      <c r="F449" s="251"/>
      <c r="G449" s="212"/>
      <c r="H449" s="251"/>
      <c r="J449" s="212"/>
      <c r="K449" s="212"/>
      <c r="L449" s="253"/>
      <c r="M449" s="252"/>
      <c r="O449" s="211"/>
      <c r="P449" s="211"/>
      <c r="Q449" s="211"/>
      <c r="R449" s="286"/>
      <c r="T449" s="219"/>
      <c r="U449" s="219"/>
      <c r="V449" s="249"/>
      <c r="W449" s="252"/>
      <c r="X449" s="287"/>
      <c r="Y449" s="287"/>
      <c r="Z449" s="252"/>
      <c r="AA449" s="252"/>
      <c r="AB449" s="295"/>
      <c r="AF449" s="243"/>
      <c r="BS449" s="219"/>
    </row>
    <row r="450" spans="2:71" x14ac:dyDescent="0.15">
      <c r="B450" s="212"/>
      <c r="C450" s="212"/>
      <c r="D450" s="212"/>
      <c r="E450" s="212"/>
      <c r="F450" s="251"/>
      <c r="G450" s="212"/>
      <c r="H450" s="251"/>
      <c r="J450" s="212"/>
      <c r="K450" s="212"/>
      <c r="L450" s="253"/>
      <c r="M450" s="252"/>
      <c r="O450" s="211"/>
      <c r="P450" s="211"/>
      <c r="Q450" s="211"/>
      <c r="R450" s="286"/>
      <c r="T450" s="219"/>
      <c r="U450" s="219"/>
      <c r="V450" s="249"/>
      <c r="W450" s="252"/>
      <c r="X450" s="287"/>
      <c r="Y450" s="287"/>
      <c r="Z450" s="252"/>
      <c r="AA450" s="252"/>
      <c r="AB450" s="295"/>
      <c r="AF450" s="243"/>
      <c r="BS450" s="219"/>
    </row>
    <row r="451" spans="2:71" x14ac:dyDescent="0.15">
      <c r="B451" s="212"/>
      <c r="C451" s="212"/>
      <c r="D451" s="212"/>
      <c r="E451" s="212"/>
      <c r="F451" s="251"/>
      <c r="G451" s="212"/>
      <c r="H451" s="251"/>
      <c r="J451" s="212"/>
      <c r="K451" s="212"/>
      <c r="L451" s="253"/>
      <c r="M451" s="252"/>
      <c r="O451" s="211"/>
      <c r="P451" s="211"/>
      <c r="Q451" s="211"/>
      <c r="R451" s="286"/>
      <c r="T451" s="219"/>
      <c r="U451" s="219"/>
      <c r="V451" s="249"/>
      <c r="W451" s="252"/>
      <c r="X451" s="287"/>
      <c r="Y451" s="287"/>
      <c r="Z451" s="252"/>
      <c r="AA451" s="252"/>
      <c r="AB451" s="295"/>
      <c r="AF451" s="243"/>
      <c r="BS451" s="219"/>
    </row>
    <row r="452" spans="2:71" x14ac:dyDescent="0.15">
      <c r="B452" s="212"/>
      <c r="C452" s="212"/>
      <c r="D452" s="212"/>
      <c r="E452" s="212"/>
      <c r="F452" s="251"/>
      <c r="G452" s="212"/>
      <c r="H452" s="251"/>
      <c r="J452" s="212"/>
      <c r="K452" s="212"/>
      <c r="L452" s="253"/>
      <c r="M452" s="252"/>
      <c r="O452" s="211"/>
      <c r="P452" s="211"/>
      <c r="Q452" s="211"/>
      <c r="R452" s="286"/>
      <c r="T452" s="219"/>
      <c r="U452" s="219"/>
      <c r="V452" s="249"/>
      <c r="W452" s="252"/>
      <c r="X452" s="287"/>
      <c r="Y452" s="287"/>
      <c r="Z452" s="252"/>
      <c r="AA452" s="252"/>
      <c r="AB452" s="295"/>
      <c r="AF452" s="243"/>
      <c r="BS452" s="219"/>
    </row>
    <row r="453" spans="2:71" x14ac:dyDescent="0.15">
      <c r="B453" s="212"/>
      <c r="C453" s="212"/>
      <c r="D453" s="212"/>
      <c r="E453" s="212"/>
      <c r="F453" s="251"/>
      <c r="G453" s="212"/>
      <c r="H453" s="251"/>
      <c r="J453" s="212"/>
      <c r="K453" s="212"/>
      <c r="L453" s="253"/>
      <c r="M453" s="252"/>
      <c r="O453" s="211"/>
      <c r="P453" s="211"/>
      <c r="Q453" s="211"/>
      <c r="R453" s="286"/>
      <c r="T453" s="219"/>
      <c r="U453" s="219"/>
      <c r="V453" s="249"/>
      <c r="W453" s="252"/>
      <c r="X453" s="287"/>
      <c r="Y453" s="287"/>
      <c r="Z453" s="252"/>
      <c r="AA453" s="252"/>
      <c r="AB453" s="295"/>
      <c r="AF453" s="243"/>
      <c r="BS453" s="219"/>
    </row>
    <row r="454" spans="2:71" x14ac:dyDescent="0.15">
      <c r="B454" s="212"/>
      <c r="C454" s="212"/>
      <c r="D454" s="212"/>
      <c r="E454" s="212"/>
      <c r="F454" s="251"/>
      <c r="G454" s="212"/>
      <c r="H454" s="251"/>
      <c r="J454" s="212"/>
      <c r="K454" s="212"/>
      <c r="L454" s="253"/>
      <c r="M454" s="252"/>
      <c r="O454" s="211"/>
      <c r="P454" s="211"/>
      <c r="Q454" s="211"/>
      <c r="R454" s="286"/>
      <c r="T454" s="219"/>
      <c r="U454" s="219"/>
      <c r="V454" s="249"/>
      <c r="W454" s="252"/>
      <c r="X454" s="287"/>
      <c r="Y454" s="287"/>
      <c r="Z454" s="252"/>
      <c r="AA454" s="252"/>
      <c r="AB454" s="295"/>
      <c r="AF454" s="243"/>
      <c r="BS454" s="219"/>
    </row>
    <row r="455" spans="2:71" x14ac:dyDescent="0.15">
      <c r="B455" s="212"/>
      <c r="C455" s="212"/>
      <c r="D455" s="212"/>
      <c r="E455" s="212"/>
      <c r="F455" s="251"/>
      <c r="G455" s="212"/>
      <c r="H455" s="251"/>
      <c r="J455" s="212"/>
      <c r="K455" s="212"/>
      <c r="L455" s="253"/>
      <c r="M455" s="252"/>
      <c r="O455" s="211"/>
      <c r="P455" s="211"/>
      <c r="Q455" s="211"/>
      <c r="R455" s="286"/>
      <c r="T455" s="219"/>
      <c r="U455" s="219"/>
      <c r="V455" s="249"/>
      <c r="W455" s="252"/>
      <c r="X455" s="287"/>
      <c r="Y455" s="287"/>
      <c r="Z455" s="252"/>
      <c r="AA455" s="252"/>
      <c r="AB455" s="295"/>
      <c r="AF455" s="243"/>
      <c r="BS455" s="219"/>
    </row>
    <row r="456" spans="2:71" x14ac:dyDescent="0.15">
      <c r="B456" s="212"/>
      <c r="C456" s="212"/>
      <c r="D456" s="212"/>
      <c r="E456" s="212"/>
      <c r="F456" s="251"/>
      <c r="G456" s="212"/>
      <c r="H456" s="251"/>
      <c r="J456" s="212"/>
      <c r="K456" s="212"/>
      <c r="L456" s="253"/>
      <c r="M456" s="252"/>
      <c r="O456" s="211"/>
      <c r="P456" s="211"/>
      <c r="Q456" s="211"/>
      <c r="R456" s="286"/>
      <c r="T456" s="219"/>
      <c r="U456" s="219"/>
      <c r="V456" s="249"/>
      <c r="W456" s="252"/>
      <c r="X456" s="287"/>
      <c r="Y456" s="287"/>
      <c r="Z456" s="252"/>
      <c r="AA456" s="252"/>
      <c r="AB456" s="295"/>
      <c r="AF456" s="243"/>
      <c r="BS456" s="219"/>
    </row>
    <row r="457" spans="2:71" x14ac:dyDescent="0.15">
      <c r="B457" s="212"/>
      <c r="C457" s="212"/>
      <c r="D457" s="212"/>
      <c r="E457" s="212"/>
      <c r="F457" s="251"/>
      <c r="G457" s="212"/>
      <c r="H457" s="251"/>
      <c r="J457" s="212"/>
      <c r="K457" s="212"/>
      <c r="L457" s="253"/>
      <c r="M457" s="252"/>
      <c r="O457" s="211"/>
      <c r="P457" s="211"/>
      <c r="Q457" s="211"/>
      <c r="R457" s="286"/>
      <c r="T457" s="219"/>
      <c r="U457" s="219"/>
      <c r="V457" s="249"/>
      <c r="W457" s="252"/>
      <c r="X457" s="287"/>
      <c r="Y457" s="287"/>
      <c r="Z457" s="252"/>
      <c r="AA457" s="252"/>
      <c r="AB457" s="295"/>
      <c r="AF457" s="243"/>
      <c r="BS457" s="219"/>
    </row>
    <row r="458" spans="2:71" x14ac:dyDescent="0.15">
      <c r="B458" s="212"/>
      <c r="C458" s="212"/>
      <c r="D458" s="212"/>
      <c r="E458" s="212"/>
      <c r="F458" s="251"/>
      <c r="G458" s="212"/>
      <c r="H458" s="251"/>
      <c r="J458" s="212"/>
      <c r="K458" s="212"/>
      <c r="L458" s="253"/>
      <c r="M458" s="252"/>
      <c r="O458" s="211"/>
      <c r="P458" s="211"/>
      <c r="Q458" s="211"/>
      <c r="R458" s="286"/>
      <c r="T458" s="219"/>
      <c r="U458" s="219"/>
      <c r="V458" s="249"/>
      <c r="W458" s="252"/>
      <c r="X458" s="287"/>
      <c r="Y458" s="287"/>
      <c r="Z458" s="252"/>
      <c r="AA458" s="252"/>
      <c r="AB458" s="295"/>
      <c r="AF458" s="243"/>
      <c r="BS458" s="219"/>
    </row>
    <row r="459" spans="2:71" x14ac:dyDescent="0.15">
      <c r="B459" s="212"/>
      <c r="C459" s="212"/>
      <c r="D459" s="212"/>
      <c r="E459" s="212"/>
      <c r="F459" s="251"/>
      <c r="G459" s="212"/>
      <c r="H459" s="251"/>
      <c r="J459" s="212"/>
      <c r="K459" s="212"/>
      <c r="L459" s="253"/>
      <c r="M459" s="252"/>
      <c r="O459" s="211"/>
      <c r="P459" s="211"/>
      <c r="Q459" s="211"/>
      <c r="R459" s="286"/>
      <c r="T459" s="219"/>
      <c r="U459" s="219"/>
      <c r="V459" s="249"/>
      <c r="W459" s="252"/>
      <c r="X459" s="287"/>
      <c r="Y459" s="287"/>
      <c r="Z459" s="252"/>
      <c r="AA459" s="252"/>
      <c r="AB459" s="295"/>
      <c r="AF459" s="243"/>
      <c r="BS459" s="219"/>
    </row>
    <row r="460" spans="2:71" x14ac:dyDescent="0.15">
      <c r="B460" s="212"/>
      <c r="C460" s="212"/>
      <c r="D460" s="212"/>
      <c r="E460" s="212"/>
      <c r="F460" s="251"/>
      <c r="G460" s="212"/>
      <c r="H460" s="251"/>
      <c r="J460" s="212"/>
      <c r="K460" s="212"/>
      <c r="L460" s="253"/>
      <c r="M460" s="252"/>
      <c r="O460" s="211"/>
      <c r="P460" s="211"/>
      <c r="Q460" s="211"/>
      <c r="R460" s="286"/>
      <c r="T460" s="219"/>
      <c r="U460" s="219"/>
      <c r="V460" s="249"/>
      <c r="W460" s="252"/>
      <c r="X460" s="287"/>
      <c r="Y460" s="287"/>
      <c r="Z460" s="252"/>
      <c r="AA460" s="252"/>
      <c r="AB460" s="295"/>
      <c r="AF460" s="243"/>
      <c r="BS460" s="219"/>
    </row>
    <row r="461" spans="2:71" x14ac:dyDescent="0.15">
      <c r="B461" s="212"/>
      <c r="C461" s="212"/>
      <c r="D461" s="212"/>
      <c r="E461" s="212"/>
      <c r="F461" s="251"/>
      <c r="G461" s="212"/>
      <c r="H461" s="251"/>
      <c r="J461" s="212"/>
      <c r="K461" s="212"/>
      <c r="L461" s="253"/>
      <c r="M461" s="252"/>
      <c r="O461" s="211"/>
      <c r="P461" s="211"/>
      <c r="Q461" s="211"/>
      <c r="R461" s="286"/>
      <c r="T461" s="219"/>
      <c r="U461" s="219"/>
      <c r="V461" s="249"/>
      <c r="W461" s="252"/>
      <c r="X461" s="287"/>
      <c r="Y461" s="287"/>
      <c r="Z461" s="252"/>
      <c r="AA461" s="252"/>
      <c r="AB461" s="295"/>
      <c r="AF461" s="243"/>
      <c r="BS461" s="219"/>
    </row>
    <row r="462" spans="2:71" x14ac:dyDescent="0.15">
      <c r="B462" s="212"/>
      <c r="C462" s="212"/>
      <c r="D462" s="212"/>
      <c r="E462" s="212"/>
      <c r="F462" s="251"/>
      <c r="G462" s="212"/>
      <c r="H462" s="251"/>
      <c r="N462" s="212"/>
    </row>
    <row r="463" spans="2:71" x14ac:dyDescent="0.15">
      <c r="B463" s="212"/>
      <c r="C463" s="212"/>
      <c r="D463" s="212"/>
      <c r="E463" s="212"/>
      <c r="F463" s="251"/>
      <c r="G463" s="212"/>
      <c r="H463" s="251"/>
      <c r="N463" s="212"/>
    </row>
    <row r="464" spans="2:71" x14ac:dyDescent="0.15">
      <c r="B464" s="212"/>
      <c r="C464" s="212"/>
      <c r="D464" s="212"/>
      <c r="E464" s="212"/>
      <c r="F464" s="251"/>
      <c r="G464" s="212"/>
      <c r="H464" s="251"/>
      <c r="N464" s="212"/>
    </row>
    <row r="465" spans="2:14" x14ac:dyDescent="0.15">
      <c r="B465" s="212"/>
      <c r="C465" s="212"/>
      <c r="D465" s="212"/>
      <c r="E465" s="212"/>
      <c r="F465" s="251"/>
      <c r="G465" s="212"/>
      <c r="H465" s="251"/>
      <c r="N465" s="212"/>
    </row>
    <row r="466" spans="2:14" x14ac:dyDescent="0.15">
      <c r="B466" s="212"/>
      <c r="C466" s="212"/>
      <c r="D466" s="212"/>
      <c r="E466" s="212"/>
      <c r="F466" s="251"/>
      <c r="G466" s="212"/>
      <c r="H466" s="251"/>
      <c r="N466" s="212"/>
    </row>
    <row r="467" spans="2:14" x14ac:dyDescent="0.15">
      <c r="B467" s="212"/>
      <c r="C467" s="212"/>
      <c r="D467" s="212"/>
      <c r="E467" s="212"/>
      <c r="F467" s="251"/>
      <c r="G467" s="212"/>
      <c r="H467" s="251"/>
      <c r="N467" s="212"/>
    </row>
    <row r="468" spans="2:14" x14ac:dyDescent="0.15">
      <c r="B468" s="212"/>
      <c r="C468" s="212"/>
      <c r="D468" s="212"/>
      <c r="E468" s="212"/>
      <c r="F468" s="251"/>
      <c r="G468" s="212"/>
      <c r="H468" s="251"/>
      <c r="N468" s="212"/>
    </row>
    <row r="469" spans="2:14" x14ac:dyDescent="0.15">
      <c r="B469" s="212"/>
      <c r="C469" s="212"/>
      <c r="D469" s="212"/>
      <c r="E469" s="212"/>
      <c r="F469" s="251"/>
      <c r="G469" s="212"/>
      <c r="H469" s="251"/>
      <c r="N469" s="212"/>
    </row>
    <row r="470" spans="2:14" x14ac:dyDescent="0.15">
      <c r="B470" s="212"/>
      <c r="C470" s="212"/>
      <c r="D470" s="212"/>
      <c r="E470" s="212"/>
      <c r="F470" s="251"/>
      <c r="G470" s="212"/>
      <c r="H470" s="251"/>
      <c r="N470" s="212"/>
    </row>
    <row r="471" spans="2:14" x14ac:dyDescent="0.15">
      <c r="B471" s="212"/>
      <c r="C471" s="212"/>
      <c r="D471" s="212"/>
      <c r="E471" s="212"/>
      <c r="F471" s="251"/>
      <c r="G471" s="212"/>
      <c r="H471" s="251"/>
      <c r="N471" s="212"/>
    </row>
    <row r="472" spans="2:14" x14ac:dyDescent="0.15">
      <c r="B472" s="212"/>
      <c r="C472" s="212"/>
      <c r="D472" s="212"/>
      <c r="E472" s="212"/>
      <c r="F472" s="251"/>
      <c r="G472" s="212"/>
      <c r="H472" s="251"/>
      <c r="N472" s="212"/>
    </row>
    <row r="473" spans="2:14" x14ac:dyDescent="0.15">
      <c r="B473" s="212"/>
      <c r="C473" s="212"/>
      <c r="D473" s="212"/>
      <c r="E473" s="212"/>
      <c r="F473" s="251"/>
      <c r="G473" s="212"/>
      <c r="H473" s="251"/>
      <c r="N473" s="212"/>
    </row>
    <row r="474" spans="2:14" x14ac:dyDescent="0.15">
      <c r="B474" s="212"/>
      <c r="C474" s="212"/>
      <c r="D474" s="212"/>
      <c r="E474" s="212"/>
      <c r="F474" s="251"/>
      <c r="G474" s="212"/>
      <c r="H474" s="251"/>
      <c r="N474" s="212"/>
    </row>
    <row r="475" spans="2:14" x14ac:dyDescent="0.15">
      <c r="B475" s="212"/>
      <c r="C475" s="212"/>
      <c r="D475" s="212"/>
      <c r="E475" s="212"/>
      <c r="F475" s="251"/>
      <c r="G475" s="212"/>
      <c r="H475" s="251"/>
      <c r="N475" s="212"/>
    </row>
    <row r="476" spans="2:14" x14ac:dyDescent="0.15">
      <c r="B476" s="212"/>
      <c r="C476" s="212"/>
      <c r="D476" s="212"/>
      <c r="E476" s="212"/>
      <c r="F476" s="251"/>
      <c r="G476" s="212"/>
      <c r="H476" s="251"/>
      <c r="N476" s="212"/>
    </row>
    <row r="477" spans="2:14" x14ac:dyDescent="0.15">
      <c r="B477" s="212"/>
      <c r="C477" s="212"/>
      <c r="D477" s="212"/>
      <c r="E477" s="212"/>
      <c r="F477" s="251"/>
      <c r="G477" s="212"/>
      <c r="H477" s="251"/>
      <c r="N477" s="212"/>
    </row>
    <row r="478" spans="2:14" x14ac:dyDescent="0.15">
      <c r="B478" s="212"/>
      <c r="C478" s="212"/>
      <c r="D478" s="212"/>
      <c r="E478" s="212"/>
      <c r="F478" s="251"/>
      <c r="G478" s="212"/>
      <c r="H478" s="251"/>
      <c r="N478" s="212"/>
    </row>
    <row r="479" spans="2:14" x14ac:dyDescent="0.15">
      <c r="B479" s="212"/>
      <c r="C479" s="212"/>
      <c r="D479" s="212"/>
      <c r="E479" s="212"/>
      <c r="F479" s="251"/>
      <c r="G479" s="212"/>
      <c r="H479" s="251"/>
      <c r="N479" s="212"/>
    </row>
    <row r="480" spans="2:14" x14ac:dyDescent="0.15">
      <c r="B480" s="212"/>
      <c r="C480" s="212"/>
      <c r="D480" s="212"/>
      <c r="E480" s="212"/>
      <c r="F480" s="251"/>
      <c r="G480" s="212"/>
      <c r="H480" s="251"/>
      <c r="N480" s="212"/>
    </row>
    <row r="481" spans="2:14" x14ac:dyDescent="0.15">
      <c r="B481" s="212"/>
      <c r="C481" s="212"/>
      <c r="D481" s="212"/>
      <c r="E481" s="212"/>
      <c r="F481" s="251"/>
      <c r="G481" s="212"/>
      <c r="H481" s="251"/>
      <c r="N481" s="212"/>
    </row>
    <row r="482" spans="2:14" x14ac:dyDescent="0.15">
      <c r="B482" s="212"/>
      <c r="C482" s="212"/>
      <c r="D482" s="212"/>
      <c r="E482" s="212"/>
      <c r="F482" s="251"/>
      <c r="G482" s="212"/>
      <c r="H482" s="251"/>
      <c r="N482" s="212"/>
    </row>
    <row r="483" spans="2:14" x14ac:dyDescent="0.15">
      <c r="B483" s="212"/>
      <c r="C483" s="212"/>
      <c r="D483" s="212"/>
      <c r="E483" s="212"/>
      <c r="F483" s="251"/>
      <c r="G483" s="212"/>
      <c r="H483" s="251"/>
      <c r="N483" s="212"/>
    </row>
    <row r="484" spans="2:14" x14ac:dyDescent="0.15">
      <c r="B484" s="212"/>
      <c r="C484" s="212"/>
      <c r="D484" s="212"/>
      <c r="E484" s="212"/>
      <c r="F484" s="251"/>
      <c r="G484" s="212"/>
      <c r="H484" s="251"/>
      <c r="N484" s="212"/>
    </row>
    <row r="485" spans="2:14" x14ac:dyDescent="0.15">
      <c r="B485" s="212"/>
      <c r="C485" s="212"/>
      <c r="D485" s="212"/>
      <c r="E485" s="212"/>
      <c r="F485" s="251"/>
      <c r="G485" s="212"/>
      <c r="H485" s="251"/>
      <c r="N485" s="212"/>
    </row>
    <row r="486" spans="2:14" x14ac:dyDescent="0.15">
      <c r="B486" s="212"/>
      <c r="C486" s="212"/>
      <c r="D486" s="212"/>
      <c r="E486" s="212"/>
      <c r="F486" s="251"/>
      <c r="G486" s="212"/>
      <c r="H486" s="251"/>
      <c r="N486" s="212"/>
    </row>
    <row r="487" spans="2:14" x14ac:dyDescent="0.15">
      <c r="B487" s="212"/>
      <c r="C487" s="212"/>
      <c r="D487" s="212"/>
      <c r="E487" s="212"/>
      <c r="F487" s="251"/>
      <c r="G487" s="212"/>
      <c r="H487" s="251"/>
      <c r="N487" s="212"/>
    </row>
    <row r="488" spans="2:14" x14ac:dyDescent="0.15">
      <c r="B488" s="212"/>
      <c r="C488" s="212"/>
      <c r="D488" s="212"/>
      <c r="E488" s="212"/>
      <c r="F488" s="251"/>
      <c r="G488" s="212"/>
      <c r="H488" s="251"/>
      <c r="N488" s="212"/>
    </row>
    <row r="489" spans="2:14" x14ac:dyDescent="0.15">
      <c r="B489" s="212"/>
      <c r="C489" s="212"/>
      <c r="D489" s="212"/>
      <c r="E489" s="212"/>
      <c r="N489" s="212"/>
    </row>
    <row r="490" spans="2:14" x14ac:dyDescent="0.15">
      <c r="B490" s="212"/>
      <c r="C490" s="212"/>
      <c r="D490" s="212"/>
      <c r="E490" s="212"/>
      <c r="N490" s="212"/>
    </row>
    <row r="491" spans="2:14" x14ac:dyDescent="0.15">
      <c r="B491" s="212"/>
      <c r="C491" s="212"/>
      <c r="D491" s="212"/>
      <c r="E491" s="212"/>
      <c r="N491" s="212"/>
    </row>
    <row r="492" spans="2:14" x14ac:dyDescent="0.15">
      <c r="B492" s="212"/>
      <c r="C492" s="212"/>
      <c r="D492" s="212"/>
      <c r="E492" s="212"/>
      <c r="N492" s="212"/>
    </row>
    <row r="493" spans="2:14" x14ac:dyDescent="0.15">
      <c r="B493" s="212"/>
      <c r="C493" s="212"/>
      <c r="D493" s="212"/>
      <c r="E493" s="212"/>
      <c r="N493" s="212"/>
    </row>
    <row r="494" spans="2:14" x14ac:dyDescent="0.15">
      <c r="B494" s="212"/>
      <c r="C494" s="212"/>
      <c r="D494" s="212"/>
      <c r="E494" s="212"/>
      <c r="N494" s="212"/>
    </row>
    <row r="495" spans="2:14" x14ac:dyDescent="0.15">
      <c r="B495" s="212"/>
      <c r="C495" s="212"/>
      <c r="D495" s="212"/>
      <c r="E495" s="212"/>
      <c r="N495" s="212"/>
    </row>
    <row r="496" spans="2:14" x14ac:dyDescent="0.15">
      <c r="B496" s="212"/>
      <c r="C496" s="212"/>
      <c r="D496" s="212"/>
      <c r="E496" s="212"/>
      <c r="N496" s="212"/>
    </row>
    <row r="497" spans="2:14" x14ac:dyDescent="0.15">
      <c r="B497" s="212"/>
      <c r="C497" s="212"/>
      <c r="D497" s="212"/>
      <c r="E497" s="212"/>
      <c r="N497" s="212"/>
    </row>
    <row r="498" spans="2:14" x14ac:dyDescent="0.15">
      <c r="B498" s="212"/>
      <c r="C498" s="212"/>
      <c r="D498" s="212"/>
      <c r="E498" s="212"/>
      <c r="N498" s="212"/>
    </row>
    <row r="499" spans="2:14" x14ac:dyDescent="0.15">
      <c r="B499" s="212"/>
      <c r="C499" s="212"/>
      <c r="D499" s="212"/>
      <c r="E499" s="212"/>
      <c r="N499" s="212"/>
    </row>
    <row r="500" spans="2:14" x14ac:dyDescent="0.15">
      <c r="B500" s="212"/>
      <c r="C500" s="212"/>
      <c r="D500" s="212"/>
      <c r="E500" s="212"/>
      <c r="N500" s="212"/>
    </row>
    <row r="501" spans="2:14" x14ac:dyDescent="0.15">
      <c r="B501" s="212"/>
      <c r="C501" s="212"/>
      <c r="D501" s="212"/>
      <c r="E501" s="212"/>
      <c r="N501" s="212"/>
    </row>
    <row r="502" spans="2:14" x14ac:dyDescent="0.15">
      <c r="B502" s="212"/>
      <c r="C502" s="212"/>
      <c r="D502" s="212"/>
      <c r="E502" s="212"/>
      <c r="N502" s="212"/>
    </row>
    <row r="503" spans="2:14" x14ac:dyDescent="0.15">
      <c r="B503" s="212"/>
      <c r="C503" s="212"/>
      <c r="D503" s="212"/>
      <c r="E503" s="212"/>
      <c r="N503" s="212"/>
    </row>
    <row r="504" spans="2:14" x14ac:dyDescent="0.15">
      <c r="B504" s="212"/>
      <c r="C504" s="212"/>
      <c r="D504" s="212"/>
      <c r="E504" s="212"/>
      <c r="N504" s="212"/>
    </row>
    <row r="505" spans="2:14" x14ac:dyDescent="0.15">
      <c r="B505" s="212"/>
      <c r="C505" s="212"/>
      <c r="D505" s="212"/>
      <c r="E505" s="212"/>
      <c r="N505" s="212"/>
    </row>
    <row r="506" spans="2:14" x14ac:dyDescent="0.15">
      <c r="B506" s="212"/>
      <c r="C506" s="212"/>
      <c r="D506" s="212"/>
      <c r="E506" s="212"/>
      <c r="N506" s="212"/>
    </row>
    <row r="507" spans="2:14" x14ac:dyDescent="0.15">
      <c r="B507" s="212"/>
      <c r="C507" s="212"/>
      <c r="D507" s="212"/>
      <c r="E507" s="212"/>
      <c r="N507" s="212"/>
    </row>
    <row r="508" spans="2:14" x14ac:dyDescent="0.15">
      <c r="B508" s="212"/>
      <c r="C508" s="212"/>
      <c r="D508" s="212"/>
      <c r="E508" s="212"/>
      <c r="N508" s="212"/>
    </row>
    <row r="509" spans="2:14" x14ac:dyDescent="0.15">
      <c r="B509" s="212"/>
      <c r="C509" s="212"/>
      <c r="D509" s="212"/>
      <c r="E509" s="212"/>
      <c r="N509" s="212"/>
    </row>
    <row r="510" spans="2:14" x14ac:dyDescent="0.15">
      <c r="B510" s="212"/>
      <c r="C510" s="212"/>
      <c r="D510" s="212"/>
      <c r="E510" s="212"/>
      <c r="N510" s="212"/>
    </row>
    <row r="511" spans="2:14" x14ac:dyDescent="0.15">
      <c r="B511" s="212"/>
      <c r="C511" s="212"/>
      <c r="D511" s="212"/>
      <c r="E511" s="212"/>
      <c r="N511" s="212"/>
    </row>
    <row r="512" spans="2:14" x14ac:dyDescent="0.15">
      <c r="B512" s="212"/>
      <c r="C512" s="212"/>
      <c r="D512" s="212"/>
      <c r="E512" s="212"/>
      <c r="N512" s="212"/>
    </row>
    <row r="513" spans="2:14" x14ac:dyDescent="0.15">
      <c r="B513" s="212"/>
      <c r="C513" s="212"/>
      <c r="D513" s="212"/>
      <c r="E513" s="212"/>
      <c r="N513" s="212"/>
    </row>
    <row r="514" spans="2:14" x14ac:dyDescent="0.15">
      <c r="B514" s="212"/>
      <c r="C514" s="212"/>
      <c r="D514" s="212"/>
      <c r="E514" s="212"/>
      <c r="N514" s="212"/>
    </row>
    <row r="515" spans="2:14" x14ac:dyDescent="0.15">
      <c r="B515" s="212"/>
      <c r="C515" s="212"/>
      <c r="D515" s="212"/>
      <c r="E515" s="212"/>
      <c r="N515" s="212"/>
    </row>
    <row r="516" spans="2:14" x14ac:dyDescent="0.15">
      <c r="B516" s="212"/>
      <c r="C516" s="212"/>
      <c r="D516" s="212"/>
      <c r="E516" s="212"/>
      <c r="N516" s="212"/>
    </row>
    <row r="517" spans="2:14" x14ac:dyDescent="0.15">
      <c r="B517" s="212"/>
      <c r="C517" s="212"/>
      <c r="D517" s="212"/>
      <c r="E517" s="212"/>
      <c r="N517" s="212"/>
    </row>
    <row r="518" spans="2:14" x14ac:dyDescent="0.15">
      <c r="B518" s="212"/>
      <c r="C518" s="212"/>
      <c r="D518" s="212"/>
      <c r="E518" s="212"/>
      <c r="N518" s="212"/>
    </row>
    <row r="519" spans="2:14" x14ac:dyDescent="0.15">
      <c r="B519" s="212"/>
      <c r="C519" s="212"/>
      <c r="D519" s="212"/>
      <c r="E519" s="212"/>
      <c r="N519" s="212"/>
    </row>
    <row r="520" spans="2:14" x14ac:dyDescent="0.15">
      <c r="B520" s="212"/>
      <c r="C520" s="212"/>
      <c r="D520" s="212"/>
      <c r="E520" s="212"/>
      <c r="N520" s="212"/>
    </row>
    <row r="521" spans="2:14" x14ac:dyDescent="0.15">
      <c r="B521" s="212"/>
      <c r="C521" s="212"/>
      <c r="D521" s="212"/>
      <c r="E521" s="212"/>
      <c r="N521" s="212"/>
    </row>
    <row r="522" spans="2:14" x14ac:dyDescent="0.15">
      <c r="B522" s="212"/>
      <c r="C522" s="212"/>
      <c r="D522" s="212"/>
      <c r="E522" s="212"/>
      <c r="N522" s="212"/>
    </row>
    <row r="523" spans="2:14" x14ac:dyDescent="0.15">
      <c r="B523" s="212"/>
      <c r="C523" s="212"/>
      <c r="D523" s="212"/>
      <c r="E523" s="212"/>
      <c r="N523" s="212"/>
    </row>
    <row r="524" spans="2:14" x14ac:dyDescent="0.15">
      <c r="B524" s="212"/>
      <c r="C524" s="212"/>
      <c r="D524" s="212"/>
      <c r="E524" s="212"/>
      <c r="N524" s="212"/>
    </row>
    <row r="525" spans="2:14" x14ac:dyDescent="0.15">
      <c r="B525" s="212"/>
      <c r="C525" s="212"/>
      <c r="D525" s="212"/>
      <c r="E525" s="212"/>
      <c r="N525" s="212"/>
    </row>
    <row r="526" spans="2:14" x14ac:dyDescent="0.15">
      <c r="B526" s="212"/>
      <c r="C526" s="212"/>
      <c r="D526" s="212"/>
      <c r="E526" s="212"/>
      <c r="N526" s="212"/>
    </row>
    <row r="527" spans="2:14" x14ac:dyDescent="0.15">
      <c r="B527" s="212"/>
      <c r="C527" s="212"/>
      <c r="D527" s="212"/>
      <c r="E527" s="212"/>
      <c r="N527" s="212"/>
    </row>
    <row r="528" spans="2:14" x14ac:dyDescent="0.15">
      <c r="B528" s="212"/>
      <c r="C528" s="212"/>
      <c r="D528" s="212"/>
      <c r="E528" s="212"/>
      <c r="N528" s="212"/>
    </row>
    <row r="529" spans="2:14" x14ac:dyDescent="0.15">
      <c r="B529" s="212"/>
      <c r="C529" s="212"/>
      <c r="D529" s="212"/>
      <c r="E529" s="212"/>
      <c r="N529" s="212"/>
    </row>
    <row r="530" spans="2:14" x14ac:dyDescent="0.15">
      <c r="B530" s="212"/>
      <c r="C530" s="212"/>
      <c r="D530" s="212"/>
      <c r="E530" s="212"/>
      <c r="N530" s="212"/>
    </row>
    <row r="531" spans="2:14" x14ac:dyDescent="0.15">
      <c r="B531" s="212"/>
      <c r="C531" s="212"/>
      <c r="D531" s="212"/>
      <c r="E531" s="212"/>
      <c r="N531" s="212"/>
    </row>
    <row r="532" spans="2:14" x14ac:dyDescent="0.15">
      <c r="B532" s="212"/>
      <c r="C532" s="212"/>
      <c r="D532" s="212"/>
      <c r="E532" s="212"/>
      <c r="N532" s="212"/>
    </row>
    <row r="533" spans="2:14" x14ac:dyDescent="0.15">
      <c r="B533" s="212"/>
      <c r="C533" s="212"/>
      <c r="D533" s="212"/>
      <c r="E533" s="212"/>
      <c r="N533" s="212"/>
    </row>
    <row r="534" spans="2:14" x14ac:dyDescent="0.15">
      <c r="B534" s="212"/>
      <c r="C534" s="212"/>
      <c r="D534" s="212"/>
      <c r="E534" s="212"/>
      <c r="N534" s="212"/>
    </row>
    <row r="535" spans="2:14" x14ac:dyDescent="0.15">
      <c r="B535" s="212"/>
      <c r="C535" s="212"/>
      <c r="D535" s="212"/>
      <c r="E535" s="212"/>
      <c r="N535" s="212"/>
    </row>
    <row r="536" spans="2:14" x14ac:dyDescent="0.15">
      <c r="B536" s="212"/>
      <c r="C536" s="212"/>
      <c r="D536" s="212"/>
      <c r="E536" s="212"/>
      <c r="N536" s="212"/>
    </row>
    <row r="537" spans="2:14" x14ac:dyDescent="0.15">
      <c r="B537" s="212"/>
      <c r="C537" s="212"/>
      <c r="D537" s="212"/>
      <c r="E537" s="212"/>
      <c r="N537" s="212"/>
    </row>
    <row r="538" spans="2:14" x14ac:dyDescent="0.15">
      <c r="B538" s="212"/>
      <c r="C538" s="212"/>
      <c r="D538" s="212"/>
      <c r="E538" s="212"/>
      <c r="N538" s="212"/>
    </row>
    <row r="539" spans="2:14" x14ac:dyDescent="0.15">
      <c r="B539" s="212"/>
      <c r="C539" s="212"/>
      <c r="D539" s="212"/>
      <c r="E539" s="212"/>
      <c r="N539" s="212"/>
    </row>
    <row r="540" spans="2:14" x14ac:dyDescent="0.15">
      <c r="B540" s="212"/>
      <c r="C540" s="212"/>
      <c r="D540" s="212"/>
      <c r="E540" s="212"/>
      <c r="N540" s="212"/>
    </row>
    <row r="541" spans="2:14" x14ac:dyDescent="0.15">
      <c r="B541" s="212"/>
      <c r="C541" s="212"/>
      <c r="D541" s="212"/>
      <c r="E541" s="212"/>
      <c r="N541" s="212"/>
    </row>
    <row r="542" spans="2:14" x14ac:dyDescent="0.15">
      <c r="B542" s="212"/>
      <c r="C542" s="212"/>
      <c r="D542" s="212"/>
      <c r="E542" s="212"/>
      <c r="N542" s="212"/>
    </row>
    <row r="543" spans="2:14" x14ac:dyDescent="0.15">
      <c r="B543" s="212"/>
      <c r="C543" s="212"/>
      <c r="D543" s="212"/>
      <c r="E543" s="212"/>
      <c r="N543" s="212"/>
    </row>
    <row r="544" spans="2:14" x14ac:dyDescent="0.15">
      <c r="B544" s="212"/>
      <c r="C544" s="212"/>
      <c r="D544" s="212"/>
      <c r="E544" s="212"/>
      <c r="N544" s="212"/>
    </row>
    <row r="545" spans="2:14" x14ac:dyDescent="0.15">
      <c r="B545" s="212"/>
      <c r="C545" s="212"/>
      <c r="D545" s="212"/>
      <c r="E545" s="212"/>
      <c r="N545" s="212"/>
    </row>
    <row r="546" spans="2:14" x14ac:dyDescent="0.15">
      <c r="B546" s="212"/>
      <c r="C546" s="212"/>
      <c r="D546" s="212"/>
      <c r="E546" s="212"/>
      <c r="N546" s="212"/>
    </row>
    <row r="547" spans="2:14" x14ac:dyDescent="0.15">
      <c r="B547" s="212"/>
      <c r="C547" s="212"/>
      <c r="D547" s="212"/>
      <c r="E547" s="212"/>
      <c r="N547" s="212"/>
    </row>
    <row r="548" spans="2:14" x14ac:dyDescent="0.15">
      <c r="B548" s="212"/>
      <c r="C548" s="212"/>
      <c r="D548" s="212"/>
      <c r="E548" s="212"/>
      <c r="N548" s="212"/>
    </row>
    <row r="549" spans="2:14" x14ac:dyDescent="0.15">
      <c r="B549" s="212"/>
      <c r="C549" s="212"/>
      <c r="D549" s="212"/>
      <c r="E549" s="212"/>
      <c r="N549" s="212"/>
    </row>
    <row r="550" spans="2:14" x14ac:dyDescent="0.15">
      <c r="B550" s="212"/>
      <c r="C550" s="212"/>
      <c r="D550" s="212"/>
      <c r="E550" s="212"/>
      <c r="N550" s="212"/>
    </row>
    <row r="551" spans="2:14" x14ac:dyDescent="0.15">
      <c r="B551" s="212"/>
      <c r="C551" s="212"/>
      <c r="D551" s="212"/>
      <c r="E551" s="212"/>
      <c r="N551" s="212"/>
    </row>
    <row r="552" spans="2:14" x14ac:dyDescent="0.15">
      <c r="B552" s="212"/>
      <c r="C552" s="212"/>
      <c r="D552" s="212"/>
      <c r="E552" s="212"/>
      <c r="N552" s="212"/>
    </row>
    <row r="553" spans="2:14" x14ac:dyDescent="0.15">
      <c r="B553" s="212"/>
      <c r="C553" s="212"/>
      <c r="D553" s="212"/>
      <c r="E553" s="212"/>
      <c r="N553" s="212"/>
    </row>
    <row r="554" spans="2:14" x14ac:dyDescent="0.15">
      <c r="B554" s="212"/>
      <c r="C554" s="212"/>
      <c r="D554" s="212"/>
      <c r="E554" s="212"/>
      <c r="N554" s="212"/>
    </row>
    <row r="555" spans="2:14" x14ac:dyDescent="0.15">
      <c r="B555" s="212"/>
      <c r="C555" s="212"/>
      <c r="D555" s="212"/>
      <c r="E555" s="212"/>
      <c r="N555" s="212"/>
    </row>
    <row r="556" spans="2:14" x14ac:dyDescent="0.15">
      <c r="B556" s="212"/>
      <c r="C556" s="212"/>
      <c r="D556" s="212"/>
      <c r="E556" s="212"/>
      <c r="N556" s="212"/>
    </row>
    <row r="557" spans="2:14" x14ac:dyDescent="0.15">
      <c r="B557" s="212"/>
      <c r="C557" s="212"/>
      <c r="D557" s="212"/>
      <c r="E557" s="212"/>
      <c r="N557" s="212"/>
    </row>
    <row r="558" spans="2:14" x14ac:dyDescent="0.15">
      <c r="B558" s="212"/>
      <c r="C558" s="212"/>
      <c r="D558" s="212"/>
      <c r="E558" s="212"/>
      <c r="N558" s="212"/>
    </row>
    <row r="559" spans="2:14" x14ac:dyDescent="0.15">
      <c r="B559" s="212"/>
      <c r="C559" s="212"/>
      <c r="D559" s="212"/>
      <c r="E559" s="212"/>
      <c r="N559" s="212"/>
    </row>
    <row r="560" spans="2:14" x14ac:dyDescent="0.15">
      <c r="B560" s="212"/>
      <c r="C560" s="212"/>
      <c r="D560" s="212"/>
      <c r="E560" s="212"/>
      <c r="N560" s="212"/>
    </row>
    <row r="561" spans="2:14" x14ac:dyDescent="0.15">
      <c r="B561" s="212"/>
      <c r="C561" s="212"/>
      <c r="D561" s="212"/>
      <c r="E561" s="212"/>
      <c r="N561" s="212"/>
    </row>
    <row r="562" spans="2:14" x14ac:dyDescent="0.15">
      <c r="B562" s="212"/>
      <c r="C562" s="212"/>
      <c r="D562" s="212"/>
      <c r="E562" s="212"/>
      <c r="N562" s="212"/>
    </row>
    <row r="563" spans="2:14" x14ac:dyDescent="0.15">
      <c r="B563" s="212"/>
      <c r="C563" s="212"/>
      <c r="D563" s="212"/>
      <c r="E563" s="212"/>
      <c r="N563" s="212"/>
    </row>
    <row r="564" spans="2:14" x14ac:dyDescent="0.15">
      <c r="B564" s="212"/>
      <c r="C564" s="212"/>
      <c r="D564" s="212"/>
      <c r="E564" s="212"/>
      <c r="N564" s="212"/>
    </row>
    <row r="565" spans="2:14" x14ac:dyDescent="0.15">
      <c r="B565" s="212"/>
      <c r="C565" s="212"/>
      <c r="D565" s="212"/>
      <c r="E565" s="212"/>
      <c r="N565" s="212"/>
    </row>
    <row r="566" spans="2:14" x14ac:dyDescent="0.15">
      <c r="B566" s="212"/>
      <c r="C566" s="212"/>
      <c r="D566" s="212"/>
      <c r="E566" s="212"/>
      <c r="N566" s="212"/>
    </row>
    <row r="567" spans="2:14" x14ac:dyDescent="0.15">
      <c r="B567" s="212"/>
      <c r="C567" s="212"/>
      <c r="D567" s="212"/>
      <c r="E567" s="212"/>
      <c r="N567" s="212">
        <v>0</v>
      </c>
    </row>
    <row r="568" spans="2:14" x14ac:dyDescent="0.15">
      <c r="B568" s="212"/>
      <c r="C568" s="212"/>
      <c r="D568" s="212"/>
      <c r="E568" s="212"/>
      <c r="N568" s="212">
        <v>0</v>
      </c>
    </row>
    <row r="569" spans="2:14" x14ac:dyDescent="0.15">
      <c r="B569" s="212"/>
      <c r="C569" s="212"/>
      <c r="D569" s="212"/>
      <c r="E569" s="212"/>
      <c r="N569" s="212">
        <v>0</v>
      </c>
    </row>
    <row r="570" spans="2:14" x14ac:dyDescent="0.15">
      <c r="B570" s="212"/>
      <c r="C570" s="212"/>
      <c r="D570" s="212"/>
      <c r="E570" s="212"/>
      <c r="N570" s="212">
        <v>0</v>
      </c>
    </row>
    <row r="571" spans="2:14" x14ac:dyDescent="0.15">
      <c r="B571" s="212"/>
      <c r="C571" s="212"/>
      <c r="D571" s="212"/>
      <c r="E571" s="212"/>
      <c r="N571" s="212">
        <v>0</v>
      </c>
    </row>
    <row r="572" spans="2:14" x14ac:dyDescent="0.15">
      <c r="B572" s="212"/>
      <c r="C572" s="212"/>
      <c r="D572" s="212"/>
      <c r="E572" s="212"/>
      <c r="N572" s="212">
        <v>0</v>
      </c>
    </row>
    <row r="573" spans="2:14" x14ac:dyDescent="0.15">
      <c r="B573" s="212"/>
      <c r="C573" s="212"/>
      <c r="D573" s="212"/>
      <c r="E573" s="212"/>
      <c r="N573" s="212">
        <v>0</v>
      </c>
    </row>
    <row r="574" spans="2:14" x14ac:dyDescent="0.15">
      <c r="B574" s="212"/>
      <c r="C574" s="212"/>
      <c r="D574" s="212"/>
      <c r="E574" s="212"/>
      <c r="N574" s="212">
        <v>0</v>
      </c>
    </row>
    <row r="575" spans="2:14" x14ac:dyDescent="0.15">
      <c r="B575" s="212"/>
      <c r="C575" s="212"/>
      <c r="D575" s="212"/>
      <c r="E575" s="212"/>
      <c r="N575" s="212">
        <v>0</v>
      </c>
    </row>
    <row r="576" spans="2:14" x14ac:dyDescent="0.15">
      <c r="B576" s="212"/>
      <c r="C576" s="212"/>
      <c r="D576" s="212"/>
      <c r="E576" s="212"/>
      <c r="N576" s="212">
        <v>0</v>
      </c>
    </row>
    <row r="577" spans="2:14" x14ac:dyDescent="0.15">
      <c r="B577" s="212"/>
      <c r="C577" s="212"/>
      <c r="D577" s="212"/>
      <c r="E577" s="212"/>
      <c r="N577" s="212">
        <v>0</v>
      </c>
    </row>
    <row r="578" spans="2:14" x14ac:dyDescent="0.15">
      <c r="B578" s="212"/>
      <c r="C578" s="212"/>
      <c r="D578" s="212"/>
      <c r="E578" s="212"/>
      <c r="N578" s="212">
        <v>0</v>
      </c>
    </row>
    <row r="579" spans="2:14" x14ac:dyDescent="0.15">
      <c r="B579" s="212"/>
      <c r="C579" s="212"/>
      <c r="D579" s="212"/>
      <c r="E579" s="212"/>
      <c r="N579" s="212">
        <v>0</v>
      </c>
    </row>
    <row r="580" spans="2:14" x14ac:dyDescent="0.15">
      <c r="B580" s="212"/>
      <c r="C580" s="212"/>
      <c r="D580" s="212"/>
      <c r="E580" s="212"/>
      <c r="N580" s="212">
        <v>0</v>
      </c>
    </row>
    <row r="581" spans="2:14" x14ac:dyDescent="0.15">
      <c r="B581" s="212"/>
      <c r="C581" s="212"/>
      <c r="D581" s="212"/>
      <c r="E581" s="212"/>
      <c r="N581" s="212">
        <v>0</v>
      </c>
    </row>
    <row r="582" spans="2:14" x14ac:dyDescent="0.15">
      <c r="B582" s="212"/>
      <c r="C582" s="212"/>
      <c r="D582" s="212"/>
      <c r="E582" s="212"/>
      <c r="N582" s="212">
        <v>0</v>
      </c>
    </row>
    <row r="583" spans="2:14" x14ac:dyDescent="0.15">
      <c r="B583" s="212"/>
      <c r="C583" s="212"/>
      <c r="D583" s="212"/>
      <c r="E583" s="212"/>
      <c r="N583" s="212">
        <v>0</v>
      </c>
    </row>
    <row r="584" spans="2:14" x14ac:dyDescent="0.15">
      <c r="B584" s="212"/>
      <c r="C584" s="212"/>
      <c r="D584" s="212"/>
      <c r="E584" s="212"/>
      <c r="N584" s="212">
        <v>0</v>
      </c>
    </row>
    <row r="585" spans="2:14" x14ac:dyDescent="0.15">
      <c r="B585" s="212"/>
      <c r="C585" s="212"/>
      <c r="D585" s="212"/>
      <c r="E585" s="212"/>
      <c r="N585" s="212">
        <v>0</v>
      </c>
    </row>
    <row r="586" spans="2:14" x14ac:dyDescent="0.15">
      <c r="B586" s="212"/>
      <c r="C586" s="212"/>
      <c r="D586" s="212"/>
      <c r="E586" s="212"/>
      <c r="N586" s="212">
        <v>0</v>
      </c>
    </row>
    <row r="587" spans="2:14" x14ac:dyDescent="0.15">
      <c r="B587" s="212"/>
      <c r="C587" s="212"/>
      <c r="D587" s="212"/>
      <c r="E587" s="212"/>
      <c r="N587" s="212">
        <v>0</v>
      </c>
    </row>
    <row r="588" spans="2:14" x14ac:dyDescent="0.15">
      <c r="B588" s="212"/>
      <c r="C588" s="212"/>
      <c r="D588" s="212"/>
      <c r="E588" s="212"/>
      <c r="N588" s="212">
        <v>0</v>
      </c>
    </row>
    <row r="589" spans="2:14" x14ac:dyDescent="0.15">
      <c r="B589" s="212"/>
      <c r="C589" s="212"/>
      <c r="D589" s="212"/>
      <c r="E589" s="212"/>
      <c r="N589" s="212">
        <v>0</v>
      </c>
    </row>
    <row r="590" spans="2:14" x14ac:dyDescent="0.15">
      <c r="B590" s="212"/>
      <c r="C590" s="212"/>
      <c r="D590" s="212"/>
      <c r="E590" s="212"/>
      <c r="N590" s="212">
        <v>0</v>
      </c>
    </row>
    <row r="591" spans="2:14" x14ac:dyDescent="0.15">
      <c r="B591" s="212"/>
      <c r="C591" s="212"/>
      <c r="D591" s="212"/>
      <c r="E591" s="212"/>
      <c r="N591" s="212">
        <v>0</v>
      </c>
    </row>
    <row r="592" spans="2:14" x14ac:dyDescent="0.15">
      <c r="B592" s="212"/>
      <c r="C592" s="212"/>
      <c r="D592" s="212"/>
      <c r="E592" s="212"/>
      <c r="N592" s="212">
        <v>0</v>
      </c>
    </row>
    <row r="593" spans="2:14" x14ac:dyDescent="0.15">
      <c r="B593" s="212"/>
      <c r="C593" s="212"/>
      <c r="D593" s="212"/>
      <c r="E593" s="212"/>
      <c r="N593" s="212">
        <v>0</v>
      </c>
    </row>
    <row r="594" spans="2:14" x14ac:dyDescent="0.15">
      <c r="B594" s="212"/>
      <c r="C594" s="212"/>
      <c r="D594" s="212"/>
      <c r="E594" s="212"/>
      <c r="N594" s="212">
        <v>0</v>
      </c>
    </row>
    <row r="595" spans="2:14" x14ac:dyDescent="0.15">
      <c r="B595" s="212"/>
      <c r="C595" s="212"/>
      <c r="D595" s="212"/>
      <c r="E595" s="212"/>
      <c r="N595" s="212">
        <v>0</v>
      </c>
    </row>
    <row r="596" spans="2:14" x14ac:dyDescent="0.15">
      <c r="B596" s="212"/>
      <c r="C596" s="212"/>
      <c r="D596" s="212"/>
      <c r="E596" s="212"/>
      <c r="N596" s="212">
        <v>0</v>
      </c>
    </row>
    <row r="597" spans="2:14" x14ac:dyDescent="0.15">
      <c r="B597" s="212"/>
      <c r="C597" s="212"/>
      <c r="D597" s="212"/>
      <c r="E597" s="212"/>
      <c r="N597" s="212">
        <v>0</v>
      </c>
    </row>
    <row r="598" spans="2:14" x14ac:dyDescent="0.15">
      <c r="B598" s="212"/>
      <c r="C598" s="212"/>
      <c r="D598" s="212"/>
      <c r="E598" s="212"/>
      <c r="N598" s="212">
        <v>0</v>
      </c>
    </row>
    <row r="599" spans="2:14" x14ac:dyDescent="0.15">
      <c r="B599" s="212"/>
      <c r="C599" s="212"/>
      <c r="D599" s="212"/>
      <c r="E599" s="212"/>
      <c r="N599" s="212">
        <v>0</v>
      </c>
    </row>
    <row r="600" spans="2:14" x14ac:dyDescent="0.15">
      <c r="B600" s="212"/>
      <c r="C600" s="212"/>
      <c r="D600" s="212"/>
      <c r="E600" s="212"/>
      <c r="N600" s="212">
        <v>0</v>
      </c>
    </row>
    <row r="601" spans="2:14" x14ac:dyDescent="0.15">
      <c r="B601" s="212"/>
      <c r="C601" s="212"/>
      <c r="D601" s="212"/>
      <c r="E601" s="212"/>
      <c r="N601" s="212">
        <v>0</v>
      </c>
    </row>
    <row r="602" spans="2:14" x14ac:dyDescent="0.15">
      <c r="B602" s="212"/>
      <c r="C602" s="212"/>
      <c r="D602" s="212"/>
      <c r="E602" s="212"/>
      <c r="N602" s="212">
        <v>0</v>
      </c>
    </row>
    <row r="603" spans="2:14" x14ac:dyDescent="0.15">
      <c r="B603" s="212"/>
      <c r="C603" s="212"/>
      <c r="D603" s="212"/>
      <c r="E603" s="212"/>
      <c r="N603" s="212">
        <v>0</v>
      </c>
    </row>
    <row r="604" spans="2:14" x14ac:dyDescent="0.15">
      <c r="B604" s="212"/>
      <c r="C604" s="212"/>
      <c r="D604" s="212"/>
      <c r="E604" s="212"/>
      <c r="N604" s="212">
        <v>0</v>
      </c>
    </row>
    <row r="605" spans="2:14" x14ac:dyDescent="0.15">
      <c r="B605" s="212"/>
      <c r="C605" s="212"/>
      <c r="D605" s="212"/>
      <c r="E605" s="212"/>
      <c r="N605" s="212">
        <v>0</v>
      </c>
    </row>
    <row r="606" spans="2:14" x14ac:dyDescent="0.15">
      <c r="B606" s="212"/>
      <c r="C606" s="212"/>
      <c r="D606" s="212"/>
      <c r="E606" s="212"/>
      <c r="N606" s="212">
        <v>0</v>
      </c>
    </row>
    <row r="607" spans="2:14" x14ac:dyDescent="0.15">
      <c r="B607" s="212"/>
      <c r="C607" s="212"/>
      <c r="D607" s="212"/>
      <c r="E607" s="212"/>
      <c r="N607" s="212">
        <v>0</v>
      </c>
    </row>
    <row r="608" spans="2:14" x14ac:dyDescent="0.15">
      <c r="B608" s="212"/>
      <c r="C608" s="212"/>
      <c r="D608" s="212"/>
      <c r="E608" s="212"/>
      <c r="N608" s="212">
        <v>0</v>
      </c>
    </row>
    <row r="609" spans="2:14" x14ac:dyDescent="0.15">
      <c r="B609" s="212"/>
      <c r="C609" s="212"/>
      <c r="D609" s="212"/>
      <c r="E609" s="212"/>
      <c r="N609" s="212">
        <v>0</v>
      </c>
    </row>
    <row r="610" spans="2:14" x14ac:dyDescent="0.15">
      <c r="B610" s="212"/>
      <c r="C610" s="212"/>
      <c r="D610" s="212"/>
      <c r="E610" s="212"/>
      <c r="N610" s="212">
        <v>0</v>
      </c>
    </row>
    <row r="611" spans="2:14" x14ac:dyDescent="0.15">
      <c r="B611" s="212"/>
      <c r="C611" s="212"/>
      <c r="D611" s="212"/>
      <c r="E611" s="212"/>
      <c r="N611" s="212">
        <v>0</v>
      </c>
    </row>
    <row r="612" spans="2:14" x14ac:dyDescent="0.15">
      <c r="B612" s="212"/>
      <c r="C612" s="212"/>
      <c r="D612" s="212"/>
      <c r="E612" s="212"/>
      <c r="N612" s="212">
        <v>0</v>
      </c>
    </row>
    <row r="613" spans="2:14" x14ac:dyDescent="0.15">
      <c r="B613" s="212"/>
      <c r="C613" s="212"/>
      <c r="D613" s="212"/>
      <c r="E613" s="212"/>
      <c r="N613" s="212">
        <v>0</v>
      </c>
    </row>
    <row r="614" spans="2:14" x14ac:dyDescent="0.15">
      <c r="B614" s="212"/>
      <c r="C614" s="212"/>
      <c r="D614" s="212"/>
      <c r="E614" s="212"/>
      <c r="N614" s="212">
        <v>0</v>
      </c>
    </row>
    <row r="615" spans="2:14" x14ac:dyDescent="0.15">
      <c r="B615" s="212"/>
      <c r="C615" s="212"/>
      <c r="D615" s="212"/>
      <c r="E615" s="212"/>
      <c r="N615" s="212">
        <v>0</v>
      </c>
    </row>
    <row r="616" spans="2:14" x14ac:dyDescent="0.15">
      <c r="B616" s="212"/>
      <c r="C616" s="212"/>
      <c r="D616" s="212"/>
      <c r="E616" s="212"/>
      <c r="N616" s="212">
        <v>0</v>
      </c>
    </row>
    <row r="617" spans="2:14" x14ac:dyDescent="0.15">
      <c r="B617" s="212"/>
      <c r="C617" s="212"/>
      <c r="D617" s="212"/>
      <c r="E617" s="212"/>
      <c r="N617" s="212">
        <v>0</v>
      </c>
    </row>
    <row r="618" spans="2:14" x14ac:dyDescent="0.15">
      <c r="B618" s="212"/>
      <c r="C618" s="212"/>
      <c r="D618" s="212"/>
      <c r="E618" s="212"/>
      <c r="N618" s="212">
        <v>0</v>
      </c>
    </row>
    <row r="619" spans="2:14" x14ac:dyDescent="0.15">
      <c r="B619" s="212"/>
      <c r="C619" s="212"/>
      <c r="D619" s="212"/>
      <c r="E619" s="212"/>
      <c r="N619" s="212">
        <v>0</v>
      </c>
    </row>
    <row r="620" spans="2:14" x14ac:dyDescent="0.15">
      <c r="B620" s="212"/>
      <c r="C620" s="212"/>
      <c r="D620" s="212"/>
      <c r="E620" s="212"/>
      <c r="N620" s="212">
        <v>0</v>
      </c>
    </row>
    <row r="621" spans="2:14" x14ac:dyDescent="0.15">
      <c r="B621" s="212"/>
      <c r="C621" s="212"/>
      <c r="D621" s="212"/>
      <c r="E621" s="212"/>
      <c r="N621" s="212">
        <v>0</v>
      </c>
    </row>
    <row r="622" spans="2:14" x14ac:dyDescent="0.15">
      <c r="B622" s="212"/>
      <c r="C622" s="212"/>
      <c r="D622" s="212"/>
      <c r="E622" s="212"/>
      <c r="N622" s="212">
        <v>0</v>
      </c>
    </row>
    <row r="623" spans="2:14" x14ac:dyDescent="0.15">
      <c r="B623" s="212"/>
      <c r="C623" s="212"/>
      <c r="D623" s="212"/>
      <c r="E623" s="212"/>
      <c r="N623" s="212">
        <v>0</v>
      </c>
    </row>
    <row r="624" spans="2:14" x14ac:dyDescent="0.15">
      <c r="B624" s="212"/>
      <c r="C624" s="212"/>
      <c r="D624" s="212"/>
      <c r="E624" s="212"/>
      <c r="N624" s="212">
        <v>0</v>
      </c>
    </row>
    <row r="625" spans="2:14" x14ac:dyDescent="0.15">
      <c r="B625" s="212"/>
      <c r="C625" s="212"/>
      <c r="D625" s="212"/>
      <c r="E625" s="212"/>
      <c r="N625" s="212">
        <v>0</v>
      </c>
    </row>
    <row r="626" spans="2:14" x14ac:dyDescent="0.15">
      <c r="B626" s="212"/>
      <c r="C626" s="212"/>
      <c r="D626" s="212"/>
      <c r="E626" s="212"/>
      <c r="N626" s="212">
        <v>0</v>
      </c>
    </row>
    <row r="627" spans="2:14" x14ac:dyDescent="0.15">
      <c r="B627" s="212"/>
      <c r="C627" s="212"/>
      <c r="D627" s="212"/>
      <c r="E627" s="212"/>
      <c r="N627" s="212">
        <v>0</v>
      </c>
    </row>
    <row r="628" spans="2:14" x14ac:dyDescent="0.15">
      <c r="B628" s="212"/>
      <c r="C628" s="212"/>
      <c r="D628" s="212"/>
      <c r="E628" s="212"/>
      <c r="N628" s="212">
        <v>0</v>
      </c>
    </row>
    <row r="629" spans="2:14" x14ac:dyDescent="0.15">
      <c r="B629" s="212"/>
      <c r="C629" s="212"/>
      <c r="D629" s="212"/>
      <c r="E629" s="212"/>
      <c r="N629" s="212">
        <v>0</v>
      </c>
    </row>
    <row r="630" spans="2:14" x14ac:dyDescent="0.15">
      <c r="B630" s="212"/>
      <c r="C630" s="212"/>
      <c r="D630" s="212"/>
      <c r="E630" s="212"/>
      <c r="N630" s="212">
        <v>0</v>
      </c>
    </row>
    <row r="631" spans="2:14" x14ac:dyDescent="0.15">
      <c r="B631" s="212"/>
      <c r="C631" s="212"/>
      <c r="D631" s="212"/>
      <c r="E631" s="212"/>
      <c r="N631" s="212">
        <v>0</v>
      </c>
    </row>
    <row r="632" spans="2:14" x14ac:dyDescent="0.15">
      <c r="B632" s="212"/>
      <c r="C632" s="212"/>
      <c r="D632" s="212"/>
      <c r="E632" s="212"/>
      <c r="N632" s="212">
        <v>0</v>
      </c>
    </row>
    <row r="633" spans="2:14" x14ac:dyDescent="0.15">
      <c r="B633" s="212"/>
      <c r="C633" s="212"/>
      <c r="D633" s="212"/>
      <c r="E633" s="212"/>
      <c r="N633" s="212">
        <v>0</v>
      </c>
    </row>
    <row r="634" spans="2:14" x14ac:dyDescent="0.15">
      <c r="B634" s="212"/>
      <c r="C634" s="212"/>
      <c r="D634" s="212"/>
      <c r="E634" s="212"/>
      <c r="N634" s="212">
        <v>0</v>
      </c>
    </row>
    <row r="635" spans="2:14" x14ac:dyDescent="0.15">
      <c r="B635" s="212"/>
      <c r="C635" s="212"/>
      <c r="D635" s="212"/>
      <c r="E635" s="212"/>
      <c r="N635" s="212">
        <v>0</v>
      </c>
    </row>
    <row r="636" spans="2:14" x14ac:dyDescent="0.15">
      <c r="B636" s="212"/>
      <c r="C636" s="212"/>
      <c r="D636" s="212"/>
      <c r="E636" s="212"/>
      <c r="N636" s="212">
        <v>0</v>
      </c>
    </row>
    <row r="637" spans="2:14" x14ac:dyDescent="0.15">
      <c r="B637" s="212"/>
      <c r="C637" s="212"/>
      <c r="D637" s="212"/>
      <c r="E637" s="212"/>
      <c r="N637" s="212">
        <v>0</v>
      </c>
    </row>
    <row r="638" spans="2:14" x14ac:dyDescent="0.15">
      <c r="B638" s="212"/>
      <c r="C638" s="212"/>
      <c r="D638" s="212"/>
      <c r="E638" s="212"/>
      <c r="N638" s="212">
        <v>0</v>
      </c>
    </row>
    <row r="639" spans="2:14" x14ac:dyDescent="0.15">
      <c r="B639" s="212"/>
      <c r="C639" s="212"/>
      <c r="D639" s="212"/>
      <c r="E639" s="212"/>
      <c r="N639" s="212">
        <v>0</v>
      </c>
    </row>
    <row r="640" spans="2:14" x14ac:dyDescent="0.15">
      <c r="B640" s="212"/>
      <c r="C640" s="212"/>
      <c r="D640" s="212"/>
      <c r="E640" s="212"/>
      <c r="N640" s="212">
        <v>0</v>
      </c>
    </row>
    <row r="641" spans="2:14" x14ac:dyDescent="0.15">
      <c r="B641" s="212"/>
      <c r="C641" s="212"/>
      <c r="D641" s="212"/>
      <c r="E641" s="212"/>
      <c r="N641" s="212">
        <v>0</v>
      </c>
    </row>
    <row r="642" spans="2:14" x14ac:dyDescent="0.15">
      <c r="B642" s="212"/>
      <c r="C642" s="212"/>
      <c r="D642" s="212"/>
      <c r="E642" s="212"/>
      <c r="N642" s="212">
        <v>0</v>
      </c>
    </row>
    <row r="643" spans="2:14" x14ac:dyDescent="0.15">
      <c r="B643" s="212"/>
      <c r="C643" s="212"/>
      <c r="D643" s="212"/>
      <c r="E643" s="212"/>
      <c r="N643" s="212">
        <v>0</v>
      </c>
    </row>
    <row r="644" spans="2:14" x14ac:dyDescent="0.15">
      <c r="B644" s="212"/>
      <c r="C644" s="212"/>
      <c r="D644" s="212"/>
      <c r="E644" s="212"/>
      <c r="N644" s="212">
        <v>0</v>
      </c>
    </row>
    <row r="645" spans="2:14" x14ac:dyDescent="0.15">
      <c r="B645" s="212"/>
      <c r="C645" s="212"/>
      <c r="D645" s="212"/>
      <c r="E645" s="212"/>
      <c r="N645" s="212">
        <v>0</v>
      </c>
    </row>
    <row r="646" spans="2:14" x14ac:dyDescent="0.15">
      <c r="B646" s="212"/>
      <c r="C646" s="212"/>
      <c r="D646" s="212"/>
      <c r="E646" s="212"/>
      <c r="N646" s="212">
        <v>0</v>
      </c>
    </row>
    <row r="647" spans="2:14" x14ac:dyDescent="0.15">
      <c r="B647" s="212"/>
      <c r="C647" s="212"/>
      <c r="D647" s="212"/>
      <c r="E647" s="212"/>
      <c r="N647" s="212">
        <v>0</v>
      </c>
    </row>
    <row r="648" spans="2:14" x14ac:dyDescent="0.15">
      <c r="B648" s="212"/>
      <c r="C648" s="212"/>
      <c r="D648" s="212"/>
      <c r="E648" s="212"/>
      <c r="N648" s="212">
        <v>0</v>
      </c>
    </row>
    <row r="649" spans="2:14" x14ac:dyDescent="0.15">
      <c r="B649" s="212"/>
      <c r="C649" s="212"/>
      <c r="D649" s="212"/>
      <c r="E649" s="212"/>
      <c r="N649" s="212">
        <v>0</v>
      </c>
    </row>
    <row r="650" spans="2:14" x14ac:dyDescent="0.15">
      <c r="B650" s="212"/>
      <c r="C650" s="212"/>
      <c r="D650" s="212"/>
      <c r="E650" s="212"/>
      <c r="N650" s="212">
        <v>0</v>
      </c>
    </row>
    <row r="651" spans="2:14" x14ac:dyDescent="0.15">
      <c r="B651" s="212"/>
      <c r="C651" s="212"/>
      <c r="D651" s="212"/>
      <c r="E651" s="212"/>
      <c r="N651" s="212">
        <v>0</v>
      </c>
    </row>
    <row r="652" spans="2:14" x14ac:dyDescent="0.15">
      <c r="B652" s="212"/>
      <c r="C652" s="212"/>
      <c r="D652" s="212"/>
      <c r="E652" s="212"/>
      <c r="N652" s="212">
        <v>0</v>
      </c>
    </row>
    <row r="653" spans="2:14" x14ac:dyDescent="0.15">
      <c r="B653" s="212"/>
      <c r="C653" s="212"/>
      <c r="D653" s="212"/>
      <c r="E653" s="212"/>
      <c r="N653" s="212">
        <v>0</v>
      </c>
    </row>
    <row r="654" spans="2:14" x14ac:dyDescent="0.15">
      <c r="B654" s="212"/>
      <c r="C654" s="212"/>
      <c r="D654" s="212"/>
      <c r="E654" s="212"/>
      <c r="N654" s="212">
        <v>0</v>
      </c>
    </row>
    <row r="655" spans="2:14" x14ac:dyDescent="0.15">
      <c r="B655" s="212"/>
      <c r="C655" s="212"/>
      <c r="D655" s="212"/>
      <c r="E655" s="212"/>
      <c r="N655" s="212">
        <v>0</v>
      </c>
    </row>
    <row r="656" spans="2:14" x14ac:dyDescent="0.15">
      <c r="B656" s="212"/>
      <c r="C656" s="212"/>
      <c r="D656" s="212"/>
      <c r="E656" s="212"/>
      <c r="N656" s="212">
        <v>0</v>
      </c>
    </row>
    <row r="657" spans="2:14" x14ac:dyDescent="0.15">
      <c r="B657" s="212"/>
      <c r="C657" s="212"/>
      <c r="D657" s="212"/>
      <c r="E657" s="212"/>
      <c r="N657" s="212">
        <v>0</v>
      </c>
    </row>
    <row r="658" spans="2:14" x14ac:dyDescent="0.15">
      <c r="B658" s="212"/>
      <c r="C658" s="212"/>
      <c r="D658" s="212"/>
      <c r="E658" s="212"/>
      <c r="N658" s="212">
        <v>0</v>
      </c>
    </row>
    <row r="659" spans="2:14" x14ac:dyDescent="0.15">
      <c r="B659" s="212"/>
      <c r="C659" s="212"/>
      <c r="D659" s="212"/>
      <c r="E659" s="212"/>
      <c r="N659" s="212">
        <v>0</v>
      </c>
    </row>
    <row r="660" spans="2:14" x14ac:dyDescent="0.15">
      <c r="B660" s="212"/>
      <c r="C660" s="212"/>
      <c r="D660" s="212"/>
      <c r="E660" s="212"/>
      <c r="N660" s="212">
        <v>0</v>
      </c>
    </row>
    <row r="661" spans="2:14" x14ac:dyDescent="0.15">
      <c r="B661" s="212"/>
      <c r="C661" s="212"/>
      <c r="D661" s="212"/>
      <c r="E661" s="212"/>
      <c r="N661" s="212">
        <v>0</v>
      </c>
    </row>
    <row r="662" spans="2:14" x14ac:dyDescent="0.15">
      <c r="B662" s="212"/>
      <c r="C662" s="212"/>
      <c r="D662" s="212"/>
      <c r="E662" s="212"/>
      <c r="N662" s="212">
        <v>0</v>
      </c>
    </row>
    <row r="663" spans="2:14" x14ac:dyDescent="0.15">
      <c r="B663" s="212"/>
      <c r="C663" s="212"/>
      <c r="D663" s="212"/>
      <c r="E663" s="212"/>
      <c r="N663" s="212">
        <v>0</v>
      </c>
    </row>
    <row r="664" spans="2:14" x14ac:dyDescent="0.15">
      <c r="B664" s="212"/>
      <c r="C664" s="212"/>
      <c r="D664" s="212"/>
      <c r="E664" s="212"/>
      <c r="N664" s="212">
        <v>0</v>
      </c>
    </row>
    <row r="665" spans="2:14" x14ac:dyDescent="0.15">
      <c r="B665" s="212"/>
      <c r="C665" s="212"/>
      <c r="D665" s="212"/>
      <c r="E665" s="212"/>
      <c r="N665" s="212">
        <v>0</v>
      </c>
    </row>
    <row r="666" spans="2:14" x14ac:dyDescent="0.15">
      <c r="B666" s="212"/>
      <c r="C666" s="212"/>
      <c r="D666" s="212"/>
      <c r="E666" s="212"/>
      <c r="N666" s="212">
        <v>0</v>
      </c>
    </row>
    <row r="667" spans="2:14" x14ac:dyDescent="0.15">
      <c r="B667" s="212"/>
      <c r="C667" s="212"/>
      <c r="D667" s="212"/>
      <c r="E667" s="212"/>
      <c r="N667" s="212">
        <v>0</v>
      </c>
    </row>
    <row r="668" spans="2:14" x14ac:dyDescent="0.15">
      <c r="B668" s="212"/>
      <c r="C668" s="212"/>
      <c r="D668" s="212"/>
      <c r="E668" s="212"/>
      <c r="N668" s="212">
        <v>0</v>
      </c>
    </row>
    <row r="669" spans="2:14" x14ac:dyDescent="0.15">
      <c r="B669" s="212"/>
      <c r="C669" s="212"/>
      <c r="D669" s="212"/>
      <c r="E669" s="212"/>
      <c r="N669" s="212">
        <v>0</v>
      </c>
    </row>
    <row r="670" spans="2:14" x14ac:dyDescent="0.15">
      <c r="B670" s="212"/>
      <c r="C670" s="212"/>
      <c r="D670" s="212"/>
      <c r="E670" s="212"/>
      <c r="N670" s="212">
        <v>0</v>
      </c>
    </row>
    <row r="671" spans="2:14" x14ac:dyDescent="0.15">
      <c r="B671" s="212"/>
      <c r="C671" s="212"/>
      <c r="D671" s="212"/>
      <c r="E671" s="212"/>
      <c r="N671" s="212">
        <v>0</v>
      </c>
    </row>
    <row r="672" spans="2:14" x14ac:dyDescent="0.15">
      <c r="B672" s="212"/>
      <c r="C672" s="212"/>
      <c r="D672" s="212"/>
      <c r="E672" s="212"/>
      <c r="N672" s="212">
        <v>0</v>
      </c>
    </row>
    <row r="673" spans="2:14" x14ac:dyDescent="0.15">
      <c r="B673" s="212"/>
      <c r="C673" s="212"/>
      <c r="D673" s="212"/>
      <c r="E673" s="212"/>
      <c r="N673" s="212">
        <v>0</v>
      </c>
    </row>
    <row r="674" spans="2:14" x14ac:dyDescent="0.15">
      <c r="B674" s="212"/>
      <c r="C674" s="212"/>
      <c r="D674" s="212"/>
      <c r="E674" s="212"/>
      <c r="N674" s="212">
        <v>0</v>
      </c>
    </row>
    <row r="675" spans="2:14" x14ac:dyDescent="0.15">
      <c r="B675" s="212"/>
      <c r="C675" s="212"/>
      <c r="D675" s="212"/>
      <c r="E675" s="212"/>
      <c r="N675" s="212">
        <v>0</v>
      </c>
    </row>
    <row r="676" spans="2:14" x14ac:dyDescent="0.15">
      <c r="B676" s="212"/>
      <c r="C676" s="212"/>
      <c r="D676" s="212"/>
      <c r="E676" s="212"/>
      <c r="N676" s="212">
        <v>0</v>
      </c>
    </row>
    <row r="677" spans="2:14" x14ac:dyDescent="0.15">
      <c r="B677" s="212"/>
      <c r="C677" s="212"/>
      <c r="D677" s="212"/>
      <c r="E677" s="212"/>
      <c r="N677" s="212">
        <v>0</v>
      </c>
    </row>
    <row r="678" spans="2:14" x14ac:dyDescent="0.15">
      <c r="B678" s="212"/>
      <c r="C678" s="212"/>
      <c r="D678" s="212"/>
      <c r="E678" s="212"/>
      <c r="N678" s="212">
        <v>0</v>
      </c>
    </row>
    <row r="679" spans="2:14" x14ac:dyDescent="0.15">
      <c r="B679" s="212"/>
      <c r="C679" s="212"/>
      <c r="D679" s="212"/>
      <c r="E679" s="212"/>
      <c r="N679" s="212">
        <v>0</v>
      </c>
    </row>
    <row r="680" spans="2:14" x14ac:dyDescent="0.15">
      <c r="B680" s="212"/>
      <c r="C680" s="212"/>
      <c r="D680" s="212"/>
      <c r="E680" s="212"/>
      <c r="N680" s="212">
        <v>0</v>
      </c>
    </row>
    <row r="681" spans="2:14" x14ac:dyDescent="0.15">
      <c r="B681" s="212"/>
      <c r="C681" s="212"/>
      <c r="D681" s="212"/>
      <c r="E681" s="212"/>
      <c r="N681" s="212">
        <v>0</v>
      </c>
    </row>
    <row r="682" spans="2:14" x14ac:dyDescent="0.15">
      <c r="B682" s="212"/>
      <c r="C682" s="212"/>
      <c r="D682" s="212"/>
      <c r="E682" s="212"/>
      <c r="N682" s="212">
        <v>0</v>
      </c>
    </row>
    <row r="683" spans="2:14" x14ac:dyDescent="0.15">
      <c r="B683" s="212"/>
      <c r="C683" s="212"/>
      <c r="D683" s="212"/>
      <c r="E683" s="212"/>
      <c r="N683" s="212">
        <v>0</v>
      </c>
    </row>
    <row r="684" spans="2:14" x14ac:dyDescent="0.15">
      <c r="B684" s="212"/>
      <c r="C684" s="212"/>
      <c r="D684" s="212"/>
      <c r="E684" s="212"/>
      <c r="N684" s="212">
        <v>0</v>
      </c>
    </row>
    <row r="685" spans="2:14" x14ac:dyDescent="0.15">
      <c r="B685" s="212"/>
      <c r="C685" s="212"/>
      <c r="D685" s="212"/>
      <c r="E685" s="212"/>
      <c r="N685" s="212">
        <v>0</v>
      </c>
    </row>
    <row r="686" spans="2:14" x14ac:dyDescent="0.15">
      <c r="B686" s="212"/>
      <c r="C686" s="212"/>
      <c r="D686" s="212"/>
      <c r="E686" s="212"/>
      <c r="N686" s="212">
        <v>0</v>
      </c>
    </row>
    <row r="687" spans="2:14" x14ac:dyDescent="0.15">
      <c r="B687" s="212"/>
      <c r="C687" s="212"/>
      <c r="D687" s="212"/>
      <c r="E687" s="212"/>
      <c r="N687" s="212">
        <v>0</v>
      </c>
    </row>
    <row r="688" spans="2:14" x14ac:dyDescent="0.15">
      <c r="B688" s="212"/>
      <c r="C688" s="212"/>
      <c r="D688" s="212"/>
      <c r="E688" s="212"/>
      <c r="N688" s="212">
        <v>0</v>
      </c>
    </row>
    <row r="689" spans="2:14" x14ac:dyDescent="0.15">
      <c r="B689" s="212"/>
      <c r="C689" s="212"/>
      <c r="D689" s="212"/>
      <c r="E689" s="212"/>
      <c r="N689" s="212">
        <v>0</v>
      </c>
    </row>
    <row r="690" spans="2:14" x14ac:dyDescent="0.15">
      <c r="B690" s="212"/>
      <c r="C690" s="212"/>
      <c r="D690" s="212"/>
      <c r="E690" s="212"/>
      <c r="N690" s="212">
        <v>0</v>
      </c>
    </row>
    <row r="691" spans="2:14" x14ac:dyDescent="0.15">
      <c r="B691" s="212"/>
      <c r="C691" s="212"/>
      <c r="D691" s="212"/>
      <c r="E691" s="212"/>
      <c r="N691" s="212">
        <v>0</v>
      </c>
    </row>
    <row r="692" spans="2:14" x14ac:dyDescent="0.15">
      <c r="B692" s="212"/>
      <c r="C692" s="212"/>
      <c r="D692" s="212"/>
      <c r="E692" s="212"/>
      <c r="N692" s="212">
        <v>0</v>
      </c>
    </row>
    <row r="693" spans="2:14" x14ac:dyDescent="0.15">
      <c r="B693" s="212"/>
      <c r="C693" s="212"/>
      <c r="D693" s="212"/>
      <c r="E693" s="212"/>
      <c r="N693" s="212">
        <v>0</v>
      </c>
    </row>
    <row r="694" spans="2:14" x14ac:dyDescent="0.15">
      <c r="B694" s="212"/>
      <c r="C694" s="212"/>
      <c r="D694" s="212"/>
      <c r="E694" s="212"/>
      <c r="N694" s="212">
        <v>0</v>
      </c>
    </row>
    <row r="695" spans="2:14" x14ac:dyDescent="0.15">
      <c r="B695" s="212"/>
      <c r="C695" s="212"/>
      <c r="D695" s="212"/>
      <c r="E695" s="212"/>
      <c r="N695" s="212">
        <v>0</v>
      </c>
    </row>
    <row r="696" spans="2:14" x14ac:dyDescent="0.15">
      <c r="B696" s="212"/>
      <c r="C696" s="212"/>
      <c r="D696" s="212"/>
      <c r="E696" s="212"/>
      <c r="N696" s="212">
        <v>0</v>
      </c>
    </row>
    <row r="697" spans="2:14" x14ac:dyDescent="0.15">
      <c r="B697" s="212"/>
      <c r="C697" s="212"/>
      <c r="D697" s="212"/>
      <c r="E697" s="212"/>
      <c r="N697" s="212">
        <v>0</v>
      </c>
    </row>
    <row r="698" spans="2:14" x14ac:dyDescent="0.15">
      <c r="B698" s="212"/>
      <c r="C698" s="212"/>
      <c r="D698" s="212"/>
      <c r="E698" s="212"/>
      <c r="N698" s="212">
        <v>0</v>
      </c>
    </row>
    <row r="699" spans="2:14" x14ac:dyDescent="0.15">
      <c r="B699" s="212"/>
      <c r="C699" s="212"/>
      <c r="D699" s="212"/>
      <c r="E699" s="212"/>
      <c r="N699" s="212">
        <v>0</v>
      </c>
    </row>
    <row r="700" spans="2:14" x14ac:dyDescent="0.15">
      <c r="B700" s="212"/>
      <c r="C700" s="212"/>
      <c r="D700" s="212"/>
      <c r="E700" s="212"/>
      <c r="N700" s="212">
        <v>0</v>
      </c>
    </row>
    <row r="701" spans="2:14" x14ac:dyDescent="0.15">
      <c r="B701" s="212"/>
      <c r="C701" s="212"/>
      <c r="D701" s="212"/>
      <c r="E701" s="212"/>
      <c r="N701" s="212">
        <v>0</v>
      </c>
    </row>
    <row r="702" spans="2:14" x14ac:dyDescent="0.15">
      <c r="B702" s="212"/>
      <c r="C702" s="212"/>
      <c r="D702" s="212"/>
      <c r="E702" s="212"/>
      <c r="N702" s="212">
        <v>0</v>
      </c>
    </row>
    <row r="703" spans="2:14" x14ac:dyDescent="0.15">
      <c r="B703" s="212"/>
      <c r="C703" s="212"/>
      <c r="D703" s="212"/>
      <c r="E703" s="212"/>
      <c r="N703" s="212">
        <v>0</v>
      </c>
    </row>
    <row r="704" spans="2:14" x14ac:dyDescent="0.15">
      <c r="B704" s="212"/>
      <c r="C704" s="212"/>
      <c r="D704" s="212"/>
      <c r="E704" s="212"/>
      <c r="N704" s="212">
        <v>0</v>
      </c>
    </row>
    <row r="705" spans="2:14" x14ac:dyDescent="0.15">
      <c r="B705" s="212"/>
      <c r="C705" s="212"/>
      <c r="D705" s="212"/>
      <c r="E705" s="212"/>
      <c r="N705" s="212">
        <v>0</v>
      </c>
    </row>
    <row r="706" spans="2:14" x14ac:dyDescent="0.15">
      <c r="B706" s="212"/>
      <c r="C706" s="212"/>
      <c r="D706" s="212"/>
      <c r="E706" s="212"/>
      <c r="N706" s="212">
        <v>0</v>
      </c>
    </row>
    <row r="707" spans="2:14" x14ac:dyDescent="0.15">
      <c r="B707" s="212"/>
      <c r="C707" s="212"/>
      <c r="D707" s="212"/>
      <c r="E707" s="212"/>
      <c r="N707" s="212">
        <v>0</v>
      </c>
    </row>
    <row r="708" spans="2:14" x14ac:dyDescent="0.15">
      <c r="B708" s="212"/>
      <c r="C708" s="212"/>
      <c r="D708" s="212"/>
      <c r="E708" s="212"/>
      <c r="N708" s="212">
        <v>0</v>
      </c>
    </row>
    <row r="709" spans="2:14" x14ac:dyDescent="0.15">
      <c r="B709" s="212"/>
      <c r="C709" s="212"/>
      <c r="D709" s="212"/>
      <c r="E709" s="212"/>
      <c r="N709" s="212">
        <v>0</v>
      </c>
    </row>
    <row r="710" spans="2:14" x14ac:dyDescent="0.15">
      <c r="B710" s="212"/>
      <c r="C710" s="212"/>
      <c r="D710" s="212"/>
      <c r="E710" s="212"/>
      <c r="N710" s="212">
        <v>0</v>
      </c>
    </row>
    <row r="711" spans="2:14" x14ac:dyDescent="0.15">
      <c r="B711" s="212"/>
      <c r="C711" s="212"/>
      <c r="D711" s="212"/>
      <c r="E711" s="212"/>
      <c r="N711" s="212">
        <v>0</v>
      </c>
    </row>
    <row r="712" spans="2:14" x14ac:dyDescent="0.15">
      <c r="B712" s="212"/>
      <c r="C712" s="212"/>
      <c r="D712" s="212"/>
      <c r="E712" s="212"/>
      <c r="N712" s="212">
        <v>0</v>
      </c>
    </row>
    <row r="713" spans="2:14" x14ac:dyDescent="0.15">
      <c r="B713" s="212"/>
      <c r="C713" s="212"/>
      <c r="D713" s="212"/>
      <c r="E713" s="212"/>
      <c r="N713" s="212">
        <v>0</v>
      </c>
    </row>
    <row r="714" spans="2:14" x14ac:dyDescent="0.15">
      <c r="B714" s="212"/>
      <c r="C714" s="212"/>
      <c r="D714" s="212"/>
      <c r="E714" s="212"/>
      <c r="N714" s="212">
        <v>0</v>
      </c>
    </row>
    <row r="715" spans="2:14" x14ac:dyDescent="0.15">
      <c r="B715" s="212"/>
      <c r="C715" s="212"/>
      <c r="D715" s="212"/>
      <c r="E715" s="212"/>
      <c r="N715" s="212">
        <v>0</v>
      </c>
    </row>
    <row r="716" spans="2:14" x14ac:dyDescent="0.15">
      <c r="B716" s="212"/>
      <c r="C716" s="212"/>
      <c r="D716" s="212"/>
      <c r="E716" s="212"/>
      <c r="N716" s="212">
        <v>0</v>
      </c>
    </row>
    <row r="717" spans="2:14" x14ac:dyDescent="0.15">
      <c r="B717" s="212"/>
      <c r="C717" s="212"/>
      <c r="D717" s="212"/>
      <c r="E717" s="212"/>
      <c r="N717" s="212">
        <v>0</v>
      </c>
    </row>
    <row r="718" spans="2:14" x14ac:dyDescent="0.15">
      <c r="B718" s="212"/>
      <c r="C718" s="212"/>
      <c r="D718" s="212"/>
      <c r="E718" s="212"/>
      <c r="N718" s="212">
        <v>0</v>
      </c>
    </row>
    <row r="719" spans="2:14" x14ac:dyDescent="0.15">
      <c r="B719" s="212"/>
      <c r="C719" s="212"/>
      <c r="D719" s="212"/>
      <c r="E719" s="212"/>
      <c r="N719" s="212">
        <v>0</v>
      </c>
    </row>
    <row r="720" spans="2:14" x14ac:dyDescent="0.15">
      <c r="B720" s="212"/>
      <c r="C720" s="212"/>
      <c r="D720" s="212"/>
      <c r="E720" s="212"/>
      <c r="N720" s="212">
        <v>0</v>
      </c>
    </row>
    <row r="721" spans="2:14" x14ac:dyDescent="0.15">
      <c r="B721" s="212"/>
      <c r="C721" s="212"/>
      <c r="D721" s="212"/>
      <c r="E721" s="212"/>
      <c r="N721" s="212">
        <v>0</v>
      </c>
    </row>
    <row r="722" spans="2:14" x14ac:dyDescent="0.15">
      <c r="B722" s="212"/>
      <c r="C722" s="212"/>
      <c r="D722" s="212"/>
      <c r="E722" s="212"/>
      <c r="N722" s="212">
        <v>0</v>
      </c>
    </row>
    <row r="723" spans="2:14" x14ac:dyDescent="0.15">
      <c r="B723" s="212"/>
      <c r="C723" s="212"/>
      <c r="D723" s="212"/>
      <c r="E723" s="212"/>
      <c r="N723" s="212">
        <v>0</v>
      </c>
    </row>
    <row r="724" spans="2:14" x14ac:dyDescent="0.15">
      <c r="B724" s="212"/>
      <c r="C724" s="212"/>
      <c r="D724" s="212"/>
      <c r="E724" s="212"/>
      <c r="N724" s="212">
        <v>0</v>
      </c>
    </row>
    <row r="725" spans="2:14" x14ac:dyDescent="0.15">
      <c r="B725" s="212"/>
      <c r="C725" s="212"/>
      <c r="D725" s="212"/>
      <c r="E725" s="212"/>
      <c r="N725" s="212">
        <v>0</v>
      </c>
    </row>
    <row r="726" spans="2:14" x14ac:dyDescent="0.15">
      <c r="B726" s="212"/>
      <c r="C726" s="212"/>
      <c r="D726" s="212"/>
      <c r="E726" s="212"/>
      <c r="N726" s="212">
        <v>0</v>
      </c>
    </row>
    <row r="727" spans="2:14" x14ac:dyDescent="0.15">
      <c r="B727" s="212"/>
      <c r="C727" s="212"/>
      <c r="D727" s="212"/>
      <c r="E727" s="212"/>
      <c r="N727" s="212">
        <v>0</v>
      </c>
    </row>
    <row r="728" spans="2:14" x14ac:dyDescent="0.15">
      <c r="B728" s="212"/>
      <c r="C728" s="212"/>
      <c r="D728" s="212"/>
      <c r="E728" s="212"/>
      <c r="N728" s="212">
        <v>0</v>
      </c>
    </row>
    <row r="729" spans="2:14" x14ac:dyDescent="0.15">
      <c r="B729" s="212"/>
      <c r="C729" s="212"/>
      <c r="D729" s="212"/>
      <c r="E729" s="212"/>
      <c r="N729" s="212">
        <v>0</v>
      </c>
    </row>
    <row r="730" spans="2:14" x14ac:dyDescent="0.15">
      <c r="B730" s="212"/>
      <c r="C730" s="212"/>
      <c r="D730" s="212"/>
      <c r="E730" s="212"/>
      <c r="N730" s="212">
        <v>0</v>
      </c>
    </row>
    <row r="731" spans="2:14" x14ac:dyDescent="0.15">
      <c r="B731" s="212"/>
      <c r="C731" s="212"/>
      <c r="D731" s="212"/>
      <c r="E731" s="212"/>
      <c r="N731" s="212">
        <v>0</v>
      </c>
    </row>
    <row r="732" spans="2:14" x14ac:dyDescent="0.15">
      <c r="B732" s="212"/>
      <c r="C732" s="212"/>
      <c r="D732" s="212"/>
      <c r="E732" s="212"/>
      <c r="N732" s="212">
        <v>0</v>
      </c>
    </row>
    <row r="733" spans="2:14" x14ac:dyDescent="0.15">
      <c r="B733" s="212"/>
      <c r="C733" s="212"/>
      <c r="D733" s="212"/>
      <c r="E733" s="212"/>
      <c r="N733" s="212">
        <v>0</v>
      </c>
    </row>
    <row r="734" spans="2:14" x14ac:dyDescent="0.15">
      <c r="B734" s="212"/>
      <c r="C734" s="212"/>
      <c r="D734" s="212"/>
      <c r="E734" s="212"/>
      <c r="N734" s="212">
        <v>0</v>
      </c>
    </row>
    <row r="735" spans="2:14" x14ac:dyDescent="0.15">
      <c r="B735" s="212"/>
      <c r="C735" s="212"/>
      <c r="D735" s="212"/>
      <c r="E735" s="212"/>
      <c r="N735" s="212">
        <v>0</v>
      </c>
    </row>
    <row r="736" spans="2:14" x14ac:dyDescent="0.15">
      <c r="B736" s="212"/>
      <c r="C736" s="212"/>
      <c r="D736" s="212"/>
      <c r="E736" s="212"/>
      <c r="N736" s="212">
        <v>0</v>
      </c>
    </row>
    <row r="737" spans="2:14" x14ac:dyDescent="0.15">
      <c r="B737" s="212"/>
      <c r="C737" s="212"/>
      <c r="D737" s="212"/>
      <c r="E737" s="212"/>
      <c r="N737" s="212">
        <v>0</v>
      </c>
    </row>
    <row r="738" spans="2:14" x14ac:dyDescent="0.15">
      <c r="B738" s="212"/>
      <c r="C738" s="212"/>
      <c r="D738" s="212"/>
      <c r="E738" s="212"/>
      <c r="N738" s="212">
        <v>0</v>
      </c>
    </row>
    <row r="739" spans="2:14" x14ac:dyDescent="0.15">
      <c r="B739" s="212"/>
      <c r="C739" s="212"/>
      <c r="D739" s="212"/>
      <c r="E739" s="212"/>
      <c r="N739" s="212">
        <v>0</v>
      </c>
    </row>
    <row r="740" spans="2:14" x14ac:dyDescent="0.15">
      <c r="B740" s="212"/>
      <c r="C740" s="212"/>
      <c r="D740" s="212"/>
      <c r="E740" s="212"/>
      <c r="N740" s="212">
        <v>0</v>
      </c>
    </row>
    <row r="741" spans="2:14" x14ac:dyDescent="0.15">
      <c r="B741" s="212"/>
      <c r="C741" s="212"/>
      <c r="D741" s="212"/>
      <c r="E741" s="212"/>
      <c r="N741" s="212">
        <v>0</v>
      </c>
    </row>
    <row r="742" spans="2:14" x14ac:dyDescent="0.15">
      <c r="B742" s="212"/>
      <c r="C742" s="212"/>
      <c r="D742" s="212"/>
      <c r="E742" s="212"/>
      <c r="N742" s="212">
        <v>0</v>
      </c>
    </row>
    <row r="743" spans="2:14" x14ac:dyDescent="0.15">
      <c r="B743" s="212"/>
      <c r="C743" s="212"/>
      <c r="D743" s="212"/>
      <c r="E743" s="212"/>
      <c r="N743" s="212">
        <v>0</v>
      </c>
    </row>
    <row r="744" spans="2:14" x14ac:dyDescent="0.15">
      <c r="B744" s="212"/>
      <c r="C744" s="212"/>
      <c r="D744" s="212"/>
      <c r="E744" s="212"/>
      <c r="N744" s="212">
        <v>0</v>
      </c>
    </row>
    <row r="745" spans="2:14" x14ac:dyDescent="0.15">
      <c r="B745" s="212"/>
      <c r="C745" s="212"/>
      <c r="D745" s="212"/>
      <c r="E745" s="212"/>
      <c r="N745" s="212">
        <v>0</v>
      </c>
    </row>
    <row r="746" spans="2:14" x14ac:dyDescent="0.15">
      <c r="B746" s="212"/>
      <c r="C746" s="212"/>
      <c r="D746" s="212"/>
      <c r="E746" s="212"/>
      <c r="N746" s="212">
        <v>0</v>
      </c>
    </row>
    <row r="747" spans="2:14" x14ac:dyDescent="0.15">
      <c r="B747" s="212"/>
      <c r="C747" s="212"/>
      <c r="D747" s="212"/>
      <c r="E747" s="212"/>
      <c r="N747" s="212">
        <v>0</v>
      </c>
    </row>
    <row r="748" spans="2:14" x14ac:dyDescent="0.15">
      <c r="B748" s="212"/>
      <c r="C748" s="212"/>
      <c r="D748" s="212"/>
      <c r="E748" s="212"/>
      <c r="N748" s="212">
        <v>0</v>
      </c>
    </row>
    <row r="749" spans="2:14" x14ac:dyDescent="0.15">
      <c r="B749" s="212"/>
      <c r="C749" s="212"/>
      <c r="D749" s="212"/>
      <c r="E749" s="212"/>
      <c r="N749" s="212">
        <v>0</v>
      </c>
    </row>
    <row r="750" spans="2:14" x14ac:dyDescent="0.15">
      <c r="B750" s="212"/>
      <c r="C750" s="212"/>
      <c r="D750" s="212"/>
      <c r="E750" s="212"/>
      <c r="N750" s="212">
        <v>0</v>
      </c>
    </row>
    <row r="751" spans="2:14" x14ac:dyDescent="0.15">
      <c r="B751" s="212"/>
      <c r="C751" s="212"/>
      <c r="D751" s="212"/>
      <c r="E751" s="212"/>
      <c r="N751" s="212">
        <v>0</v>
      </c>
    </row>
    <row r="752" spans="2:14" x14ac:dyDescent="0.15">
      <c r="B752" s="212"/>
      <c r="C752" s="212"/>
      <c r="D752" s="212"/>
      <c r="E752" s="212"/>
      <c r="N752" s="212">
        <v>0</v>
      </c>
    </row>
    <row r="753" spans="2:14" x14ac:dyDescent="0.15">
      <c r="B753" s="212"/>
      <c r="C753" s="212"/>
      <c r="D753" s="212"/>
      <c r="E753" s="212"/>
      <c r="N753" s="212">
        <v>0</v>
      </c>
    </row>
    <row r="754" spans="2:14" x14ac:dyDescent="0.15">
      <c r="B754" s="212"/>
      <c r="C754" s="212"/>
      <c r="D754" s="212"/>
      <c r="E754" s="212"/>
      <c r="N754" s="212">
        <v>0</v>
      </c>
    </row>
    <row r="755" spans="2:14" x14ac:dyDescent="0.15">
      <c r="B755" s="212"/>
      <c r="C755" s="212"/>
      <c r="D755" s="212"/>
      <c r="E755" s="212"/>
      <c r="N755" s="212">
        <v>0</v>
      </c>
    </row>
    <row r="756" spans="2:14" x14ac:dyDescent="0.15">
      <c r="B756" s="212"/>
      <c r="C756" s="212"/>
      <c r="D756" s="212"/>
      <c r="E756" s="212"/>
      <c r="N756" s="212">
        <v>0</v>
      </c>
    </row>
    <row r="757" spans="2:14" x14ac:dyDescent="0.15">
      <c r="B757" s="212"/>
      <c r="C757" s="212"/>
      <c r="D757" s="212"/>
      <c r="E757" s="212"/>
      <c r="N757" s="212">
        <v>0</v>
      </c>
    </row>
    <row r="758" spans="2:14" x14ac:dyDescent="0.15">
      <c r="B758" s="212"/>
      <c r="C758" s="212"/>
      <c r="D758" s="212"/>
      <c r="E758" s="212"/>
      <c r="N758" s="212">
        <v>0</v>
      </c>
    </row>
    <row r="759" spans="2:14" x14ac:dyDescent="0.15">
      <c r="B759" s="212"/>
      <c r="C759" s="212"/>
      <c r="D759" s="212"/>
      <c r="E759" s="212"/>
      <c r="N759" s="212">
        <v>0</v>
      </c>
    </row>
    <row r="760" spans="2:14" x14ac:dyDescent="0.15">
      <c r="B760" s="212"/>
      <c r="C760" s="212"/>
      <c r="D760" s="212"/>
      <c r="E760" s="212"/>
      <c r="N760" s="212">
        <v>0</v>
      </c>
    </row>
    <row r="761" spans="2:14" x14ac:dyDescent="0.15">
      <c r="B761" s="212"/>
      <c r="C761" s="212"/>
      <c r="D761" s="212"/>
      <c r="E761" s="212"/>
      <c r="N761" s="212">
        <v>0</v>
      </c>
    </row>
    <row r="762" spans="2:14" x14ac:dyDescent="0.15">
      <c r="B762" s="212"/>
      <c r="C762" s="212"/>
      <c r="D762" s="212"/>
      <c r="E762" s="212"/>
      <c r="N762" s="212">
        <v>0</v>
      </c>
    </row>
    <row r="763" spans="2:14" x14ac:dyDescent="0.15">
      <c r="B763" s="212"/>
      <c r="C763" s="212"/>
      <c r="D763" s="212"/>
      <c r="E763" s="212"/>
      <c r="N763" s="212">
        <v>0</v>
      </c>
    </row>
    <row r="764" spans="2:14" x14ac:dyDescent="0.15">
      <c r="B764" s="212"/>
      <c r="C764" s="212"/>
      <c r="D764" s="212"/>
      <c r="E764" s="212"/>
      <c r="N764" s="212">
        <v>0</v>
      </c>
    </row>
    <row r="765" spans="2:14" x14ac:dyDescent="0.15">
      <c r="B765" s="212"/>
      <c r="C765" s="212"/>
      <c r="D765" s="212"/>
      <c r="E765" s="212"/>
      <c r="N765" s="212">
        <v>0</v>
      </c>
    </row>
    <row r="766" spans="2:14" x14ac:dyDescent="0.15">
      <c r="B766" s="212"/>
      <c r="C766" s="212"/>
      <c r="D766" s="212"/>
      <c r="E766" s="212"/>
      <c r="N766" s="212">
        <v>0</v>
      </c>
    </row>
    <row r="767" spans="2:14" x14ac:dyDescent="0.15">
      <c r="B767" s="212"/>
      <c r="C767" s="212"/>
      <c r="D767" s="212"/>
      <c r="E767" s="212"/>
      <c r="N767" s="212">
        <v>0</v>
      </c>
    </row>
    <row r="768" spans="2:14" x14ac:dyDescent="0.15">
      <c r="B768" s="212"/>
      <c r="C768" s="212"/>
      <c r="D768" s="212"/>
      <c r="E768" s="212"/>
      <c r="N768" s="212">
        <v>0</v>
      </c>
    </row>
    <row r="769" spans="2:14" x14ac:dyDescent="0.15">
      <c r="B769" s="212"/>
      <c r="C769" s="212"/>
      <c r="D769" s="212"/>
      <c r="E769" s="212"/>
      <c r="N769" s="212">
        <v>0</v>
      </c>
    </row>
    <row r="770" spans="2:14" x14ac:dyDescent="0.15">
      <c r="B770" s="212"/>
      <c r="C770" s="212"/>
      <c r="D770" s="212"/>
      <c r="E770" s="212"/>
      <c r="N770" s="212">
        <v>0</v>
      </c>
    </row>
    <row r="771" spans="2:14" x14ac:dyDescent="0.15">
      <c r="B771" s="212"/>
      <c r="C771" s="212"/>
      <c r="D771" s="212"/>
      <c r="E771" s="212"/>
      <c r="N771" s="212">
        <v>0</v>
      </c>
    </row>
    <row r="772" spans="2:14" x14ac:dyDescent="0.15">
      <c r="B772" s="212"/>
      <c r="C772" s="212"/>
      <c r="D772" s="212"/>
      <c r="E772" s="212"/>
      <c r="N772" s="212">
        <v>0</v>
      </c>
    </row>
    <row r="773" spans="2:14" x14ac:dyDescent="0.15">
      <c r="B773" s="212"/>
      <c r="C773" s="212"/>
      <c r="D773" s="212"/>
      <c r="E773" s="212"/>
      <c r="N773" s="212">
        <v>0</v>
      </c>
    </row>
    <row r="774" spans="2:14" x14ac:dyDescent="0.15">
      <c r="B774" s="212"/>
      <c r="C774" s="212"/>
      <c r="D774" s="212"/>
      <c r="E774" s="212"/>
      <c r="N774" s="212">
        <v>0</v>
      </c>
    </row>
    <row r="775" spans="2:14" x14ac:dyDescent="0.15">
      <c r="B775" s="212"/>
      <c r="C775" s="212"/>
      <c r="D775" s="212"/>
      <c r="E775" s="212"/>
      <c r="N775" s="212">
        <v>0</v>
      </c>
    </row>
    <row r="776" spans="2:14" x14ac:dyDescent="0.15">
      <c r="B776" s="212"/>
      <c r="C776" s="212"/>
      <c r="D776" s="212"/>
      <c r="E776" s="212"/>
      <c r="N776" s="212">
        <v>0</v>
      </c>
    </row>
    <row r="777" spans="2:14" x14ac:dyDescent="0.15">
      <c r="B777" s="212"/>
      <c r="C777" s="212"/>
      <c r="D777" s="212"/>
      <c r="E777" s="212"/>
      <c r="N777" s="212">
        <v>0</v>
      </c>
    </row>
    <row r="778" spans="2:14" x14ac:dyDescent="0.15">
      <c r="B778" s="212"/>
      <c r="C778" s="212"/>
      <c r="D778" s="212"/>
      <c r="E778" s="212"/>
      <c r="N778" s="212">
        <v>0</v>
      </c>
    </row>
    <row r="779" spans="2:14" x14ac:dyDescent="0.15">
      <c r="B779" s="212"/>
      <c r="C779" s="212"/>
      <c r="D779" s="212"/>
      <c r="E779" s="212"/>
      <c r="N779" s="212">
        <v>0</v>
      </c>
    </row>
    <row r="780" spans="2:14" x14ac:dyDescent="0.15">
      <c r="B780" s="212"/>
      <c r="C780" s="212"/>
      <c r="D780" s="212"/>
      <c r="E780" s="212"/>
      <c r="N780" s="212">
        <v>0</v>
      </c>
    </row>
    <row r="781" spans="2:14" x14ac:dyDescent="0.15">
      <c r="B781" s="212"/>
      <c r="C781" s="212"/>
      <c r="D781" s="212"/>
      <c r="E781" s="212"/>
      <c r="N781" s="212">
        <v>0</v>
      </c>
    </row>
    <row r="782" spans="2:14" x14ac:dyDescent="0.15">
      <c r="B782" s="212"/>
      <c r="C782" s="212"/>
      <c r="D782" s="212"/>
      <c r="E782" s="212"/>
      <c r="N782" s="212">
        <v>0</v>
      </c>
    </row>
    <row r="783" spans="2:14" x14ac:dyDescent="0.15">
      <c r="B783" s="212"/>
      <c r="C783" s="212"/>
      <c r="D783" s="212"/>
      <c r="E783" s="212"/>
      <c r="N783" s="212">
        <v>0</v>
      </c>
    </row>
    <row r="784" spans="2:14" x14ac:dyDescent="0.15">
      <c r="B784" s="212"/>
      <c r="C784" s="212"/>
      <c r="D784" s="212"/>
      <c r="E784" s="212"/>
      <c r="N784" s="212">
        <v>0</v>
      </c>
    </row>
    <row r="785" spans="2:14" x14ac:dyDescent="0.15">
      <c r="B785" s="212"/>
      <c r="C785" s="212"/>
      <c r="D785" s="212"/>
      <c r="E785" s="212"/>
      <c r="N785" s="212">
        <v>0</v>
      </c>
    </row>
    <row r="786" spans="2:14" x14ac:dyDescent="0.15">
      <c r="B786" s="212"/>
      <c r="C786" s="212"/>
      <c r="D786" s="212"/>
      <c r="E786" s="212"/>
      <c r="N786" s="212">
        <v>0</v>
      </c>
    </row>
    <row r="787" spans="2:14" x14ac:dyDescent="0.15">
      <c r="B787" s="212"/>
      <c r="C787" s="212"/>
      <c r="D787" s="212"/>
      <c r="E787" s="212"/>
      <c r="N787" s="212">
        <v>0</v>
      </c>
    </row>
    <row r="788" spans="2:14" x14ac:dyDescent="0.15">
      <c r="B788" s="212"/>
      <c r="C788" s="212"/>
      <c r="D788" s="212"/>
      <c r="E788" s="212"/>
      <c r="N788" s="212">
        <v>0</v>
      </c>
    </row>
    <row r="789" spans="2:14" x14ac:dyDescent="0.15">
      <c r="B789" s="212"/>
      <c r="C789" s="212"/>
      <c r="D789" s="212"/>
      <c r="E789" s="212"/>
      <c r="N789" s="212">
        <v>0</v>
      </c>
    </row>
    <row r="790" spans="2:14" x14ac:dyDescent="0.15">
      <c r="B790" s="212"/>
      <c r="C790" s="212"/>
      <c r="D790" s="212"/>
      <c r="E790" s="212"/>
      <c r="N790" s="212">
        <v>0</v>
      </c>
    </row>
    <row r="791" spans="2:14" x14ac:dyDescent="0.15">
      <c r="B791" s="212"/>
      <c r="C791" s="212"/>
      <c r="D791" s="212"/>
      <c r="E791" s="212"/>
      <c r="N791" s="212">
        <v>0</v>
      </c>
    </row>
    <row r="792" spans="2:14" x14ac:dyDescent="0.15">
      <c r="B792" s="212"/>
      <c r="C792" s="212"/>
      <c r="D792" s="212"/>
      <c r="E792" s="212"/>
      <c r="N792" s="212">
        <v>0</v>
      </c>
    </row>
    <row r="793" spans="2:14" x14ac:dyDescent="0.15">
      <c r="B793" s="212"/>
      <c r="C793" s="212"/>
      <c r="D793" s="212"/>
      <c r="E793" s="212"/>
      <c r="N793" s="212">
        <v>0</v>
      </c>
    </row>
    <row r="794" spans="2:14" x14ac:dyDescent="0.15">
      <c r="B794" s="212"/>
      <c r="C794" s="212"/>
      <c r="D794" s="212"/>
      <c r="E794" s="212"/>
      <c r="N794" s="212">
        <v>0</v>
      </c>
    </row>
    <row r="795" spans="2:14" x14ac:dyDescent="0.15">
      <c r="B795" s="212"/>
      <c r="C795" s="212"/>
      <c r="D795" s="212"/>
      <c r="E795" s="212"/>
      <c r="N795" s="212">
        <v>0</v>
      </c>
    </row>
    <row r="796" spans="2:14" x14ac:dyDescent="0.15">
      <c r="B796" s="212"/>
      <c r="C796" s="212"/>
      <c r="D796" s="212"/>
      <c r="E796" s="212"/>
      <c r="N796" s="212">
        <v>0</v>
      </c>
    </row>
    <row r="797" spans="2:14" x14ac:dyDescent="0.15">
      <c r="B797" s="212"/>
      <c r="C797" s="212"/>
      <c r="D797" s="212"/>
      <c r="E797" s="212"/>
      <c r="N797" s="212">
        <v>0</v>
      </c>
    </row>
    <row r="798" spans="2:14" x14ac:dyDescent="0.15">
      <c r="B798" s="212"/>
      <c r="C798" s="212"/>
      <c r="D798" s="212"/>
      <c r="E798" s="212"/>
      <c r="N798" s="212">
        <v>0</v>
      </c>
    </row>
    <row r="799" spans="2:14" x14ac:dyDescent="0.15">
      <c r="B799" s="212"/>
      <c r="C799" s="212"/>
      <c r="D799" s="212"/>
      <c r="E799" s="212"/>
      <c r="N799" s="212">
        <v>0</v>
      </c>
    </row>
    <row r="800" spans="2:14" x14ac:dyDescent="0.15">
      <c r="B800" s="212"/>
      <c r="C800" s="212"/>
      <c r="D800" s="212"/>
      <c r="E800" s="212"/>
      <c r="N800" s="212">
        <v>0</v>
      </c>
    </row>
    <row r="801" spans="2:14" x14ac:dyDescent="0.15">
      <c r="B801" s="212"/>
      <c r="C801" s="212"/>
      <c r="D801" s="212"/>
      <c r="E801" s="212"/>
      <c r="N801" s="212">
        <v>0</v>
      </c>
    </row>
    <row r="802" spans="2:14" x14ac:dyDescent="0.15">
      <c r="B802" s="212"/>
      <c r="C802" s="212"/>
      <c r="D802" s="212"/>
      <c r="E802" s="212"/>
      <c r="N802" s="212">
        <v>0</v>
      </c>
    </row>
    <row r="803" spans="2:14" x14ac:dyDescent="0.15">
      <c r="B803" s="212"/>
      <c r="C803" s="212"/>
      <c r="D803" s="212"/>
      <c r="E803" s="212"/>
      <c r="N803" s="212">
        <v>0</v>
      </c>
    </row>
    <row r="804" spans="2:14" x14ac:dyDescent="0.15">
      <c r="B804" s="212"/>
      <c r="C804" s="212"/>
      <c r="D804" s="212"/>
      <c r="E804" s="212"/>
      <c r="N804" s="212">
        <v>0</v>
      </c>
    </row>
    <row r="805" spans="2:14" x14ac:dyDescent="0.15">
      <c r="B805" s="212"/>
      <c r="C805" s="212"/>
      <c r="D805" s="212"/>
      <c r="E805" s="212"/>
      <c r="N805" s="212">
        <v>0</v>
      </c>
    </row>
    <row r="806" spans="2:14" x14ac:dyDescent="0.15">
      <c r="B806" s="212"/>
      <c r="C806" s="212"/>
      <c r="D806" s="212"/>
      <c r="E806" s="212"/>
      <c r="N806" s="212">
        <v>0</v>
      </c>
    </row>
    <row r="807" spans="2:14" x14ac:dyDescent="0.15">
      <c r="B807" s="212"/>
      <c r="C807" s="212"/>
      <c r="D807" s="212"/>
      <c r="E807" s="212"/>
      <c r="N807" s="212">
        <v>0</v>
      </c>
    </row>
    <row r="808" spans="2:14" x14ac:dyDescent="0.15">
      <c r="B808" s="212"/>
      <c r="C808" s="212"/>
      <c r="D808" s="212"/>
      <c r="E808" s="212"/>
      <c r="N808" s="212">
        <v>0</v>
      </c>
    </row>
    <row r="809" spans="2:14" x14ac:dyDescent="0.15">
      <c r="B809" s="212"/>
      <c r="C809" s="212"/>
      <c r="D809" s="212"/>
      <c r="E809" s="212"/>
      <c r="N809" s="212">
        <v>0</v>
      </c>
    </row>
    <row r="810" spans="2:14" x14ac:dyDescent="0.15">
      <c r="B810" s="212"/>
      <c r="C810" s="212"/>
      <c r="D810" s="212"/>
      <c r="E810" s="212"/>
      <c r="N810" s="212">
        <v>0</v>
      </c>
    </row>
    <row r="811" spans="2:14" x14ac:dyDescent="0.15">
      <c r="B811" s="212"/>
      <c r="C811" s="212"/>
      <c r="D811" s="212"/>
      <c r="E811" s="212"/>
      <c r="N811" s="212">
        <v>0</v>
      </c>
    </row>
    <row r="812" spans="2:14" x14ac:dyDescent="0.15">
      <c r="B812" s="212"/>
      <c r="C812" s="212"/>
      <c r="D812" s="212"/>
      <c r="E812" s="212"/>
      <c r="N812" s="212">
        <v>0</v>
      </c>
    </row>
    <row r="813" spans="2:14" x14ac:dyDescent="0.15">
      <c r="B813" s="212"/>
      <c r="C813" s="212"/>
      <c r="D813" s="212"/>
      <c r="E813" s="212"/>
      <c r="N813" s="212">
        <v>0</v>
      </c>
    </row>
    <row r="814" spans="2:14" x14ac:dyDescent="0.15">
      <c r="B814" s="212"/>
      <c r="C814" s="212"/>
      <c r="D814" s="212"/>
      <c r="E814" s="212"/>
      <c r="N814" s="212">
        <v>0</v>
      </c>
    </row>
    <row r="815" spans="2:14" x14ac:dyDescent="0.15">
      <c r="B815" s="212"/>
      <c r="C815" s="212"/>
      <c r="D815" s="212"/>
      <c r="E815" s="212"/>
      <c r="N815" s="212">
        <v>0</v>
      </c>
    </row>
    <row r="816" spans="2:14" x14ac:dyDescent="0.15">
      <c r="B816" s="212"/>
      <c r="C816" s="212"/>
      <c r="D816" s="212"/>
      <c r="E816" s="212"/>
      <c r="N816" s="212">
        <v>0</v>
      </c>
    </row>
    <row r="817" spans="2:14" x14ac:dyDescent="0.15">
      <c r="B817" s="212"/>
      <c r="C817" s="212"/>
      <c r="D817" s="212"/>
      <c r="E817" s="212"/>
      <c r="N817" s="212">
        <v>0</v>
      </c>
    </row>
    <row r="818" spans="2:14" x14ac:dyDescent="0.15">
      <c r="B818" s="212"/>
      <c r="C818" s="212"/>
      <c r="D818" s="212"/>
      <c r="E818" s="212"/>
      <c r="N818" s="212">
        <v>0</v>
      </c>
    </row>
    <row r="819" spans="2:14" x14ac:dyDescent="0.15">
      <c r="B819" s="212"/>
      <c r="C819" s="212"/>
      <c r="D819" s="212"/>
      <c r="E819" s="212"/>
      <c r="N819" s="212">
        <v>0</v>
      </c>
    </row>
    <row r="820" spans="2:14" x14ac:dyDescent="0.15">
      <c r="B820" s="212"/>
      <c r="C820" s="212"/>
      <c r="D820" s="212"/>
      <c r="E820" s="212"/>
      <c r="N820" s="212">
        <v>0</v>
      </c>
    </row>
    <row r="821" spans="2:14" x14ac:dyDescent="0.15">
      <c r="B821" s="212"/>
      <c r="C821" s="212"/>
      <c r="D821" s="212"/>
      <c r="E821" s="212"/>
      <c r="N821" s="212">
        <v>0</v>
      </c>
    </row>
    <row r="822" spans="2:14" x14ac:dyDescent="0.15">
      <c r="B822" s="212"/>
      <c r="C822" s="212"/>
      <c r="D822" s="212"/>
      <c r="E822" s="212"/>
      <c r="N822" s="212">
        <v>0</v>
      </c>
    </row>
    <row r="823" spans="2:14" x14ac:dyDescent="0.15">
      <c r="B823" s="212"/>
      <c r="C823" s="212"/>
      <c r="D823" s="212"/>
      <c r="E823" s="212"/>
      <c r="N823" s="212">
        <v>0</v>
      </c>
    </row>
    <row r="824" spans="2:14" x14ac:dyDescent="0.15">
      <c r="B824" s="212"/>
      <c r="C824" s="212"/>
      <c r="D824" s="212"/>
      <c r="E824" s="212"/>
      <c r="N824" s="212">
        <v>0</v>
      </c>
    </row>
    <row r="825" spans="2:14" x14ac:dyDescent="0.15">
      <c r="B825" s="212"/>
      <c r="C825" s="212"/>
      <c r="D825" s="212"/>
      <c r="E825" s="212"/>
      <c r="N825" s="212">
        <v>0</v>
      </c>
    </row>
    <row r="826" spans="2:14" x14ac:dyDescent="0.15">
      <c r="B826" s="212"/>
      <c r="C826" s="212"/>
      <c r="D826" s="212"/>
      <c r="E826" s="212"/>
      <c r="N826" s="212">
        <v>0</v>
      </c>
    </row>
    <row r="827" spans="2:14" x14ac:dyDescent="0.15">
      <c r="B827" s="212"/>
      <c r="C827" s="212"/>
      <c r="D827" s="212"/>
      <c r="E827" s="212"/>
      <c r="N827" s="212">
        <v>0</v>
      </c>
    </row>
    <row r="828" spans="2:14" x14ac:dyDescent="0.15">
      <c r="B828" s="212"/>
      <c r="C828" s="212"/>
      <c r="D828" s="212"/>
      <c r="E828" s="212"/>
      <c r="N828" s="212">
        <v>0</v>
      </c>
    </row>
    <row r="829" spans="2:14" x14ac:dyDescent="0.15">
      <c r="B829" s="212"/>
      <c r="C829" s="212"/>
      <c r="D829" s="212"/>
      <c r="E829" s="212"/>
      <c r="N829" s="212">
        <v>0</v>
      </c>
    </row>
    <row r="830" spans="2:14" x14ac:dyDescent="0.15">
      <c r="B830" s="212"/>
      <c r="C830" s="212"/>
      <c r="D830" s="212"/>
      <c r="E830" s="212"/>
      <c r="N830" s="212">
        <v>0</v>
      </c>
    </row>
    <row r="831" spans="2:14" x14ac:dyDescent="0.15">
      <c r="B831" s="212"/>
      <c r="C831" s="212"/>
      <c r="D831" s="212"/>
      <c r="E831" s="212"/>
      <c r="N831" s="212">
        <v>0</v>
      </c>
    </row>
    <row r="832" spans="2:14" x14ac:dyDescent="0.15">
      <c r="B832" s="212"/>
      <c r="C832" s="212"/>
      <c r="D832" s="212"/>
      <c r="E832" s="212"/>
      <c r="N832" s="212">
        <v>0</v>
      </c>
    </row>
    <row r="833" spans="2:14" x14ac:dyDescent="0.15">
      <c r="B833" s="212"/>
      <c r="C833" s="212"/>
      <c r="D833" s="212"/>
      <c r="E833" s="212"/>
      <c r="N833" s="212">
        <v>0</v>
      </c>
    </row>
    <row r="834" spans="2:14" x14ac:dyDescent="0.15">
      <c r="B834" s="212"/>
      <c r="C834" s="212"/>
      <c r="D834" s="212"/>
      <c r="E834" s="212"/>
      <c r="N834" s="212">
        <v>0</v>
      </c>
    </row>
    <row r="835" spans="2:14" x14ac:dyDescent="0.15">
      <c r="B835" s="212"/>
      <c r="C835" s="212"/>
      <c r="D835" s="212"/>
      <c r="E835" s="212"/>
      <c r="N835" s="212">
        <v>0</v>
      </c>
    </row>
    <row r="836" spans="2:14" x14ac:dyDescent="0.15">
      <c r="B836" s="212"/>
      <c r="C836" s="212"/>
      <c r="D836" s="212"/>
      <c r="E836" s="212"/>
      <c r="N836" s="212">
        <v>0</v>
      </c>
    </row>
    <row r="837" spans="2:14" x14ac:dyDescent="0.15">
      <c r="B837" s="212"/>
      <c r="C837" s="212"/>
      <c r="D837" s="212"/>
      <c r="E837" s="212"/>
      <c r="N837" s="212">
        <v>0</v>
      </c>
    </row>
    <row r="838" spans="2:14" x14ac:dyDescent="0.15">
      <c r="B838" s="212"/>
      <c r="C838" s="212"/>
      <c r="D838" s="212"/>
      <c r="E838" s="212"/>
      <c r="N838" s="212">
        <v>0</v>
      </c>
    </row>
    <row r="839" spans="2:14" x14ac:dyDescent="0.15">
      <c r="B839" s="212"/>
      <c r="C839" s="212"/>
      <c r="D839" s="212"/>
      <c r="E839" s="212"/>
      <c r="N839" s="212">
        <v>0</v>
      </c>
    </row>
    <row r="840" spans="2:14" x14ac:dyDescent="0.15">
      <c r="B840" s="212"/>
      <c r="C840" s="212"/>
      <c r="D840" s="212"/>
      <c r="E840" s="212"/>
      <c r="N840" s="212">
        <v>0</v>
      </c>
    </row>
    <row r="841" spans="2:14" x14ac:dyDescent="0.15">
      <c r="B841" s="212"/>
      <c r="C841" s="212"/>
      <c r="D841" s="212"/>
      <c r="E841" s="212"/>
      <c r="N841" s="212">
        <v>0</v>
      </c>
    </row>
    <row r="842" spans="2:14" x14ac:dyDescent="0.15">
      <c r="B842" s="212"/>
      <c r="C842" s="212"/>
      <c r="D842" s="212"/>
      <c r="E842" s="212"/>
      <c r="N842" s="212">
        <v>0</v>
      </c>
    </row>
    <row r="843" spans="2:14" x14ac:dyDescent="0.15">
      <c r="B843" s="212"/>
      <c r="C843" s="212"/>
      <c r="D843" s="212"/>
      <c r="E843" s="212"/>
      <c r="N843" s="212">
        <v>0</v>
      </c>
    </row>
    <row r="844" spans="2:14" x14ac:dyDescent="0.15">
      <c r="B844" s="212"/>
      <c r="C844" s="212"/>
      <c r="D844" s="212"/>
      <c r="E844" s="212"/>
      <c r="N844" s="212">
        <v>0</v>
      </c>
    </row>
    <row r="845" spans="2:14" x14ac:dyDescent="0.15">
      <c r="B845" s="212"/>
      <c r="C845" s="212"/>
      <c r="D845" s="212"/>
      <c r="E845" s="212"/>
      <c r="N845" s="212">
        <v>0</v>
      </c>
    </row>
    <row r="846" spans="2:14" x14ac:dyDescent="0.15">
      <c r="B846" s="212"/>
      <c r="C846" s="212"/>
      <c r="D846" s="212"/>
      <c r="E846" s="212"/>
      <c r="N846" s="212">
        <v>0</v>
      </c>
    </row>
    <row r="847" spans="2:14" x14ac:dyDescent="0.15">
      <c r="B847" s="212"/>
      <c r="C847" s="212"/>
      <c r="D847" s="212"/>
      <c r="E847" s="212"/>
      <c r="N847" s="212">
        <v>0</v>
      </c>
    </row>
    <row r="848" spans="2:14" x14ac:dyDescent="0.15">
      <c r="B848" s="212"/>
      <c r="C848" s="212"/>
      <c r="D848" s="212"/>
      <c r="E848" s="212"/>
      <c r="N848" s="212">
        <v>0</v>
      </c>
    </row>
    <row r="849" spans="2:14" x14ac:dyDescent="0.15">
      <c r="B849" s="212"/>
      <c r="C849" s="212"/>
      <c r="D849" s="212"/>
      <c r="E849" s="212"/>
      <c r="N849" s="212">
        <v>0</v>
      </c>
    </row>
    <row r="850" spans="2:14" x14ac:dyDescent="0.15">
      <c r="B850" s="212"/>
      <c r="C850" s="212"/>
      <c r="D850" s="212"/>
      <c r="E850" s="212"/>
      <c r="N850" s="212">
        <v>0</v>
      </c>
    </row>
    <row r="851" spans="2:14" x14ac:dyDescent="0.15">
      <c r="B851" s="212"/>
      <c r="C851" s="212"/>
      <c r="D851" s="212"/>
      <c r="E851" s="212"/>
      <c r="N851" s="212">
        <v>0</v>
      </c>
    </row>
    <row r="852" spans="2:14" x14ac:dyDescent="0.15">
      <c r="B852" s="212"/>
      <c r="C852" s="212"/>
      <c r="D852" s="212"/>
      <c r="E852" s="212"/>
      <c r="N852" s="212">
        <v>0</v>
      </c>
    </row>
    <row r="853" spans="2:14" x14ac:dyDescent="0.15">
      <c r="B853" s="212"/>
      <c r="C853" s="212"/>
      <c r="D853" s="212"/>
      <c r="E853" s="212"/>
      <c r="N853" s="212">
        <v>0</v>
      </c>
    </row>
    <row r="854" spans="2:14" x14ac:dyDescent="0.15">
      <c r="B854" s="212"/>
      <c r="C854" s="212"/>
      <c r="D854" s="212"/>
      <c r="E854" s="212"/>
      <c r="N854" s="212">
        <v>0</v>
      </c>
    </row>
    <row r="855" spans="2:14" x14ac:dyDescent="0.15">
      <c r="B855" s="212"/>
      <c r="C855" s="212"/>
      <c r="D855" s="212"/>
      <c r="E855" s="212"/>
      <c r="N855" s="212">
        <v>0</v>
      </c>
    </row>
    <row r="856" spans="2:14" x14ac:dyDescent="0.15">
      <c r="B856" s="212"/>
      <c r="C856" s="212"/>
      <c r="D856" s="212"/>
      <c r="E856" s="212"/>
      <c r="N856" s="212">
        <v>0</v>
      </c>
    </row>
    <row r="857" spans="2:14" x14ac:dyDescent="0.15">
      <c r="B857" s="212"/>
      <c r="C857" s="212"/>
      <c r="D857" s="212"/>
      <c r="E857" s="212"/>
      <c r="N857" s="212">
        <v>0</v>
      </c>
    </row>
    <row r="858" spans="2:14" x14ac:dyDescent="0.15">
      <c r="B858" s="212"/>
      <c r="C858" s="212"/>
      <c r="D858" s="212"/>
      <c r="E858" s="212"/>
      <c r="N858" s="212">
        <v>0</v>
      </c>
    </row>
    <row r="859" spans="2:14" x14ac:dyDescent="0.15">
      <c r="B859" s="212"/>
      <c r="C859" s="212"/>
      <c r="D859" s="212"/>
      <c r="E859" s="212"/>
      <c r="N859" s="212">
        <v>0</v>
      </c>
    </row>
    <row r="860" spans="2:14" x14ac:dyDescent="0.15">
      <c r="B860" s="212"/>
      <c r="C860" s="212"/>
      <c r="D860" s="212"/>
      <c r="E860" s="212"/>
      <c r="N860" s="212">
        <v>0</v>
      </c>
    </row>
    <row r="861" spans="2:14" x14ac:dyDescent="0.15">
      <c r="B861" s="212"/>
      <c r="C861" s="212"/>
      <c r="D861" s="212"/>
      <c r="E861" s="212"/>
      <c r="N861" s="212">
        <v>0</v>
      </c>
    </row>
    <row r="862" spans="2:14" x14ac:dyDescent="0.15">
      <c r="B862" s="212"/>
      <c r="C862" s="212"/>
      <c r="D862" s="212"/>
      <c r="E862" s="212"/>
      <c r="N862" s="212">
        <v>0</v>
      </c>
    </row>
    <row r="863" spans="2:14" x14ac:dyDescent="0.15">
      <c r="B863" s="212"/>
      <c r="C863" s="212"/>
      <c r="D863" s="212"/>
      <c r="E863" s="212"/>
      <c r="N863" s="212">
        <v>0</v>
      </c>
    </row>
    <row r="864" spans="2:14" x14ac:dyDescent="0.15">
      <c r="B864" s="212"/>
      <c r="C864" s="212"/>
      <c r="D864" s="212"/>
      <c r="E864" s="212"/>
      <c r="N864" s="212">
        <v>0</v>
      </c>
    </row>
    <row r="865" spans="2:14" x14ac:dyDescent="0.15">
      <c r="B865" s="212"/>
      <c r="C865" s="212"/>
      <c r="D865" s="212"/>
      <c r="E865" s="212"/>
      <c r="N865" s="212">
        <v>0</v>
      </c>
    </row>
    <row r="866" spans="2:14" x14ac:dyDescent="0.15">
      <c r="B866" s="212"/>
      <c r="C866" s="212"/>
      <c r="D866" s="212"/>
      <c r="E866" s="212"/>
      <c r="N866" s="212">
        <v>0</v>
      </c>
    </row>
    <row r="867" spans="2:14" x14ac:dyDescent="0.15">
      <c r="B867" s="212"/>
      <c r="C867" s="212"/>
      <c r="D867" s="212"/>
      <c r="E867" s="212"/>
      <c r="N867" s="212">
        <v>0</v>
      </c>
    </row>
    <row r="868" spans="2:14" x14ac:dyDescent="0.15">
      <c r="B868" s="212"/>
      <c r="C868" s="212"/>
      <c r="D868" s="212"/>
      <c r="E868" s="212"/>
      <c r="N868" s="212">
        <v>0</v>
      </c>
    </row>
    <row r="869" spans="2:14" x14ac:dyDescent="0.15">
      <c r="B869" s="212"/>
      <c r="C869" s="212"/>
      <c r="D869" s="212"/>
      <c r="E869" s="212"/>
      <c r="N869" s="212">
        <v>0</v>
      </c>
    </row>
    <row r="870" spans="2:14" x14ac:dyDescent="0.15">
      <c r="B870" s="212"/>
      <c r="C870" s="212"/>
      <c r="D870" s="212"/>
      <c r="E870" s="212"/>
      <c r="N870" s="212">
        <v>0</v>
      </c>
    </row>
    <row r="871" spans="2:14" x14ac:dyDescent="0.15">
      <c r="B871" s="212"/>
      <c r="C871" s="212"/>
      <c r="D871" s="212"/>
      <c r="E871" s="212"/>
      <c r="N871" s="212">
        <v>0</v>
      </c>
    </row>
    <row r="872" spans="2:14" x14ac:dyDescent="0.15">
      <c r="B872" s="212"/>
      <c r="C872" s="212"/>
      <c r="D872" s="212"/>
      <c r="E872" s="212"/>
      <c r="N872" s="212">
        <v>0</v>
      </c>
    </row>
    <row r="873" spans="2:14" x14ac:dyDescent="0.15">
      <c r="B873" s="212"/>
      <c r="C873" s="212"/>
      <c r="D873" s="212"/>
      <c r="E873" s="212"/>
      <c r="N873" s="212">
        <v>0</v>
      </c>
    </row>
    <row r="874" spans="2:14" x14ac:dyDescent="0.15">
      <c r="B874" s="212"/>
      <c r="C874" s="212"/>
      <c r="D874" s="212"/>
      <c r="E874" s="212"/>
      <c r="N874" s="212">
        <v>0</v>
      </c>
    </row>
    <row r="875" spans="2:14" x14ac:dyDescent="0.15">
      <c r="B875" s="212"/>
      <c r="C875" s="212"/>
      <c r="D875" s="212"/>
      <c r="E875" s="212"/>
      <c r="N875" s="212">
        <v>0</v>
      </c>
    </row>
    <row r="876" spans="2:14" x14ac:dyDescent="0.15">
      <c r="B876" s="212"/>
      <c r="C876" s="212"/>
      <c r="D876" s="212"/>
      <c r="E876" s="212"/>
      <c r="N876" s="212">
        <v>0</v>
      </c>
    </row>
    <row r="877" spans="2:14" x14ac:dyDescent="0.15">
      <c r="B877" s="212"/>
      <c r="C877" s="212"/>
      <c r="D877" s="212"/>
      <c r="E877" s="212"/>
      <c r="N877" s="212">
        <v>0</v>
      </c>
    </row>
    <row r="878" spans="2:14" x14ac:dyDescent="0.15">
      <c r="B878" s="212"/>
      <c r="C878" s="212"/>
      <c r="D878" s="212"/>
      <c r="E878" s="212"/>
      <c r="N878" s="212">
        <v>0</v>
      </c>
    </row>
    <row r="879" spans="2:14" x14ac:dyDescent="0.15">
      <c r="B879" s="212"/>
      <c r="C879" s="212"/>
      <c r="D879" s="212"/>
      <c r="E879" s="212"/>
      <c r="N879" s="212">
        <v>0</v>
      </c>
    </row>
    <row r="880" spans="2:14" x14ac:dyDescent="0.15">
      <c r="B880" s="212"/>
      <c r="C880" s="212"/>
      <c r="D880" s="212"/>
      <c r="E880" s="212"/>
      <c r="N880" s="212">
        <v>0</v>
      </c>
    </row>
    <row r="881" spans="2:14" x14ac:dyDescent="0.15">
      <c r="B881" s="212"/>
      <c r="C881" s="212"/>
      <c r="D881" s="212"/>
      <c r="E881" s="212"/>
      <c r="N881" s="212">
        <v>0</v>
      </c>
    </row>
    <row r="882" spans="2:14" x14ac:dyDescent="0.15">
      <c r="B882" s="212"/>
      <c r="C882" s="212"/>
      <c r="D882" s="212"/>
      <c r="E882" s="212"/>
      <c r="N882" s="212">
        <v>0</v>
      </c>
    </row>
    <row r="883" spans="2:14" x14ac:dyDescent="0.15">
      <c r="B883" s="212"/>
      <c r="C883" s="212"/>
      <c r="D883" s="212"/>
      <c r="E883" s="212"/>
      <c r="N883" s="212">
        <v>0</v>
      </c>
    </row>
    <row r="884" spans="2:14" x14ac:dyDescent="0.15">
      <c r="B884" s="212"/>
      <c r="C884" s="212"/>
      <c r="D884" s="212"/>
      <c r="E884" s="212"/>
      <c r="N884" s="212">
        <v>0</v>
      </c>
    </row>
    <row r="885" spans="2:14" x14ac:dyDescent="0.15">
      <c r="B885" s="212"/>
      <c r="C885" s="212"/>
      <c r="D885" s="212"/>
      <c r="E885" s="212"/>
      <c r="N885" s="212">
        <v>0</v>
      </c>
    </row>
    <row r="886" spans="2:14" x14ac:dyDescent="0.15">
      <c r="B886" s="212"/>
      <c r="C886" s="212"/>
      <c r="D886" s="212"/>
      <c r="E886" s="212"/>
      <c r="N886" s="212">
        <v>0</v>
      </c>
    </row>
    <row r="887" spans="2:14" x14ac:dyDescent="0.15">
      <c r="B887" s="212"/>
      <c r="C887" s="212"/>
      <c r="D887" s="212"/>
      <c r="E887" s="212"/>
      <c r="N887" s="212">
        <v>0</v>
      </c>
    </row>
    <row r="888" spans="2:14" x14ac:dyDescent="0.15">
      <c r="B888" s="212"/>
      <c r="C888" s="212"/>
      <c r="D888" s="212"/>
      <c r="E888" s="212"/>
      <c r="N888" s="212">
        <v>0</v>
      </c>
    </row>
    <row r="889" spans="2:14" x14ac:dyDescent="0.15">
      <c r="B889" s="212"/>
      <c r="C889" s="212"/>
      <c r="D889" s="212"/>
      <c r="E889" s="212"/>
      <c r="N889" s="212">
        <v>0</v>
      </c>
    </row>
    <row r="890" spans="2:14" x14ac:dyDescent="0.15">
      <c r="B890" s="212"/>
      <c r="C890" s="212"/>
      <c r="D890" s="212"/>
      <c r="E890" s="212"/>
      <c r="N890" s="212">
        <v>0</v>
      </c>
    </row>
    <row r="891" spans="2:14" x14ac:dyDescent="0.15">
      <c r="B891" s="212"/>
      <c r="C891" s="212"/>
      <c r="D891" s="212"/>
      <c r="E891" s="212"/>
      <c r="N891" s="212">
        <v>0</v>
      </c>
    </row>
    <row r="892" spans="2:14" x14ac:dyDescent="0.15">
      <c r="B892" s="212"/>
      <c r="C892" s="212"/>
      <c r="D892" s="212"/>
      <c r="E892" s="212"/>
      <c r="N892" s="212">
        <v>0</v>
      </c>
    </row>
    <row r="893" spans="2:14" x14ac:dyDescent="0.15">
      <c r="B893" s="212"/>
      <c r="C893" s="212"/>
      <c r="D893" s="212"/>
      <c r="E893" s="212"/>
      <c r="N893" s="212">
        <v>0</v>
      </c>
    </row>
    <row r="894" spans="2:14" x14ac:dyDescent="0.15">
      <c r="B894" s="212"/>
      <c r="C894" s="212"/>
      <c r="D894" s="212"/>
      <c r="E894" s="212"/>
      <c r="N894" s="212">
        <v>0</v>
      </c>
    </row>
    <row r="895" spans="2:14" x14ac:dyDescent="0.15">
      <c r="B895" s="212"/>
      <c r="C895" s="212"/>
      <c r="D895" s="212"/>
      <c r="E895" s="212"/>
      <c r="N895" s="212">
        <v>0</v>
      </c>
    </row>
    <row r="896" spans="2:14" x14ac:dyDescent="0.15">
      <c r="B896" s="212"/>
      <c r="C896" s="212"/>
      <c r="D896" s="212"/>
      <c r="E896" s="212"/>
      <c r="N896" s="212">
        <v>0</v>
      </c>
    </row>
    <row r="897" spans="2:14" x14ac:dyDescent="0.15">
      <c r="B897" s="212"/>
      <c r="C897" s="212"/>
      <c r="D897" s="212"/>
      <c r="E897" s="212"/>
      <c r="N897" s="212">
        <v>0</v>
      </c>
    </row>
    <row r="898" spans="2:14" x14ac:dyDescent="0.15">
      <c r="B898" s="212"/>
      <c r="C898" s="212"/>
      <c r="D898" s="212"/>
      <c r="E898" s="212"/>
      <c r="N898" s="212">
        <v>0</v>
      </c>
    </row>
    <row r="899" spans="2:14" x14ac:dyDescent="0.15">
      <c r="B899" s="212"/>
      <c r="C899" s="212"/>
      <c r="D899" s="212"/>
      <c r="E899" s="212"/>
      <c r="N899" s="212">
        <v>0</v>
      </c>
    </row>
    <row r="900" spans="2:14" x14ac:dyDescent="0.15">
      <c r="B900" s="212"/>
      <c r="C900" s="212"/>
      <c r="D900" s="212"/>
      <c r="E900" s="212"/>
      <c r="N900" s="212">
        <v>0</v>
      </c>
    </row>
    <row r="901" spans="2:14" x14ac:dyDescent="0.15">
      <c r="B901" s="212"/>
      <c r="C901" s="212"/>
      <c r="D901" s="212"/>
      <c r="E901" s="212"/>
      <c r="N901" s="212">
        <v>0</v>
      </c>
    </row>
    <row r="902" spans="2:14" x14ac:dyDescent="0.15">
      <c r="B902" s="212"/>
      <c r="C902" s="212"/>
      <c r="D902" s="212"/>
      <c r="E902" s="212"/>
      <c r="N902" s="212">
        <v>0</v>
      </c>
    </row>
    <row r="903" spans="2:14" x14ac:dyDescent="0.15">
      <c r="B903" s="212"/>
      <c r="C903" s="212"/>
      <c r="D903" s="212"/>
      <c r="E903" s="212"/>
      <c r="N903" s="212">
        <v>0</v>
      </c>
    </row>
    <row r="904" spans="2:14" x14ac:dyDescent="0.15">
      <c r="B904" s="212"/>
      <c r="C904" s="212"/>
      <c r="D904" s="212"/>
      <c r="E904" s="212"/>
      <c r="N904" s="212">
        <v>0</v>
      </c>
    </row>
    <row r="905" spans="2:14" x14ac:dyDescent="0.15">
      <c r="B905" s="212"/>
      <c r="C905" s="212"/>
      <c r="D905" s="212"/>
      <c r="E905" s="212"/>
      <c r="N905" s="212">
        <v>0</v>
      </c>
    </row>
    <row r="906" spans="2:14" x14ac:dyDescent="0.15">
      <c r="B906" s="212"/>
      <c r="C906" s="212"/>
      <c r="D906" s="212"/>
      <c r="E906" s="212"/>
      <c r="N906" s="212">
        <v>0</v>
      </c>
    </row>
    <row r="907" spans="2:14" x14ac:dyDescent="0.15">
      <c r="B907" s="212"/>
      <c r="C907" s="212"/>
      <c r="D907" s="212"/>
      <c r="E907" s="212"/>
      <c r="N907" s="212">
        <v>0</v>
      </c>
    </row>
    <row r="908" spans="2:14" x14ac:dyDescent="0.15">
      <c r="B908" s="212"/>
      <c r="C908" s="212"/>
      <c r="D908" s="212"/>
      <c r="E908" s="212"/>
      <c r="N908" s="212">
        <v>0</v>
      </c>
    </row>
    <row r="909" spans="2:14" x14ac:dyDescent="0.15">
      <c r="B909" s="212"/>
      <c r="C909" s="212"/>
      <c r="D909" s="212"/>
      <c r="E909" s="212"/>
      <c r="N909" s="212">
        <v>0</v>
      </c>
    </row>
    <row r="910" spans="2:14" x14ac:dyDescent="0.15">
      <c r="B910" s="212"/>
      <c r="C910" s="212"/>
      <c r="D910" s="212"/>
      <c r="E910" s="212"/>
      <c r="N910" s="212">
        <v>0</v>
      </c>
    </row>
    <row r="911" spans="2:14" x14ac:dyDescent="0.15">
      <c r="B911" s="212"/>
      <c r="C911" s="212"/>
      <c r="D911" s="212"/>
      <c r="E911" s="212"/>
      <c r="N911" s="212">
        <v>0</v>
      </c>
    </row>
    <row r="912" spans="2:14" x14ac:dyDescent="0.15">
      <c r="B912" s="212"/>
      <c r="C912" s="212"/>
      <c r="D912" s="212"/>
      <c r="E912" s="212"/>
      <c r="N912" s="212">
        <v>0</v>
      </c>
    </row>
    <row r="913" spans="2:14" x14ac:dyDescent="0.15">
      <c r="B913" s="212"/>
      <c r="C913" s="212"/>
      <c r="D913" s="212"/>
      <c r="E913" s="212"/>
      <c r="N913" s="212">
        <v>0</v>
      </c>
    </row>
    <row r="914" spans="2:14" x14ac:dyDescent="0.15">
      <c r="B914" s="212"/>
      <c r="C914" s="212"/>
      <c r="D914" s="212"/>
      <c r="E914" s="212"/>
      <c r="N914" s="212">
        <v>0</v>
      </c>
    </row>
    <row r="915" spans="2:14" x14ac:dyDescent="0.15">
      <c r="B915" s="212"/>
      <c r="C915" s="212"/>
      <c r="D915" s="212"/>
      <c r="E915" s="212"/>
      <c r="N915" s="212">
        <v>0</v>
      </c>
    </row>
    <row r="916" spans="2:14" x14ac:dyDescent="0.15">
      <c r="B916" s="212"/>
      <c r="C916" s="212"/>
      <c r="D916" s="212"/>
      <c r="E916" s="212"/>
      <c r="N916" s="212">
        <v>0</v>
      </c>
    </row>
    <row r="917" spans="2:14" x14ac:dyDescent="0.15">
      <c r="B917" s="212"/>
      <c r="C917" s="212"/>
      <c r="D917" s="212"/>
      <c r="E917" s="212"/>
      <c r="N917" s="212">
        <v>0</v>
      </c>
    </row>
    <row r="918" spans="2:14" x14ac:dyDescent="0.15">
      <c r="B918" s="212"/>
      <c r="C918" s="212"/>
      <c r="D918" s="212"/>
      <c r="E918" s="212"/>
      <c r="N918" s="212">
        <v>0</v>
      </c>
    </row>
    <row r="919" spans="2:14" x14ac:dyDescent="0.15">
      <c r="B919" s="212"/>
      <c r="C919" s="212"/>
      <c r="D919" s="212"/>
      <c r="E919" s="212"/>
      <c r="N919" s="212">
        <v>0</v>
      </c>
    </row>
    <row r="920" spans="2:14" x14ac:dyDescent="0.15">
      <c r="B920" s="212"/>
      <c r="C920" s="212"/>
      <c r="D920" s="212"/>
      <c r="E920" s="212"/>
      <c r="N920" s="212">
        <v>0</v>
      </c>
    </row>
    <row r="921" spans="2:14" x14ac:dyDescent="0.15">
      <c r="B921" s="212"/>
      <c r="C921" s="212"/>
      <c r="D921" s="212"/>
      <c r="E921" s="212"/>
      <c r="N921" s="212">
        <v>0</v>
      </c>
    </row>
    <row r="922" spans="2:14" x14ac:dyDescent="0.15">
      <c r="B922" s="212"/>
      <c r="C922" s="212"/>
      <c r="D922" s="212"/>
      <c r="E922" s="212"/>
      <c r="N922" s="212">
        <v>0</v>
      </c>
    </row>
    <row r="923" spans="2:14" x14ac:dyDescent="0.15">
      <c r="B923" s="212"/>
      <c r="C923" s="212"/>
      <c r="D923" s="212"/>
      <c r="E923" s="212"/>
      <c r="N923" s="212">
        <v>0</v>
      </c>
    </row>
    <row r="924" spans="2:14" x14ac:dyDescent="0.15">
      <c r="B924" s="212"/>
      <c r="C924" s="212"/>
      <c r="D924" s="212"/>
      <c r="E924" s="212"/>
      <c r="N924" s="212">
        <v>0</v>
      </c>
    </row>
    <row r="925" spans="2:14" x14ac:dyDescent="0.15">
      <c r="B925" s="212"/>
      <c r="C925" s="212"/>
      <c r="D925" s="212"/>
      <c r="E925" s="212"/>
      <c r="N925" s="212">
        <v>0</v>
      </c>
    </row>
    <row r="926" spans="2:14" x14ac:dyDescent="0.15">
      <c r="B926" s="212"/>
      <c r="C926" s="212"/>
      <c r="D926" s="212"/>
      <c r="E926" s="212"/>
      <c r="N926" s="212">
        <v>0</v>
      </c>
    </row>
    <row r="927" spans="2:14" x14ac:dyDescent="0.15">
      <c r="B927" s="212"/>
      <c r="C927" s="212"/>
      <c r="D927" s="212"/>
      <c r="E927" s="212"/>
      <c r="N927" s="212">
        <v>0</v>
      </c>
    </row>
    <row r="928" spans="2:14" x14ac:dyDescent="0.15">
      <c r="B928" s="212"/>
      <c r="C928" s="212"/>
      <c r="D928" s="212"/>
      <c r="E928" s="212"/>
      <c r="N928" s="212">
        <v>0</v>
      </c>
    </row>
    <row r="929" spans="2:14" x14ac:dyDescent="0.15">
      <c r="B929" s="212"/>
      <c r="C929" s="212"/>
      <c r="D929" s="212"/>
      <c r="E929" s="212"/>
      <c r="N929" s="212">
        <v>0</v>
      </c>
    </row>
    <row r="930" spans="2:14" x14ac:dyDescent="0.15">
      <c r="B930" s="212"/>
      <c r="C930" s="212"/>
      <c r="D930" s="212"/>
      <c r="E930" s="212"/>
      <c r="N930" s="212">
        <v>0</v>
      </c>
    </row>
    <row r="931" spans="2:14" x14ac:dyDescent="0.15">
      <c r="B931" s="212"/>
      <c r="C931" s="212"/>
      <c r="D931" s="212"/>
      <c r="E931" s="212"/>
      <c r="N931" s="212">
        <v>0</v>
      </c>
    </row>
    <row r="932" spans="2:14" x14ac:dyDescent="0.15">
      <c r="B932" s="212"/>
      <c r="C932" s="212"/>
      <c r="D932" s="212"/>
      <c r="E932" s="212"/>
      <c r="N932" s="212">
        <v>0</v>
      </c>
    </row>
    <row r="933" spans="2:14" x14ac:dyDescent="0.15">
      <c r="B933" s="212"/>
      <c r="C933" s="212"/>
      <c r="D933" s="212"/>
      <c r="E933" s="212"/>
      <c r="N933" s="212">
        <v>0</v>
      </c>
    </row>
    <row r="934" spans="2:14" x14ac:dyDescent="0.15">
      <c r="B934" s="212"/>
      <c r="C934" s="212"/>
      <c r="D934" s="212"/>
      <c r="E934" s="212"/>
      <c r="N934" s="212">
        <v>0</v>
      </c>
    </row>
    <row r="935" spans="2:14" x14ac:dyDescent="0.15">
      <c r="B935" s="212"/>
      <c r="C935" s="212"/>
      <c r="D935" s="212"/>
      <c r="E935" s="212"/>
      <c r="N935" s="212">
        <v>0</v>
      </c>
    </row>
    <row r="936" spans="2:14" x14ac:dyDescent="0.15">
      <c r="B936" s="212"/>
      <c r="C936" s="212"/>
      <c r="D936" s="212"/>
      <c r="E936" s="212"/>
      <c r="N936" s="212">
        <v>0</v>
      </c>
    </row>
    <row r="937" spans="2:14" x14ac:dyDescent="0.15">
      <c r="B937" s="212"/>
      <c r="C937" s="212"/>
      <c r="D937" s="212"/>
      <c r="E937" s="212"/>
      <c r="N937" s="212">
        <v>0</v>
      </c>
    </row>
    <row r="938" spans="2:14" x14ac:dyDescent="0.15">
      <c r="B938" s="212"/>
      <c r="C938" s="212"/>
      <c r="D938" s="212"/>
      <c r="E938" s="212"/>
      <c r="N938" s="212">
        <v>0</v>
      </c>
    </row>
    <row r="939" spans="2:14" x14ac:dyDescent="0.15">
      <c r="B939" s="212"/>
      <c r="C939" s="212"/>
      <c r="D939" s="212"/>
      <c r="E939" s="212"/>
      <c r="N939" s="212">
        <v>0</v>
      </c>
    </row>
    <row r="940" spans="2:14" x14ac:dyDescent="0.15">
      <c r="B940" s="212"/>
      <c r="C940" s="212"/>
      <c r="D940" s="212"/>
      <c r="E940" s="212"/>
      <c r="N940" s="212">
        <v>0</v>
      </c>
    </row>
    <row r="941" spans="2:14" x14ac:dyDescent="0.15">
      <c r="B941" s="212"/>
      <c r="C941" s="212"/>
      <c r="D941" s="212"/>
      <c r="E941" s="212"/>
      <c r="N941" s="212">
        <v>0</v>
      </c>
    </row>
    <row r="942" spans="2:14" x14ac:dyDescent="0.15">
      <c r="B942" s="212"/>
      <c r="C942" s="212"/>
      <c r="D942" s="212"/>
      <c r="E942" s="212"/>
      <c r="N942" s="212">
        <v>0</v>
      </c>
    </row>
    <row r="943" spans="2:14" x14ac:dyDescent="0.15">
      <c r="B943" s="212"/>
      <c r="C943" s="212"/>
      <c r="D943" s="212"/>
      <c r="E943" s="212"/>
      <c r="N943" s="212">
        <v>0</v>
      </c>
    </row>
    <row r="944" spans="2:14" x14ac:dyDescent="0.15">
      <c r="B944" s="212"/>
      <c r="C944" s="212"/>
      <c r="D944" s="212"/>
      <c r="E944" s="212"/>
      <c r="N944" s="212">
        <v>0</v>
      </c>
    </row>
    <row r="945" spans="2:14" x14ac:dyDescent="0.15">
      <c r="B945" s="212"/>
      <c r="C945" s="212"/>
      <c r="D945" s="212"/>
      <c r="E945" s="212"/>
      <c r="N945" s="212">
        <v>0</v>
      </c>
    </row>
    <row r="946" spans="2:14" x14ac:dyDescent="0.15">
      <c r="B946" s="212"/>
      <c r="C946" s="212"/>
      <c r="D946" s="212"/>
      <c r="E946" s="212"/>
      <c r="N946" s="212">
        <v>0</v>
      </c>
    </row>
    <row r="947" spans="2:14" x14ac:dyDescent="0.15">
      <c r="B947" s="212"/>
      <c r="C947" s="212"/>
      <c r="D947" s="212"/>
      <c r="E947" s="212"/>
      <c r="N947" s="212">
        <v>0</v>
      </c>
    </row>
    <row r="948" spans="2:14" x14ac:dyDescent="0.15">
      <c r="B948" s="212"/>
      <c r="C948" s="212"/>
      <c r="D948" s="212"/>
      <c r="E948" s="212"/>
      <c r="N948" s="212">
        <v>0</v>
      </c>
    </row>
    <row r="949" spans="2:14" x14ac:dyDescent="0.15">
      <c r="B949" s="212"/>
      <c r="C949" s="212"/>
      <c r="D949" s="212"/>
      <c r="E949" s="212"/>
      <c r="N949" s="212">
        <v>0</v>
      </c>
    </row>
    <row r="950" spans="2:14" x14ac:dyDescent="0.15">
      <c r="B950" s="212"/>
      <c r="C950" s="212"/>
      <c r="D950" s="212"/>
      <c r="E950" s="212"/>
      <c r="N950" s="212">
        <v>0</v>
      </c>
    </row>
    <row r="951" spans="2:14" x14ac:dyDescent="0.15">
      <c r="B951" s="212"/>
      <c r="C951" s="212"/>
      <c r="D951" s="212"/>
      <c r="E951" s="212"/>
      <c r="N951" s="212">
        <v>0</v>
      </c>
    </row>
    <row r="952" spans="2:14" x14ac:dyDescent="0.15">
      <c r="B952" s="212"/>
      <c r="C952" s="212"/>
      <c r="D952" s="212"/>
      <c r="E952" s="212"/>
      <c r="N952" s="212">
        <v>0</v>
      </c>
    </row>
    <row r="953" spans="2:14" x14ac:dyDescent="0.15">
      <c r="B953" s="212"/>
      <c r="C953" s="212"/>
      <c r="D953" s="212"/>
      <c r="E953" s="212"/>
      <c r="N953" s="212">
        <v>0</v>
      </c>
    </row>
    <row r="954" spans="2:14" x14ac:dyDescent="0.15">
      <c r="B954" s="212"/>
      <c r="C954" s="212"/>
      <c r="D954" s="212"/>
      <c r="E954" s="212"/>
      <c r="N954" s="212">
        <v>0</v>
      </c>
    </row>
    <row r="955" spans="2:14" x14ac:dyDescent="0.15">
      <c r="B955" s="212"/>
      <c r="C955" s="212"/>
      <c r="D955" s="212"/>
      <c r="E955" s="212"/>
      <c r="N955" s="212">
        <v>0</v>
      </c>
    </row>
    <row r="956" spans="2:14" x14ac:dyDescent="0.15">
      <c r="B956" s="212"/>
      <c r="C956" s="212"/>
      <c r="D956" s="212"/>
      <c r="E956" s="212"/>
      <c r="N956" s="212">
        <v>0</v>
      </c>
    </row>
    <row r="957" spans="2:14" x14ac:dyDescent="0.15">
      <c r="B957" s="212"/>
      <c r="C957" s="212"/>
      <c r="D957" s="212"/>
      <c r="E957" s="212"/>
      <c r="N957" s="212">
        <v>0</v>
      </c>
    </row>
    <row r="958" spans="2:14" x14ac:dyDescent="0.15">
      <c r="B958" s="212"/>
      <c r="C958" s="212"/>
      <c r="D958" s="212"/>
      <c r="E958" s="212"/>
      <c r="N958" s="212">
        <v>0</v>
      </c>
    </row>
    <row r="959" spans="2:14" x14ac:dyDescent="0.15">
      <c r="B959" s="212"/>
      <c r="C959" s="212"/>
      <c r="D959" s="212"/>
      <c r="E959" s="212"/>
      <c r="N959" s="212">
        <v>0</v>
      </c>
    </row>
    <row r="960" spans="2:14" x14ac:dyDescent="0.15">
      <c r="B960" s="212"/>
      <c r="C960" s="212"/>
      <c r="D960" s="212"/>
      <c r="E960" s="212"/>
      <c r="N960" s="212">
        <v>0</v>
      </c>
    </row>
    <row r="961" spans="2:14" x14ac:dyDescent="0.15">
      <c r="B961" s="212"/>
      <c r="C961" s="212"/>
      <c r="D961" s="212"/>
      <c r="E961" s="212"/>
      <c r="N961" s="212">
        <v>0</v>
      </c>
    </row>
    <row r="962" spans="2:14" x14ac:dyDescent="0.15">
      <c r="B962" s="212"/>
      <c r="C962" s="212"/>
      <c r="D962" s="212"/>
      <c r="E962" s="212"/>
      <c r="N962" s="212">
        <v>0</v>
      </c>
    </row>
    <row r="963" spans="2:14" x14ac:dyDescent="0.15">
      <c r="B963" s="212"/>
      <c r="C963" s="212"/>
      <c r="D963" s="212"/>
      <c r="E963" s="212"/>
      <c r="N963" s="212">
        <v>0</v>
      </c>
    </row>
    <row r="964" spans="2:14" x14ac:dyDescent="0.15">
      <c r="B964" s="212"/>
      <c r="C964" s="212"/>
      <c r="D964" s="212"/>
      <c r="E964" s="212"/>
      <c r="N964" s="212">
        <v>0</v>
      </c>
    </row>
    <row r="965" spans="2:14" x14ac:dyDescent="0.15">
      <c r="B965" s="212"/>
      <c r="C965" s="212"/>
      <c r="D965" s="212"/>
      <c r="E965" s="212"/>
      <c r="N965" s="212">
        <v>0</v>
      </c>
    </row>
    <row r="966" spans="2:14" x14ac:dyDescent="0.15">
      <c r="B966" s="212"/>
      <c r="C966" s="212"/>
      <c r="D966" s="212"/>
      <c r="E966" s="212"/>
      <c r="N966" s="212">
        <v>0</v>
      </c>
    </row>
    <row r="967" spans="2:14" x14ac:dyDescent="0.15">
      <c r="B967" s="212"/>
      <c r="C967" s="212"/>
      <c r="D967" s="212"/>
      <c r="E967" s="212"/>
      <c r="N967" s="212">
        <v>0</v>
      </c>
    </row>
    <row r="968" spans="2:14" x14ac:dyDescent="0.15">
      <c r="B968" s="212"/>
      <c r="C968" s="212"/>
      <c r="D968" s="212"/>
      <c r="E968" s="212"/>
      <c r="N968" s="212">
        <v>0</v>
      </c>
    </row>
    <row r="969" spans="2:14" x14ac:dyDescent="0.15">
      <c r="B969" s="212"/>
      <c r="C969" s="212"/>
      <c r="D969" s="212"/>
      <c r="E969" s="212"/>
      <c r="N969" s="212">
        <v>0</v>
      </c>
    </row>
    <row r="970" spans="2:14" x14ac:dyDescent="0.15">
      <c r="B970" s="212"/>
      <c r="C970" s="212"/>
      <c r="D970" s="212"/>
      <c r="E970" s="212"/>
      <c r="N970" s="212">
        <v>0</v>
      </c>
    </row>
    <row r="971" spans="2:14" x14ac:dyDescent="0.15">
      <c r="B971" s="212"/>
      <c r="C971" s="212"/>
      <c r="D971" s="212"/>
      <c r="E971" s="212"/>
      <c r="N971" s="212">
        <v>0</v>
      </c>
    </row>
    <row r="972" spans="2:14" x14ac:dyDescent="0.15">
      <c r="B972" s="212"/>
      <c r="C972" s="212"/>
      <c r="D972" s="212"/>
      <c r="E972" s="212"/>
      <c r="N972" s="212">
        <v>0</v>
      </c>
    </row>
    <row r="973" spans="2:14" x14ac:dyDescent="0.15">
      <c r="B973" s="212"/>
      <c r="C973" s="212"/>
      <c r="D973" s="212"/>
      <c r="E973" s="212"/>
      <c r="N973" s="212">
        <v>0</v>
      </c>
    </row>
    <row r="974" spans="2:14" x14ac:dyDescent="0.15">
      <c r="B974" s="212"/>
      <c r="C974" s="212"/>
      <c r="D974" s="212"/>
      <c r="E974" s="212"/>
      <c r="N974" s="212">
        <v>0</v>
      </c>
    </row>
    <row r="975" spans="2:14" x14ac:dyDescent="0.15">
      <c r="B975" s="212"/>
      <c r="C975" s="212"/>
      <c r="D975" s="212"/>
      <c r="E975" s="212"/>
      <c r="N975" s="212">
        <v>0</v>
      </c>
    </row>
    <row r="976" spans="2:14" x14ac:dyDescent="0.15">
      <c r="B976" s="212"/>
      <c r="C976" s="212"/>
      <c r="D976" s="212"/>
      <c r="E976" s="212"/>
      <c r="N976" s="212">
        <v>0</v>
      </c>
    </row>
    <row r="977" spans="2:14" x14ac:dyDescent="0.15">
      <c r="B977" s="212"/>
      <c r="C977" s="212"/>
      <c r="D977" s="212"/>
      <c r="E977" s="212"/>
      <c r="N977" s="212">
        <v>0</v>
      </c>
    </row>
    <row r="978" spans="2:14" x14ac:dyDescent="0.15">
      <c r="B978" s="212"/>
      <c r="C978" s="212"/>
      <c r="D978" s="212"/>
      <c r="E978" s="212"/>
      <c r="N978" s="212">
        <v>0</v>
      </c>
    </row>
    <row r="979" spans="2:14" x14ac:dyDescent="0.15">
      <c r="B979" s="212"/>
      <c r="C979" s="212"/>
      <c r="D979" s="212"/>
      <c r="E979" s="212"/>
      <c r="N979" s="212">
        <v>0</v>
      </c>
    </row>
    <row r="980" spans="2:14" x14ac:dyDescent="0.15">
      <c r="B980" s="212"/>
      <c r="C980" s="212"/>
      <c r="D980" s="212"/>
      <c r="E980" s="212"/>
      <c r="N980" s="212">
        <v>0</v>
      </c>
    </row>
    <row r="981" spans="2:14" x14ac:dyDescent="0.15">
      <c r="B981" s="212"/>
      <c r="C981" s="212"/>
      <c r="D981" s="212"/>
      <c r="E981" s="212"/>
      <c r="N981" s="212">
        <v>0</v>
      </c>
    </row>
    <row r="982" spans="2:14" x14ac:dyDescent="0.15">
      <c r="B982" s="212"/>
      <c r="C982" s="212"/>
      <c r="D982" s="212"/>
      <c r="E982" s="212"/>
      <c r="N982" s="212">
        <v>0</v>
      </c>
    </row>
    <row r="983" spans="2:14" x14ac:dyDescent="0.15">
      <c r="B983" s="212"/>
      <c r="C983" s="212"/>
      <c r="D983" s="212"/>
      <c r="E983" s="212"/>
      <c r="N983" s="212">
        <v>0</v>
      </c>
    </row>
    <row r="984" spans="2:14" x14ac:dyDescent="0.15">
      <c r="B984" s="212"/>
      <c r="C984" s="212"/>
      <c r="D984" s="212"/>
      <c r="E984" s="212"/>
      <c r="N984" s="212">
        <v>0</v>
      </c>
    </row>
    <row r="985" spans="2:14" x14ac:dyDescent="0.15">
      <c r="B985" s="212"/>
      <c r="C985" s="212"/>
      <c r="D985" s="212"/>
      <c r="E985" s="212"/>
      <c r="N985" s="212">
        <v>0</v>
      </c>
    </row>
    <row r="986" spans="2:14" x14ac:dyDescent="0.15">
      <c r="B986" s="212"/>
      <c r="C986" s="212"/>
      <c r="D986" s="212"/>
      <c r="E986" s="212"/>
      <c r="N986" s="212">
        <v>0</v>
      </c>
    </row>
    <row r="987" spans="2:14" x14ac:dyDescent="0.15">
      <c r="B987" s="212"/>
      <c r="C987" s="212"/>
      <c r="D987" s="212"/>
      <c r="E987" s="212"/>
      <c r="N987" s="212">
        <v>0</v>
      </c>
    </row>
    <row r="988" spans="2:14" x14ac:dyDescent="0.15">
      <c r="B988" s="212"/>
      <c r="C988" s="212"/>
      <c r="D988" s="212"/>
      <c r="E988" s="212"/>
      <c r="N988" s="212">
        <v>0</v>
      </c>
    </row>
    <row r="989" spans="2:14" x14ac:dyDescent="0.15">
      <c r="B989" s="212"/>
      <c r="C989" s="212"/>
      <c r="D989" s="212"/>
      <c r="E989" s="212"/>
      <c r="N989" s="212">
        <v>0</v>
      </c>
    </row>
    <row r="990" spans="2:14" x14ac:dyDescent="0.15">
      <c r="B990" s="212"/>
      <c r="C990" s="212"/>
      <c r="D990" s="212"/>
      <c r="E990" s="212"/>
      <c r="N990" s="212">
        <v>0</v>
      </c>
    </row>
    <row r="991" spans="2:14" x14ac:dyDescent="0.15">
      <c r="B991" s="212"/>
      <c r="C991" s="212"/>
      <c r="D991" s="212"/>
      <c r="E991" s="212"/>
      <c r="N991" s="212">
        <v>0</v>
      </c>
    </row>
    <row r="992" spans="2:14" x14ac:dyDescent="0.15">
      <c r="B992" s="212"/>
      <c r="C992" s="212"/>
      <c r="D992" s="212"/>
      <c r="E992" s="212"/>
      <c r="N992" s="212">
        <v>0</v>
      </c>
    </row>
    <row r="993" spans="2:14" x14ac:dyDescent="0.15">
      <c r="B993" s="212"/>
      <c r="C993" s="212"/>
      <c r="D993" s="212"/>
      <c r="E993" s="212"/>
      <c r="N993" s="212">
        <v>0</v>
      </c>
    </row>
    <row r="994" spans="2:14" x14ac:dyDescent="0.15">
      <c r="B994" s="212"/>
      <c r="C994" s="212"/>
      <c r="D994" s="212"/>
      <c r="E994" s="212"/>
      <c r="N994" s="212">
        <v>0</v>
      </c>
    </row>
    <row r="995" spans="2:14" x14ac:dyDescent="0.15">
      <c r="B995" s="212"/>
      <c r="C995" s="212"/>
      <c r="D995" s="212"/>
      <c r="E995" s="212"/>
      <c r="N995" s="212">
        <v>0</v>
      </c>
    </row>
    <row r="996" spans="2:14" x14ac:dyDescent="0.15">
      <c r="B996" s="212"/>
      <c r="C996" s="212"/>
      <c r="D996" s="212"/>
      <c r="E996" s="212"/>
      <c r="N996" s="212">
        <v>0</v>
      </c>
    </row>
    <row r="997" spans="2:14" x14ac:dyDescent="0.15">
      <c r="B997" s="212"/>
      <c r="C997" s="212"/>
      <c r="D997" s="212"/>
      <c r="E997" s="212"/>
      <c r="N997" s="212">
        <v>0</v>
      </c>
    </row>
    <row r="998" spans="2:14" x14ac:dyDescent="0.15">
      <c r="B998" s="212"/>
      <c r="C998" s="212"/>
      <c r="D998" s="212"/>
      <c r="E998" s="212"/>
      <c r="N998" s="212">
        <v>0</v>
      </c>
    </row>
    <row r="999" spans="2:14" x14ac:dyDescent="0.15">
      <c r="B999" s="212"/>
      <c r="C999" s="212"/>
      <c r="D999" s="212"/>
      <c r="E999" s="212"/>
      <c r="N999" s="212">
        <v>0</v>
      </c>
    </row>
    <row r="1000" spans="2:14" x14ac:dyDescent="0.15">
      <c r="B1000" s="212"/>
      <c r="C1000" s="212"/>
      <c r="D1000" s="212"/>
      <c r="E1000" s="212"/>
      <c r="N1000" s="212">
        <v>0</v>
      </c>
    </row>
    <row r="1001" spans="2:14" x14ac:dyDescent="0.15">
      <c r="B1001" s="212"/>
      <c r="C1001" s="212"/>
      <c r="D1001" s="212"/>
      <c r="E1001" s="212"/>
      <c r="N1001" s="212">
        <v>0</v>
      </c>
    </row>
    <row r="1002" spans="2:14" x14ac:dyDescent="0.15">
      <c r="B1002" s="212"/>
      <c r="C1002" s="212"/>
      <c r="D1002" s="212"/>
      <c r="E1002" s="212"/>
      <c r="N1002" s="212">
        <v>0</v>
      </c>
    </row>
    <row r="1003" spans="2:14" x14ac:dyDescent="0.15">
      <c r="B1003" s="212"/>
      <c r="C1003" s="212"/>
      <c r="D1003" s="212"/>
      <c r="E1003" s="212"/>
      <c r="N1003" s="212">
        <v>0</v>
      </c>
    </row>
    <row r="1004" spans="2:14" x14ac:dyDescent="0.15">
      <c r="B1004" s="212"/>
      <c r="C1004" s="212"/>
      <c r="D1004" s="212"/>
      <c r="E1004" s="212"/>
      <c r="N1004" s="212">
        <v>0</v>
      </c>
    </row>
    <row r="1005" spans="2:14" x14ac:dyDescent="0.15">
      <c r="B1005" s="212"/>
      <c r="C1005" s="212"/>
      <c r="D1005" s="212"/>
      <c r="E1005" s="212"/>
      <c r="N1005" s="212">
        <v>0</v>
      </c>
    </row>
    <row r="1006" spans="2:14" x14ac:dyDescent="0.15">
      <c r="B1006" s="212"/>
      <c r="C1006" s="212"/>
      <c r="D1006" s="212"/>
      <c r="E1006" s="212"/>
      <c r="N1006" s="212">
        <v>0</v>
      </c>
    </row>
    <row r="1007" spans="2:14" x14ac:dyDescent="0.15">
      <c r="B1007" s="212"/>
      <c r="C1007" s="212"/>
      <c r="D1007" s="212"/>
      <c r="E1007" s="212"/>
      <c r="N1007" s="212">
        <v>0</v>
      </c>
    </row>
    <row r="1008" spans="2:14" x14ac:dyDescent="0.15">
      <c r="B1008" s="212"/>
      <c r="C1008" s="212"/>
      <c r="D1008" s="212"/>
      <c r="E1008" s="212"/>
      <c r="N1008" s="212">
        <v>0</v>
      </c>
    </row>
    <row r="1009" spans="2:14" x14ac:dyDescent="0.15">
      <c r="B1009" s="212"/>
      <c r="C1009" s="212"/>
      <c r="D1009" s="212"/>
      <c r="E1009" s="212"/>
      <c r="N1009" s="212">
        <v>0</v>
      </c>
    </row>
    <row r="1010" spans="2:14" x14ac:dyDescent="0.15">
      <c r="B1010" s="212"/>
      <c r="C1010" s="212"/>
      <c r="D1010" s="212"/>
      <c r="E1010" s="212"/>
      <c r="N1010" s="212">
        <v>0</v>
      </c>
    </row>
    <row r="1011" spans="2:14" x14ac:dyDescent="0.15">
      <c r="B1011" s="212"/>
      <c r="C1011" s="212"/>
      <c r="D1011" s="212"/>
      <c r="E1011" s="212"/>
      <c r="N1011" s="212">
        <v>0</v>
      </c>
    </row>
    <row r="1012" spans="2:14" x14ac:dyDescent="0.15">
      <c r="B1012" s="212"/>
      <c r="C1012" s="212"/>
      <c r="D1012" s="212"/>
      <c r="E1012" s="212"/>
      <c r="N1012" s="212">
        <v>0</v>
      </c>
    </row>
    <row r="1013" spans="2:14" x14ac:dyDescent="0.15">
      <c r="B1013" s="212"/>
      <c r="C1013" s="212"/>
      <c r="D1013" s="212"/>
      <c r="E1013" s="212"/>
      <c r="N1013" s="212">
        <v>0</v>
      </c>
    </row>
    <row r="1014" spans="2:14" x14ac:dyDescent="0.15">
      <c r="B1014" s="212"/>
      <c r="C1014" s="212"/>
      <c r="D1014" s="212"/>
      <c r="E1014" s="212"/>
      <c r="N1014" s="212">
        <v>0</v>
      </c>
    </row>
    <row r="1015" spans="2:14" x14ac:dyDescent="0.15">
      <c r="B1015" s="212"/>
      <c r="C1015" s="212"/>
      <c r="D1015" s="212"/>
      <c r="E1015" s="212"/>
      <c r="N1015" s="212">
        <v>0</v>
      </c>
    </row>
    <row r="1016" spans="2:14" x14ac:dyDescent="0.15">
      <c r="B1016" s="212"/>
      <c r="C1016" s="212"/>
      <c r="D1016" s="212"/>
      <c r="E1016" s="212"/>
      <c r="N1016" s="212">
        <v>0</v>
      </c>
    </row>
    <row r="1017" spans="2:14" x14ac:dyDescent="0.15">
      <c r="B1017" s="212"/>
      <c r="C1017" s="212"/>
      <c r="D1017" s="212"/>
      <c r="E1017" s="212"/>
      <c r="N1017" s="212">
        <v>0</v>
      </c>
    </row>
    <row r="1018" spans="2:14" x14ac:dyDescent="0.15">
      <c r="B1018" s="212"/>
      <c r="C1018" s="212"/>
      <c r="D1018" s="212"/>
      <c r="E1018" s="212"/>
      <c r="N1018" s="212">
        <v>0</v>
      </c>
    </row>
    <row r="1019" spans="2:14" x14ac:dyDescent="0.15">
      <c r="B1019" s="212"/>
      <c r="C1019" s="212"/>
      <c r="D1019" s="212"/>
      <c r="E1019" s="212"/>
      <c r="N1019" s="212">
        <v>0</v>
      </c>
    </row>
    <row r="1020" spans="2:14" x14ac:dyDescent="0.15">
      <c r="B1020" s="212"/>
      <c r="C1020" s="212"/>
      <c r="D1020" s="212"/>
      <c r="E1020" s="212"/>
      <c r="N1020" s="212">
        <v>0</v>
      </c>
    </row>
    <row r="1021" spans="2:14" x14ac:dyDescent="0.15">
      <c r="B1021" s="212"/>
      <c r="C1021" s="212"/>
      <c r="D1021" s="212"/>
      <c r="E1021" s="212"/>
      <c r="N1021" s="212">
        <v>0</v>
      </c>
    </row>
    <row r="1022" spans="2:14" x14ac:dyDescent="0.15">
      <c r="B1022" s="212"/>
      <c r="C1022" s="212"/>
      <c r="D1022" s="212"/>
      <c r="E1022" s="212"/>
      <c r="N1022" s="212">
        <v>0</v>
      </c>
    </row>
    <row r="1023" spans="2:14" x14ac:dyDescent="0.15">
      <c r="B1023" s="212"/>
      <c r="C1023" s="212"/>
      <c r="D1023" s="212"/>
      <c r="E1023" s="212"/>
      <c r="N1023" s="212">
        <v>0</v>
      </c>
    </row>
    <row r="1024" spans="2:14" x14ac:dyDescent="0.15">
      <c r="B1024" s="212"/>
      <c r="C1024" s="212"/>
      <c r="D1024" s="212"/>
      <c r="E1024" s="212"/>
      <c r="N1024" s="212">
        <v>0</v>
      </c>
    </row>
    <row r="1025" spans="2:14" x14ac:dyDescent="0.15">
      <c r="B1025" s="212"/>
      <c r="C1025" s="212"/>
      <c r="D1025" s="212"/>
      <c r="E1025" s="212"/>
      <c r="N1025" s="212">
        <v>0</v>
      </c>
    </row>
    <row r="1026" spans="2:14" x14ac:dyDescent="0.15">
      <c r="B1026" s="212"/>
      <c r="C1026" s="212"/>
      <c r="D1026" s="212"/>
      <c r="E1026" s="212"/>
      <c r="N1026" s="212">
        <v>0</v>
      </c>
    </row>
    <row r="1027" spans="2:14" x14ac:dyDescent="0.15">
      <c r="B1027" s="212"/>
      <c r="C1027" s="212"/>
      <c r="D1027" s="212"/>
      <c r="E1027" s="212"/>
      <c r="N1027" s="212">
        <v>0</v>
      </c>
    </row>
    <row r="1028" spans="2:14" x14ac:dyDescent="0.15">
      <c r="B1028" s="212"/>
      <c r="C1028" s="212"/>
      <c r="D1028" s="212"/>
      <c r="E1028" s="212"/>
      <c r="N1028" s="212">
        <v>0</v>
      </c>
    </row>
    <row r="1029" spans="2:14" x14ac:dyDescent="0.15">
      <c r="B1029" s="212"/>
      <c r="C1029" s="212"/>
      <c r="D1029" s="212"/>
      <c r="E1029" s="212"/>
      <c r="N1029" s="212">
        <v>0</v>
      </c>
    </row>
    <row r="1030" spans="2:14" x14ac:dyDescent="0.15">
      <c r="B1030" s="212"/>
      <c r="C1030" s="212"/>
      <c r="D1030" s="212"/>
      <c r="E1030" s="212"/>
      <c r="N1030" s="212">
        <v>0</v>
      </c>
    </row>
    <row r="1031" spans="2:14" x14ac:dyDescent="0.15">
      <c r="B1031" s="212"/>
      <c r="C1031" s="212"/>
      <c r="D1031" s="212"/>
      <c r="E1031" s="212"/>
      <c r="N1031" s="212">
        <v>0</v>
      </c>
    </row>
    <row r="1032" spans="2:14" x14ac:dyDescent="0.15">
      <c r="B1032" s="212"/>
      <c r="C1032" s="212"/>
      <c r="D1032" s="212"/>
      <c r="E1032" s="212"/>
      <c r="N1032" s="212">
        <v>0</v>
      </c>
    </row>
    <row r="1033" spans="2:14" x14ac:dyDescent="0.15">
      <c r="B1033" s="212"/>
      <c r="C1033" s="212"/>
      <c r="D1033" s="212"/>
      <c r="E1033" s="212"/>
      <c r="N1033" s="212">
        <v>0</v>
      </c>
    </row>
    <row r="1034" spans="2:14" x14ac:dyDescent="0.15">
      <c r="B1034" s="212"/>
      <c r="C1034" s="212"/>
      <c r="D1034" s="212"/>
      <c r="E1034" s="212"/>
      <c r="N1034" s="212">
        <v>0</v>
      </c>
    </row>
    <row r="1035" spans="2:14" x14ac:dyDescent="0.15">
      <c r="B1035" s="212"/>
      <c r="C1035" s="212"/>
      <c r="D1035" s="212"/>
      <c r="E1035" s="212"/>
      <c r="N1035" s="212">
        <v>0</v>
      </c>
    </row>
    <row r="1036" spans="2:14" x14ac:dyDescent="0.15">
      <c r="B1036" s="212"/>
      <c r="C1036" s="212"/>
      <c r="D1036" s="212"/>
      <c r="E1036" s="212"/>
      <c r="N1036" s="212">
        <v>0</v>
      </c>
    </row>
    <row r="1037" spans="2:14" x14ac:dyDescent="0.15">
      <c r="B1037" s="212"/>
      <c r="C1037" s="212"/>
      <c r="D1037" s="212"/>
      <c r="E1037" s="212"/>
      <c r="N1037" s="212">
        <v>0</v>
      </c>
    </row>
    <row r="1038" spans="2:14" x14ac:dyDescent="0.15">
      <c r="B1038" s="212"/>
      <c r="C1038" s="212"/>
      <c r="D1038" s="212"/>
      <c r="E1038" s="212"/>
      <c r="N1038" s="212">
        <v>0</v>
      </c>
    </row>
    <row r="1039" spans="2:14" x14ac:dyDescent="0.15">
      <c r="B1039" s="212"/>
      <c r="C1039" s="212"/>
      <c r="D1039" s="212"/>
      <c r="E1039" s="212"/>
      <c r="N1039" s="212">
        <v>0</v>
      </c>
    </row>
    <row r="1040" spans="2:14" x14ac:dyDescent="0.15">
      <c r="B1040" s="212"/>
      <c r="C1040" s="212"/>
      <c r="D1040" s="212"/>
      <c r="E1040" s="212"/>
      <c r="N1040" s="212">
        <v>0</v>
      </c>
    </row>
    <row r="1041" spans="2:14" x14ac:dyDescent="0.15">
      <c r="B1041" s="212"/>
      <c r="C1041" s="212"/>
      <c r="D1041" s="212"/>
      <c r="E1041" s="212"/>
      <c r="N1041" s="212">
        <v>0</v>
      </c>
    </row>
    <row r="1042" spans="2:14" x14ac:dyDescent="0.15">
      <c r="B1042" s="212"/>
      <c r="C1042" s="212"/>
      <c r="D1042" s="212"/>
      <c r="E1042" s="212"/>
      <c r="N1042" s="212">
        <v>0</v>
      </c>
    </row>
    <row r="1043" spans="2:14" x14ac:dyDescent="0.15">
      <c r="B1043" s="212"/>
      <c r="C1043" s="212"/>
      <c r="D1043" s="212"/>
      <c r="E1043" s="212"/>
      <c r="N1043" s="212">
        <v>0</v>
      </c>
    </row>
    <row r="1044" spans="2:14" x14ac:dyDescent="0.15">
      <c r="B1044" s="212"/>
      <c r="C1044" s="212"/>
      <c r="D1044" s="212"/>
      <c r="E1044" s="212"/>
      <c r="N1044" s="212">
        <v>0</v>
      </c>
    </row>
    <row r="1045" spans="2:14" x14ac:dyDescent="0.15">
      <c r="B1045" s="212"/>
      <c r="C1045" s="212"/>
      <c r="D1045" s="212"/>
      <c r="E1045" s="212"/>
      <c r="N1045" s="212">
        <v>0</v>
      </c>
    </row>
    <row r="1046" spans="2:14" x14ac:dyDescent="0.15">
      <c r="B1046" s="212"/>
      <c r="C1046" s="212"/>
      <c r="D1046" s="212"/>
      <c r="E1046" s="212"/>
      <c r="N1046" s="212">
        <v>0</v>
      </c>
    </row>
    <row r="1047" spans="2:14" x14ac:dyDescent="0.15">
      <c r="B1047" s="212"/>
      <c r="C1047" s="212"/>
      <c r="D1047" s="212"/>
      <c r="E1047" s="212"/>
      <c r="N1047" s="212">
        <v>0</v>
      </c>
    </row>
    <row r="1048" spans="2:14" x14ac:dyDescent="0.15">
      <c r="B1048" s="212"/>
      <c r="C1048" s="212"/>
      <c r="D1048" s="212"/>
      <c r="E1048" s="212"/>
      <c r="N1048" s="212">
        <v>0</v>
      </c>
    </row>
    <row r="1049" spans="2:14" x14ac:dyDescent="0.15">
      <c r="B1049" s="212"/>
      <c r="C1049" s="212"/>
      <c r="D1049" s="212"/>
      <c r="E1049" s="212"/>
      <c r="N1049" s="212">
        <v>0</v>
      </c>
    </row>
    <row r="1050" spans="2:14" x14ac:dyDescent="0.15">
      <c r="B1050" s="212"/>
      <c r="C1050" s="212"/>
      <c r="D1050" s="212"/>
      <c r="E1050" s="212"/>
      <c r="N1050" s="212">
        <v>0</v>
      </c>
    </row>
    <row r="1051" spans="2:14" x14ac:dyDescent="0.15">
      <c r="B1051" s="212"/>
      <c r="C1051" s="212"/>
      <c r="D1051" s="212"/>
      <c r="E1051" s="212"/>
      <c r="N1051" s="212">
        <v>0</v>
      </c>
    </row>
    <row r="1052" spans="2:14" x14ac:dyDescent="0.15">
      <c r="B1052" s="212"/>
      <c r="C1052" s="212"/>
      <c r="D1052" s="212"/>
      <c r="E1052" s="212"/>
      <c r="N1052" s="212">
        <v>0</v>
      </c>
    </row>
    <row r="1053" spans="2:14" x14ac:dyDescent="0.15">
      <c r="B1053" s="212"/>
      <c r="C1053" s="212"/>
      <c r="D1053" s="212"/>
      <c r="E1053" s="212"/>
      <c r="N1053" s="212">
        <v>0</v>
      </c>
    </row>
    <row r="1054" spans="2:14" x14ac:dyDescent="0.15">
      <c r="B1054" s="212"/>
      <c r="C1054" s="212"/>
      <c r="D1054" s="212"/>
      <c r="E1054" s="212"/>
      <c r="N1054" s="212">
        <v>0</v>
      </c>
    </row>
    <row r="1055" spans="2:14" x14ac:dyDescent="0.15">
      <c r="B1055" s="212"/>
      <c r="C1055" s="212"/>
      <c r="D1055" s="212"/>
      <c r="E1055" s="212"/>
      <c r="N1055" s="212">
        <v>0</v>
      </c>
    </row>
    <row r="1056" spans="2:14" x14ac:dyDescent="0.15">
      <c r="B1056" s="212"/>
      <c r="C1056" s="212"/>
      <c r="D1056" s="212"/>
      <c r="E1056" s="212"/>
      <c r="N1056" s="212">
        <v>0</v>
      </c>
    </row>
    <row r="1057" spans="2:14" x14ac:dyDescent="0.15">
      <c r="B1057" s="212"/>
      <c r="C1057" s="212"/>
      <c r="D1057" s="212"/>
      <c r="E1057" s="212"/>
      <c r="N1057" s="212">
        <v>0</v>
      </c>
    </row>
    <row r="1058" spans="2:14" x14ac:dyDescent="0.15">
      <c r="B1058" s="212"/>
      <c r="C1058" s="212"/>
      <c r="D1058" s="212"/>
      <c r="E1058" s="212"/>
      <c r="N1058" s="212">
        <v>0</v>
      </c>
    </row>
    <row r="1059" spans="2:14" x14ac:dyDescent="0.15">
      <c r="B1059" s="212"/>
      <c r="C1059" s="212"/>
      <c r="D1059" s="212"/>
      <c r="E1059" s="212"/>
      <c r="N1059" s="212">
        <v>0</v>
      </c>
    </row>
    <row r="1060" spans="2:14" x14ac:dyDescent="0.15">
      <c r="B1060" s="212"/>
      <c r="C1060" s="212"/>
      <c r="D1060" s="212"/>
      <c r="E1060" s="212"/>
      <c r="N1060" s="212">
        <v>0</v>
      </c>
    </row>
    <row r="1061" spans="2:14" x14ac:dyDescent="0.15">
      <c r="B1061" s="212"/>
      <c r="C1061" s="212"/>
      <c r="D1061" s="212"/>
      <c r="E1061" s="212"/>
      <c r="N1061" s="212">
        <v>0</v>
      </c>
    </row>
    <row r="1062" spans="2:14" x14ac:dyDescent="0.15">
      <c r="B1062" s="212"/>
      <c r="C1062" s="212"/>
      <c r="D1062" s="212"/>
      <c r="E1062" s="212"/>
      <c r="N1062" s="212">
        <v>0</v>
      </c>
    </row>
    <row r="1063" spans="2:14" x14ac:dyDescent="0.15">
      <c r="B1063" s="212"/>
      <c r="C1063" s="212"/>
      <c r="D1063" s="212"/>
      <c r="E1063" s="212"/>
      <c r="N1063" s="212">
        <v>0</v>
      </c>
    </row>
    <row r="1064" spans="2:14" x14ac:dyDescent="0.15">
      <c r="B1064" s="212"/>
      <c r="C1064" s="212"/>
      <c r="D1064" s="212"/>
      <c r="E1064" s="212"/>
      <c r="N1064" s="212">
        <v>0</v>
      </c>
    </row>
    <row r="1065" spans="2:14" x14ac:dyDescent="0.15">
      <c r="B1065" s="212"/>
      <c r="C1065" s="212"/>
      <c r="D1065" s="212"/>
      <c r="E1065" s="212"/>
      <c r="N1065" s="212">
        <v>0</v>
      </c>
    </row>
    <row r="1066" spans="2:14" x14ac:dyDescent="0.15">
      <c r="B1066" s="212"/>
      <c r="C1066" s="212"/>
      <c r="D1066" s="212"/>
      <c r="E1066" s="212"/>
      <c r="N1066" s="212">
        <v>0</v>
      </c>
    </row>
    <row r="1067" spans="2:14" x14ac:dyDescent="0.15">
      <c r="B1067" s="212"/>
      <c r="C1067" s="212"/>
      <c r="D1067" s="212"/>
      <c r="E1067" s="212"/>
      <c r="N1067" s="212">
        <v>0</v>
      </c>
    </row>
    <row r="1068" spans="2:14" x14ac:dyDescent="0.15">
      <c r="B1068" s="212"/>
      <c r="C1068" s="212"/>
      <c r="D1068" s="212"/>
      <c r="E1068" s="212"/>
      <c r="N1068" s="212">
        <v>0</v>
      </c>
    </row>
    <row r="1069" spans="2:14" x14ac:dyDescent="0.15">
      <c r="B1069" s="212"/>
      <c r="C1069" s="212"/>
      <c r="D1069" s="212"/>
      <c r="E1069" s="212"/>
      <c r="N1069" s="212">
        <v>0</v>
      </c>
    </row>
    <row r="1070" spans="2:14" x14ac:dyDescent="0.15">
      <c r="B1070" s="212"/>
      <c r="C1070" s="212"/>
      <c r="D1070" s="212"/>
      <c r="E1070" s="212"/>
      <c r="N1070" s="212">
        <v>0</v>
      </c>
    </row>
    <row r="1071" spans="2:14" x14ac:dyDescent="0.15">
      <c r="B1071" s="212"/>
      <c r="C1071" s="212"/>
      <c r="D1071" s="212"/>
      <c r="E1071" s="212"/>
      <c r="N1071" s="212">
        <v>0</v>
      </c>
    </row>
    <row r="1072" spans="2:14" x14ac:dyDescent="0.15">
      <c r="B1072" s="212"/>
      <c r="C1072" s="212"/>
      <c r="D1072" s="212"/>
      <c r="E1072" s="212"/>
      <c r="N1072" s="212">
        <v>0</v>
      </c>
    </row>
    <row r="1073" spans="2:14" x14ac:dyDescent="0.15">
      <c r="B1073" s="212"/>
      <c r="C1073" s="212"/>
      <c r="D1073" s="212"/>
      <c r="E1073" s="212"/>
      <c r="N1073" s="212">
        <v>0</v>
      </c>
    </row>
    <row r="1074" spans="2:14" x14ac:dyDescent="0.15">
      <c r="B1074" s="212"/>
      <c r="C1074" s="212"/>
      <c r="D1074" s="212"/>
      <c r="E1074" s="212"/>
      <c r="N1074" s="212">
        <v>0</v>
      </c>
    </row>
    <row r="1075" spans="2:14" x14ac:dyDescent="0.15">
      <c r="B1075" s="212"/>
      <c r="C1075" s="212"/>
      <c r="D1075" s="212"/>
      <c r="E1075" s="212"/>
      <c r="N1075" s="212">
        <v>0</v>
      </c>
    </row>
    <row r="1076" spans="2:14" x14ac:dyDescent="0.15">
      <c r="B1076" s="212"/>
      <c r="C1076" s="212"/>
      <c r="D1076" s="212"/>
      <c r="E1076" s="212"/>
      <c r="N1076" s="212">
        <v>0</v>
      </c>
    </row>
    <row r="1077" spans="2:14" x14ac:dyDescent="0.15">
      <c r="B1077" s="212"/>
      <c r="C1077" s="212"/>
      <c r="D1077" s="212"/>
      <c r="E1077" s="212"/>
      <c r="N1077" s="212">
        <v>0</v>
      </c>
    </row>
    <row r="1078" spans="2:14" x14ac:dyDescent="0.15">
      <c r="B1078" s="212"/>
      <c r="C1078" s="212"/>
      <c r="D1078" s="212"/>
      <c r="E1078" s="212"/>
      <c r="N1078" s="212">
        <v>0</v>
      </c>
    </row>
    <row r="1079" spans="2:14" x14ac:dyDescent="0.15">
      <c r="B1079" s="212"/>
      <c r="C1079" s="212"/>
      <c r="D1079" s="212"/>
      <c r="E1079" s="212"/>
      <c r="N1079" s="212">
        <v>0</v>
      </c>
    </row>
    <row r="1080" spans="2:14" x14ac:dyDescent="0.15">
      <c r="B1080" s="212"/>
      <c r="C1080" s="212"/>
      <c r="D1080" s="212"/>
      <c r="E1080" s="212"/>
      <c r="N1080" s="212">
        <v>0</v>
      </c>
    </row>
    <row r="1081" spans="2:14" x14ac:dyDescent="0.15">
      <c r="B1081" s="212"/>
      <c r="C1081" s="212"/>
      <c r="D1081" s="212"/>
      <c r="E1081" s="212"/>
      <c r="N1081" s="212">
        <v>0</v>
      </c>
    </row>
    <row r="1082" spans="2:14" x14ac:dyDescent="0.15">
      <c r="B1082" s="212"/>
      <c r="C1082" s="212"/>
      <c r="D1082" s="212"/>
      <c r="E1082" s="212"/>
      <c r="N1082" s="212">
        <v>0</v>
      </c>
    </row>
    <row r="1083" spans="2:14" x14ac:dyDescent="0.15">
      <c r="B1083" s="212"/>
      <c r="C1083" s="212"/>
      <c r="D1083" s="212"/>
      <c r="E1083" s="212"/>
      <c r="N1083" s="212">
        <v>0</v>
      </c>
    </row>
    <row r="1084" spans="2:14" x14ac:dyDescent="0.15">
      <c r="B1084" s="212"/>
      <c r="C1084" s="212"/>
      <c r="D1084" s="212"/>
      <c r="E1084" s="212"/>
      <c r="N1084" s="212">
        <v>0</v>
      </c>
    </row>
    <row r="1085" spans="2:14" x14ac:dyDescent="0.15">
      <c r="B1085" s="212"/>
      <c r="C1085" s="212"/>
      <c r="D1085" s="212"/>
      <c r="E1085" s="212"/>
      <c r="N1085" s="212">
        <v>0</v>
      </c>
    </row>
    <row r="1086" spans="2:14" x14ac:dyDescent="0.15">
      <c r="B1086" s="212"/>
      <c r="C1086" s="212"/>
      <c r="D1086" s="212"/>
      <c r="E1086" s="212"/>
      <c r="N1086" s="212">
        <v>0</v>
      </c>
    </row>
    <row r="1087" spans="2:14" x14ac:dyDescent="0.15">
      <c r="B1087" s="212"/>
      <c r="C1087" s="212"/>
      <c r="D1087" s="212"/>
      <c r="E1087" s="212"/>
      <c r="N1087" s="212">
        <v>0</v>
      </c>
    </row>
    <row r="1088" spans="2:14" x14ac:dyDescent="0.15">
      <c r="B1088" s="212"/>
      <c r="C1088" s="212"/>
      <c r="D1088" s="212"/>
      <c r="E1088" s="212"/>
      <c r="N1088" s="212">
        <v>0</v>
      </c>
    </row>
    <row r="1089" spans="2:14" x14ac:dyDescent="0.15">
      <c r="B1089" s="212"/>
      <c r="C1089" s="212"/>
      <c r="D1089" s="212"/>
      <c r="E1089" s="212"/>
      <c r="N1089" s="212">
        <v>0</v>
      </c>
    </row>
    <row r="1090" spans="2:14" x14ac:dyDescent="0.15">
      <c r="B1090" s="212"/>
      <c r="C1090" s="212"/>
      <c r="D1090" s="212"/>
      <c r="E1090" s="212"/>
      <c r="N1090" s="212">
        <v>0</v>
      </c>
    </row>
    <row r="1091" spans="2:14" x14ac:dyDescent="0.15">
      <c r="B1091" s="212"/>
      <c r="C1091" s="212"/>
      <c r="D1091" s="212"/>
      <c r="E1091" s="212"/>
      <c r="N1091" s="212">
        <v>0</v>
      </c>
    </row>
    <row r="1092" spans="2:14" x14ac:dyDescent="0.15">
      <c r="B1092" s="212"/>
      <c r="C1092" s="212"/>
      <c r="D1092" s="212"/>
      <c r="E1092" s="212"/>
      <c r="N1092" s="212">
        <v>0</v>
      </c>
    </row>
    <row r="1093" spans="2:14" x14ac:dyDescent="0.15">
      <c r="B1093" s="212"/>
      <c r="C1093" s="212"/>
      <c r="D1093" s="212"/>
      <c r="E1093" s="212"/>
      <c r="N1093" s="212">
        <v>0</v>
      </c>
    </row>
    <row r="1094" spans="2:14" x14ac:dyDescent="0.15">
      <c r="B1094" s="212"/>
      <c r="C1094" s="212"/>
      <c r="D1094" s="212"/>
      <c r="E1094" s="212"/>
      <c r="N1094" s="212">
        <v>0</v>
      </c>
    </row>
    <row r="1095" spans="2:14" x14ac:dyDescent="0.15">
      <c r="B1095" s="212"/>
      <c r="C1095" s="212"/>
      <c r="D1095" s="212"/>
      <c r="E1095" s="212"/>
      <c r="N1095" s="212">
        <v>0</v>
      </c>
    </row>
    <row r="1096" spans="2:14" x14ac:dyDescent="0.15">
      <c r="B1096" s="212"/>
      <c r="C1096" s="212"/>
      <c r="D1096" s="212"/>
      <c r="E1096" s="212"/>
      <c r="N1096" s="212">
        <v>0</v>
      </c>
    </row>
    <row r="1097" spans="2:14" x14ac:dyDescent="0.15">
      <c r="B1097" s="212"/>
      <c r="C1097" s="212"/>
      <c r="D1097" s="212"/>
      <c r="E1097" s="212"/>
      <c r="N1097" s="212">
        <v>0</v>
      </c>
    </row>
    <row r="1098" spans="2:14" x14ac:dyDescent="0.15">
      <c r="B1098" s="212"/>
      <c r="C1098" s="212"/>
      <c r="D1098" s="212"/>
      <c r="E1098" s="212"/>
      <c r="N1098" s="212">
        <v>0</v>
      </c>
    </row>
    <row r="1099" spans="2:14" x14ac:dyDescent="0.15">
      <c r="B1099" s="212"/>
      <c r="C1099" s="212"/>
      <c r="D1099" s="212"/>
      <c r="E1099" s="212"/>
      <c r="N1099" s="212">
        <v>0</v>
      </c>
    </row>
    <row r="1100" spans="2:14" x14ac:dyDescent="0.15">
      <c r="B1100" s="212"/>
      <c r="C1100" s="212"/>
      <c r="D1100" s="212"/>
      <c r="E1100" s="212"/>
      <c r="N1100" s="212">
        <v>0</v>
      </c>
    </row>
    <row r="1101" spans="2:14" x14ac:dyDescent="0.15">
      <c r="B1101" s="212"/>
      <c r="C1101" s="212"/>
      <c r="D1101" s="212"/>
      <c r="E1101" s="212"/>
      <c r="N1101" s="212">
        <v>0</v>
      </c>
    </row>
    <row r="1102" spans="2:14" x14ac:dyDescent="0.15">
      <c r="B1102" s="212"/>
      <c r="C1102" s="212"/>
      <c r="D1102" s="212"/>
      <c r="E1102" s="212"/>
      <c r="N1102" s="212">
        <v>0</v>
      </c>
    </row>
    <row r="1103" spans="2:14" x14ac:dyDescent="0.15">
      <c r="B1103" s="212"/>
      <c r="C1103" s="212"/>
      <c r="D1103" s="212"/>
      <c r="E1103" s="212"/>
      <c r="N1103" s="212">
        <v>0</v>
      </c>
    </row>
    <row r="1104" spans="2:14" x14ac:dyDescent="0.15">
      <c r="B1104" s="212"/>
      <c r="C1104" s="212"/>
      <c r="D1104" s="212"/>
      <c r="E1104" s="212"/>
      <c r="N1104" s="212">
        <v>0</v>
      </c>
    </row>
    <row r="1105" spans="2:14" x14ac:dyDescent="0.15">
      <c r="B1105" s="212"/>
      <c r="C1105" s="212"/>
      <c r="D1105" s="212"/>
      <c r="E1105" s="212"/>
      <c r="N1105" s="212">
        <v>0</v>
      </c>
    </row>
    <row r="1106" spans="2:14" x14ac:dyDescent="0.15">
      <c r="B1106" s="212"/>
      <c r="C1106" s="212"/>
      <c r="D1106" s="212"/>
      <c r="E1106" s="212"/>
      <c r="N1106" s="212">
        <v>0</v>
      </c>
    </row>
    <row r="1107" spans="2:14" x14ac:dyDescent="0.15">
      <c r="B1107" s="212"/>
      <c r="C1107" s="212"/>
      <c r="D1107" s="212"/>
      <c r="E1107" s="212"/>
      <c r="N1107" s="212">
        <v>0</v>
      </c>
    </row>
    <row r="1108" spans="2:14" x14ac:dyDescent="0.15">
      <c r="B1108" s="212"/>
      <c r="C1108" s="212"/>
      <c r="D1108" s="212"/>
      <c r="E1108" s="212"/>
      <c r="N1108" s="212">
        <v>0</v>
      </c>
    </row>
    <row r="1109" spans="2:14" x14ac:dyDescent="0.15">
      <c r="B1109" s="212"/>
      <c r="C1109" s="212"/>
      <c r="D1109" s="212"/>
      <c r="E1109" s="212"/>
      <c r="N1109" s="212">
        <v>0</v>
      </c>
    </row>
    <row r="1110" spans="2:14" x14ac:dyDescent="0.15">
      <c r="B1110" s="212"/>
      <c r="C1110" s="212"/>
      <c r="D1110" s="212"/>
      <c r="E1110" s="212"/>
      <c r="N1110" s="212">
        <v>0</v>
      </c>
    </row>
    <row r="1111" spans="2:14" x14ac:dyDescent="0.15">
      <c r="B1111" s="212"/>
      <c r="C1111" s="212"/>
      <c r="D1111" s="212"/>
      <c r="E1111" s="212"/>
      <c r="N1111" s="212">
        <v>0</v>
      </c>
    </row>
    <row r="1112" spans="2:14" x14ac:dyDescent="0.15">
      <c r="B1112" s="212"/>
      <c r="C1112" s="212"/>
      <c r="D1112" s="212"/>
      <c r="E1112" s="212"/>
      <c r="N1112" s="212">
        <v>0</v>
      </c>
    </row>
    <row r="1113" spans="2:14" x14ac:dyDescent="0.15">
      <c r="B1113" s="212"/>
      <c r="C1113" s="212"/>
      <c r="D1113" s="212"/>
      <c r="E1113" s="212"/>
      <c r="N1113" s="212">
        <v>0</v>
      </c>
    </row>
    <row r="1114" spans="2:14" x14ac:dyDescent="0.15">
      <c r="B1114" s="212"/>
      <c r="C1114" s="212"/>
      <c r="D1114" s="212"/>
      <c r="E1114" s="212"/>
      <c r="N1114" s="212">
        <v>0</v>
      </c>
    </row>
    <row r="1115" spans="2:14" x14ac:dyDescent="0.15">
      <c r="B1115" s="212"/>
      <c r="C1115" s="212"/>
      <c r="D1115" s="212"/>
      <c r="E1115" s="212"/>
      <c r="N1115" s="212">
        <v>0</v>
      </c>
    </row>
    <row r="1116" spans="2:14" x14ac:dyDescent="0.15">
      <c r="B1116" s="212"/>
      <c r="C1116" s="212"/>
      <c r="D1116" s="212"/>
      <c r="E1116" s="212"/>
      <c r="N1116" s="212">
        <v>0</v>
      </c>
    </row>
    <row r="1117" spans="2:14" x14ac:dyDescent="0.15">
      <c r="B1117" s="212"/>
      <c r="C1117" s="212"/>
      <c r="D1117" s="212"/>
      <c r="E1117" s="212"/>
      <c r="N1117" s="212">
        <v>0</v>
      </c>
    </row>
    <row r="1118" spans="2:14" x14ac:dyDescent="0.15">
      <c r="B1118" s="212"/>
      <c r="C1118" s="212"/>
      <c r="D1118" s="212"/>
      <c r="E1118" s="212"/>
      <c r="N1118" s="212">
        <v>0</v>
      </c>
    </row>
    <row r="1119" spans="2:14" x14ac:dyDescent="0.15">
      <c r="B1119" s="212"/>
      <c r="C1119" s="212"/>
      <c r="D1119" s="212"/>
      <c r="E1119" s="212"/>
      <c r="N1119" s="212">
        <v>0</v>
      </c>
    </row>
    <row r="1120" spans="2:14" x14ac:dyDescent="0.15">
      <c r="B1120" s="212"/>
      <c r="C1120" s="212"/>
      <c r="D1120" s="212"/>
      <c r="E1120" s="212"/>
      <c r="N1120" s="212">
        <v>0</v>
      </c>
    </row>
    <row r="1121" spans="2:14" x14ac:dyDescent="0.15">
      <c r="B1121" s="212"/>
      <c r="C1121" s="212"/>
      <c r="D1121" s="212"/>
      <c r="E1121" s="212"/>
      <c r="N1121" s="212">
        <v>0</v>
      </c>
    </row>
    <row r="1122" spans="2:14" x14ac:dyDescent="0.15">
      <c r="B1122" s="212"/>
      <c r="C1122" s="212"/>
      <c r="D1122" s="212"/>
      <c r="E1122" s="212"/>
      <c r="N1122" s="212">
        <v>0</v>
      </c>
    </row>
    <row r="1123" spans="2:14" x14ac:dyDescent="0.15">
      <c r="B1123" s="212"/>
      <c r="C1123" s="212"/>
      <c r="D1123" s="212"/>
      <c r="E1123" s="212"/>
      <c r="N1123" s="212">
        <v>0</v>
      </c>
    </row>
    <row r="1124" spans="2:14" x14ac:dyDescent="0.15">
      <c r="B1124" s="212"/>
      <c r="C1124" s="212"/>
      <c r="D1124" s="212"/>
      <c r="E1124" s="212"/>
      <c r="N1124" s="212">
        <v>0</v>
      </c>
    </row>
    <row r="1125" spans="2:14" x14ac:dyDescent="0.15">
      <c r="B1125" s="212"/>
      <c r="C1125" s="212"/>
      <c r="D1125" s="212"/>
      <c r="E1125" s="212"/>
      <c r="N1125" s="212">
        <v>0</v>
      </c>
    </row>
    <row r="1126" spans="2:14" x14ac:dyDescent="0.15">
      <c r="B1126" s="212"/>
      <c r="C1126" s="212"/>
      <c r="D1126" s="212"/>
      <c r="E1126" s="212"/>
      <c r="N1126" s="212">
        <v>0</v>
      </c>
    </row>
    <row r="1127" spans="2:14" x14ac:dyDescent="0.15">
      <c r="B1127" s="212"/>
      <c r="C1127" s="212"/>
      <c r="D1127" s="212"/>
      <c r="E1127" s="212"/>
      <c r="N1127" s="212">
        <v>0</v>
      </c>
    </row>
    <row r="1128" spans="2:14" x14ac:dyDescent="0.15">
      <c r="B1128" s="212"/>
      <c r="C1128" s="212"/>
      <c r="D1128" s="212"/>
      <c r="E1128" s="212"/>
      <c r="N1128" s="212">
        <v>0</v>
      </c>
    </row>
    <row r="1129" spans="2:14" x14ac:dyDescent="0.15">
      <c r="B1129" s="212"/>
      <c r="C1129" s="212"/>
      <c r="D1129" s="212"/>
      <c r="E1129" s="212"/>
      <c r="N1129" s="212">
        <v>0</v>
      </c>
    </row>
    <row r="1130" spans="2:14" x14ac:dyDescent="0.15">
      <c r="B1130" s="212"/>
      <c r="C1130" s="212"/>
      <c r="D1130" s="212"/>
      <c r="E1130" s="212"/>
      <c r="N1130" s="212">
        <v>0</v>
      </c>
    </row>
    <row r="1131" spans="2:14" x14ac:dyDescent="0.15">
      <c r="B1131" s="212"/>
      <c r="C1131" s="212"/>
      <c r="D1131" s="212"/>
      <c r="E1131" s="212"/>
      <c r="N1131" s="212">
        <v>0</v>
      </c>
    </row>
    <row r="1132" spans="2:14" x14ac:dyDescent="0.15">
      <c r="B1132" s="212"/>
      <c r="C1132" s="212"/>
      <c r="D1132" s="212"/>
      <c r="E1132" s="212"/>
      <c r="N1132" s="212">
        <v>0</v>
      </c>
    </row>
    <row r="1133" spans="2:14" x14ac:dyDescent="0.15">
      <c r="B1133" s="212"/>
      <c r="C1133" s="212"/>
      <c r="D1133" s="212"/>
      <c r="E1133" s="212"/>
      <c r="N1133" s="212">
        <v>0</v>
      </c>
    </row>
    <row r="1134" spans="2:14" x14ac:dyDescent="0.15">
      <c r="B1134" s="212"/>
      <c r="C1134" s="212"/>
      <c r="D1134" s="212"/>
      <c r="E1134" s="212"/>
      <c r="N1134" s="212">
        <v>0</v>
      </c>
    </row>
    <row r="1135" spans="2:14" x14ac:dyDescent="0.15">
      <c r="B1135" s="212"/>
      <c r="C1135" s="212"/>
      <c r="D1135" s="212"/>
      <c r="E1135" s="212"/>
      <c r="N1135" s="212">
        <v>0</v>
      </c>
    </row>
    <row r="1136" spans="2:14" x14ac:dyDescent="0.15">
      <c r="B1136" s="212"/>
      <c r="C1136" s="212"/>
      <c r="D1136" s="212"/>
      <c r="E1136" s="212"/>
      <c r="N1136" s="212">
        <v>0</v>
      </c>
    </row>
    <row r="1137" spans="2:14" x14ac:dyDescent="0.15">
      <c r="B1137" s="212"/>
      <c r="C1137" s="212"/>
      <c r="D1137" s="212"/>
      <c r="E1137" s="212"/>
      <c r="N1137" s="212">
        <v>0</v>
      </c>
    </row>
    <row r="1138" spans="2:14" x14ac:dyDescent="0.15">
      <c r="B1138" s="212"/>
      <c r="C1138" s="212"/>
      <c r="D1138" s="212"/>
      <c r="E1138" s="212"/>
      <c r="N1138" s="212">
        <v>0</v>
      </c>
    </row>
    <row r="1139" spans="2:14" x14ac:dyDescent="0.15">
      <c r="B1139" s="212"/>
      <c r="C1139" s="212"/>
      <c r="D1139" s="212"/>
      <c r="E1139" s="212"/>
      <c r="N1139" s="212">
        <v>0</v>
      </c>
    </row>
    <row r="1140" spans="2:14" x14ac:dyDescent="0.15">
      <c r="B1140" s="212"/>
      <c r="C1140" s="212"/>
      <c r="D1140" s="212"/>
      <c r="E1140" s="212"/>
      <c r="N1140" s="212">
        <v>0</v>
      </c>
    </row>
    <row r="1141" spans="2:14" x14ac:dyDescent="0.15">
      <c r="B1141" s="212"/>
      <c r="C1141" s="212"/>
      <c r="D1141" s="212"/>
      <c r="E1141" s="212"/>
      <c r="N1141" s="212">
        <v>0</v>
      </c>
    </row>
    <row r="1142" spans="2:14" x14ac:dyDescent="0.15">
      <c r="B1142" s="212"/>
      <c r="C1142" s="212"/>
      <c r="D1142" s="212"/>
      <c r="E1142" s="212"/>
      <c r="N1142" s="212">
        <v>0</v>
      </c>
    </row>
    <row r="1143" spans="2:14" x14ac:dyDescent="0.15">
      <c r="B1143" s="212"/>
      <c r="C1143" s="212"/>
      <c r="D1143" s="212"/>
      <c r="E1143" s="212"/>
      <c r="N1143" s="212">
        <v>0</v>
      </c>
    </row>
    <row r="1144" spans="2:14" x14ac:dyDescent="0.15">
      <c r="B1144" s="212"/>
      <c r="C1144" s="212"/>
      <c r="D1144" s="212"/>
      <c r="E1144" s="212"/>
      <c r="N1144" s="212">
        <v>0</v>
      </c>
    </row>
    <row r="1145" spans="2:14" x14ac:dyDescent="0.15">
      <c r="B1145" s="212"/>
      <c r="C1145" s="212"/>
      <c r="D1145" s="212"/>
      <c r="E1145" s="212"/>
      <c r="N1145" s="212">
        <v>0</v>
      </c>
    </row>
    <row r="1146" spans="2:14" x14ac:dyDescent="0.15">
      <c r="B1146" s="212"/>
      <c r="C1146" s="212"/>
      <c r="D1146" s="212"/>
      <c r="E1146" s="212"/>
      <c r="N1146" s="212">
        <v>0</v>
      </c>
    </row>
    <row r="1147" spans="2:14" x14ac:dyDescent="0.15">
      <c r="B1147" s="212"/>
      <c r="C1147" s="212"/>
      <c r="D1147" s="212"/>
      <c r="E1147" s="212"/>
      <c r="N1147" s="212">
        <v>0</v>
      </c>
    </row>
    <row r="1148" spans="2:14" x14ac:dyDescent="0.15">
      <c r="B1148" s="212"/>
      <c r="C1148" s="212"/>
      <c r="D1148" s="212"/>
      <c r="E1148" s="212"/>
      <c r="N1148" s="212">
        <v>0</v>
      </c>
    </row>
    <row r="1149" spans="2:14" x14ac:dyDescent="0.15">
      <c r="B1149" s="212"/>
      <c r="C1149" s="212"/>
      <c r="D1149" s="212"/>
      <c r="E1149" s="212"/>
      <c r="N1149" s="212">
        <v>0</v>
      </c>
    </row>
    <row r="1150" spans="2:14" x14ac:dyDescent="0.15">
      <c r="B1150" s="212"/>
      <c r="C1150" s="212"/>
      <c r="D1150" s="212"/>
      <c r="E1150" s="212"/>
      <c r="N1150" s="212">
        <v>0</v>
      </c>
    </row>
    <row r="1151" spans="2:14" x14ac:dyDescent="0.15">
      <c r="B1151" s="212"/>
      <c r="C1151" s="212"/>
      <c r="D1151" s="212"/>
      <c r="E1151" s="212"/>
      <c r="N1151" s="212">
        <v>0</v>
      </c>
    </row>
    <row r="1152" spans="2:14" x14ac:dyDescent="0.15">
      <c r="B1152" s="212"/>
      <c r="C1152" s="212"/>
      <c r="D1152" s="212"/>
      <c r="E1152" s="212"/>
      <c r="N1152" s="212">
        <v>0</v>
      </c>
    </row>
    <row r="1153" spans="2:14" x14ac:dyDescent="0.15">
      <c r="B1153" s="212"/>
      <c r="C1153" s="212"/>
      <c r="D1153" s="212"/>
      <c r="E1153" s="212"/>
      <c r="N1153" s="212">
        <v>0</v>
      </c>
    </row>
    <row r="1154" spans="2:14" x14ac:dyDescent="0.15">
      <c r="B1154" s="212"/>
      <c r="C1154" s="212"/>
      <c r="D1154" s="212"/>
      <c r="E1154" s="212"/>
      <c r="N1154" s="212">
        <v>0</v>
      </c>
    </row>
    <row r="1155" spans="2:14" x14ac:dyDescent="0.15">
      <c r="B1155" s="212"/>
      <c r="C1155" s="212"/>
      <c r="D1155" s="212"/>
      <c r="E1155" s="212"/>
      <c r="N1155" s="212">
        <v>0</v>
      </c>
    </row>
    <row r="1156" spans="2:14" x14ac:dyDescent="0.15">
      <c r="B1156" s="212"/>
      <c r="C1156" s="212"/>
      <c r="D1156" s="212"/>
      <c r="E1156" s="212"/>
      <c r="N1156" s="212">
        <v>0</v>
      </c>
    </row>
    <row r="1157" spans="2:14" x14ac:dyDescent="0.15">
      <c r="B1157" s="212"/>
      <c r="C1157" s="212"/>
      <c r="D1157" s="212"/>
      <c r="E1157" s="212"/>
      <c r="N1157" s="212">
        <v>0</v>
      </c>
    </row>
    <row r="1158" spans="2:14" x14ac:dyDescent="0.15">
      <c r="B1158" s="212"/>
      <c r="C1158" s="212"/>
      <c r="D1158" s="212"/>
      <c r="E1158" s="212"/>
      <c r="N1158" s="212">
        <v>0</v>
      </c>
    </row>
    <row r="1159" spans="2:14" x14ac:dyDescent="0.15">
      <c r="B1159" s="212"/>
      <c r="C1159" s="212"/>
      <c r="D1159" s="212"/>
      <c r="E1159" s="212"/>
      <c r="N1159" s="212">
        <v>0</v>
      </c>
    </row>
    <row r="1160" spans="2:14" x14ac:dyDescent="0.15">
      <c r="B1160" s="212"/>
      <c r="C1160" s="212"/>
      <c r="D1160" s="212"/>
      <c r="E1160" s="212"/>
      <c r="N1160" s="212">
        <v>0</v>
      </c>
    </row>
    <row r="1161" spans="2:14" x14ac:dyDescent="0.15">
      <c r="B1161" s="212"/>
      <c r="C1161" s="212"/>
      <c r="D1161" s="212"/>
      <c r="E1161" s="212"/>
      <c r="N1161" s="212">
        <v>0</v>
      </c>
    </row>
    <row r="1162" spans="2:14" x14ac:dyDescent="0.15">
      <c r="B1162" s="212"/>
      <c r="C1162" s="212"/>
      <c r="D1162" s="212"/>
      <c r="E1162" s="212"/>
      <c r="N1162" s="212">
        <v>0</v>
      </c>
    </row>
    <row r="1163" spans="2:14" x14ac:dyDescent="0.15">
      <c r="B1163" s="212"/>
      <c r="C1163" s="212"/>
      <c r="D1163" s="212"/>
      <c r="E1163" s="212"/>
      <c r="N1163" s="212">
        <v>0</v>
      </c>
    </row>
    <row r="1164" spans="2:14" x14ac:dyDescent="0.15">
      <c r="B1164" s="212"/>
      <c r="C1164" s="212"/>
      <c r="D1164" s="212"/>
      <c r="E1164" s="212"/>
      <c r="N1164" s="212">
        <v>0</v>
      </c>
    </row>
    <row r="1165" spans="2:14" x14ac:dyDescent="0.15">
      <c r="B1165" s="212"/>
      <c r="C1165" s="212"/>
      <c r="D1165" s="212"/>
      <c r="E1165" s="212"/>
      <c r="N1165" s="212">
        <v>0</v>
      </c>
    </row>
    <row r="1166" spans="2:14" x14ac:dyDescent="0.15">
      <c r="B1166" s="212"/>
      <c r="C1166" s="212"/>
      <c r="D1166" s="212"/>
      <c r="E1166" s="212"/>
      <c r="N1166" s="212">
        <v>0</v>
      </c>
    </row>
    <row r="1167" spans="2:14" x14ac:dyDescent="0.15">
      <c r="B1167" s="212"/>
      <c r="C1167" s="212"/>
      <c r="D1167" s="212"/>
      <c r="E1167" s="212"/>
      <c r="N1167" s="212">
        <v>0</v>
      </c>
    </row>
    <row r="1168" spans="2:14" x14ac:dyDescent="0.15">
      <c r="B1168" s="212"/>
      <c r="C1168" s="212"/>
      <c r="D1168" s="212"/>
      <c r="E1168" s="212"/>
      <c r="N1168" s="212">
        <v>0</v>
      </c>
    </row>
    <row r="1169" spans="2:14" x14ac:dyDescent="0.15">
      <c r="B1169" s="212"/>
      <c r="C1169" s="212"/>
      <c r="D1169" s="212"/>
      <c r="E1169" s="212"/>
      <c r="N1169" s="212">
        <v>0</v>
      </c>
    </row>
    <row r="1170" spans="2:14" x14ac:dyDescent="0.15">
      <c r="B1170" s="212"/>
      <c r="C1170" s="212"/>
      <c r="D1170" s="212"/>
      <c r="E1170" s="212"/>
      <c r="N1170" s="212">
        <v>0</v>
      </c>
    </row>
    <row r="1171" spans="2:14" x14ac:dyDescent="0.15">
      <c r="B1171" s="212"/>
      <c r="C1171" s="212"/>
      <c r="D1171" s="212"/>
      <c r="E1171" s="212"/>
      <c r="N1171" s="212">
        <v>0</v>
      </c>
    </row>
    <row r="1172" spans="2:14" x14ac:dyDescent="0.15">
      <c r="B1172" s="212"/>
      <c r="C1172" s="212"/>
      <c r="D1172" s="212"/>
      <c r="E1172" s="212"/>
      <c r="N1172" s="212">
        <v>0</v>
      </c>
    </row>
    <row r="1173" spans="2:14" x14ac:dyDescent="0.15">
      <c r="B1173" s="212"/>
      <c r="C1173" s="212"/>
      <c r="D1173" s="212"/>
      <c r="E1173" s="212"/>
      <c r="N1173" s="212">
        <v>0</v>
      </c>
    </row>
    <row r="1174" spans="2:14" x14ac:dyDescent="0.15">
      <c r="B1174" s="212"/>
      <c r="C1174" s="212"/>
      <c r="D1174" s="212"/>
      <c r="E1174" s="212"/>
      <c r="N1174" s="212">
        <v>0</v>
      </c>
    </row>
    <row r="1175" spans="2:14" x14ac:dyDescent="0.15">
      <c r="B1175" s="212"/>
      <c r="C1175" s="212"/>
      <c r="D1175" s="212"/>
      <c r="E1175" s="212"/>
      <c r="N1175" s="212">
        <v>0</v>
      </c>
    </row>
    <row r="1176" spans="2:14" x14ac:dyDescent="0.15">
      <c r="B1176" s="212"/>
      <c r="C1176" s="212"/>
      <c r="D1176" s="212"/>
      <c r="E1176" s="212"/>
      <c r="N1176" s="212">
        <v>0</v>
      </c>
    </row>
    <row r="1177" spans="2:14" x14ac:dyDescent="0.15">
      <c r="B1177" s="212"/>
      <c r="C1177" s="212"/>
      <c r="D1177" s="212"/>
      <c r="E1177" s="212"/>
      <c r="N1177" s="212">
        <v>0</v>
      </c>
    </row>
    <row r="1178" spans="2:14" x14ac:dyDescent="0.15">
      <c r="B1178" s="212"/>
      <c r="C1178" s="212"/>
      <c r="D1178" s="212"/>
      <c r="E1178" s="212"/>
      <c r="N1178" s="212">
        <v>0</v>
      </c>
    </row>
    <row r="1179" spans="2:14" x14ac:dyDescent="0.15">
      <c r="B1179" s="212"/>
      <c r="C1179" s="212"/>
      <c r="D1179" s="212"/>
      <c r="E1179" s="212"/>
      <c r="N1179" s="212">
        <v>0</v>
      </c>
    </row>
    <row r="1180" spans="2:14" x14ac:dyDescent="0.15">
      <c r="B1180" s="212"/>
      <c r="C1180" s="212"/>
      <c r="D1180" s="212"/>
      <c r="E1180" s="212"/>
      <c r="N1180" s="212">
        <v>0</v>
      </c>
    </row>
    <row r="1181" spans="2:14" x14ac:dyDescent="0.15">
      <c r="B1181" s="212"/>
      <c r="C1181" s="212"/>
      <c r="D1181" s="212"/>
      <c r="E1181" s="212"/>
      <c r="N1181" s="212">
        <v>0</v>
      </c>
    </row>
    <row r="1182" spans="2:14" x14ac:dyDescent="0.15">
      <c r="B1182" s="212"/>
      <c r="C1182" s="212"/>
      <c r="D1182" s="212"/>
      <c r="E1182" s="212"/>
      <c r="N1182" s="212">
        <v>0</v>
      </c>
    </row>
    <row r="1183" spans="2:14" x14ac:dyDescent="0.15">
      <c r="B1183" s="212"/>
      <c r="C1183" s="212"/>
      <c r="D1183" s="212"/>
      <c r="E1183" s="212"/>
      <c r="N1183" s="212">
        <v>0</v>
      </c>
    </row>
    <row r="1184" spans="2:14" x14ac:dyDescent="0.15">
      <c r="B1184" s="212"/>
      <c r="C1184" s="212"/>
      <c r="D1184" s="212"/>
      <c r="E1184" s="212"/>
      <c r="N1184" s="212">
        <v>0</v>
      </c>
    </row>
    <row r="1185" spans="2:14" x14ac:dyDescent="0.15">
      <c r="B1185" s="212"/>
      <c r="C1185" s="212"/>
      <c r="D1185" s="212"/>
      <c r="E1185" s="212"/>
      <c r="N1185" s="212">
        <v>0</v>
      </c>
    </row>
    <row r="1186" spans="2:14" x14ac:dyDescent="0.15">
      <c r="B1186" s="212"/>
      <c r="C1186" s="212"/>
      <c r="D1186" s="212"/>
      <c r="E1186" s="212"/>
      <c r="N1186" s="212">
        <v>0</v>
      </c>
    </row>
    <row r="1187" spans="2:14" x14ac:dyDescent="0.15">
      <c r="B1187" s="212"/>
      <c r="C1187" s="212"/>
      <c r="D1187" s="212"/>
      <c r="E1187" s="212"/>
      <c r="N1187" s="212">
        <v>0</v>
      </c>
    </row>
    <row r="1188" spans="2:14" x14ac:dyDescent="0.15">
      <c r="B1188" s="212"/>
      <c r="C1188" s="212"/>
      <c r="D1188" s="212"/>
      <c r="E1188" s="212"/>
      <c r="N1188" s="212">
        <v>0</v>
      </c>
    </row>
    <row r="1189" spans="2:14" x14ac:dyDescent="0.15">
      <c r="B1189" s="212"/>
      <c r="C1189" s="212"/>
      <c r="D1189" s="212"/>
      <c r="E1189" s="212"/>
      <c r="N1189" s="212">
        <v>0</v>
      </c>
    </row>
    <row r="1190" spans="2:14" x14ac:dyDescent="0.15">
      <c r="B1190" s="212"/>
      <c r="C1190" s="212"/>
      <c r="D1190" s="212"/>
      <c r="E1190" s="212"/>
      <c r="N1190" s="212">
        <v>0</v>
      </c>
    </row>
    <row r="1191" spans="2:14" x14ac:dyDescent="0.15">
      <c r="B1191" s="212"/>
      <c r="C1191" s="212"/>
      <c r="D1191" s="212"/>
      <c r="E1191" s="212"/>
      <c r="N1191" s="212">
        <v>0</v>
      </c>
    </row>
    <row r="1192" spans="2:14" x14ac:dyDescent="0.15">
      <c r="B1192" s="212"/>
      <c r="C1192" s="212"/>
      <c r="D1192" s="212"/>
      <c r="E1192" s="212"/>
      <c r="N1192" s="212">
        <v>0</v>
      </c>
    </row>
    <row r="1193" spans="2:14" x14ac:dyDescent="0.15">
      <c r="B1193" s="212"/>
      <c r="C1193" s="212"/>
      <c r="D1193" s="212"/>
      <c r="E1193" s="212"/>
      <c r="N1193" s="212">
        <v>0</v>
      </c>
    </row>
    <row r="1194" spans="2:14" x14ac:dyDescent="0.15">
      <c r="B1194" s="212"/>
      <c r="C1194" s="212"/>
      <c r="D1194" s="212"/>
      <c r="E1194" s="212"/>
      <c r="N1194" s="212">
        <v>0</v>
      </c>
    </row>
    <row r="1195" spans="2:14" x14ac:dyDescent="0.15">
      <c r="B1195" s="212"/>
      <c r="C1195" s="212"/>
      <c r="D1195" s="212"/>
      <c r="E1195" s="212"/>
      <c r="N1195" s="212">
        <v>0</v>
      </c>
    </row>
    <row r="1196" spans="2:14" x14ac:dyDescent="0.15">
      <c r="B1196" s="212"/>
      <c r="C1196" s="212"/>
      <c r="D1196" s="212"/>
      <c r="E1196" s="212"/>
      <c r="N1196" s="212">
        <v>0</v>
      </c>
    </row>
    <row r="1197" spans="2:14" x14ac:dyDescent="0.15">
      <c r="B1197" s="212"/>
      <c r="C1197" s="212"/>
      <c r="D1197" s="212"/>
      <c r="E1197" s="212"/>
      <c r="N1197" s="212">
        <v>0</v>
      </c>
    </row>
    <row r="1198" spans="2:14" x14ac:dyDescent="0.15">
      <c r="B1198" s="212"/>
      <c r="C1198" s="212"/>
      <c r="D1198" s="212"/>
      <c r="E1198" s="212"/>
      <c r="N1198" s="212">
        <v>0</v>
      </c>
    </row>
    <row r="1199" spans="2:14" x14ac:dyDescent="0.15">
      <c r="B1199" s="212"/>
      <c r="C1199" s="212"/>
      <c r="D1199" s="212"/>
      <c r="E1199" s="212"/>
      <c r="N1199" s="212">
        <v>0</v>
      </c>
    </row>
    <row r="1200" spans="2:14" x14ac:dyDescent="0.15">
      <c r="B1200" s="212"/>
      <c r="C1200" s="212"/>
      <c r="D1200" s="212"/>
      <c r="E1200" s="212"/>
      <c r="N1200" s="212">
        <v>0</v>
      </c>
    </row>
    <row r="1201" spans="2:14" x14ac:dyDescent="0.15">
      <c r="B1201" s="212"/>
      <c r="C1201" s="212"/>
      <c r="D1201" s="212"/>
      <c r="E1201" s="212"/>
      <c r="N1201" s="212">
        <v>0</v>
      </c>
    </row>
    <row r="1202" spans="2:14" x14ac:dyDescent="0.15">
      <c r="B1202" s="212"/>
      <c r="C1202" s="212"/>
      <c r="D1202" s="212"/>
      <c r="E1202" s="212"/>
      <c r="N1202" s="212">
        <v>0</v>
      </c>
    </row>
    <row r="1203" spans="2:14" x14ac:dyDescent="0.15">
      <c r="B1203" s="212"/>
      <c r="C1203" s="212"/>
      <c r="D1203" s="212"/>
      <c r="E1203" s="212"/>
      <c r="N1203" s="212">
        <v>0</v>
      </c>
    </row>
    <row r="1204" spans="2:14" x14ac:dyDescent="0.15">
      <c r="B1204" s="212"/>
      <c r="C1204" s="212"/>
      <c r="D1204" s="212"/>
      <c r="E1204" s="212"/>
      <c r="N1204" s="212">
        <v>0</v>
      </c>
    </row>
    <row r="1205" spans="2:14" x14ac:dyDescent="0.15">
      <c r="B1205" s="212"/>
      <c r="C1205" s="212"/>
      <c r="D1205" s="212"/>
      <c r="E1205" s="212"/>
      <c r="N1205" s="212">
        <v>0</v>
      </c>
    </row>
    <row r="1206" spans="2:14" x14ac:dyDescent="0.15">
      <c r="B1206" s="212"/>
      <c r="C1206" s="212"/>
      <c r="D1206" s="212"/>
      <c r="E1206" s="212"/>
      <c r="N1206" s="212">
        <v>0</v>
      </c>
    </row>
    <row r="1207" spans="2:14" x14ac:dyDescent="0.15">
      <c r="B1207" s="212"/>
      <c r="C1207" s="212"/>
      <c r="D1207" s="212"/>
      <c r="E1207" s="212"/>
      <c r="N1207" s="212">
        <v>0</v>
      </c>
    </row>
    <row r="1208" spans="2:14" x14ac:dyDescent="0.15">
      <c r="B1208" s="212"/>
      <c r="C1208" s="212"/>
      <c r="D1208" s="212"/>
      <c r="E1208" s="212"/>
      <c r="N1208" s="212">
        <v>0</v>
      </c>
    </row>
    <row r="1209" spans="2:14" x14ac:dyDescent="0.15">
      <c r="B1209" s="212"/>
      <c r="C1209" s="212"/>
      <c r="D1209" s="212"/>
      <c r="E1209" s="212"/>
      <c r="N1209" s="212">
        <v>0</v>
      </c>
    </row>
    <row r="1210" spans="2:14" x14ac:dyDescent="0.15">
      <c r="B1210" s="212"/>
      <c r="C1210" s="212"/>
      <c r="D1210" s="212"/>
      <c r="E1210" s="212"/>
      <c r="N1210" s="212">
        <v>0</v>
      </c>
    </row>
    <row r="1211" spans="2:14" x14ac:dyDescent="0.15">
      <c r="B1211" s="212"/>
      <c r="C1211" s="212"/>
      <c r="D1211" s="212"/>
      <c r="E1211" s="212"/>
      <c r="N1211" s="212">
        <v>0</v>
      </c>
    </row>
    <row r="1212" spans="2:14" x14ac:dyDescent="0.15">
      <c r="B1212" s="212"/>
      <c r="C1212" s="212"/>
      <c r="D1212" s="212"/>
      <c r="E1212" s="212"/>
      <c r="N1212" s="212">
        <v>0</v>
      </c>
    </row>
    <row r="1213" spans="2:14" x14ac:dyDescent="0.15">
      <c r="B1213" s="212"/>
      <c r="C1213" s="212"/>
      <c r="D1213" s="212"/>
      <c r="E1213" s="212"/>
      <c r="N1213" s="212">
        <v>0</v>
      </c>
    </row>
    <row r="1214" spans="2:14" x14ac:dyDescent="0.15">
      <c r="B1214" s="212"/>
      <c r="C1214" s="212"/>
      <c r="D1214" s="212"/>
      <c r="E1214" s="212"/>
      <c r="N1214" s="212">
        <v>0</v>
      </c>
    </row>
    <row r="1215" spans="2:14" x14ac:dyDescent="0.15">
      <c r="B1215" s="212"/>
      <c r="C1215" s="212"/>
      <c r="D1215" s="212"/>
      <c r="E1215" s="212"/>
      <c r="N1215" s="212">
        <v>0</v>
      </c>
    </row>
    <row r="1216" spans="2:14" x14ac:dyDescent="0.15">
      <c r="B1216" s="212"/>
      <c r="C1216" s="212"/>
      <c r="D1216" s="212"/>
      <c r="E1216" s="212"/>
      <c r="N1216" s="212">
        <v>0</v>
      </c>
    </row>
    <row r="1217" spans="2:14" x14ac:dyDescent="0.15">
      <c r="B1217" s="212"/>
      <c r="C1217" s="212"/>
      <c r="D1217" s="212"/>
      <c r="E1217" s="212"/>
      <c r="N1217" s="212">
        <v>0</v>
      </c>
    </row>
    <row r="1218" spans="2:14" x14ac:dyDescent="0.15">
      <c r="B1218" s="212"/>
      <c r="C1218" s="212"/>
      <c r="D1218" s="212"/>
      <c r="E1218" s="212"/>
      <c r="N1218" s="212">
        <v>0</v>
      </c>
    </row>
    <row r="1219" spans="2:14" x14ac:dyDescent="0.15">
      <c r="B1219" s="212"/>
      <c r="C1219" s="212"/>
      <c r="D1219" s="212"/>
      <c r="E1219" s="212"/>
      <c r="N1219" s="212">
        <v>0</v>
      </c>
    </row>
    <row r="1220" spans="2:14" x14ac:dyDescent="0.15">
      <c r="B1220" s="212"/>
      <c r="C1220" s="212"/>
      <c r="D1220" s="212"/>
      <c r="E1220" s="212"/>
      <c r="N1220" s="212">
        <v>0</v>
      </c>
    </row>
    <row r="1221" spans="2:14" x14ac:dyDescent="0.15">
      <c r="B1221" s="212"/>
      <c r="C1221" s="212"/>
      <c r="D1221" s="212"/>
      <c r="E1221" s="212"/>
      <c r="N1221" s="212">
        <v>0</v>
      </c>
    </row>
    <row r="1222" spans="2:14" x14ac:dyDescent="0.15">
      <c r="B1222" s="212"/>
      <c r="C1222" s="212"/>
      <c r="D1222" s="212"/>
      <c r="E1222" s="212"/>
      <c r="N1222" s="212">
        <v>0</v>
      </c>
    </row>
    <row r="1223" spans="2:14" x14ac:dyDescent="0.15">
      <c r="B1223" s="212"/>
      <c r="C1223" s="212"/>
      <c r="D1223" s="212"/>
      <c r="E1223" s="212"/>
      <c r="N1223" s="212">
        <v>0</v>
      </c>
    </row>
    <row r="1224" spans="2:14" x14ac:dyDescent="0.15">
      <c r="B1224" s="212"/>
      <c r="C1224" s="212"/>
      <c r="D1224" s="212"/>
      <c r="E1224" s="212"/>
      <c r="N1224" s="212">
        <v>0</v>
      </c>
    </row>
    <row r="1225" spans="2:14" x14ac:dyDescent="0.15">
      <c r="B1225" s="212"/>
      <c r="C1225" s="212"/>
      <c r="D1225" s="212"/>
      <c r="E1225" s="212"/>
      <c r="N1225" s="212">
        <v>0</v>
      </c>
    </row>
    <row r="1226" spans="2:14" x14ac:dyDescent="0.15">
      <c r="B1226" s="212"/>
      <c r="C1226" s="212"/>
      <c r="D1226" s="212"/>
      <c r="E1226" s="212"/>
      <c r="N1226" s="212">
        <v>0</v>
      </c>
    </row>
    <row r="1227" spans="2:14" x14ac:dyDescent="0.15">
      <c r="B1227" s="212"/>
      <c r="C1227" s="212"/>
      <c r="D1227" s="212"/>
      <c r="E1227" s="212"/>
      <c r="N1227" s="212">
        <v>0</v>
      </c>
    </row>
    <row r="1228" spans="2:14" x14ac:dyDescent="0.15">
      <c r="B1228" s="212"/>
      <c r="C1228" s="212"/>
      <c r="D1228" s="212"/>
      <c r="E1228" s="212"/>
      <c r="N1228" s="212">
        <v>0</v>
      </c>
    </row>
    <row r="1229" spans="2:14" x14ac:dyDescent="0.15">
      <c r="B1229" s="212"/>
      <c r="C1229" s="212"/>
      <c r="D1229" s="212"/>
      <c r="E1229" s="212"/>
      <c r="N1229" s="212">
        <v>0</v>
      </c>
    </row>
    <row r="1230" spans="2:14" x14ac:dyDescent="0.15">
      <c r="B1230" s="212"/>
      <c r="C1230" s="212"/>
      <c r="D1230" s="212"/>
      <c r="E1230" s="212"/>
      <c r="N1230" s="212">
        <v>0</v>
      </c>
    </row>
    <row r="1231" spans="2:14" x14ac:dyDescent="0.15">
      <c r="B1231" s="212"/>
      <c r="C1231" s="212"/>
      <c r="D1231" s="212"/>
      <c r="E1231" s="212"/>
      <c r="N1231" s="212">
        <v>0</v>
      </c>
    </row>
    <row r="1232" spans="2:14" x14ac:dyDescent="0.15">
      <c r="B1232" s="212"/>
      <c r="C1232" s="212"/>
      <c r="D1232" s="212"/>
      <c r="E1232" s="212"/>
      <c r="N1232" s="212">
        <v>0</v>
      </c>
    </row>
    <row r="1233" spans="2:14" x14ac:dyDescent="0.15">
      <c r="B1233" s="212"/>
      <c r="C1233" s="212"/>
      <c r="D1233" s="212"/>
      <c r="E1233" s="212"/>
      <c r="N1233" s="212">
        <v>0</v>
      </c>
    </row>
    <row r="1234" spans="2:14" x14ac:dyDescent="0.15">
      <c r="B1234" s="212"/>
      <c r="C1234" s="212"/>
      <c r="D1234" s="212"/>
      <c r="E1234" s="212"/>
      <c r="N1234" s="212">
        <v>0</v>
      </c>
    </row>
    <row r="1235" spans="2:14" x14ac:dyDescent="0.15">
      <c r="B1235" s="212"/>
      <c r="C1235" s="212"/>
      <c r="D1235" s="212"/>
      <c r="E1235" s="212"/>
      <c r="N1235" s="212">
        <v>0</v>
      </c>
    </row>
    <row r="1236" spans="2:14" x14ac:dyDescent="0.15">
      <c r="B1236" s="212"/>
      <c r="C1236" s="212"/>
      <c r="D1236" s="212"/>
      <c r="E1236" s="212"/>
      <c r="N1236" s="212">
        <v>0</v>
      </c>
    </row>
    <row r="1237" spans="2:14" x14ac:dyDescent="0.15">
      <c r="B1237" s="212"/>
      <c r="C1237" s="212"/>
      <c r="D1237" s="212"/>
      <c r="E1237" s="212"/>
      <c r="N1237" s="212">
        <v>0</v>
      </c>
    </row>
    <row r="1238" spans="2:14" x14ac:dyDescent="0.15">
      <c r="B1238" s="212"/>
      <c r="C1238" s="212"/>
      <c r="D1238" s="212"/>
      <c r="E1238" s="212"/>
      <c r="N1238" s="212">
        <v>0</v>
      </c>
    </row>
    <row r="1239" spans="2:14" x14ac:dyDescent="0.15">
      <c r="B1239" s="212"/>
      <c r="C1239" s="212"/>
      <c r="D1239" s="212"/>
      <c r="E1239" s="212"/>
      <c r="N1239" s="212">
        <v>0</v>
      </c>
    </row>
    <row r="1240" spans="2:14" x14ac:dyDescent="0.15">
      <c r="B1240" s="212"/>
      <c r="C1240" s="212"/>
      <c r="D1240" s="212"/>
      <c r="E1240" s="212"/>
      <c r="N1240" s="212">
        <v>0</v>
      </c>
    </row>
    <row r="1241" spans="2:14" x14ac:dyDescent="0.15">
      <c r="B1241" s="212"/>
      <c r="C1241" s="212"/>
      <c r="D1241" s="212"/>
      <c r="E1241" s="212"/>
      <c r="N1241" s="212">
        <v>0</v>
      </c>
    </row>
    <row r="1242" spans="2:14" x14ac:dyDescent="0.15">
      <c r="B1242" s="212"/>
      <c r="C1242" s="212"/>
      <c r="D1242" s="212"/>
      <c r="E1242" s="212"/>
      <c r="N1242" s="212">
        <v>0</v>
      </c>
    </row>
    <row r="1243" spans="2:14" x14ac:dyDescent="0.15">
      <c r="B1243" s="212"/>
      <c r="C1243" s="212"/>
      <c r="D1243" s="212"/>
      <c r="E1243" s="212"/>
      <c r="N1243" s="212">
        <v>0</v>
      </c>
    </row>
    <row r="1244" spans="2:14" x14ac:dyDescent="0.15">
      <c r="B1244" s="212"/>
      <c r="C1244" s="212"/>
      <c r="D1244" s="212"/>
      <c r="E1244" s="212"/>
      <c r="N1244" s="212">
        <v>0</v>
      </c>
    </row>
    <row r="1245" spans="2:14" x14ac:dyDescent="0.15">
      <c r="B1245" s="212"/>
      <c r="C1245" s="212"/>
      <c r="D1245" s="212"/>
      <c r="E1245" s="212"/>
      <c r="N1245" s="212">
        <v>0</v>
      </c>
    </row>
    <row r="1246" spans="2:14" x14ac:dyDescent="0.15">
      <c r="B1246" s="212"/>
      <c r="C1246" s="212"/>
      <c r="D1246" s="212"/>
      <c r="E1246" s="212"/>
      <c r="N1246" s="212">
        <v>0</v>
      </c>
    </row>
    <row r="1247" spans="2:14" x14ac:dyDescent="0.15">
      <c r="B1247" s="212"/>
      <c r="C1247" s="212"/>
      <c r="D1247" s="212"/>
      <c r="E1247" s="212"/>
      <c r="N1247" s="212">
        <v>0</v>
      </c>
    </row>
    <row r="1248" spans="2:14" x14ac:dyDescent="0.15">
      <c r="B1248" s="212"/>
      <c r="C1248" s="212"/>
      <c r="D1248" s="212"/>
      <c r="E1248" s="212"/>
      <c r="N1248" s="212">
        <v>0</v>
      </c>
    </row>
    <row r="1249" spans="2:14" x14ac:dyDescent="0.15">
      <c r="B1249" s="212"/>
      <c r="C1249" s="212"/>
      <c r="D1249" s="212"/>
      <c r="E1249" s="212"/>
      <c r="N1249" s="212">
        <v>0</v>
      </c>
    </row>
    <row r="1250" spans="2:14" x14ac:dyDescent="0.15">
      <c r="B1250" s="212"/>
      <c r="C1250" s="212"/>
      <c r="D1250" s="212"/>
      <c r="E1250" s="212"/>
      <c r="N1250" s="212">
        <v>0</v>
      </c>
    </row>
    <row r="1251" spans="2:14" x14ac:dyDescent="0.15">
      <c r="B1251" s="212"/>
      <c r="C1251" s="212"/>
      <c r="D1251" s="212"/>
      <c r="E1251" s="212"/>
      <c r="N1251" s="212">
        <v>0</v>
      </c>
    </row>
    <row r="1252" spans="2:14" x14ac:dyDescent="0.15">
      <c r="B1252" s="212"/>
      <c r="C1252" s="212"/>
      <c r="D1252" s="212"/>
      <c r="E1252" s="212"/>
      <c r="N1252" s="212">
        <v>0</v>
      </c>
    </row>
    <row r="1253" spans="2:14" x14ac:dyDescent="0.15">
      <c r="B1253" s="212"/>
      <c r="C1253" s="212"/>
      <c r="D1253" s="212"/>
      <c r="E1253" s="212"/>
      <c r="N1253" s="212">
        <v>0</v>
      </c>
    </row>
    <row r="1254" spans="2:14" x14ac:dyDescent="0.15">
      <c r="B1254" s="212"/>
      <c r="C1254" s="212"/>
      <c r="D1254" s="212"/>
      <c r="E1254" s="212"/>
      <c r="N1254" s="212">
        <v>0</v>
      </c>
    </row>
    <row r="1255" spans="2:14" x14ac:dyDescent="0.15">
      <c r="B1255" s="212"/>
      <c r="C1255" s="212"/>
      <c r="D1255" s="212"/>
      <c r="E1255" s="212"/>
      <c r="N1255" s="212">
        <v>0</v>
      </c>
    </row>
    <row r="1256" spans="2:14" x14ac:dyDescent="0.15">
      <c r="B1256" s="212"/>
      <c r="C1256" s="212"/>
      <c r="D1256" s="212"/>
      <c r="E1256" s="212"/>
      <c r="N1256" s="212">
        <v>0</v>
      </c>
    </row>
    <row r="1257" spans="2:14" x14ac:dyDescent="0.15">
      <c r="B1257" s="212"/>
      <c r="C1257" s="212"/>
      <c r="D1257" s="212"/>
      <c r="E1257" s="212"/>
      <c r="N1257" s="212">
        <v>0</v>
      </c>
    </row>
    <row r="1258" spans="2:14" x14ac:dyDescent="0.15">
      <c r="B1258" s="212"/>
      <c r="C1258" s="212"/>
      <c r="D1258" s="212"/>
      <c r="E1258" s="212"/>
      <c r="N1258" s="212">
        <v>0</v>
      </c>
    </row>
    <row r="1259" spans="2:14" x14ac:dyDescent="0.15">
      <c r="B1259" s="212"/>
      <c r="C1259" s="212"/>
      <c r="D1259" s="212"/>
      <c r="E1259" s="212"/>
      <c r="N1259" s="212">
        <v>0</v>
      </c>
    </row>
    <row r="1260" spans="2:14" x14ac:dyDescent="0.15">
      <c r="B1260" s="212"/>
      <c r="C1260" s="212"/>
      <c r="D1260" s="212"/>
      <c r="E1260" s="212"/>
      <c r="N1260" s="212">
        <v>0</v>
      </c>
    </row>
    <row r="1261" spans="2:14" x14ac:dyDescent="0.15">
      <c r="B1261" s="212"/>
      <c r="C1261" s="212"/>
      <c r="D1261" s="212"/>
      <c r="E1261" s="212"/>
      <c r="N1261" s="212">
        <v>0</v>
      </c>
    </row>
    <row r="1262" spans="2:14" x14ac:dyDescent="0.15">
      <c r="B1262" s="212"/>
      <c r="C1262" s="212"/>
      <c r="D1262" s="212"/>
      <c r="E1262" s="212"/>
      <c r="N1262" s="212">
        <v>0</v>
      </c>
    </row>
    <row r="1263" spans="2:14" x14ac:dyDescent="0.15">
      <c r="B1263" s="212"/>
      <c r="C1263" s="212"/>
      <c r="D1263" s="212"/>
      <c r="E1263" s="212"/>
      <c r="N1263" s="212">
        <v>0</v>
      </c>
    </row>
    <row r="1264" spans="2:14" x14ac:dyDescent="0.15">
      <c r="B1264" s="212"/>
      <c r="C1264" s="212"/>
      <c r="D1264" s="212"/>
      <c r="E1264" s="212"/>
      <c r="N1264" s="212">
        <v>0</v>
      </c>
    </row>
    <row r="1265" spans="2:14" x14ac:dyDescent="0.15">
      <c r="B1265" s="212"/>
      <c r="C1265" s="212"/>
      <c r="D1265" s="212"/>
      <c r="E1265" s="212"/>
      <c r="N1265" s="212">
        <v>0</v>
      </c>
    </row>
    <row r="1266" spans="2:14" x14ac:dyDescent="0.15">
      <c r="B1266" s="212"/>
      <c r="C1266" s="212"/>
      <c r="D1266" s="212"/>
      <c r="E1266" s="212"/>
      <c r="N1266" s="212">
        <v>0</v>
      </c>
    </row>
    <row r="1267" spans="2:14" x14ac:dyDescent="0.15">
      <c r="B1267" s="212"/>
      <c r="C1267" s="212"/>
      <c r="D1267" s="212"/>
      <c r="E1267" s="212"/>
      <c r="N1267" s="212">
        <v>0</v>
      </c>
    </row>
    <row r="1268" spans="2:14" x14ac:dyDescent="0.15">
      <c r="B1268" s="212"/>
      <c r="C1268" s="212"/>
      <c r="D1268" s="212"/>
      <c r="E1268" s="212"/>
      <c r="N1268" s="212">
        <v>0</v>
      </c>
    </row>
    <row r="1269" spans="2:14" x14ac:dyDescent="0.15">
      <c r="B1269" s="212"/>
      <c r="C1269" s="212"/>
      <c r="D1269" s="212"/>
      <c r="E1269" s="212"/>
      <c r="N1269" s="212">
        <v>0</v>
      </c>
    </row>
    <row r="1270" spans="2:14" x14ac:dyDescent="0.15">
      <c r="B1270" s="212"/>
      <c r="C1270" s="212"/>
      <c r="D1270" s="212"/>
      <c r="E1270" s="212"/>
      <c r="N1270" s="212">
        <v>0</v>
      </c>
    </row>
    <row r="1271" spans="2:14" x14ac:dyDescent="0.15">
      <c r="B1271" s="212"/>
      <c r="C1271" s="212"/>
      <c r="D1271" s="212"/>
      <c r="E1271" s="212"/>
      <c r="N1271" s="212">
        <v>0</v>
      </c>
    </row>
    <row r="1272" spans="2:14" x14ac:dyDescent="0.15">
      <c r="B1272" s="212"/>
      <c r="C1272" s="212"/>
      <c r="D1272" s="212"/>
      <c r="E1272" s="212"/>
      <c r="N1272" s="212">
        <v>0</v>
      </c>
    </row>
    <row r="1273" spans="2:14" x14ac:dyDescent="0.15">
      <c r="B1273" s="212"/>
      <c r="C1273" s="212"/>
      <c r="D1273" s="212"/>
      <c r="E1273" s="212"/>
      <c r="N1273" s="212">
        <v>0</v>
      </c>
    </row>
    <row r="1274" spans="2:14" x14ac:dyDescent="0.15">
      <c r="B1274" s="212"/>
      <c r="C1274" s="212"/>
      <c r="D1274" s="212"/>
      <c r="E1274" s="212"/>
      <c r="N1274" s="212">
        <v>0</v>
      </c>
    </row>
    <row r="1275" spans="2:14" x14ac:dyDescent="0.15">
      <c r="B1275" s="212"/>
      <c r="C1275" s="212"/>
      <c r="D1275" s="212"/>
      <c r="E1275" s="212"/>
      <c r="N1275" s="212">
        <v>0</v>
      </c>
    </row>
    <row r="1276" spans="2:14" x14ac:dyDescent="0.15">
      <c r="B1276" s="212"/>
      <c r="C1276" s="212"/>
      <c r="D1276" s="212"/>
      <c r="E1276" s="212"/>
      <c r="N1276" s="212">
        <v>0</v>
      </c>
    </row>
    <row r="1277" spans="2:14" x14ac:dyDescent="0.15">
      <c r="B1277" s="212"/>
      <c r="C1277" s="212"/>
      <c r="D1277" s="212"/>
      <c r="E1277" s="212"/>
    </row>
    <row r="1278" spans="2:14" x14ac:dyDescent="0.15">
      <c r="B1278" s="212"/>
      <c r="C1278" s="212"/>
      <c r="D1278" s="212"/>
      <c r="E1278" s="212"/>
    </row>
    <row r="1279" spans="2:14" x14ac:dyDescent="0.15">
      <c r="B1279" s="212"/>
      <c r="C1279" s="212"/>
      <c r="D1279" s="212"/>
      <c r="E1279" s="212"/>
    </row>
    <row r="1280" spans="2:14" x14ac:dyDescent="0.15">
      <c r="B1280" s="212"/>
      <c r="C1280" s="212"/>
      <c r="D1280" s="212"/>
      <c r="E1280" s="212"/>
    </row>
    <row r="1281" spans="2:5" x14ac:dyDescent="0.15">
      <c r="B1281" s="212"/>
      <c r="C1281" s="212"/>
      <c r="D1281" s="212"/>
      <c r="E1281" s="212"/>
    </row>
    <row r="1282" spans="2:5" x14ac:dyDescent="0.15">
      <c r="B1282" s="212"/>
      <c r="C1282" s="212"/>
      <c r="D1282" s="212"/>
      <c r="E1282" s="212"/>
    </row>
    <row r="1283" spans="2:5" x14ac:dyDescent="0.15">
      <c r="B1283" s="212"/>
      <c r="C1283" s="212"/>
      <c r="D1283" s="212"/>
      <c r="E1283" s="212"/>
    </row>
    <row r="1284" spans="2:5" x14ac:dyDescent="0.15">
      <c r="B1284" s="212"/>
      <c r="C1284" s="212"/>
      <c r="D1284" s="212"/>
      <c r="E1284" s="212"/>
    </row>
    <row r="1285" spans="2:5" x14ac:dyDescent="0.15">
      <c r="B1285" s="212"/>
      <c r="C1285" s="212"/>
      <c r="D1285" s="212"/>
      <c r="E1285" s="212"/>
    </row>
    <row r="1286" spans="2:5" x14ac:dyDescent="0.15">
      <c r="B1286" s="212"/>
      <c r="C1286" s="212"/>
      <c r="D1286" s="212"/>
      <c r="E1286" s="212"/>
    </row>
    <row r="1287" spans="2:5" x14ac:dyDescent="0.15">
      <c r="B1287" s="212"/>
      <c r="C1287" s="212"/>
      <c r="D1287" s="212"/>
      <c r="E1287" s="212"/>
    </row>
    <row r="1288" spans="2:5" x14ac:dyDescent="0.15">
      <c r="B1288" s="212"/>
      <c r="C1288" s="212"/>
      <c r="D1288" s="212"/>
      <c r="E1288" s="212"/>
    </row>
    <row r="1289" spans="2:5" x14ac:dyDescent="0.15">
      <c r="B1289" s="212"/>
      <c r="C1289" s="212"/>
      <c r="D1289" s="212"/>
      <c r="E1289" s="212"/>
    </row>
    <row r="1290" spans="2:5" x14ac:dyDescent="0.15">
      <c r="B1290" s="212"/>
      <c r="C1290" s="212"/>
      <c r="D1290" s="212"/>
      <c r="E1290" s="212"/>
    </row>
    <row r="1291" spans="2:5" x14ac:dyDescent="0.15">
      <c r="B1291" s="212"/>
      <c r="C1291" s="212"/>
      <c r="D1291" s="212"/>
      <c r="E1291" s="212"/>
    </row>
    <row r="1292" spans="2:5" x14ac:dyDescent="0.15">
      <c r="B1292" s="212"/>
      <c r="C1292" s="212"/>
      <c r="D1292" s="212"/>
      <c r="E1292" s="212"/>
    </row>
    <row r="1293" spans="2:5" x14ac:dyDescent="0.15">
      <c r="B1293" s="212"/>
      <c r="C1293" s="212"/>
      <c r="D1293" s="212"/>
      <c r="E1293" s="212"/>
    </row>
    <row r="1294" spans="2:5" x14ac:dyDescent="0.15">
      <c r="B1294" s="212"/>
      <c r="C1294" s="212"/>
      <c r="D1294" s="212"/>
      <c r="E1294" s="212"/>
    </row>
    <row r="1295" spans="2:5" x14ac:dyDescent="0.15">
      <c r="B1295" s="212"/>
      <c r="C1295" s="212"/>
      <c r="D1295" s="212"/>
      <c r="E1295" s="212"/>
    </row>
    <row r="1296" spans="2:5" x14ac:dyDescent="0.15">
      <c r="B1296" s="212"/>
      <c r="C1296" s="212"/>
      <c r="D1296" s="212"/>
      <c r="E1296" s="212"/>
    </row>
    <row r="1297" spans="2:5" x14ac:dyDescent="0.15">
      <c r="B1297" s="212"/>
      <c r="C1297" s="212"/>
      <c r="D1297" s="212"/>
      <c r="E1297" s="212"/>
    </row>
    <row r="1298" spans="2:5" x14ac:dyDescent="0.15">
      <c r="B1298" s="212"/>
      <c r="C1298" s="212"/>
      <c r="D1298" s="212"/>
      <c r="E1298" s="212"/>
    </row>
    <row r="1299" spans="2:5" x14ac:dyDescent="0.15">
      <c r="B1299" s="212"/>
      <c r="C1299" s="212"/>
      <c r="D1299" s="212"/>
      <c r="E1299" s="212"/>
    </row>
    <row r="1300" spans="2:5" x14ac:dyDescent="0.15">
      <c r="B1300" s="212"/>
      <c r="C1300" s="212"/>
      <c r="D1300" s="212"/>
      <c r="E1300" s="212"/>
    </row>
    <row r="1301" spans="2:5" x14ac:dyDescent="0.15">
      <c r="B1301" s="212"/>
      <c r="C1301" s="212"/>
      <c r="D1301" s="212"/>
      <c r="E1301" s="212"/>
    </row>
    <row r="1302" spans="2:5" x14ac:dyDescent="0.15">
      <c r="B1302" s="212"/>
      <c r="C1302" s="212"/>
      <c r="D1302" s="212"/>
      <c r="E1302" s="212"/>
    </row>
    <row r="1303" spans="2:5" x14ac:dyDescent="0.15">
      <c r="B1303" s="212"/>
      <c r="C1303" s="212"/>
      <c r="D1303" s="212"/>
      <c r="E1303" s="212"/>
    </row>
    <row r="1304" spans="2:5" x14ac:dyDescent="0.15">
      <c r="B1304" s="212"/>
      <c r="C1304" s="212"/>
      <c r="D1304" s="212"/>
      <c r="E1304" s="212"/>
    </row>
    <row r="1305" spans="2:5" x14ac:dyDescent="0.15">
      <c r="B1305" s="212"/>
      <c r="C1305" s="212"/>
      <c r="D1305" s="212"/>
      <c r="E1305" s="212"/>
    </row>
    <row r="1306" spans="2:5" x14ac:dyDescent="0.15">
      <c r="B1306" s="212"/>
      <c r="C1306" s="212"/>
      <c r="D1306" s="212"/>
      <c r="E1306" s="212"/>
    </row>
    <row r="1307" spans="2:5" x14ac:dyDescent="0.15">
      <c r="B1307" s="212"/>
      <c r="C1307" s="212"/>
      <c r="D1307" s="212"/>
      <c r="E1307" s="212"/>
    </row>
    <row r="1308" spans="2:5" x14ac:dyDescent="0.15">
      <c r="B1308" s="212"/>
      <c r="C1308" s="212"/>
      <c r="D1308" s="212"/>
      <c r="E1308" s="212"/>
    </row>
    <row r="1309" spans="2:5" x14ac:dyDescent="0.15">
      <c r="B1309" s="212"/>
      <c r="C1309" s="212"/>
      <c r="D1309" s="212"/>
      <c r="E1309" s="212"/>
    </row>
    <row r="1310" spans="2:5" x14ac:dyDescent="0.15">
      <c r="B1310" s="212"/>
      <c r="C1310" s="212"/>
      <c r="D1310" s="212"/>
      <c r="E1310" s="212"/>
    </row>
    <row r="1311" spans="2:5" x14ac:dyDescent="0.15">
      <c r="B1311" s="212"/>
      <c r="C1311" s="212"/>
      <c r="D1311" s="212"/>
      <c r="E1311" s="212"/>
    </row>
    <row r="1312" spans="2:5" x14ac:dyDescent="0.15">
      <c r="B1312" s="212"/>
      <c r="C1312" s="212"/>
      <c r="D1312" s="212"/>
      <c r="E1312" s="212"/>
    </row>
    <row r="1313" spans="2:5" x14ac:dyDescent="0.15">
      <c r="B1313" s="212"/>
      <c r="C1313" s="212"/>
      <c r="D1313" s="212"/>
      <c r="E1313" s="212"/>
    </row>
    <row r="1314" spans="2:5" x14ac:dyDescent="0.15">
      <c r="B1314" s="212"/>
      <c r="C1314" s="212"/>
      <c r="D1314" s="212"/>
      <c r="E1314" s="212"/>
    </row>
    <row r="1315" spans="2:5" x14ac:dyDescent="0.15">
      <c r="B1315" s="212"/>
      <c r="C1315" s="212"/>
      <c r="D1315" s="212"/>
      <c r="E1315" s="212"/>
    </row>
    <row r="1316" spans="2:5" x14ac:dyDescent="0.15">
      <c r="B1316" s="212"/>
      <c r="C1316" s="212"/>
      <c r="D1316" s="212"/>
      <c r="E1316" s="212"/>
    </row>
    <row r="1317" spans="2:5" x14ac:dyDescent="0.15">
      <c r="B1317" s="212"/>
      <c r="C1317" s="212"/>
      <c r="D1317" s="212"/>
      <c r="E1317" s="212"/>
    </row>
    <row r="1318" spans="2:5" x14ac:dyDescent="0.15">
      <c r="B1318" s="212"/>
      <c r="C1318" s="212"/>
      <c r="D1318" s="212"/>
      <c r="E1318" s="212"/>
    </row>
    <row r="1319" spans="2:5" x14ac:dyDescent="0.15">
      <c r="B1319" s="212"/>
      <c r="C1319" s="212"/>
      <c r="D1319" s="212"/>
      <c r="E1319" s="212"/>
    </row>
    <row r="1320" spans="2:5" x14ac:dyDescent="0.15">
      <c r="B1320" s="212"/>
      <c r="C1320" s="212"/>
      <c r="D1320" s="212"/>
      <c r="E1320" s="212"/>
    </row>
    <row r="1321" spans="2:5" x14ac:dyDescent="0.15">
      <c r="B1321" s="212"/>
      <c r="C1321" s="212"/>
      <c r="D1321" s="212"/>
      <c r="E1321" s="212"/>
    </row>
    <row r="1322" spans="2:5" x14ac:dyDescent="0.15">
      <c r="B1322" s="212"/>
      <c r="C1322" s="212"/>
      <c r="D1322" s="212"/>
      <c r="E1322" s="212"/>
    </row>
    <row r="1323" spans="2:5" x14ac:dyDescent="0.15">
      <c r="B1323" s="212"/>
      <c r="C1323" s="212"/>
      <c r="D1323" s="212"/>
      <c r="E1323" s="212"/>
    </row>
    <row r="1324" spans="2:5" x14ac:dyDescent="0.15">
      <c r="B1324" s="212"/>
      <c r="C1324" s="212"/>
      <c r="D1324" s="212"/>
      <c r="E1324" s="212"/>
    </row>
    <row r="1325" spans="2:5" x14ac:dyDescent="0.15">
      <c r="B1325" s="212"/>
      <c r="C1325" s="212"/>
      <c r="D1325" s="212"/>
      <c r="E1325" s="212"/>
    </row>
    <row r="1326" spans="2:5" x14ac:dyDescent="0.15">
      <c r="B1326" s="212"/>
      <c r="C1326" s="212"/>
      <c r="D1326" s="212"/>
      <c r="E1326" s="212"/>
    </row>
    <row r="1327" spans="2:5" x14ac:dyDescent="0.15">
      <c r="B1327" s="212"/>
      <c r="C1327" s="212"/>
      <c r="D1327" s="212"/>
      <c r="E1327" s="212"/>
    </row>
    <row r="1328" spans="2:5" x14ac:dyDescent="0.15">
      <c r="B1328" s="212"/>
      <c r="C1328" s="212"/>
      <c r="D1328" s="212"/>
      <c r="E1328" s="212"/>
    </row>
    <row r="1329" spans="2:5" x14ac:dyDescent="0.15">
      <c r="B1329" s="212"/>
      <c r="C1329" s="212"/>
      <c r="D1329" s="212"/>
      <c r="E1329" s="212"/>
    </row>
    <row r="1330" spans="2:5" x14ac:dyDescent="0.15">
      <c r="B1330" s="212"/>
      <c r="C1330" s="212"/>
      <c r="D1330" s="212"/>
      <c r="E1330" s="212"/>
    </row>
    <row r="1331" spans="2:5" x14ac:dyDescent="0.15">
      <c r="B1331" s="212"/>
      <c r="C1331" s="212"/>
      <c r="D1331" s="212"/>
      <c r="E1331" s="212"/>
    </row>
    <row r="1332" spans="2:5" x14ac:dyDescent="0.15">
      <c r="B1332" s="212"/>
      <c r="C1332" s="212"/>
      <c r="D1332" s="212"/>
      <c r="E1332" s="212"/>
    </row>
    <row r="1333" spans="2:5" x14ac:dyDescent="0.15">
      <c r="B1333" s="212"/>
      <c r="C1333" s="212"/>
      <c r="D1333" s="212"/>
      <c r="E1333" s="212"/>
    </row>
    <row r="1334" spans="2:5" x14ac:dyDescent="0.15">
      <c r="B1334" s="212"/>
      <c r="C1334" s="212"/>
      <c r="D1334" s="212"/>
      <c r="E1334" s="212"/>
    </row>
    <row r="1335" spans="2:5" x14ac:dyDescent="0.15">
      <c r="B1335" s="212"/>
      <c r="C1335" s="212"/>
      <c r="D1335" s="212"/>
      <c r="E1335" s="212"/>
    </row>
    <row r="1336" spans="2:5" x14ac:dyDescent="0.15">
      <c r="B1336" s="212"/>
      <c r="C1336" s="212"/>
      <c r="D1336" s="212"/>
      <c r="E1336" s="212"/>
    </row>
    <row r="1337" spans="2:5" x14ac:dyDescent="0.15">
      <c r="B1337" s="212"/>
      <c r="C1337" s="212"/>
      <c r="D1337" s="212"/>
      <c r="E1337" s="212"/>
    </row>
    <row r="1338" spans="2:5" x14ac:dyDescent="0.15">
      <c r="B1338" s="212"/>
      <c r="C1338" s="212"/>
      <c r="D1338" s="212"/>
      <c r="E1338" s="212"/>
    </row>
    <row r="1339" spans="2:5" x14ac:dyDescent="0.15">
      <c r="B1339" s="212"/>
      <c r="C1339" s="212"/>
      <c r="D1339" s="212"/>
      <c r="E1339" s="212"/>
    </row>
    <row r="1340" spans="2:5" x14ac:dyDescent="0.15">
      <c r="B1340" s="212"/>
      <c r="C1340" s="212"/>
      <c r="D1340" s="212"/>
      <c r="E1340" s="212"/>
    </row>
    <row r="1341" spans="2:5" x14ac:dyDescent="0.15">
      <c r="B1341" s="212"/>
      <c r="C1341" s="212"/>
      <c r="D1341" s="212"/>
      <c r="E1341" s="212"/>
    </row>
    <row r="1342" spans="2:5" x14ac:dyDescent="0.15">
      <c r="B1342" s="212"/>
      <c r="C1342" s="212"/>
      <c r="D1342" s="212"/>
      <c r="E1342" s="212"/>
    </row>
    <row r="1343" spans="2:5" x14ac:dyDescent="0.15">
      <c r="B1343" s="212"/>
      <c r="C1343" s="212"/>
      <c r="D1343" s="212"/>
      <c r="E1343" s="212"/>
    </row>
    <row r="1344" spans="2:5" x14ac:dyDescent="0.15">
      <c r="B1344" s="212"/>
      <c r="C1344" s="212"/>
      <c r="D1344" s="212"/>
      <c r="E1344" s="212"/>
    </row>
    <row r="1345" spans="2:5" x14ac:dyDescent="0.15">
      <c r="B1345" s="212"/>
      <c r="C1345" s="212"/>
      <c r="D1345" s="212"/>
      <c r="E1345" s="212"/>
    </row>
    <row r="1346" spans="2:5" x14ac:dyDescent="0.15">
      <c r="B1346" s="212"/>
      <c r="C1346" s="212"/>
      <c r="D1346" s="212"/>
      <c r="E1346" s="212"/>
    </row>
    <row r="1347" spans="2:5" x14ac:dyDescent="0.15">
      <c r="B1347" s="212"/>
      <c r="C1347" s="212"/>
      <c r="D1347" s="212"/>
      <c r="E1347" s="212"/>
    </row>
    <row r="1348" spans="2:5" x14ac:dyDescent="0.15">
      <c r="B1348" s="212"/>
      <c r="C1348" s="212"/>
      <c r="D1348" s="212"/>
      <c r="E1348" s="212"/>
    </row>
    <row r="1349" spans="2:5" x14ac:dyDescent="0.15">
      <c r="B1349" s="212"/>
      <c r="C1349" s="212"/>
      <c r="D1349" s="212"/>
      <c r="E1349" s="212"/>
    </row>
    <row r="1350" spans="2:5" x14ac:dyDescent="0.15">
      <c r="B1350" s="212"/>
      <c r="C1350" s="212"/>
      <c r="D1350" s="212"/>
      <c r="E1350" s="212"/>
    </row>
    <row r="1351" spans="2:5" x14ac:dyDescent="0.15">
      <c r="B1351" s="212"/>
      <c r="C1351" s="212"/>
      <c r="D1351" s="212"/>
      <c r="E1351" s="212"/>
    </row>
    <row r="1352" spans="2:5" x14ac:dyDescent="0.15">
      <c r="B1352" s="212"/>
      <c r="C1352" s="212"/>
      <c r="D1352" s="212"/>
      <c r="E1352" s="212"/>
    </row>
    <row r="1353" spans="2:5" x14ac:dyDescent="0.15">
      <c r="B1353" s="212"/>
      <c r="C1353" s="212"/>
      <c r="D1353" s="212"/>
      <c r="E1353" s="212"/>
    </row>
    <row r="1354" spans="2:5" x14ac:dyDescent="0.15">
      <c r="B1354" s="212"/>
      <c r="C1354" s="212"/>
      <c r="D1354" s="212"/>
      <c r="E1354" s="212"/>
    </row>
    <row r="1355" spans="2:5" x14ac:dyDescent="0.15">
      <c r="B1355" s="212"/>
      <c r="C1355" s="212"/>
      <c r="D1355" s="212"/>
      <c r="E1355" s="212"/>
    </row>
    <row r="1356" spans="2:5" x14ac:dyDescent="0.15">
      <c r="B1356" s="212"/>
      <c r="C1356" s="212"/>
      <c r="D1356" s="212"/>
      <c r="E1356" s="212"/>
    </row>
    <row r="1357" spans="2:5" x14ac:dyDescent="0.15">
      <c r="B1357" s="212"/>
      <c r="C1357" s="212"/>
      <c r="D1357" s="212"/>
      <c r="E1357" s="212"/>
    </row>
    <row r="1358" spans="2:5" x14ac:dyDescent="0.15">
      <c r="B1358" s="212"/>
      <c r="C1358" s="212"/>
      <c r="D1358" s="212"/>
      <c r="E1358" s="212"/>
    </row>
    <row r="1359" spans="2:5" x14ac:dyDescent="0.15">
      <c r="B1359" s="212"/>
      <c r="C1359" s="212"/>
      <c r="D1359" s="212"/>
      <c r="E1359" s="212"/>
    </row>
    <row r="1360" spans="2:5" x14ac:dyDescent="0.15">
      <c r="B1360" s="212"/>
      <c r="C1360" s="212"/>
      <c r="D1360" s="212"/>
      <c r="E1360" s="212"/>
    </row>
    <row r="1361" spans="2:5" x14ac:dyDescent="0.15">
      <c r="B1361" s="212"/>
      <c r="C1361" s="212"/>
      <c r="D1361" s="212"/>
      <c r="E1361" s="212"/>
    </row>
    <row r="1362" spans="2:5" x14ac:dyDescent="0.15">
      <c r="B1362" s="212"/>
      <c r="C1362" s="212"/>
      <c r="D1362" s="212"/>
      <c r="E1362" s="212"/>
    </row>
    <row r="1363" spans="2:5" x14ac:dyDescent="0.15">
      <c r="B1363" s="212"/>
      <c r="C1363" s="212"/>
      <c r="D1363" s="212"/>
      <c r="E1363" s="212"/>
    </row>
    <row r="1364" spans="2:5" x14ac:dyDescent="0.15">
      <c r="B1364" s="212"/>
      <c r="C1364" s="212"/>
      <c r="D1364" s="212"/>
      <c r="E1364" s="212"/>
    </row>
    <row r="1365" spans="2:5" x14ac:dyDescent="0.15">
      <c r="B1365" s="212"/>
      <c r="C1365" s="212"/>
      <c r="D1365" s="212"/>
      <c r="E1365" s="212"/>
    </row>
    <row r="1366" spans="2:5" x14ac:dyDescent="0.15">
      <c r="B1366" s="212"/>
      <c r="C1366" s="212"/>
      <c r="D1366" s="212"/>
      <c r="E1366" s="212"/>
    </row>
    <row r="1367" spans="2:5" x14ac:dyDescent="0.15">
      <c r="B1367" s="212"/>
      <c r="C1367" s="212"/>
      <c r="D1367" s="212"/>
      <c r="E1367" s="212"/>
    </row>
    <row r="1368" spans="2:5" x14ac:dyDescent="0.15">
      <c r="B1368" s="212"/>
      <c r="C1368" s="212"/>
      <c r="D1368" s="212"/>
      <c r="E1368" s="212"/>
    </row>
    <row r="1369" spans="2:5" x14ac:dyDescent="0.15">
      <c r="B1369" s="212"/>
      <c r="C1369" s="212"/>
      <c r="D1369" s="212"/>
      <c r="E1369" s="212"/>
    </row>
    <row r="1370" spans="2:5" x14ac:dyDescent="0.15">
      <c r="B1370" s="212"/>
      <c r="C1370" s="212"/>
      <c r="D1370" s="212"/>
      <c r="E1370" s="212"/>
    </row>
    <row r="1371" spans="2:5" x14ac:dyDescent="0.15">
      <c r="B1371" s="212"/>
      <c r="C1371" s="212"/>
      <c r="D1371" s="212"/>
      <c r="E1371" s="212"/>
    </row>
    <row r="1372" spans="2:5" x14ac:dyDescent="0.15">
      <c r="B1372" s="212"/>
      <c r="C1372" s="212"/>
      <c r="D1372" s="212"/>
      <c r="E1372" s="212"/>
    </row>
    <row r="1373" spans="2:5" x14ac:dyDescent="0.15">
      <c r="B1373" s="212"/>
      <c r="C1373" s="212"/>
      <c r="D1373" s="212"/>
      <c r="E1373" s="212"/>
    </row>
    <row r="1374" spans="2:5" x14ac:dyDescent="0.15">
      <c r="B1374" s="212"/>
      <c r="C1374" s="212"/>
      <c r="D1374" s="212"/>
      <c r="E1374" s="212"/>
    </row>
    <row r="1375" spans="2:5" x14ac:dyDescent="0.15">
      <c r="B1375" s="212"/>
      <c r="C1375" s="212"/>
      <c r="D1375" s="212"/>
      <c r="E1375" s="212"/>
    </row>
    <row r="1376" spans="2:5" x14ac:dyDescent="0.15">
      <c r="B1376" s="212"/>
      <c r="C1376" s="212"/>
      <c r="D1376" s="212"/>
      <c r="E1376" s="212"/>
    </row>
    <row r="1377" spans="2:5" x14ac:dyDescent="0.15">
      <c r="B1377" s="212"/>
      <c r="C1377" s="212"/>
      <c r="D1377" s="212"/>
      <c r="E1377" s="212"/>
    </row>
    <row r="1378" spans="2:5" x14ac:dyDescent="0.15">
      <c r="B1378" s="212"/>
      <c r="C1378" s="212"/>
      <c r="D1378" s="212"/>
      <c r="E1378" s="212"/>
    </row>
    <row r="1379" spans="2:5" x14ac:dyDescent="0.15">
      <c r="B1379" s="212"/>
      <c r="C1379" s="212"/>
      <c r="D1379" s="212"/>
      <c r="E1379" s="212"/>
    </row>
    <row r="1380" spans="2:5" x14ac:dyDescent="0.15">
      <c r="B1380" s="212"/>
      <c r="C1380" s="212"/>
      <c r="D1380" s="212"/>
      <c r="E1380" s="212"/>
    </row>
    <row r="1381" spans="2:5" x14ac:dyDescent="0.15">
      <c r="B1381" s="212"/>
      <c r="C1381" s="212"/>
      <c r="D1381" s="212"/>
      <c r="E1381" s="212"/>
    </row>
    <row r="1382" spans="2:5" x14ac:dyDescent="0.15">
      <c r="B1382" s="212"/>
      <c r="C1382" s="212"/>
      <c r="D1382" s="212"/>
      <c r="E1382" s="212"/>
    </row>
    <row r="1383" spans="2:5" x14ac:dyDescent="0.15">
      <c r="B1383" s="212"/>
      <c r="C1383" s="212"/>
      <c r="D1383" s="212"/>
      <c r="E1383" s="212"/>
    </row>
    <row r="1384" spans="2:5" x14ac:dyDescent="0.15">
      <c r="B1384" s="212"/>
      <c r="C1384" s="212"/>
      <c r="D1384" s="212"/>
      <c r="E1384" s="212"/>
    </row>
    <row r="1385" spans="2:5" x14ac:dyDescent="0.15">
      <c r="B1385" s="212"/>
      <c r="C1385" s="212"/>
      <c r="D1385" s="212"/>
      <c r="E1385" s="212"/>
    </row>
    <row r="1386" spans="2:5" x14ac:dyDescent="0.15">
      <c r="B1386" s="212"/>
      <c r="C1386" s="212"/>
      <c r="D1386" s="212"/>
      <c r="E1386" s="212"/>
    </row>
    <row r="1387" spans="2:5" x14ac:dyDescent="0.15">
      <c r="B1387" s="212"/>
      <c r="C1387" s="212"/>
      <c r="D1387" s="212"/>
      <c r="E1387" s="212"/>
    </row>
    <row r="1388" spans="2:5" x14ac:dyDescent="0.15">
      <c r="B1388" s="212"/>
      <c r="C1388" s="212"/>
      <c r="D1388" s="212"/>
      <c r="E1388" s="212"/>
    </row>
    <row r="1389" spans="2:5" x14ac:dyDescent="0.15">
      <c r="B1389" s="212"/>
      <c r="C1389" s="212"/>
      <c r="D1389" s="212"/>
      <c r="E1389" s="212"/>
    </row>
    <row r="1390" spans="2:5" x14ac:dyDescent="0.15">
      <c r="B1390" s="212"/>
      <c r="C1390" s="212"/>
      <c r="D1390" s="212"/>
      <c r="E1390" s="212"/>
    </row>
    <row r="1391" spans="2:5" x14ac:dyDescent="0.15">
      <c r="B1391" s="212"/>
      <c r="C1391" s="212"/>
      <c r="D1391" s="212"/>
      <c r="E1391" s="212"/>
    </row>
    <row r="1392" spans="2:5" x14ac:dyDescent="0.15">
      <c r="B1392" s="212"/>
      <c r="C1392" s="212"/>
      <c r="D1392" s="212"/>
      <c r="E1392" s="212"/>
    </row>
    <row r="1393" spans="2:5" x14ac:dyDescent="0.15">
      <c r="B1393" s="212"/>
      <c r="C1393" s="212"/>
      <c r="D1393" s="212"/>
      <c r="E1393" s="212"/>
    </row>
    <row r="1394" spans="2:5" x14ac:dyDescent="0.15">
      <c r="B1394" s="212"/>
      <c r="C1394" s="212"/>
      <c r="D1394" s="212"/>
      <c r="E1394" s="212"/>
    </row>
    <row r="1395" spans="2:5" x14ac:dyDescent="0.15">
      <c r="B1395" s="212"/>
      <c r="C1395" s="212"/>
      <c r="D1395" s="212"/>
      <c r="E1395" s="212"/>
    </row>
    <row r="1396" spans="2:5" x14ac:dyDescent="0.15">
      <c r="B1396" s="212"/>
      <c r="C1396" s="212"/>
      <c r="D1396" s="212"/>
      <c r="E1396" s="212"/>
    </row>
    <row r="1397" spans="2:5" x14ac:dyDescent="0.15">
      <c r="B1397" s="212"/>
      <c r="C1397" s="212"/>
      <c r="D1397" s="212"/>
      <c r="E1397" s="212"/>
    </row>
    <row r="1398" spans="2:5" x14ac:dyDescent="0.15">
      <c r="B1398" s="212"/>
      <c r="C1398" s="212"/>
      <c r="D1398" s="212"/>
      <c r="E1398" s="212"/>
    </row>
    <row r="1399" spans="2:5" x14ac:dyDescent="0.15">
      <c r="B1399" s="212"/>
      <c r="C1399" s="212"/>
      <c r="D1399" s="212"/>
      <c r="E1399" s="212"/>
    </row>
    <row r="1400" spans="2:5" x14ac:dyDescent="0.15">
      <c r="B1400" s="212"/>
      <c r="C1400" s="212"/>
      <c r="D1400" s="212"/>
      <c r="E1400" s="212"/>
    </row>
    <row r="1401" spans="2:5" x14ac:dyDescent="0.15">
      <c r="B1401" s="212"/>
      <c r="C1401" s="212"/>
      <c r="D1401" s="212"/>
      <c r="E1401" s="212"/>
    </row>
    <row r="1402" spans="2:5" x14ac:dyDescent="0.15">
      <c r="B1402" s="212"/>
      <c r="C1402" s="212"/>
      <c r="D1402" s="212"/>
      <c r="E1402" s="212"/>
    </row>
    <row r="1403" spans="2:5" x14ac:dyDescent="0.15">
      <c r="B1403" s="212"/>
      <c r="C1403" s="212"/>
      <c r="D1403" s="212"/>
      <c r="E1403" s="212"/>
    </row>
  </sheetData>
  <pageMargins left="0.75" right="0.75" top="1" bottom="1" header="0.5" footer="0.5"/>
  <pageSetup scale="10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7670-1218-EB44-B43A-A6893372FDEF}">
  <dimension ref="A1:X118"/>
  <sheetViews>
    <sheetView tabSelected="1" zoomScale="108" workbookViewId="0">
      <selection activeCell="X46" sqref="X46"/>
    </sheetView>
  </sheetViews>
  <sheetFormatPr baseColWidth="10" defaultRowHeight="16" x14ac:dyDescent="0.2"/>
  <cols>
    <col min="2" max="10" width="0" hidden="1" customWidth="1"/>
    <col min="11" max="12" width="10.83203125" style="161"/>
    <col min="13" max="14" width="0" style="161" hidden="1" customWidth="1"/>
    <col min="15" max="16" width="10.83203125" style="161"/>
    <col min="17" max="17" width="14.33203125" style="161" customWidth="1"/>
    <col min="18" max="18" width="14" style="161" customWidth="1"/>
    <col min="20" max="21" width="13.5" bestFit="1" customWidth="1"/>
    <col min="22" max="22" width="12.33203125" bestFit="1" customWidth="1"/>
    <col min="23" max="23" width="13.5" bestFit="1" customWidth="1"/>
  </cols>
  <sheetData>
    <row r="1" spans="1:18" s="160" customFormat="1" x14ac:dyDescent="0.2">
      <c r="B1" s="160" t="s">
        <v>108</v>
      </c>
      <c r="C1" s="160" t="s">
        <v>109</v>
      </c>
      <c r="D1" s="160" t="s">
        <v>110</v>
      </c>
      <c r="E1" s="160" t="s">
        <v>111</v>
      </c>
      <c r="F1" s="160" t="s">
        <v>112</v>
      </c>
      <c r="G1" s="160" t="s">
        <v>113</v>
      </c>
      <c r="H1" s="160" t="s">
        <v>114</v>
      </c>
      <c r="I1" s="160" t="s">
        <v>115</v>
      </c>
      <c r="J1" s="160" t="s">
        <v>116</v>
      </c>
      <c r="K1" s="206" t="s">
        <v>117</v>
      </c>
      <c r="L1" s="206" t="s">
        <v>118</v>
      </c>
      <c r="M1" s="206" t="s">
        <v>119</v>
      </c>
      <c r="N1" s="206" t="s">
        <v>120</v>
      </c>
      <c r="O1" s="206" t="s">
        <v>121</v>
      </c>
      <c r="P1" s="206" t="s">
        <v>122</v>
      </c>
      <c r="Q1" s="206" t="s">
        <v>123</v>
      </c>
      <c r="R1" s="206" t="s">
        <v>124</v>
      </c>
    </row>
    <row r="2" spans="1:18" hidden="1" x14ac:dyDescent="0.2">
      <c r="A2" t="s">
        <v>125</v>
      </c>
      <c r="B2" t="s">
        <v>126</v>
      </c>
      <c r="C2" t="s">
        <v>127</v>
      </c>
      <c r="D2" t="s">
        <v>128</v>
      </c>
      <c r="E2" s="202">
        <v>0.7553009259259259</v>
      </c>
      <c r="F2">
        <v>13.749000000000001</v>
      </c>
      <c r="G2" t="s">
        <v>126</v>
      </c>
      <c r="H2">
        <v>37</v>
      </c>
      <c r="I2" t="s">
        <v>129</v>
      </c>
      <c r="J2">
        <v>1</v>
      </c>
      <c r="K2" s="207">
        <v>695000</v>
      </c>
      <c r="L2" s="207">
        <v>79000</v>
      </c>
      <c r="M2" s="161">
        <v>32.700000000000003</v>
      </c>
      <c r="N2" s="161">
        <v>1</v>
      </c>
      <c r="O2" s="161">
        <v>453</v>
      </c>
      <c r="P2" s="161">
        <v>33</v>
      </c>
      <c r="Q2" s="161">
        <v>478</v>
      </c>
      <c r="R2" s="161">
        <v>32</v>
      </c>
    </row>
    <row r="3" spans="1:18" hidden="1" x14ac:dyDescent="0.2">
      <c r="A3" t="s">
        <v>130</v>
      </c>
      <c r="B3" t="s">
        <v>131</v>
      </c>
      <c r="C3" t="s">
        <v>132</v>
      </c>
      <c r="D3" t="s">
        <v>128</v>
      </c>
      <c r="E3" s="202">
        <v>0.75594907407407408</v>
      </c>
      <c r="F3">
        <v>13.75</v>
      </c>
      <c r="G3" t="s">
        <v>131</v>
      </c>
      <c r="H3">
        <v>37</v>
      </c>
      <c r="I3" t="s">
        <v>129</v>
      </c>
      <c r="J3">
        <v>1</v>
      </c>
      <c r="K3" s="207">
        <v>715000</v>
      </c>
      <c r="L3" s="207">
        <v>79000</v>
      </c>
      <c r="M3" s="161">
        <v>32.700000000000003</v>
      </c>
      <c r="N3" s="161">
        <v>1</v>
      </c>
      <c r="O3" s="161">
        <v>471</v>
      </c>
      <c r="P3" s="161">
        <v>33</v>
      </c>
      <c r="Q3" s="161">
        <v>505</v>
      </c>
      <c r="R3" s="161">
        <v>41</v>
      </c>
    </row>
    <row r="4" spans="1:18" hidden="1" x14ac:dyDescent="0.2">
      <c r="A4" t="s">
        <v>133</v>
      </c>
      <c r="B4" t="s">
        <v>134</v>
      </c>
      <c r="C4" t="s">
        <v>135</v>
      </c>
      <c r="D4" t="s">
        <v>128</v>
      </c>
      <c r="E4" s="202">
        <v>0.75658564814814822</v>
      </c>
      <c r="F4">
        <v>13.749000000000001</v>
      </c>
      <c r="G4" t="s">
        <v>134</v>
      </c>
      <c r="H4">
        <v>37</v>
      </c>
      <c r="I4" t="s">
        <v>129</v>
      </c>
      <c r="J4">
        <v>1</v>
      </c>
      <c r="K4" s="207">
        <v>765000</v>
      </c>
      <c r="L4" s="207">
        <v>94000</v>
      </c>
      <c r="M4" s="161">
        <v>32.700000000000003</v>
      </c>
      <c r="N4" s="161">
        <v>1</v>
      </c>
      <c r="O4" s="161">
        <v>453</v>
      </c>
      <c r="P4" s="161">
        <v>34</v>
      </c>
      <c r="Q4" s="161">
        <v>431</v>
      </c>
      <c r="R4" s="161">
        <v>30</v>
      </c>
    </row>
    <row r="5" spans="1:18" hidden="1" x14ac:dyDescent="0.2">
      <c r="A5" t="s">
        <v>136</v>
      </c>
      <c r="B5" t="s">
        <v>137</v>
      </c>
      <c r="C5" t="s">
        <v>138</v>
      </c>
      <c r="D5" t="s">
        <v>128</v>
      </c>
      <c r="E5" s="202">
        <v>0.75723379629629628</v>
      </c>
      <c r="F5">
        <v>13.75</v>
      </c>
      <c r="G5" t="s">
        <v>137</v>
      </c>
      <c r="H5">
        <v>37</v>
      </c>
      <c r="I5" t="s">
        <v>129</v>
      </c>
      <c r="J5">
        <v>1</v>
      </c>
      <c r="K5" s="207">
        <v>723000</v>
      </c>
      <c r="L5" s="207">
        <v>66000</v>
      </c>
      <c r="M5" s="161">
        <v>32.700000000000003</v>
      </c>
      <c r="N5" s="161">
        <v>1</v>
      </c>
      <c r="O5" s="161">
        <v>451</v>
      </c>
      <c r="P5" s="161">
        <v>29</v>
      </c>
      <c r="Q5" s="161">
        <v>460</v>
      </c>
      <c r="R5" s="161">
        <v>32</v>
      </c>
    </row>
    <row r="6" spans="1:18" hidden="1" x14ac:dyDescent="0.2">
      <c r="A6" t="s">
        <v>139</v>
      </c>
      <c r="B6" t="s">
        <v>140</v>
      </c>
      <c r="C6" t="s">
        <v>141</v>
      </c>
      <c r="D6" t="s">
        <v>128</v>
      </c>
      <c r="E6" s="202">
        <v>0.75851851851851848</v>
      </c>
      <c r="F6">
        <v>13.749000000000001</v>
      </c>
      <c r="G6" t="s">
        <v>140</v>
      </c>
      <c r="H6">
        <v>37</v>
      </c>
      <c r="I6" t="s">
        <v>129</v>
      </c>
      <c r="J6">
        <v>1</v>
      </c>
      <c r="K6" s="207">
        <v>903000</v>
      </c>
      <c r="L6" s="207">
        <v>81000</v>
      </c>
      <c r="M6" s="161">
        <v>32.700000000000003</v>
      </c>
      <c r="N6" s="161">
        <v>1</v>
      </c>
      <c r="O6" s="161">
        <v>454</v>
      </c>
      <c r="P6" s="161">
        <v>23</v>
      </c>
      <c r="Q6" s="161">
        <v>454</v>
      </c>
      <c r="R6" s="161">
        <v>25</v>
      </c>
    </row>
    <row r="7" spans="1:18" hidden="1" x14ac:dyDescent="0.2">
      <c r="A7" t="s">
        <v>142</v>
      </c>
      <c r="B7" t="s">
        <v>143</v>
      </c>
      <c r="C7" t="s">
        <v>144</v>
      </c>
      <c r="D7" t="s">
        <v>128</v>
      </c>
      <c r="E7" s="202">
        <v>0.75916666666666666</v>
      </c>
      <c r="F7">
        <v>13.75</v>
      </c>
      <c r="G7" t="s">
        <v>143</v>
      </c>
      <c r="H7">
        <v>37</v>
      </c>
      <c r="I7" t="s">
        <v>129</v>
      </c>
      <c r="J7">
        <v>1</v>
      </c>
      <c r="K7" s="207">
        <v>857000</v>
      </c>
      <c r="L7" s="207">
        <v>68000</v>
      </c>
      <c r="M7" s="161">
        <v>32.700000000000003</v>
      </c>
      <c r="N7" s="161">
        <v>1</v>
      </c>
      <c r="O7" s="161">
        <v>464</v>
      </c>
      <c r="P7" s="161">
        <v>26</v>
      </c>
      <c r="Q7" s="161">
        <v>476</v>
      </c>
      <c r="R7" s="161">
        <v>30</v>
      </c>
    </row>
    <row r="8" spans="1:18" hidden="1" x14ac:dyDescent="0.2">
      <c r="A8" t="s">
        <v>145</v>
      </c>
      <c r="B8" t="s">
        <v>146</v>
      </c>
      <c r="C8" t="s">
        <v>147</v>
      </c>
      <c r="D8" t="s">
        <v>128</v>
      </c>
      <c r="E8" s="202">
        <v>0.76682870370370371</v>
      </c>
      <c r="F8">
        <v>13.75</v>
      </c>
      <c r="G8" t="s">
        <v>146</v>
      </c>
      <c r="H8">
        <v>37</v>
      </c>
      <c r="I8" t="s">
        <v>129</v>
      </c>
      <c r="J8">
        <v>1</v>
      </c>
      <c r="K8" s="207">
        <v>1152000</v>
      </c>
      <c r="L8" s="207">
        <v>85000</v>
      </c>
      <c r="M8" s="161">
        <v>32.700000000000003</v>
      </c>
      <c r="N8" s="161">
        <v>1</v>
      </c>
      <c r="O8" s="161">
        <v>457</v>
      </c>
      <c r="P8" s="161">
        <v>33</v>
      </c>
      <c r="Q8" s="161">
        <v>457</v>
      </c>
      <c r="R8" s="161">
        <v>32</v>
      </c>
    </row>
    <row r="9" spans="1:18" hidden="1" x14ac:dyDescent="0.2">
      <c r="A9" t="s">
        <v>148</v>
      </c>
      <c r="B9" t="s">
        <v>149</v>
      </c>
      <c r="C9" t="s">
        <v>150</v>
      </c>
      <c r="D9" t="s">
        <v>128</v>
      </c>
      <c r="E9" s="202">
        <v>0.77136574074074071</v>
      </c>
      <c r="F9">
        <v>13.75</v>
      </c>
      <c r="G9" t="s">
        <v>149</v>
      </c>
      <c r="H9">
        <v>37</v>
      </c>
      <c r="I9" t="s">
        <v>129</v>
      </c>
      <c r="J9">
        <v>1</v>
      </c>
      <c r="K9" s="207">
        <v>1120000</v>
      </c>
      <c r="L9" s="207">
        <v>100000</v>
      </c>
      <c r="M9" s="161">
        <v>32.700000000000003</v>
      </c>
      <c r="N9" s="161">
        <v>1</v>
      </c>
      <c r="O9" s="161">
        <v>457</v>
      </c>
      <c r="P9" s="161">
        <v>30</v>
      </c>
      <c r="Q9" s="161">
        <v>450</v>
      </c>
      <c r="R9" s="161">
        <v>25</v>
      </c>
    </row>
    <row r="10" spans="1:18" hidden="1" x14ac:dyDescent="0.2">
      <c r="A10" t="s">
        <v>151</v>
      </c>
      <c r="B10" t="s">
        <v>152</v>
      </c>
      <c r="C10" t="s">
        <v>153</v>
      </c>
      <c r="D10" t="s">
        <v>128</v>
      </c>
      <c r="E10" s="202">
        <v>0.77539351851851857</v>
      </c>
      <c r="F10">
        <v>13.75</v>
      </c>
      <c r="G10" t="s">
        <v>152</v>
      </c>
      <c r="H10">
        <v>37</v>
      </c>
      <c r="I10" t="s">
        <v>129</v>
      </c>
      <c r="J10">
        <v>1</v>
      </c>
      <c r="K10" s="207">
        <v>1099000</v>
      </c>
      <c r="L10" s="207">
        <v>93000</v>
      </c>
      <c r="M10" s="161">
        <v>32.700000000000003</v>
      </c>
      <c r="N10" s="161">
        <v>1</v>
      </c>
      <c r="O10" s="161">
        <v>458</v>
      </c>
      <c r="P10" s="161">
        <v>30</v>
      </c>
      <c r="Q10" s="161">
        <v>473</v>
      </c>
      <c r="R10" s="161">
        <v>37</v>
      </c>
    </row>
    <row r="11" spans="1:18" hidden="1" x14ac:dyDescent="0.2">
      <c r="A11" t="s">
        <v>154</v>
      </c>
      <c r="B11" t="s">
        <v>155</v>
      </c>
      <c r="C11" t="s">
        <v>156</v>
      </c>
      <c r="D11" t="s">
        <v>128</v>
      </c>
      <c r="E11" s="202">
        <v>0.78144675925925933</v>
      </c>
      <c r="F11">
        <v>13.75</v>
      </c>
      <c r="G11" t="s">
        <v>155</v>
      </c>
      <c r="H11">
        <v>37</v>
      </c>
      <c r="I11" t="s">
        <v>129</v>
      </c>
      <c r="J11">
        <v>1</v>
      </c>
      <c r="K11" s="207">
        <v>1067000</v>
      </c>
      <c r="L11" s="207">
        <v>82000</v>
      </c>
      <c r="M11" s="161">
        <v>32.700000000000003</v>
      </c>
      <c r="N11" s="161">
        <v>1</v>
      </c>
      <c r="O11" s="161">
        <v>457</v>
      </c>
      <c r="P11" s="161">
        <v>32</v>
      </c>
      <c r="Q11" s="161">
        <v>449</v>
      </c>
      <c r="R11" s="161">
        <v>30</v>
      </c>
    </row>
    <row r="12" spans="1:18" hidden="1" x14ac:dyDescent="0.2">
      <c r="A12" t="s">
        <v>157</v>
      </c>
      <c r="B12" t="s">
        <v>158</v>
      </c>
      <c r="C12" t="s">
        <v>159</v>
      </c>
      <c r="D12" t="s">
        <v>128</v>
      </c>
      <c r="E12" s="202">
        <v>0.78649305555555549</v>
      </c>
      <c r="F12">
        <v>13.749000000000001</v>
      </c>
      <c r="G12" t="s">
        <v>158</v>
      </c>
      <c r="H12">
        <v>37</v>
      </c>
      <c r="I12" t="s">
        <v>129</v>
      </c>
      <c r="J12">
        <v>1</v>
      </c>
      <c r="K12" s="207">
        <v>1088000</v>
      </c>
      <c r="L12" s="207">
        <v>89000</v>
      </c>
      <c r="M12" s="161">
        <v>32.700000000000003</v>
      </c>
      <c r="N12" s="161">
        <v>1</v>
      </c>
      <c r="O12" s="161">
        <v>454</v>
      </c>
      <c r="P12" s="161">
        <v>26</v>
      </c>
      <c r="Q12" s="161">
        <v>458</v>
      </c>
      <c r="R12" s="161">
        <v>33</v>
      </c>
    </row>
    <row r="13" spans="1:18" hidden="1" x14ac:dyDescent="0.2">
      <c r="A13" t="s">
        <v>160</v>
      </c>
      <c r="B13" t="s">
        <v>161</v>
      </c>
      <c r="C13" t="s">
        <v>162</v>
      </c>
      <c r="D13" t="s">
        <v>128</v>
      </c>
      <c r="E13" s="202">
        <v>0.78699074074074071</v>
      </c>
      <c r="F13">
        <v>13.75</v>
      </c>
      <c r="G13" t="s">
        <v>161</v>
      </c>
      <c r="H13">
        <v>37</v>
      </c>
      <c r="I13" t="s">
        <v>129</v>
      </c>
      <c r="J13">
        <v>1</v>
      </c>
      <c r="K13" s="207">
        <v>1032000</v>
      </c>
      <c r="L13" s="207">
        <v>81000</v>
      </c>
      <c r="M13" s="161">
        <v>32.700000000000003</v>
      </c>
      <c r="N13" s="161">
        <v>1</v>
      </c>
      <c r="O13" s="161">
        <v>461</v>
      </c>
      <c r="P13" s="161">
        <v>27</v>
      </c>
      <c r="Q13" s="161">
        <v>482</v>
      </c>
      <c r="R13" s="161">
        <v>35</v>
      </c>
    </row>
    <row r="14" spans="1:18" hidden="1" x14ac:dyDescent="0.2">
      <c r="A14" t="s">
        <v>163</v>
      </c>
      <c r="B14" t="s">
        <v>164</v>
      </c>
      <c r="C14" t="s">
        <v>165</v>
      </c>
      <c r="D14" t="s">
        <v>128</v>
      </c>
      <c r="E14" s="202">
        <v>0.79152777777777772</v>
      </c>
      <c r="F14">
        <v>13.75</v>
      </c>
      <c r="G14" t="s">
        <v>164</v>
      </c>
      <c r="H14">
        <v>37</v>
      </c>
      <c r="I14" t="s">
        <v>129</v>
      </c>
      <c r="J14">
        <v>1</v>
      </c>
      <c r="K14" s="207">
        <v>1090000</v>
      </c>
      <c r="L14" s="207">
        <v>85000</v>
      </c>
      <c r="M14" s="161">
        <v>32.700000000000003</v>
      </c>
      <c r="N14" s="161">
        <v>1</v>
      </c>
      <c r="O14" s="161">
        <v>457</v>
      </c>
      <c r="P14" s="161">
        <v>31</v>
      </c>
      <c r="Q14" s="161">
        <v>460</v>
      </c>
      <c r="R14" s="161">
        <v>32</v>
      </c>
    </row>
    <row r="15" spans="1:18" hidden="1" x14ac:dyDescent="0.2">
      <c r="A15" t="s">
        <v>166</v>
      </c>
      <c r="B15" t="s">
        <v>167</v>
      </c>
      <c r="C15" t="s">
        <v>168</v>
      </c>
      <c r="D15" t="s">
        <v>128</v>
      </c>
      <c r="E15" s="202">
        <v>0.79555555555555557</v>
      </c>
      <c r="F15">
        <v>13.75</v>
      </c>
      <c r="G15" t="s">
        <v>167</v>
      </c>
      <c r="H15">
        <v>37</v>
      </c>
      <c r="I15" t="s">
        <v>129</v>
      </c>
      <c r="J15">
        <v>1</v>
      </c>
      <c r="K15" s="207">
        <v>1015000</v>
      </c>
      <c r="L15" s="207">
        <v>98000</v>
      </c>
      <c r="M15" s="161">
        <v>32.700000000000003</v>
      </c>
      <c r="N15" s="161">
        <v>1</v>
      </c>
      <c r="O15" s="161">
        <v>451</v>
      </c>
      <c r="P15" s="161">
        <v>27</v>
      </c>
      <c r="Q15" s="161">
        <v>457</v>
      </c>
      <c r="R15" s="161">
        <v>25</v>
      </c>
    </row>
    <row r="16" spans="1:18" hidden="1" x14ac:dyDescent="0.2">
      <c r="A16" t="s">
        <v>169</v>
      </c>
      <c r="B16" t="s">
        <v>170</v>
      </c>
      <c r="C16" t="s">
        <v>171</v>
      </c>
      <c r="D16" t="s">
        <v>128</v>
      </c>
      <c r="E16" s="202">
        <v>0.79606481481481473</v>
      </c>
      <c r="F16">
        <v>13.75</v>
      </c>
      <c r="G16" t="s">
        <v>170</v>
      </c>
      <c r="H16">
        <v>37</v>
      </c>
      <c r="I16" t="s">
        <v>129</v>
      </c>
      <c r="J16">
        <v>1</v>
      </c>
      <c r="K16" s="207">
        <v>985000</v>
      </c>
      <c r="L16" s="207">
        <v>93000</v>
      </c>
      <c r="M16" s="161">
        <v>32.700000000000003</v>
      </c>
      <c r="N16" s="161">
        <v>1</v>
      </c>
      <c r="O16" s="161">
        <v>471</v>
      </c>
      <c r="P16" s="161">
        <v>40</v>
      </c>
      <c r="Q16" s="161">
        <v>474</v>
      </c>
      <c r="R16" s="161">
        <v>36</v>
      </c>
    </row>
    <row r="17" spans="1:18" hidden="1" x14ac:dyDescent="0.2">
      <c r="A17" t="s">
        <v>172</v>
      </c>
      <c r="B17" t="s">
        <v>173</v>
      </c>
      <c r="C17" t="s">
        <v>174</v>
      </c>
      <c r="D17" t="s">
        <v>128</v>
      </c>
      <c r="E17" s="202">
        <v>0.80312499999999998</v>
      </c>
      <c r="F17">
        <v>13.75</v>
      </c>
      <c r="G17" t="s">
        <v>173</v>
      </c>
      <c r="H17">
        <v>37</v>
      </c>
      <c r="I17" t="s">
        <v>129</v>
      </c>
      <c r="J17">
        <v>1</v>
      </c>
      <c r="K17" s="207">
        <v>923000</v>
      </c>
      <c r="L17" s="207">
        <v>71000</v>
      </c>
      <c r="M17" s="161">
        <v>32.700000000000003</v>
      </c>
      <c r="N17" s="161">
        <v>1</v>
      </c>
      <c r="O17" s="161">
        <v>457</v>
      </c>
      <c r="P17" s="161">
        <v>22</v>
      </c>
      <c r="Q17" s="161">
        <v>459</v>
      </c>
      <c r="R17" s="161">
        <v>24</v>
      </c>
    </row>
    <row r="18" spans="1:18" hidden="1" x14ac:dyDescent="0.2">
      <c r="A18" t="s">
        <v>175</v>
      </c>
      <c r="B18" t="s">
        <v>176</v>
      </c>
      <c r="C18" t="s">
        <v>177</v>
      </c>
      <c r="D18" t="s">
        <v>128</v>
      </c>
      <c r="E18" s="202">
        <v>0.80665509259259249</v>
      </c>
      <c r="F18">
        <v>13.749000000000001</v>
      </c>
      <c r="G18" t="s">
        <v>176</v>
      </c>
      <c r="H18">
        <v>37</v>
      </c>
      <c r="I18" t="s">
        <v>129</v>
      </c>
      <c r="J18">
        <v>1</v>
      </c>
      <c r="K18" s="207">
        <v>956000</v>
      </c>
      <c r="L18" s="207">
        <v>82000</v>
      </c>
      <c r="M18" s="161">
        <v>32.700000000000003</v>
      </c>
      <c r="N18" s="161">
        <v>1</v>
      </c>
      <c r="O18" s="161">
        <v>456</v>
      </c>
      <c r="P18" s="161">
        <v>36</v>
      </c>
      <c r="Q18" s="161">
        <v>476</v>
      </c>
      <c r="R18" s="161">
        <v>36</v>
      </c>
    </row>
    <row r="19" spans="1:18" hidden="1" x14ac:dyDescent="0.2">
      <c r="A19" t="s">
        <v>178</v>
      </c>
      <c r="B19" t="s">
        <v>179</v>
      </c>
      <c r="C19" t="s">
        <v>180</v>
      </c>
      <c r="D19" t="s">
        <v>128</v>
      </c>
      <c r="E19" s="202">
        <v>0.80815972222222221</v>
      </c>
      <c r="F19">
        <v>13.749000000000001</v>
      </c>
      <c r="G19" t="s">
        <v>179</v>
      </c>
      <c r="H19">
        <v>37</v>
      </c>
      <c r="I19" t="s">
        <v>129</v>
      </c>
      <c r="J19">
        <v>1</v>
      </c>
      <c r="K19" s="207">
        <v>938000</v>
      </c>
      <c r="L19" s="207">
        <v>76000</v>
      </c>
      <c r="M19" s="161">
        <v>32.700000000000003</v>
      </c>
      <c r="N19" s="161">
        <v>1</v>
      </c>
      <c r="O19" s="161">
        <v>464</v>
      </c>
      <c r="P19" s="161">
        <v>29</v>
      </c>
      <c r="Q19" s="161">
        <v>493</v>
      </c>
      <c r="R19" s="161">
        <v>37</v>
      </c>
    </row>
    <row r="20" spans="1:18" hidden="1" x14ac:dyDescent="0.2">
      <c r="A20" t="s">
        <v>181</v>
      </c>
      <c r="B20" t="s">
        <v>182</v>
      </c>
      <c r="C20" t="s">
        <v>183</v>
      </c>
      <c r="D20" t="s">
        <v>128</v>
      </c>
      <c r="E20" s="202">
        <v>0.80866898148148147</v>
      </c>
      <c r="F20">
        <v>13.75</v>
      </c>
      <c r="G20" t="s">
        <v>182</v>
      </c>
      <c r="H20">
        <v>37</v>
      </c>
      <c r="I20" t="s">
        <v>129</v>
      </c>
      <c r="J20">
        <v>1</v>
      </c>
      <c r="K20" s="207">
        <v>960000</v>
      </c>
      <c r="L20" s="207">
        <v>100000</v>
      </c>
      <c r="M20" s="161">
        <v>32.700000000000003</v>
      </c>
      <c r="N20" s="161">
        <v>1</v>
      </c>
      <c r="O20" s="161">
        <v>450</v>
      </c>
      <c r="P20" s="161">
        <v>34</v>
      </c>
      <c r="Q20" s="161">
        <v>466</v>
      </c>
      <c r="R20" s="161">
        <v>40</v>
      </c>
    </row>
    <row r="21" spans="1:18" hidden="1" x14ac:dyDescent="0.2">
      <c r="A21" t="s">
        <v>184</v>
      </c>
      <c r="B21" t="s">
        <v>185</v>
      </c>
      <c r="C21" t="s">
        <v>186</v>
      </c>
      <c r="D21" t="s">
        <v>128</v>
      </c>
      <c r="E21" s="202">
        <v>0.81118055555555557</v>
      </c>
      <c r="F21">
        <v>13.75</v>
      </c>
      <c r="G21" t="s">
        <v>185</v>
      </c>
      <c r="H21">
        <v>37</v>
      </c>
      <c r="I21" t="s">
        <v>129</v>
      </c>
      <c r="J21">
        <v>1</v>
      </c>
      <c r="K21" s="207">
        <v>995000</v>
      </c>
      <c r="L21" s="207">
        <v>69000</v>
      </c>
      <c r="M21" s="161">
        <v>32.700000000000003</v>
      </c>
      <c r="N21" s="161">
        <v>1</v>
      </c>
      <c r="O21" s="161">
        <v>457</v>
      </c>
      <c r="P21" s="161">
        <v>19</v>
      </c>
      <c r="Q21" s="161">
        <v>452</v>
      </c>
      <c r="R21" s="161">
        <v>24</v>
      </c>
    </row>
    <row r="22" spans="1:18" hidden="1" x14ac:dyDescent="0.2">
      <c r="A22" t="s">
        <v>187</v>
      </c>
      <c r="B22" t="s">
        <v>188</v>
      </c>
      <c r="C22" t="s">
        <v>189</v>
      </c>
      <c r="D22" t="s">
        <v>128</v>
      </c>
      <c r="E22" s="202">
        <v>0.8147106481481482</v>
      </c>
      <c r="F22">
        <v>13.75</v>
      </c>
      <c r="G22" t="s">
        <v>188</v>
      </c>
      <c r="H22">
        <v>37</v>
      </c>
      <c r="I22" t="s">
        <v>129</v>
      </c>
      <c r="J22">
        <v>1</v>
      </c>
      <c r="K22" s="207">
        <v>1006000</v>
      </c>
      <c r="L22" s="207">
        <v>87000</v>
      </c>
      <c r="M22" s="161">
        <v>32.700000000000003</v>
      </c>
      <c r="N22" s="161">
        <v>1</v>
      </c>
      <c r="O22" s="161">
        <v>457</v>
      </c>
      <c r="P22" s="161">
        <v>29</v>
      </c>
      <c r="Q22" s="161">
        <v>457</v>
      </c>
      <c r="R22" s="161">
        <v>32</v>
      </c>
    </row>
    <row r="23" spans="1:18" hidden="1" x14ac:dyDescent="0.2">
      <c r="A23" t="s">
        <v>190</v>
      </c>
      <c r="B23" t="s">
        <v>191</v>
      </c>
      <c r="C23" t="s">
        <v>192</v>
      </c>
      <c r="D23" t="s">
        <v>128</v>
      </c>
      <c r="E23" s="202">
        <v>0.81521990740740735</v>
      </c>
      <c r="F23">
        <v>13.749000000000001</v>
      </c>
      <c r="G23" t="s">
        <v>191</v>
      </c>
      <c r="H23">
        <v>37</v>
      </c>
      <c r="I23" t="s">
        <v>129</v>
      </c>
      <c r="J23">
        <v>1</v>
      </c>
      <c r="K23" s="207">
        <v>1028000</v>
      </c>
      <c r="L23" s="207">
        <v>98000</v>
      </c>
      <c r="M23" s="161">
        <v>32.700000000000003</v>
      </c>
      <c r="N23" s="161">
        <v>1</v>
      </c>
      <c r="O23" s="161">
        <v>455</v>
      </c>
      <c r="P23" s="161">
        <v>30</v>
      </c>
      <c r="Q23" s="161">
        <v>458</v>
      </c>
      <c r="R23" s="161">
        <v>29</v>
      </c>
    </row>
    <row r="24" spans="1:18" hidden="1" x14ac:dyDescent="0.2">
      <c r="A24" t="s">
        <v>193</v>
      </c>
      <c r="B24" t="s">
        <v>194</v>
      </c>
      <c r="C24" t="s">
        <v>195</v>
      </c>
      <c r="D24" t="s">
        <v>128</v>
      </c>
      <c r="E24" s="202">
        <v>0.81571759259259258</v>
      </c>
      <c r="F24">
        <v>13.75</v>
      </c>
      <c r="G24" t="s">
        <v>194</v>
      </c>
      <c r="H24">
        <v>37</v>
      </c>
      <c r="I24" t="s">
        <v>129</v>
      </c>
      <c r="J24">
        <v>1</v>
      </c>
      <c r="K24" s="207">
        <v>1017000</v>
      </c>
      <c r="L24" s="207">
        <v>89000</v>
      </c>
      <c r="M24" s="161">
        <v>32.700000000000003</v>
      </c>
      <c r="N24" s="161">
        <v>1</v>
      </c>
      <c r="O24" s="161">
        <v>454</v>
      </c>
      <c r="P24" s="161">
        <v>32</v>
      </c>
      <c r="Q24" s="161">
        <v>465</v>
      </c>
      <c r="R24" s="161">
        <v>33</v>
      </c>
    </row>
    <row r="25" spans="1:18" hidden="1" x14ac:dyDescent="0.2">
      <c r="A25" t="s">
        <v>196</v>
      </c>
      <c r="B25" t="s">
        <v>197</v>
      </c>
      <c r="C25" t="s">
        <v>198</v>
      </c>
      <c r="D25" t="s">
        <v>128</v>
      </c>
      <c r="E25" s="202">
        <v>0.81622685185185195</v>
      </c>
      <c r="F25">
        <v>13.75</v>
      </c>
      <c r="G25" t="s">
        <v>197</v>
      </c>
      <c r="H25">
        <v>37</v>
      </c>
      <c r="I25" t="s">
        <v>129</v>
      </c>
      <c r="J25">
        <v>1</v>
      </c>
      <c r="K25" s="207">
        <v>1017000</v>
      </c>
      <c r="L25" s="207">
        <v>74000</v>
      </c>
      <c r="M25" s="161">
        <v>32.700000000000003</v>
      </c>
      <c r="N25" s="161">
        <v>1</v>
      </c>
      <c r="O25" s="161">
        <v>470</v>
      </c>
      <c r="P25" s="161">
        <v>26</v>
      </c>
      <c r="Q25" s="161">
        <v>468</v>
      </c>
      <c r="R25" s="161">
        <v>31</v>
      </c>
    </row>
    <row r="26" spans="1:18" hidden="1" x14ac:dyDescent="0.2">
      <c r="A26" t="s">
        <v>199</v>
      </c>
      <c r="B26" t="s">
        <v>200</v>
      </c>
      <c r="C26" t="s">
        <v>201</v>
      </c>
      <c r="D26" t="s">
        <v>128</v>
      </c>
      <c r="E26" s="202">
        <v>0.81672453703703696</v>
      </c>
      <c r="F26">
        <v>13.749000000000001</v>
      </c>
      <c r="G26" t="s">
        <v>200</v>
      </c>
      <c r="H26">
        <v>37</v>
      </c>
      <c r="I26" t="s">
        <v>129</v>
      </c>
      <c r="J26">
        <v>1</v>
      </c>
      <c r="K26" s="207">
        <v>1020000</v>
      </c>
      <c r="L26" s="207">
        <v>110000</v>
      </c>
      <c r="M26" s="161">
        <v>32.700000000000003</v>
      </c>
      <c r="N26" s="161">
        <v>1</v>
      </c>
      <c r="O26" s="161">
        <v>446</v>
      </c>
      <c r="P26" s="161">
        <v>31</v>
      </c>
      <c r="Q26" s="161">
        <v>451</v>
      </c>
      <c r="R26" s="161">
        <v>29</v>
      </c>
    </row>
    <row r="27" spans="1:18" hidden="1" x14ac:dyDescent="0.2"/>
    <row r="28" spans="1:18" hidden="1" x14ac:dyDescent="0.2">
      <c r="A28" t="s">
        <v>202</v>
      </c>
      <c r="B28" t="s">
        <v>203</v>
      </c>
      <c r="C28" t="s">
        <v>204</v>
      </c>
      <c r="D28" t="s">
        <v>128</v>
      </c>
      <c r="E28" s="202">
        <v>0.7618287037037037</v>
      </c>
      <c r="F28">
        <v>13.75</v>
      </c>
      <c r="G28" t="s">
        <v>203</v>
      </c>
      <c r="H28">
        <v>37</v>
      </c>
      <c r="I28" t="s">
        <v>129</v>
      </c>
      <c r="J28">
        <v>1</v>
      </c>
      <c r="K28" s="207">
        <v>718000</v>
      </c>
      <c r="L28" s="207">
        <v>26000</v>
      </c>
      <c r="M28" s="161">
        <v>15.3</v>
      </c>
      <c r="N28" s="161">
        <v>1</v>
      </c>
      <c r="O28" s="161">
        <v>163.6</v>
      </c>
      <c r="P28" s="161">
        <v>7.4</v>
      </c>
      <c r="Q28" s="161">
        <v>236</v>
      </c>
      <c r="R28" s="161">
        <v>13</v>
      </c>
    </row>
    <row r="29" spans="1:18" hidden="1" x14ac:dyDescent="0.2">
      <c r="A29" t="s">
        <v>205</v>
      </c>
      <c r="B29" t="s">
        <v>206</v>
      </c>
      <c r="C29" t="s">
        <v>207</v>
      </c>
      <c r="D29" t="s">
        <v>128</v>
      </c>
      <c r="E29" s="202">
        <v>0.76247685185185177</v>
      </c>
      <c r="F29">
        <v>13.749000000000001</v>
      </c>
      <c r="G29" t="s">
        <v>206</v>
      </c>
      <c r="H29">
        <v>37</v>
      </c>
      <c r="I29" t="s">
        <v>129</v>
      </c>
      <c r="J29">
        <v>1</v>
      </c>
      <c r="K29" s="207">
        <v>766000</v>
      </c>
      <c r="L29" s="207">
        <v>39000</v>
      </c>
      <c r="M29" s="161">
        <v>15.3</v>
      </c>
      <c r="N29" s="161">
        <v>1</v>
      </c>
      <c r="O29" s="161">
        <v>168.8</v>
      </c>
      <c r="P29" s="161">
        <v>9.3000000000000007</v>
      </c>
      <c r="Q29" s="161">
        <v>242</v>
      </c>
      <c r="R29" s="161">
        <v>13</v>
      </c>
    </row>
    <row r="30" spans="1:18" hidden="1" x14ac:dyDescent="0.2">
      <c r="A30" t="s">
        <v>208</v>
      </c>
      <c r="B30" t="s">
        <v>209</v>
      </c>
      <c r="C30" t="s">
        <v>210</v>
      </c>
      <c r="D30" t="s">
        <v>128</v>
      </c>
      <c r="E30" s="202">
        <v>0.76312500000000005</v>
      </c>
      <c r="F30">
        <v>13.75</v>
      </c>
      <c r="G30" t="s">
        <v>209</v>
      </c>
      <c r="H30">
        <v>37</v>
      </c>
      <c r="I30" t="s">
        <v>129</v>
      </c>
      <c r="J30">
        <v>1</v>
      </c>
      <c r="K30" s="207">
        <v>850000</v>
      </c>
      <c r="L30" s="207">
        <v>53000</v>
      </c>
      <c r="M30" s="161">
        <v>15.3</v>
      </c>
      <c r="N30" s="161">
        <v>1</v>
      </c>
      <c r="O30" s="161">
        <v>180</v>
      </c>
      <c r="P30" s="161">
        <v>10</v>
      </c>
      <c r="Q30" s="161">
        <v>237</v>
      </c>
      <c r="R30" s="161">
        <v>11</v>
      </c>
    </row>
    <row r="31" spans="1:18" hidden="1" x14ac:dyDescent="0.2">
      <c r="A31" t="s">
        <v>211</v>
      </c>
      <c r="B31" t="s">
        <v>212</v>
      </c>
      <c r="C31" t="s">
        <v>213</v>
      </c>
      <c r="D31" t="s">
        <v>128</v>
      </c>
      <c r="E31" s="202">
        <v>0.77590277777777772</v>
      </c>
      <c r="F31">
        <v>13.75</v>
      </c>
      <c r="G31" t="s">
        <v>212</v>
      </c>
      <c r="H31">
        <v>37</v>
      </c>
      <c r="I31" t="s">
        <v>129</v>
      </c>
      <c r="J31">
        <v>1</v>
      </c>
      <c r="K31" s="207">
        <v>896000</v>
      </c>
      <c r="L31" s="207">
        <v>46000</v>
      </c>
      <c r="M31" s="161">
        <v>15.3</v>
      </c>
      <c r="N31" s="161">
        <v>1</v>
      </c>
      <c r="O31" s="161">
        <v>205</v>
      </c>
      <c r="P31" s="161">
        <v>11</v>
      </c>
      <c r="Q31" s="161">
        <v>269</v>
      </c>
      <c r="R31" s="161">
        <v>11</v>
      </c>
    </row>
    <row r="32" spans="1:18" hidden="1" x14ac:dyDescent="0.2">
      <c r="A32" t="s">
        <v>214</v>
      </c>
      <c r="B32" t="s">
        <v>215</v>
      </c>
      <c r="C32" t="s">
        <v>216</v>
      </c>
      <c r="D32" t="s">
        <v>128</v>
      </c>
      <c r="E32" s="202">
        <v>0.77640046296296295</v>
      </c>
      <c r="F32">
        <v>13.749000000000001</v>
      </c>
      <c r="G32" t="s">
        <v>215</v>
      </c>
      <c r="H32">
        <v>37</v>
      </c>
      <c r="I32" t="s">
        <v>129</v>
      </c>
      <c r="J32">
        <v>1</v>
      </c>
      <c r="K32" s="207">
        <v>962000</v>
      </c>
      <c r="L32" s="207">
        <v>49000</v>
      </c>
      <c r="M32" s="161">
        <v>15.3</v>
      </c>
      <c r="N32" s="161">
        <v>1</v>
      </c>
      <c r="O32" s="161">
        <v>191</v>
      </c>
      <c r="P32" s="161">
        <v>13</v>
      </c>
      <c r="Q32" s="161">
        <v>273</v>
      </c>
      <c r="R32" s="161">
        <v>18</v>
      </c>
    </row>
    <row r="33" spans="1:23" hidden="1" x14ac:dyDescent="0.2">
      <c r="A33" t="s">
        <v>217</v>
      </c>
      <c r="B33" t="s">
        <v>218</v>
      </c>
      <c r="C33" t="s">
        <v>219</v>
      </c>
      <c r="D33" t="s">
        <v>128</v>
      </c>
      <c r="E33" s="202">
        <v>0.78749999999999998</v>
      </c>
      <c r="F33">
        <v>13.75</v>
      </c>
      <c r="G33" t="s">
        <v>218</v>
      </c>
      <c r="H33">
        <v>37</v>
      </c>
      <c r="I33" t="s">
        <v>129</v>
      </c>
      <c r="J33">
        <v>1</v>
      </c>
      <c r="K33" s="207">
        <v>972000</v>
      </c>
      <c r="L33" s="207">
        <v>54000</v>
      </c>
      <c r="M33" s="161">
        <v>15.3</v>
      </c>
      <c r="N33" s="161">
        <v>1</v>
      </c>
      <c r="O33" s="161">
        <v>190</v>
      </c>
      <c r="P33" s="161">
        <v>12</v>
      </c>
      <c r="Q33" s="161">
        <v>259</v>
      </c>
      <c r="R33" s="161">
        <v>16</v>
      </c>
    </row>
    <row r="34" spans="1:23" hidden="1" x14ac:dyDescent="0.2">
      <c r="A34" t="s">
        <v>220</v>
      </c>
      <c r="B34" t="s">
        <v>221</v>
      </c>
      <c r="C34" t="s">
        <v>222</v>
      </c>
      <c r="D34" t="s">
        <v>128</v>
      </c>
      <c r="E34" s="202">
        <v>0.7879976851851852</v>
      </c>
      <c r="F34">
        <v>13.749000000000001</v>
      </c>
      <c r="G34" t="s">
        <v>221</v>
      </c>
      <c r="H34">
        <v>37</v>
      </c>
      <c r="I34" t="s">
        <v>129</v>
      </c>
      <c r="J34">
        <v>1</v>
      </c>
      <c r="K34" s="207">
        <v>716000</v>
      </c>
      <c r="L34" s="207">
        <v>28000</v>
      </c>
      <c r="M34" s="161">
        <v>15.3</v>
      </c>
      <c r="N34" s="161">
        <v>1</v>
      </c>
      <c r="O34" s="161">
        <v>201</v>
      </c>
      <c r="P34" s="161">
        <v>11</v>
      </c>
      <c r="Q34" s="161">
        <v>255</v>
      </c>
      <c r="R34" s="161">
        <v>13</v>
      </c>
    </row>
    <row r="35" spans="1:23" hidden="1" x14ac:dyDescent="0.2">
      <c r="A35" t="s">
        <v>223</v>
      </c>
      <c r="B35" t="s">
        <v>224</v>
      </c>
      <c r="C35" t="s">
        <v>225</v>
      </c>
      <c r="D35" t="s">
        <v>128</v>
      </c>
      <c r="E35" s="202">
        <v>0.7965740740740741</v>
      </c>
      <c r="F35">
        <v>13.749000000000001</v>
      </c>
      <c r="G35" t="s">
        <v>224</v>
      </c>
      <c r="H35">
        <v>37</v>
      </c>
      <c r="I35" t="s">
        <v>129</v>
      </c>
      <c r="J35">
        <v>1</v>
      </c>
      <c r="K35" s="207">
        <v>668000</v>
      </c>
      <c r="L35" s="207">
        <v>35000</v>
      </c>
      <c r="M35" s="161">
        <v>15.3</v>
      </c>
      <c r="N35" s="161">
        <v>1</v>
      </c>
      <c r="O35" s="161">
        <v>185</v>
      </c>
      <c r="P35" s="161">
        <v>7.5</v>
      </c>
      <c r="Q35" s="161">
        <v>255</v>
      </c>
      <c r="R35" s="161">
        <v>10</v>
      </c>
    </row>
    <row r="36" spans="1:23" hidden="1" x14ac:dyDescent="0.2">
      <c r="A36" t="s">
        <v>226</v>
      </c>
      <c r="B36" t="s">
        <v>227</v>
      </c>
      <c r="C36" t="s">
        <v>228</v>
      </c>
      <c r="D36" t="s">
        <v>128</v>
      </c>
      <c r="E36" s="202">
        <v>0.79707175925925933</v>
      </c>
      <c r="F36">
        <v>13.75</v>
      </c>
      <c r="G36" t="s">
        <v>227</v>
      </c>
      <c r="H36">
        <v>37</v>
      </c>
      <c r="I36" t="s">
        <v>129</v>
      </c>
      <c r="J36">
        <v>1</v>
      </c>
      <c r="K36" s="207">
        <v>782000</v>
      </c>
      <c r="L36" s="207">
        <v>39000</v>
      </c>
      <c r="M36" s="161">
        <v>15.3</v>
      </c>
      <c r="N36" s="161">
        <v>1</v>
      </c>
      <c r="O36" s="161">
        <v>189</v>
      </c>
      <c r="P36" s="161">
        <v>12</v>
      </c>
      <c r="Q36" s="161">
        <v>253</v>
      </c>
      <c r="R36" s="161">
        <v>13</v>
      </c>
    </row>
    <row r="37" spans="1:23" hidden="1" x14ac:dyDescent="0.2">
      <c r="A37" t="s">
        <v>229</v>
      </c>
      <c r="B37" t="s">
        <v>230</v>
      </c>
      <c r="C37" t="s">
        <v>231</v>
      </c>
      <c r="D37" t="s">
        <v>128</v>
      </c>
      <c r="E37" s="202">
        <v>0.80563657407407396</v>
      </c>
      <c r="F37">
        <v>13.75</v>
      </c>
      <c r="G37" t="s">
        <v>230</v>
      </c>
      <c r="H37">
        <v>37</v>
      </c>
      <c r="I37" t="s">
        <v>129</v>
      </c>
      <c r="J37">
        <v>1</v>
      </c>
      <c r="K37" s="207">
        <v>727000</v>
      </c>
      <c r="L37" s="207">
        <v>39000</v>
      </c>
      <c r="M37" s="161">
        <v>15.3</v>
      </c>
      <c r="N37" s="161">
        <v>1</v>
      </c>
      <c r="O37" s="161">
        <v>191</v>
      </c>
      <c r="P37" s="161">
        <v>12</v>
      </c>
      <c r="Q37" s="161">
        <v>269</v>
      </c>
      <c r="R37" s="161">
        <v>16</v>
      </c>
    </row>
    <row r="38" spans="1:23" hidden="1" x14ac:dyDescent="0.2">
      <c r="A38" t="s">
        <v>232</v>
      </c>
      <c r="B38" t="s">
        <v>233</v>
      </c>
      <c r="C38" t="s">
        <v>234</v>
      </c>
      <c r="D38" t="s">
        <v>128</v>
      </c>
      <c r="E38" s="202">
        <v>0.80614583333333334</v>
      </c>
      <c r="F38">
        <v>13.75</v>
      </c>
      <c r="G38" t="s">
        <v>233</v>
      </c>
      <c r="H38">
        <v>37</v>
      </c>
      <c r="I38" t="s">
        <v>129</v>
      </c>
      <c r="J38">
        <v>1</v>
      </c>
      <c r="K38" s="207">
        <v>907000</v>
      </c>
      <c r="L38" s="207">
        <v>55000</v>
      </c>
      <c r="M38" s="161">
        <v>15.3</v>
      </c>
      <c r="N38" s="161">
        <v>1</v>
      </c>
      <c r="O38" s="161">
        <v>186</v>
      </c>
      <c r="P38" s="161">
        <v>12</v>
      </c>
      <c r="Q38" s="161">
        <v>263</v>
      </c>
      <c r="R38" s="161">
        <v>17</v>
      </c>
    </row>
    <row r="39" spans="1:23" hidden="1" x14ac:dyDescent="0.2">
      <c r="A39" t="s">
        <v>235</v>
      </c>
      <c r="B39" t="s">
        <v>236</v>
      </c>
      <c r="C39" t="s">
        <v>237</v>
      </c>
      <c r="D39" t="s">
        <v>128</v>
      </c>
      <c r="E39" s="202">
        <v>0.81320601851851848</v>
      </c>
      <c r="F39">
        <v>13.75</v>
      </c>
      <c r="G39" t="s">
        <v>236</v>
      </c>
      <c r="H39">
        <v>37</v>
      </c>
      <c r="I39" t="s">
        <v>129</v>
      </c>
      <c r="J39">
        <v>1</v>
      </c>
      <c r="K39" s="207">
        <v>818000</v>
      </c>
      <c r="L39" s="207">
        <v>42000</v>
      </c>
      <c r="M39" s="161">
        <v>15.3</v>
      </c>
      <c r="N39" s="161">
        <v>1</v>
      </c>
      <c r="O39" s="161">
        <v>197</v>
      </c>
      <c r="P39" s="161">
        <v>13</v>
      </c>
      <c r="Q39" s="161">
        <v>266</v>
      </c>
      <c r="R39" s="161">
        <v>13</v>
      </c>
    </row>
    <row r="40" spans="1:23" hidden="1" x14ac:dyDescent="0.2">
      <c r="A40" t="s">
        <v>238</v>
      </c>
      <c r="B40" t="s">
        <v>239</v>
      </c>
      <c r="C40" t="s">
        <v>240</v>
      </c>
      <c r="D40" t="s">
        <v>128</v>
      </c>
      <c r="E40" s="202">
        <v>0.81370370370370371</v>
      </c>
      <c r="F40">
        <v>13.749000000000001</v>
      </c>
      <c r="G40" t="s">
        <v>239</v>
      </c>
      <c r="H40">
        <v>37</v>
      </c>
      <c r="I40" t="s">
        <v>129</v>
      </c>
      <c r="J40">
        <v>1</v>
      </c>
      <c r="K40" s="207">
        <v>642000</v>
      </c>
      <c r="L40" s="207">
        <v>27000</v>
      </c>
      <c r="M40" s="161">
        <v>15.3</v>
      </c>
      <c r="N40" s="161">
        <v>1</v>
      </c>
      <c r="O40" s="161">
        <v>202.8</v>
      </c>
      <c r="P40" s="161">
        <v>9.5</v>
      </c>
      <c r="Q40" s="161">
        <v>264</v>
      </c>
      <c r="R40" s="161">
        <v>12</v>
      </c>
    </row>
    <row r="41" spans="1:23" hidden="1" x14ac:dyDescent="0.2">
      <c r="A41" t="s">
        <v>241</v>
      </c>
      <c r="B41" t="s">
        <v>242</v>
      </c>
      <c r="C41" t="s">
        <v>243</v>
      </c>
      <c r="D41" t="s">
        <v>128</v>
      </c>
      <c r="E41" s="202">
        <v>0.81421296296296297</v>
      </c>
      <c r="F41">
        <v>13.75</v>
      </c>
      <c r="G41" t="s">
        <v>242</v>
      </c>
      <c r="H41">
        <v>37</v>
      </c>
      <c r="I41" t="s">
        <v>129</v>
      </c>
      <c r="J41">
        <v>1</v>
      </c>
      <c r="K41" s="207">
        <v>669000</v>
      </c>
      <c r="L41" s="207">
        <v>30000</v>
      </c>
      <c r="M41" s="161">
        <v>15.3</v>
      </c>
      <c r="N41" s="161">
        <v>1</v>
      </c>
      <c r="O41" s="161">
        <v>183</v>
      </c>
      <c r="P41" s="161">
        <v>9</v>
      </c>
      <c r="Q41" s="161">
        <v>252</v>
      </c>
      <c r="R41" s="161">
        <v>12</v>
      </c>
      <c r="T41" s="390"/>
      <c r="U41" s="390"/>
      <c r="V41" s="390"/>
      <c r="W41" s="390"/>
    </row>
    <row r="42" spans="1:23" x14ac:dyDescent="0.2">
      <c r="T42" s="390"/>
      <c r="U42" s="390"/>
      <c r="V42" s="390"/>
      <c r="W42" s="390"/>
    </row>
    <row r="43" spans="1:23" x14ac:dyDescent="0.2">
      <c r="A43" t="s">
        <v>244</v>
      </c>
      <c r="B43" t="s">
        <v>245</v>
      </c>
      <c r="C43" t="s">
        <v>246</v>
      </c>
      <c r="D43" t="s">
        <v>128</v>
      </c>
      <c r="E43" s="202">
        <v>0.7637962962962962</v>
      </c>
      <c r="F43">
        <v>13.749000000000001</v>
      </c>
      <c r="G43" t="s">
        <v>245</v>
      </c>
      <c r="H43">
        <v>37</v>
      </c>
      <c r="I43" t="s">
        <v>129</v>
      </c>
      <c r="J43">
        <v>1</v>
      </c>
      <c r="K43" s="207">
        <v>1066000</v>
      </c>
      <c r="L43" s="207">
        <v>79000</v>
      </c>
      <c r="M43" s="161">
        <v>15.3</v>
      </c>
      <c r="N43" s="161">
        <v>1</v>
      </c>
      <c r="O43" s="161">
        <v>597</v>
      </c>
      <c r="P43" s="161">
        <v>53</v>
      </c>
      <c r="Q43" s="161">
        <v>701</v>
      </c>
      <c r="R43" s="161">
        <v>69</v>
      </c>
      <c r="S43" t="s">
        <v>247</v>
      </c>
      <c r="T43" s="391" t="s">
        <v>26</v>
      </c>
      <c r="U43" s="390"/>
      <c r="V43" s="390"/>
      <c r="W43" s="390"/>
    </row>
    <row r="44" spans="1:23" x14ac:dyDescent="0.2">
      <c r="A44" t="s">
        <v>248</v>
      </c>
      <c r="B44" t="s">
        <v>249</v>
      </c>
      <c r="C44" t="s">
        <v>250</v>
      </c>
      <c r="D44" t="s">
        <v>128</v>
      </c>
      <c r="E44" s="202">
        <v>0.76430555555555557</v>
      </c>
      <c r="F44">
        <v>13.75</v>
      </c>
      <c r="G44" t="s">
        <v>249</v>
      </c>
      <c r="H44">
        <v>37</v>
      </c>
      <c r="I44" t="s">
        <v>129</v>
      </c>
      <c r="J44">
        <v>1</v>
      </c>
      <c r="K44" s="207">
        <v>1025000</v>
      </c>
      <c r="L44" s="207">
        <v>76000</v>
      </c>
      <c r="M44" s="161">
        <v>15.3</v>
      </c>
      <c r="N44" s="161">
        <v>1</v>
      </c>
      <c r="O44" s="161">
        <v>282</v>
      </c>
      <c r="P44" s="161">
        <v>80</v>
      </c>
      <c r="Q44" s="161">
        <v>351</v>
      </c>
      <c r="R44" s="161">
        <v>94</v>
      </c>
      <c r="S44" t="s">
        <v>247</v>
      </c>
      <c r="T44" s="390"/>
      <c r="U44" s="390"/>
      <c r="V44" s="390"/>
      <c r="W44" s="390"/>
    </row>
    <row r="45" spans="1:23" x14ac:dyDescent="0.2">
      <c r="A45" t="s">
        <v>251</v>
      </c>
      <c r="B45" t="s">
        <v>252</v>
      </c>
      <c r="C45" t="s">
        <v>253</v>
      </c>
      <c r="D45" t="s">
        <v>128</v>
      </c>
      <c r="E45" s="202">
        <v>0.7648032407407408</v>
      </c>
      <c r="F45">
        <v>13.749000000000001</v>
      </c>
      <c r="G45" t="s">
        <v>252</v>
      </c>
      <c r="H45">
        <v>37</v>
      </c>
      <c r="I45" t="s">
        <v>129</v>
      </c>
      <c r="J45">
        <v>1</v>
      </c>
      <c r="K45" s="207">
        <v>1010000</v>
      </c>
      <c r="L45" s="207">
        <v>64000</v>
      </c>
      <c r="M45" s="161">
        <v>15.3</v>
      </c>
      <c r="N45" s="161">
        <v>1</v>
      </c>
      <c r="O45" s="161">
        <v>414</v>
      </c>
      <c r="P45" s="161">
        <v>39</v>
      </c>
      <c r="Q45" s="161">
        <v>496</v>
      </c>
      <c r="R45" s="161">
        <v>42</v>
      </c>
      <c r="S45" t="s">
        <v>247</v>
      </c>
      <c r="T45" s="390"/>
      <c r="U45" s="390"/>
      <c r="V45" s="390"/>
      <c r="W45" s="390"/>
    </row>
    <row r="46" spans="1:23" x14ac:dyDescent="0.2">
      <c r="A46" t="s">
        <v>254</v>
      </c>
      <c r="B46" t="s">
        <v>255</v>
      </c>
      <c r="C46" t="s">
        <v>256</v>
      </c>
      <c r="D46" t="s">
        <v>128</v>
      </c>
      <c r="E46" s="202">
        <v>0.76531249999999995</v>
      </c>
      <c r="F46">
        <v>13.749000000000001</v>
      </c>
      <c r="G46" t="s">
        <v>255</v>
      </c>
      <c r="H46">
        <v>37</v>
      </c>
      <c r="I46" t="s">
        <v>129</v>
      </c>
      <c r="J46">
        <v>1</v>
      </c>
      <c r="K46" s="207">
        <v>1030000</v>
      </c>
      <c r="L46" s="207">
        <v>68000</v>
      </c>
      <c r="M46" s="161">
        <v>15.3</v>
      </c>
      <c r="N46" s="161">
        <v>1</v>
      </c>
      <c r="O46" s="161">
        <v>186</v>
      </c>
      <c r="P46" s="161">
        <v>17</v>
      </c>
      <c r="Q46" s="161">
        <v>322</v>
      </c>
      <c r="R46" s="161">
        <v>31</v>
      </c>
      <c r="S46" t="s">
        <v>247</v>
      </c>
      <c r="T46" s="390"/>
      <c r="U46" s="390"/>
      <c r="V46" s="390"/>
      <c r="W46" s="390"/>
    </row>
    <row r="47" spans="1:23" x14ac:dyDescent="0.2">
      <c r="A47" t="s">
        <v>257</v>
      </c>
      <c r="B47" t="s">
        <v>258</v>
      </c>
      <c r="C47" t="s">
        <v>259</v>
      </c>
      <c r="D47" t="s">
        <v>128</v>
      </c>
      <c r="E47" s="202">
        <v>0.76582175925925933</v>
      </c>
      <c r="F47">
        <v>13.75</v>
      </c>
      <c r="G47" t="s">
        <v>258</v>
      </c>
      <c r="H47">
        <v>37</v>
      </c>
      <c r="I47" t="s">
        <v>129</v>
      </c>
      <c r="J47">
        <v>1</v>
      </c>
      <c r="K47" s="207">
        <v>1035000</v>
      </c>
      <c r="L47" s="207">
        <v>48000</v>
      </c>
      <c r="M47" s="161">
        <v>15.3</v>
      </c>
      <c r="N47" s="161">
        <v>1</v>
      </c>
      <c r="O47" s="161">
        <v>241</v>
      </c>
      <c r="P47" s="161">
        <v>14</v>
      </c>
      <c r="Q47" s="161">
        <v>518</v>
      </c>
      <c r="R47" s="161">
        <v>43</v>
      </c>
      <c r="S47" t="s">
        <v>247</v>
      </c>
      <c r="T47" s="390" t="s">
        <v>260</v>
      </c>
      <c r="U47" s="390" t="s">
        <v>261</v>
      </c>
      <c r="V47" s="390" t="s">
        <v>262</v>
      </c>
      <c r="W47" s="390" t="s">
        <v>263</v>
      </c>
    </row>
    <row r="48" spans="1:23" s="148" customFormat="1" x14ac:dyDescent="0.2">
      <c r="A48" s="148" t="s">
        <v>264</v>
      </c>
      <c r="B48" s="148" t="s">
        <v>265</v>
      </c>
      <c r="C48" s="148" t="s">
        <v>266</v>
      </c>
      <c r="D48" s="148" t="s">
        <v>128</v>
      </c>
      <c r="E48" s="203">
        <v>0.76631944444444444</v>
      </c>
      <c r="F48" s="148">
        <v>13.749000000000001</v>
      </c>
      <c r="G48" s="148" t="s">
        <v>265</v>
      </c>
      <c r="H48" s="148">
        <v>37</v>
      </c>
      <c r="I48" s="148" t="s">
        <v>129</v>
      </c>
      <c r="J48" s="148">
        <v>1</v>
      </c>
      <c r="K48" s="208">
        <v>1038000</v>
      </c>
      <c r="L48" s="208">
        <v>78000</v>
      </c>
      <c r="M48" s="209">
        <v>15.3</v>
      </c>
      <c r="N48" s="209">
        <v>1</v>
      </c>
      <c r="O48" s="209">
        <v>236</v>
      </c>
      <c r="P48" s="209">
        <v>23</v>
      </c>
      <c r="Q48" s="209">
        <v>463</v>
      </c>
      <c r="R48" s="209">
        <v>42</v>
      </c>
      <c r="S48" s="148" t="s">
        <v>247</v>
      </c>
      <c r="T48" s="392">
        <f>AVERAGE(O43:O48)</f>
        <v>326</v>
      </c>
      <c r="U48" s="392">
        <f>AVERAGE(Q43:Q48)</f>
        <v>475.16666666666669</v>
      </c>
      <c r="V48" s="392">
        <f>_xlfn.STDEV.P(O43:O48)</f>
        <v>140.26522496090516</v>
      </c>
      <c r="W48" s="392">
        <f>_xlfn.STDEV.P(Q43:Q48)</f>
        <v>124.02609492450459</v>
      </c>
    </row>
    <row r="49" spans="1:23" x14ac:dyDescent="0.2">
      <c r="A49" t="s">
        <v>267</v>
      </c>
      <c r="B49" t="s">
        <v>268</v>
      </c>
      <c r="C49" t="s">
        <v>269</v>
      </c>
      <c r="D49" t="s">
        <v>128</v>
      </c>
      <c r="E49" s="202">
        <v>0.76732638888888882</v>
      </c>
      <c r="F49">
        <v>13.75</v>
      </c>
      <c r="G49" t="s">
        <v>268</v>
      </c>
      <c r="H49">
        <v>37</v>
      </c>
      <c r="I49" t="s">
        <v>129</v>
      </c>
      <c r="J49">
        <v>1</v>
      </c>
      <c r="K49" s="207">
        <v>1097000</v>
      </c>
      <c r="L49" s="207">
        <v>67000</v>
      </c>
      <c r="M49" s="161">
        <v>15.3</v>
      </c>
      <c r="N49" s="161">
        <v>1</v>
      </c>
      <c r="O49" s="161">
        <v>649</v>
      </c>
      <c r="P49" s="161">
        <v>35</v>
      </c>
      <c r="Q49" s="161">
        <v>1440</v>
      </c>
      <c r="R49" s="161">
        <v>91</v>
      </c>
      <c r="S49" t="s">
        <v>270</v>
      </c>
      <c r="T49" s="391" t="s">
        <v>25</v>
      </c>
      <c r="U49" s="390"/>
      <c r="V49" s="390"/>
      <c r="W49" s="390"/>
    </row>
    <row r="50" spans="1:23" x14ac:dyDescent="0.2">
      <c r="A50" t="s">
        <v>271</v>
      </c>
      <c r="B50" t="s">
        <v>272</v>
      </c>
      <c r="C50" t="s">
        <v>273</v>
      </c>
      <c r="D50" t="s">
        <v>128</v>
      </c>
      <c r="E50" s="202">
        <v>0.7678356481481482</v>
      </c>
      <c r="F50">
        <v>13.749000000000001</v>
      </c>
      <c r="G50" t="s">
        <v>272</v>
      </c>
      <c r="H50">
        <v>37</v>
      </c>
      <c r="I50" t="s">
        <v>129</v>
      </c>
      <c r="J50">
        <v>1</v>
      </c>
      <c r="K50" s="207">
        <v>1008000</v>
      </c>
      <c r="L50" s="207">
        <v>60000</v>
      </c>
      <c r="M50" s="161">
        <v>15.3</v>
      </c>
      <c r="N50" s="161">
        <v>1</v>
      </c>
      <c r="O50" s="161">
        <v>874</v>
      </c>
      <c r="P50" s="161">
        <v>64</v>
      </c>
      <c r="Q50" s="161">
        <v>1760</v>
      </c>
      <c r="R50" s="161">
        <v>110</v>
      </c>
      <c r="S50" t="s">
        <v>270</v>
      </c>
      <c r="T50" s="390"/>
      <c r="U50" s="390"/>
      <c r="V50" s="390"/>
      <c r="W50" s="390"/>
    </row>
    <row r="51" spans="1:23" x14ac:dyDescent="0.2">
      <c r="A51" t="s">
        <v>274</v>
      </c>
      <c r="B51" t="s">
        <v>275</v>
      </c>
      <c r="C51" t="s">
        <v>276</v>
      </c>
      <c r="D51" t="s">
        <v>128</v>
      </c>
      <c r="E51" s="202">
        <v>0.76833333333333342</v>
      </c>
      <c r="F51">
        <v>13.75</v>
      </c>
      <c r="G51" t="s">
        <v>275</v>
      </c>
      <c r="H51">
        <v>37</v>
      </c>
      <c r="I51" t="s">
        <v>129</v>
      </c>
      <c r="J51">
        <v>1</v>
      </c>
      <c r="K51" s="207">
        <v>977000</v>
      </c>
      <c r="L51" s="207">
        <v>55000</v>
      </c>
      <c r="M51" s="161">
        <v>15.3</v>
      </c>
      <c r="N51" s="161">
        <v>1</v>
      </c>
      <c r="O51" s="161">
        <v>907</v>
      </c>
      <c r="P51" s="161">
        <v>67</v>
      </c>
      <c r="Q51" s="161">
        <v>2830</v>
      </c>
      <c r="R51" s="161">
        <v>220</v>
      </c>
      <c r="S51" t="s">
        <v>270</v>
      </c>
      <c r="T51" s="390"/>
      <c r="U51" s="390"/>
      <c r="V51" s="390"/>
      <c r="W51" s="390"/>
    </row>
    <row r="52" spans="1:23" x14ac:dyDescent="0.2">
      <c r="A52" t="s">
        <v>277</v>
      </c>
      <c r="B52" t="s">
        <v>278</v>
      </c>
      <c r="C52" t="s">
        <v>279</v>
      </c>
      <c r="D52" t="s">
        <v>128</v>
      </c>
      <c r="E52" s="202">
        <v>0.76884259259259258</v>
      </c>
      <c r="F52">
        <v>13.75</v>
      </c>
      <c r="G52" t="s">
        <v>278</v>
      </c>
      <c r="H52">
        <v>37</v>
      </c>
      <c r="I52" t="s">
        <v>129</v>
      </c>
      <c r="J52">
        <v>1</v>
      </c>
      <c r="K52" s="207">
        <v>1021000</v>
      </c>
      <c r="L52" s="207">
        <v>47000</v>
      </c>
      <c r="M52" s="161">
        <v>15.3</v>
      </c>
      <c r="N52" s="161">
        <v>1</v>
      </c>
      <c r="O52" s="161">
        <v>2800</v>
      </c>
      <c r="P52" s="161">
        <v>130</v>
      </c>
      <c r="Q52" s="161">
        <v>4850</v>
      </c>
      <c r="R52" s="161">
        <v>270</v>
      </c>
      <c r="S52" t="s">
        <v>270</v>
      </c>
      <c r="T52" s="390"/>
      <c r="U52" s="390"/>
      <c r="V52" s="390"/>
      <c r="W52" s="390"/>
    </row>
    <row r="53" spans="1:23" x14ac:dyDescent="0.2">
      <c r="A53" t="s">
        <v>280</v>
      </c>
      <c r="B53" t="s">
        <v>281</v>
      </c>
      <c r="C53" t="s">
        <v>282</v>
      </c>
      <c r="D53" t="s">
        <v>128</v>
      </c>
      <c r="E53" s="202">
        <v>0.76935185185185195</v>
      </c>
      <c r="F53">
        <v>13.749000000000001</v>
      </c>
      <c r="G53" t="s">
        <v>281</v>
      </c>
      <c r="H53">
        <v>37</v>
      </c>
      <c r="I53" t="s">
        <v>129</v>
      </c>
      <c r="J53">
        <v>1</v>
      </c>
      <c r="K53" s="207">
        <v>1021000</v>
      </c>
      <c r="L53" s="207">
        <v>68000</v>
      </c>
      <c r="M53" s="161">
        <v>15.3</v>
      </c>
      <c r="N53" s="161">
        <v>1</v>
      </c>
      <c r="O53" s="161">
        <v>329</v>
      </c>
      <c r="P53" s="161">
        <v>23</v>
      </c>
      <c r="Q53" s="161">
        <v>1157</v>
      </c>
      <c r="R53" s="161">
        <v>74</v>
      </c>
      <c r="S53" t="s">
        <v>270</v>
      </c>
      <c r="T53" s="390"/>
      <c r="U53" s="390"/>
      <c r="V53" s="390"/>
      <c r="W53" s="390"/>
    </row>
    <row r="54" spans="1:23" x14ac:dyDescent="0.2">
      <c r="A54" t="s">
        <v>283</v>
      </c>
      <c r="B54" t="s">
        <v>284</v>
      </c>
      <c r="C54" t="s">
        <v>285</v>
      </c>
      <c r="D54" t="s">
        <v>128</v>
      </c>
      <c r="E54" s="202">
        <v>0.76984953703703696</v>
      </c>
      <c r="F54">
        <v>13.75</v>
      </c>
      <c r="G54" t="s">
        <v>284</v>
      </c>
      <c r="H54">
        <v>37</v>
      </c>
      <c r="I54" t="s">
        <v>129</v>
      </c>
      <c r="J54">
        <v>1</v>
      </c>
      <c r="K54" s="207">
        <v>1006000</v>
      </c>
      <c r="L54" s="207">
        <v>57000</v>
      </c>
      <c r="M54" s="161">
        <v>15.3</v>
      </c>
      <c r="N54" s="161">
        <v>1</v>
      </c>
      <c r="O54" s="161">
        <v>627</v>
      </c>
      <c r="P54" s="161">
        <v>36</v>
      </c>
      <c r="Q54" s="161">
        <v>1216</v>
      </c>
      <c r="R54" s="161">
        <v>62</v>
      </c>
      <c r="S54" t="s">
        <v>270</v>
      </c>
      <c r="T54" s="390"/>
      <c r="U54" s="390"/>
      <c r="V54" s="390"/>
      <c r="W54" s="390"/>
    </row>
    <row r="55" spans="1:23" x14ac:dyDescent="0.2">
      <c r="A55" t="s">
        <v>286</v>
      </c>
      <c r="B55" t="s">
        <v>287</v>
      </c>
      <c r="C55" t="s">
        <v>288</v>
      </c>
      <c r="D55" t="s">
        <v>128</v>
      </c>
      <c r="E55" s="202">
        <v>0.77035879629629633</v>
      </c>
      <c r="F55">
        <v>13.75</v>
      </c>
      <c r="G55" t="s">
        <v>287</v>
      </c>
      <c r="H55">
        <v>37</v>
      </c>
      <c r="I55" t="s">
        <v>129</v>
      </c>
      <c r="J55">
        <v>1</v>
      </c>
      <c r="K55" s="207">
        <v>923000</v>
      </c>
      <c r="L55" s="207">
        <v>62000</v>
      </c>
      <c r="M55" s="161">
        <v>15.3</v>
      </c>
      <c r="N55" s="161">
        <v>1</v>
      </c>
      <c r="O55" s="161">
        <v>651</v>
      </c>
      <c r="P55" s="161">
        <v>33</v>
      </c>
      <c r="Q55" s="161">
        <v>1417</v>
      </c>
      <c r="R55" s="161">
        <v>71</v>
      </c>
      <c r="S55" t="s">
        <v>270</v>
      </c>
      <c r="T55" s="390" t="s">
        <v>260</v>
      </c>
      <c r="U55" s="390" t="s">
        <v>261</v>
      </c>
      <c r="V55" s="390" t="s">
        <v>262</v>
      </c>
      <c r="W55" s="390" t="s">
        <v>263</v>
      </c>
    </row>
    <row r="56" spans="1:23" s="148" customFormat="1" x14ac:dyDescent="0.2">
      <c r="A56" s="148" t="s">
        <v>289</v>
      </c>
      <c r="B56" s="148" t="s">
        <v>290</v>
      </c>
      <c r="C56" s="148" t="s">
        <v>291</v>
      </c>
      <c r="D56" s="148" t="s">
        <v>128</v>
      </c>
      <c r="E56" s="203">
        <v>0.77085648148148145</v>
      </c>
      <c r="F56" s="148">
        <v>13.749000000000001</v>
      </c>
      <c r="G56" s="148" t="s">
        <v>290</v>
      </c>
      <c r="H56" s="148">
        <v>37</v>
      </c>
      <c r="I56" s="148" t="s">
        <v>129</v>
      </c>
      <c r="J56" s="148">
        <v>1</v>
      </c>
      <c r="K56" s="208">
        <v>999000</v>
      </c>
      <c r="L56" s="208">
        <v>62000</v>
      </c>
      <c r="M56" s="209">
        <v>15.3</v>
      </c>
      <c r="N56" s="209">
        <v>1</v>
      </c>
      <c r="O56" s="209">
        <v>324</v>
      </c>
      <c r="P56" s="209">
        <v>26</v>
      </c>
      <c r="Q56" s="209">
        <v>1032</v>
      </c>
      <c r="R56" s="209">
        <v>70</v>
      </c>
      <c r="S56" s="148" t="s">
        <v>270</v>
      </c>
      <c r="T56" s="392">
        <f>AVERAGE(O49:O56)</f>
        <v>895.125</v>
      </c>
      <c r="U56" s="392">
        <f>AVERAGE(Q49:Q56)</f>
        <v>1962.75</v>
      </c>
      <c r="V56" s="392">
        <f>_xlfn.STDEV.P(O49:O56)</f>
        <v>747.31878029057987</v>
      </c>
      <c r="W56" s="392">
        <f>_xlfn.STDEV.P(Q49:Q56)</f>
        <v>1213.1424844180506</v>
      </c>
    </row>
    <row r="57" spans="1:23" x14ac:dyDescent="0.2">
      <c r="A57" t="s">
        <v>292</v>
      </c>
      <c r="B57" t="s">
        <v>293</v>
      </c>
      <c r="C57" t="s">
        <v>294</v>
      </c>
      <c r="D57" t="s">
        <v>128</v>
      </c>
      <c r="E57" s="202">
        <v>0.77186342592592594</v>
      </c>
      <c r="F57">
        <v>13.749000000000001</v>
      </c>
      <c r="G57" t="s">
        <v>293</v>
      </c>
      <c r="H57">
        <v>37</v>
      </c>
      <c r="I57" t="s">
        <v>129</v>
      </c>
      <c r="J57">
        <v>1</v>
      </c>
      <c r="K57" s="207">
        <v>950000</v>
      </c>
      <c r="L57" s="207">
        <v>51000</v>
      </c>
      <c r="M57" s="161">
        <v>15.3</v>
      </c>
      <c r="N57" s="161">
        <v>1</v>
      </c>
      <c r="O57" s="161">
        <v>562</v>
      </c>
      <c r="P57" s="161">
        <v>41</v>
      </c>
      <c r="Q57" s="161">
        <v>1251</v>
      </c>
      <c r="R57" s="161">
        <v>72</v>
      </c>
      <c r="S57" t="s">
        <v>295</v>
      </c>
      <c r="T57" s="391" t="s">
        <v>24</v>
      </c>
      <c r="U57" s="390"/>
      <c r="V57" s="390"/>
      <c r="W57" s="390"/>
    </row>
    <row r="58" spans="1:23" x14ac:dyDescent="0.2">
      <c r="A58" t="s">
        <v>296</v>
      </c>
      <c r="B58" t="s">
        <v>297</v>
      </c>
      <c r="C58" t="s">
        <v>298</v>
      </c>
      <c r="D58" t="s">
        <v>128</v>
      </c>
      <c r="E58" s="202">
        <v>0.7723726851851852</v>
      </c>
      <c r="F58">
        <v>13.749000000000001</v>
      </c>
      <c r="G58" t="s">
        <v>297</v>
      </c>
      <c r="H58">
        <v>37</v>
      </c>
      <c r="I58" t="s">
        <v>129</v>
      </c>
      <c r="J58">
        <v>1</v>
      </c>
      <c r="K58" s="207">
        <v>843000</v>
      </c>
      <c r="L58" s="207">
        <v>44000</v>
      </c>
      <c r="M58" s="161">
        <v>15.3</v>
      </c>
      <c r="N58" s="161">
        <v>1</v>
      </c>
      <c r="O58" s="161">
        <v>116.3</v>
      </c>
      <c r="P58" s="161">
        <v>9.8000000000000007</v>
      </c>
      <c r="Q58" s="161">
        <v>465</v>
      </c>
      <c r="R58" s="161">
        <v>33</v>
      </c>
      <c r="S58" t="s">
        <v>295</v>
      </c>
      <c r="T58" s="390"/>
      <c r="U58" s="390"/>
      <c r="V58" s="390"/>
      <c r="W58" s="390"/>
    </row>
    <row r="59" spans="1:23" x14ac:dyDescent="0.2">
      <c r="A59" t="s">
        <v>299</v>
      </c>
      <c r="B59" t="s">
        <v>300</v>
      </c>
      <c r="C59" t="s">
        <v>301</v>
      </c>
      <c r="D59" t="s">
        <v>128</v>
      </c>
      <c r="E59" s="202">
        <v>0.77287037037037043</v>
      </c>
      <c r="F59">
        <v>13.75</v>
      </c>
      <c r="G59" t="s">
        <v>300</v>
      </c>
      <c r="H59">
        <v>37</v>
      </c>
      <c r="I59" t="s">
        <v>129</v>
      </c>
      <c r="J59">
        <v>1</v>
      </c>
      <c r="K59" s="207">
        <v>867000</v>
      </c>
      <c r="L59" s="207">
        <v>42000</v>
      </c>
      <c r="M59" s="161">
        <v>15.3</v>
      </c>
      <c r="N59" s="161">
        <v>1</v>
      </c>
      <c r="O59" s="161">
        <v>217</v>
      </c>
      <c r="P59" s="161">
        <v>16</v>
      </c>
      <c r="Q59" s="161">
        <v>642</v>
      </c>
      <c r="R59" s="161">
        <v>36</v>
      </c>
      <c r="S59" t="s">
        <v>295</v>
      </c>
      <c r="T59" s="390"/>
      <c r="U59" s="390"/>
      <c r="V59" s="390"/>
      <c r="W59" s="390"/>
    </row>
    <row r="60" spans="1:23" x14ac:dyDescent="0.2">
      <c r="A60" t="s">
        <v>302</v>
      </c>
      <c r="B60" t="s">
        <v>303</v>
      </c>
      <c r="C60" t="s">
        <v>304</v>
      </c>
      <c r="D60" t="s">
        <v>128</v>
      </c>
      <c r="E60" s="202">
        <v>0.77337962962962958</v>
      </c>
      <c r="F60">
        <v>13.749000000000001</v>
      </c>
      <c r="G60" t="s">
        <v>303</v>
      </c>
      <c r="H60">
        <v>37</v>
      </c>
      <c r="I60" t="s">
        <v>129</v>
      </c>
      <c r="J60">
        <v>1</v>
      </c>
      <c r="K60" s="207">
        <v>950000</v>
      </c>
      <c r="L60" s="207">
        <v>63000</v>
      </c>
      <c r="M60" s="161">
        <v>15.3</v>
      </c>
      <c r="N60" s="161">
        <v>1</v>
      </c>
      <c r="O60" s="161">
        <v>240</v>
      </c>
      <c r="P60" s="161">
        <v>17</v>
      </c>
      <c r="Q60" s="161">
        <v>813</v>
      </c>
      <c r="R60" s="161">
        <v>50</v>
      </c>
      <c r="S60" t="s">
        <v>295</v>
      </c>
      <c r="T60" s="390"/>
      <c r="U60" s="390"/>
      <c r="V60" s="390"/>
      <c r="W60" s="390"/>
    </row>
    <row r="61" spans="1:23" x14ac:dyDescent="0.2">
      <c r="A61" t="s">
        <v>305</v>
      </c>
      <c r="B61" t="s">
        <v>306</v>
      </c>
      <c r="C61" t="s">
        <v>307</v>
      </c>
      <c r="D61" t="s">
        <v>128</v>
      </c>
      <c r="E61" s="202">
        <v>0.77388888888888896</v>
      </c>
      <c r="F61">
        <v>13.749000000000001</v>
      </c>
      <c r="G61" t="s">
        <v>306</v>
      </c>
      <c r="H61">
        <v>37</v>
      </c>
      <c r="I61" t="s">
        <v>129</v>
      </c>
      <c r="J61">
        <v>1</v>
      </c>
      <c r="K61" s="207">
        <v>1067000</v>
      </c>
      <c r="L61" s="207">
        <v>71000</v>
      </c>
      <c r="M61" s="161">
        <v>15.3</v>
      </c>
      <c r="N61" s="161">
        <v>1</v>
      </c>
      <c r="O61" s="161">
        <v>193</v>
      </c>
      <c r="P61" s="161">
        <v>16</v>
      </c>
      <c r="Q61" s="161">
        <v>692</v>
      </c>
      <c r="R61" s="161">
        <v>50</v>
      </c>
      <c r="S61" t="s">
        <v>295</v>
      </c>
      <c r="T61" s="390"/>
      <c r="U61" s="390">
        <f>STDEV(Q57:Q63)</f>
        <v>256.4486396179646</v>
      </c>
      <c r="V61" s="390"/>
      <c r="W61" s="390"/>
    </row>
    <row r="62" spans="1:23" x14ac:dyDescent="0.2">
      <c r="A62" t="s">
        <v>308</v>
      </c>
      <c r="B62" t="s">
        <v>309</v>
      </c>
      <c r="C62" t="s">
        <v>310</v>
      </c>
      <c r="D62" t="s">
        <v>128</v>
      </c>
      <c r="E62" s="202">
        <v>0.77438657407407396</v>
      </c>
      <c r="F62">
        <v>13.75</v>
      </c>
      <c r="G62" t="s">
        <v>309</v>
      </c>
      <c r="H62">
        <v>37</v>
      </c>
      <c r="I62" t="s">
        <v>129</v>
      </c>
      <c r="J62">
        <v>1</v>
      </c>
      <c r="K62" s="207">
        <v>926000</v>
      </c>
      <c r="L62" s="207">
        <v>43000</v>
      </c>
      <c r="M62" s="161">
        <v>15.3</v>
      </c>
      <c r="N62" s="161">
        <v>1</v>
      </c>
      <c r="O62" s="161">
        <v>451</v>
      </c>
      <c r="P62" s="161">
        <v>24</v>
      </c>
      <c r="Q62" s="161">
        <v>742</v>
      </c>
      <c r="R62" s="161">
        <v>37</v>
      </c>
      <c r="S62" t="s">
        <v>295</v>
      </c>
      <c r="T62" s="390" t="s">
        <v>260</v>
      </c>
      <c r="U62" s="390" t="s">
        <v>261</v>
      </c>
      <c r="V62" s="390" t="s">
        <v>262</v>
      </c>
      <c r="W62" s="390" t="s">
        <v>263</v>
      </c>
    </row>
    <row r="63" spans="1:23" s="148" customFormat="1" x14ac:dyDescent="0.2">
      <c r="A63" s="148" t="s">
        <v>311</v>
      </c>
      <c r="B63" s="148" t="s">
        <v>312</v>
      </c>
      <c r="C63" s="148" t="s">
        <v>313</v>
      </c>
      <c r="D63" s="148" t="s">
        <v>128</v>
      </c>
      <c r="E63" s="203">
        <v>0.77489583333333334</v>
      </c>
      <c r="F63" s="148">
        <v>13.749000000000001</v>
      </c>
      <c r="G63" s="148" t="s">
        <v>312</v>
      </c>
      <c r="H63" s="148">
        <v>37</v>
      </c>
      <c r="I63" s="148" t="s">
        <v>129</v>
      </c>
      <c r="J63" s="148">
        <v>1</v>
      </c>
      <c r="K63" s="208">
        <v>826000</v>
      </c>
      <c r="L63" s="208">
        <v>37000</v>
      </c>
      <c r="M63" s="209">
        <v>15.3</v>
      </c>
      <c r="N63" s="209">
        <v>1</v>
      </c>
      <c r="O63" s="209">
        <v>513</v>
      </c>
      <c r="P63" s="209">
        <v>24</v>
      </c>
      <c r="Q63" s="209">
        <v>997</v>
      </c>
      <c r="R63" s="209">
        <v>38</v>
      </c>
      <c r="S63" s="148" t="s">
        <v>295</v>
      </c>
      <c r="T63" s="392">
        <f>AVERAGE(O57:O63)</f>
        <v>327.47142857142859</v>
      </c>
      <c r="U63" s="392">
        <f>AVERAGE(Q57:Q63)</f>
        <v>800.28571428571433</v>
      </c>
      <c r="V63" s="392">
        <f>_xlfn.STDEV.P(O57:O63)</f>
        <v>163.53895747571855</v>
      </c>
      <c r="W63" s="392">
        <f>_xlfn.STDEV.P(Q57:Q63)</f>
        <v>237.42530511763923</v>
      </c>
    </row>
    <row r="64" spans="1:23" x14ac:dyDescent="0.2">
      <c r="A64" t="s">
        <v>314</v>
      </c>
      <c r="B64" t="s">
        <v>315</v>
      </c>
      <c r="C64" t="s">
        <v>316</v>
      </c>
      <c r="D64" t="s">
        <v>128</v>
      </c>
      <c r="E64" s="202">
        <v>0.77690972222222221</v>
      </c>
      <c r="F64">
        <v>13.75</v>
      </c>
      <c r="G64" t="s">
        <v>315</v>
      </c>
      <c r="H64">
        <v>37</v>
      </c>
      <c r="I64" t="s">
        <v>129</v>
      </c>
      <c r="J64">
        <v>1</v>
      </c>
      <c r="K64" s="207">
        <v>1021000</v>
      </c>
      <c r="L64" s="207">
        <v>62000</v>
      </c>
      <c r="M64" s="161">
        <v>15.3</v>
      </c>
      <c r="N64" s="161">
        <v>1</v>
      </c>
      <c r="O64" s="161">
        <v>90.6</v>
      </c>
      <c r="P64" s="161">
        <v>6.8</v>
      </c>
      <c r="Q64" s="161">
        <v>173</v>
      </c>
      <c r="R64" s="161">
        <v>13</v>
      </c>
      <c r="S64" t="s">
        <v>317</v>
      </c>
      <c r="T64" s="391" t="s">
        <v>23</v>
      </c>
      <c r="U64" s="390"/>
      <c r="V64" s="390"/>
      <c r="W64" s="390"/>
    </row>
    <row r="65" spans="1:23" x14ac:dyDescent="0.2">
      <c r="A65" t="s">
        <v>318</v>
      </c>
      <c r="B65" t="s">
        <v>319</v>
      </c>
      <c r="C65" t="s">
        <v>320</v>
      </c>
      <c r="D65" t="s">
        <v>128</v>
      </c>
      <c r="E65" s="202">
        <v>0.77740740740740744</v>
      </c>
      <c r="F65">
        <v>13.75</v>
      </c>
      <c r="G65" t="s">
        <v>319</v>
      </c>
      <c r="H65">
        <v>37</v>
      </c>
      <c r="I65" t="s">
        <v>129</v>
      </c>
      <c r="J65">
        <v>1</v>
      </c>
      <c r="K65" s="207">
        <v>959000</v>
      </c>
      <c r="L65" s="207">
        <v>71000</v>
      </c>
      <c r="M65" s="161">
        <v>15.3</v>
      </c>
      <c r="N65" s="161">
        <v>1</v>
      </c>
      <c r="O65" s="161">
        <v>46.9</v>
      </c>
      <c r="P65" s="161">
        <v>3.4</v>
      </c>
      <c r="Q65" s="161">
        <v>90.7</v>
      </c>
      <c r="R65" s="161">
        <v>5.3</v>
      </c>
      <c r="S65" t="s">
        <v>317</v>
      </c>
      <c r="T65" s="390"/>
      <c r="U65" s="390"/>
      <c r="V65" s="390"/>
      <c r="W65" s="390"/>
    </row>
    <row r="66" spans="1:23" x14ac:dyDescent="0.2">
      <c r="A66" t="s">
        <v>321</v>
      </c>
      <c r="B66" t="s">
        <v>322</v>
      </c>
      <c r="C66" t="s">
        <v>323</v>
      </c>
      <c r="D66" t="s">
        <v>128</v>
      </c>
      <c r="E66" s="202">
        <v>0.7779166666666667</v>
      </c>
      <c r="F66">
        <v>13.749000000000001</v>
      </c>
      <c r="G66" t="s">
        <v>322</v>
      </c>
      <c r="H66">
        <v>37</v>
      </c>
      <c r="I66" t="s">
        <v>129</v>
      </c>
      <c r="J66">
        <v>1</v>
      </c>
      <c r="K66" s="207">
        <v>921000</v>
      </c>
      <c r="L66" s="207">
        <v>56000</v>
      </c>
      <c r="M66" s="161">
        <v>15.3</v>
      </c>
      <c r="N66" s="161">
        <v>1</v>
      </c>
      <c r="O66" s="161">
        <v>49.8</v>
      </c>
      <c r="P66" s="161">
        <v>4</v>
      </c>
      <c r="Q66" s="161">
        <v>92.9</v>
      </c>
      <c r="R66" s="161">
        <v>7.7</v>
      </c>
      <c r="S66" t="s">
        <v>317</v>
      </c>
      <c r="T66" s="390"/>
      <c r="U66" s="390"/>
      <c r="V66" s="390"/>
      <c r="W66" s="390"/>
    </row>
    <row r="67" spans="1:23" x14ac:dyDescent="0.2">
      <c r="A67" t="s">
        <v>324</v>
      </c>
      <c r="B67" t="s">
        <v>325</v>
      </c>
      <c r="C67" t="s">
        <v>326</v>
      </c>
      <c r="D67" t="s">
        <v>128</v>
      </c>
      <c r="E67" s="202">
        <v>0.77842592592592597</v>
      </c>
      <c r="F67">
        <v>13.75</v>
      </c>
      <c r="G67" t="s">
        <v>325</v>
      </c>
      <c r="H67">
        <v>37</v>
      </c>
      <c r="I67" t="s">
        <v>129</v>
      </c>
      <c r="J67">
        <v>1</v>
      </c>
      <c r="K67" s="207">
        <v>939000</v>
      </c>
      <c r="L67" s="207">
        <v>53000</v>
      </c>
      <c r="M67" s="161">
        <v>15.3</v>
      </c>
      <c r="N67" s="161">
        <v>1</v>
      </c>
      <c r="O67" s="161">
        <v>39.799999999999997</v>
      </c>
      <c r="P67" s="161">
        <v>4.2</v>
      </c>
      <c r="Q67" s="161">
        <v>72.3</v>
      </c>
      <c r="R67" s="161">
        <v>7.6</v>
      </c>
      <c r="S67" t="s">
        <v>317</v>
      </c>
      <c r="T67" s="390"/>
      <c r="U67" s="390"/>
      <c r="V67" s="390"/>
      <c r="W67" s="390"/>
    </row>
    <row r="68" spans="1:23" x14ac:dyDescent="0.2">
      <c r="A68" t="s">
        <v>327</v>
      </c>
      <c r="B68" t="s">
        <v>328</v>
      </c>
      <c r="C68" t="s">
        <v>329</v>
      </c>
      <c r="D68" t="s">
        <v>128</v>
      </c>
      <c r="E68" s="202">
        <v>0.77892361111111119</v>
      </c>
      <c r="F68">
        <v>13.75</v>
      </c>
      <c r="G68" t="s">
        <v>328</v>
      </c>
      <c r="H68">
        <v>37</v>
      </c>
      <c r="I68" t="s">
        <v>129</v>
      </c>
      <c r="J68">
        <v>1</v>
      </c>
      <c r="K68" s="207">
        <v>935000</v>
      </c>
      <c r="L68" s="207">
        <v>58000</v>
      </c>
      <c r="M68" s="161">
        <v>15.3</v>
      </c>
      <c r="N68" s="161">
        <v>1</v>
      </c>
      <c r="O68" s="161">
        <v>43.1</v>
      </c>
      <c r="P68" s="161">
        <v>3.8</v>
      </c>
      <c r="Q68" s="161">
        <v>82.2</v>
      </c>
      <c r="R68" s="161">
        <v>6.9</v>
      </c>
      <c r="S68" t="s">
        <v>317</v>
      </c>
      <c r="T68" s="390"/>
      <c r="U68" s="390"/>
      <c r="V68" s="390"/>
      <c r="W68" s="390"/>
    </row>
    <row r="69" spans="1:23" x14ac:dyDescent="0.2">
      <c r="A69" t="s">
        <v>330</v>
      </c>
      <c r="B69" t="s">
        <v>331</v>
      </c>
      <c r="C69" t="s">
        <v>332</v>
      </c>
      <c r="D69" t="s">
        <v>128</v>
      </c>
      <c r="E69" s="202">
        <v>0.77943287037037035</v>
      </c>
      <c r="F69">
        <v>13.749000000000001</v>
      </c>
      <c r="G69" t="s">
        <v>331</v>
      </c>
      <c r="H69">
        <v>37</v>
      </c>
      <c r="I69" t="s">
        <v>129</v>
      </c>
      <c r="J69">
        <v>1</v>
      </c>
      <c r="K69" s="207">
        <v>723000</v>
      </c>
      <c r="L69" s="207">
        <v>48000</v>
      </c>
      <c r="M69" s="161">
        <v>15.3</v>
      </c>
      <c r="N69" s="161">
        <v>1</v>
      </c>
      <c r="O69" s="161">
        <v>114.2</v>
      </c>
      <c r="P69" s="161">
        <v>6.1</v>
      </c>
      <c r="Q69" s="161">
        <v>127.9</v>
      </c>
      <c r="R69" s="161">
        <v>6.1</v>
      </c>
      <c r="S69" t="s">
        <v>317</v>
      </c>
      <c r="T69" s="390"/>
      <c r="U69" s="390"/>
      <c r="V69" s="390"/>
      <c r="W69" s="390"/>
    </row>
    <row r="70" spans="1:23" x14ac:dyDescent="0.2">
      <c r="A70" t="s">
        <v>333</v>
      </c>
      <c r="B70" t="s">
        <v>334</v>
      </c>
      <c r="C70" t="s">
        <v>335</v>
      </c>
      <c r="D70" t="s">
        <v>128</v>
      </c>
      <c r="E70" s="202">
        <v>0.77993055555555557</v>
      </c>
      <c r="F70">
        <v>13.75</v>
      </c>
      <c r="G70" t="s">
        <v>334</v>
      </c>
      <c r="H70">
        <v>37</v>
      </c>
      <c r="I70" t="s">
        <v>129</v>
      </c>
      <c r="J70">
        <v>1</v>
      </c>
      <c r="K70" s="207">
        <v>902000</v>
      </c>
      <c r="L70" s="207">
        <v>53000</v>
      </c>
      <c r="M70" s="161">
        <v>15.3</v>
      </c>
      <c r="N70" s="161">
        <v>1</v>
      </c>
      <c r="O70" s="161">
        <v>66.5</v>
      </c>
      <c r="P70" s="161">
        <v>4</v>
      </c>
      <c r="Q70" s="161">
        <v>92</v>
      </c>
      <c r="R70" s="161">
        <v>4.7</v>
      </c>
      <c r="S70" t="s">
        <v>317</v>
      </c>
      <c r="T70" s="390"/>
      <c r="U70" s="390"/>
      <c r="V70" s="390"/>
      <c r="W70" s="390"/>
    </row>
    <row r="71" spans="1:23" x14ac:dyDescent="0.2">
      <c r="A71" t="s">
        <v>336</v>
      </c>
      <c r="B71" t="s">
        <v>337</v>
      </c>
      <c r="C71" t="s">
        <v>338</v>
      </c>
      <c r="D71" t="s">
        <v>128</v>
      </c>
      <c r="E71" s="202">
        <v>0.78043981481481473</v>
      </c>
      <c r="F71">
        <v>13.749000000000001</v>
      </c>
      <c r="G71" t="s">
        <v>337</v>
      </c>
      <c r="H71">
        <v>37</v>
      </c>
      <c r="I71" t="s">
        <v>129</v>
      </c>
      <c r="J71">
        <v>1</v>
      </c>
      <c r="K71" s="207">
        <v>893000</v>
      </c>
      <c r="L71" s="207">
        <v>50000</v>
      </c>
      <c r="M71" s="161">
        <v>15.3</v>
      </c>
      <c r="N71" s="161">
        <v>1</v>
      </c>
      <c r="O71" s="161">
        <v>53.9</v>
      </c>
      <c r="P71" s="161">
        <v>3.8</v>
      </c>
      <c r="Q71" s="161">
        <v>91.9</v>
      </c>
      <c r="R71" s="161">
        <v>7.1</v>
      </c>
      <c r="S71" t="s">
        <v>317</v>
      </c>
      <c r="T71" s="393" t="s">
        <v>260</v>
      </c>
      <c r="U71" s="393" t="s">
        <v>261</v>
      </c>
      <c r="V71" s="393" t="s">
        <v>262</v>
      </c>
      <c r="W71" s="393" t="s">
        <v>263</v>
      </c>
    </row>
    <row r="72" spans="1:23" s="148" customFormat="1" x14ac:dyDescent="0.2">
      <c r="A72" s="148" t="s">
        <v>339</v>
      </c>
      <c r="B72" s="148" t="s">
        <v>340</v>
      </c>
      <c r="C72" s="148" t="s">
        <v>341</v>
      </c>
      <c r="D72" s="148" t="s">
        <v>128</v>
      </c>
      <c r="E72" s="203">
        <v>0.78093749999999995</v>
      </c>
      <c r="F72" s="148">
        <v>13.749000000000001</v>
      </c>
      <c r="G72" s="148" t="s">
        <v>340</v>
      </c>
      <c r="H72" s="148">
        <v>37</v>
      </c>
      <c r="I72" s="148" t="s">
        <v>129</v>
      </c>
      <c r="J72" s="148">
        <v>1</v>
      </c>
      <c r="K72" s="208">
        <v>914000</v>
      </c>
      <c r="L72" s="208">
        <v>63000</v>
      </c>
      <c r="M72" s="209">
        <v>15.3</v>
      </c>
      <c r="N72" s="209">
        <v>1</v>
      </c>
      <c r="O72" s="209">
        <v>44.6</v>
      </c>
      <c r="P72" s="209">
        <v>3.8</v>
      </c>
      <c r="Q72" s="209">
        <v>67.599999999999994</v>
      </c>
      <c r="R72" s="209">
        <v>4.9000000000000004</v>
      </c>
      <c r="S72" s="148" t="s">
        <v>317</v>
      </c>
      <c r="T72" s="392">
        <f>AVERAGE(O64:O72)</f>
        <v>61.044444444444444</v>
      </c>
      <c r="U72" s="392">
        <f>AVERAGE(Q64:Q72)</f>
        <v>98.944444444444443</v>
      </c>
      <c r="V72" s="392">
        <f>_xlfn.STDEV.P(O64:O72)</f>
        <v>23.921404228157538</v>
      </c>
      <c r="W72" s="392">
        <f>_xlfn.STDEV.P(Q64:Q72)</f>
        <v>30.727805399855004</v>
      </c>
    </row>
    <row r="73" spans="1:23" x14ac:dyDescent="0.2">
      <c r="A73" t="s">
        <v>342</v>
      </c>
      <c r="B73" t="s">
        <v>343</v>
      </c>
      <c r="C73" t="s">
        <v>344</v>
      </c>
      <c r="D73" t="s">
        <v>128</v>
      </c>
      <c r="E73" s="202">
        <v>0.78195601851851848</v>
      </c>
      <c r="F73">
        <v>13.749000000000001</v>
      </c>
      <c r="G73" t="s">
        <v>343</v>
      </c>
      <c r="H73">
        <v>37</v>
      </c>
      <c r="I73" t="s">
        <v>129</v>
      </c>
      <c r="J73">
        <v>1</v>
      </c>
      <c r="K73" s="207">
        <v>775000</v>
      </c>
      <c r="L73" s="207">
        <v>68000</v>
      </c>
      <c r="M73" s="161">
        <v>15.3</v>
      </c>
      <c r="N73" s="161">
        <v>1</v>
      </c>
      <c r="O73" s="161">
        <v>199</v>
      </c>
      <c r="P73" s="161">
        <v>18</v>
      </c>
      <c r="Q73" s="161">
        <v>172</v>
      </c>
      <c r="R73" s="161">
        <v>12</v>
      </c>
      <c r="S73" t="s">
        <v>345</v>
      </c>
      <c r="T73" s="391" t="s">
        <v>22</v>
      </c>
      <c r="U73" s="390"/>
      <c r="V73" s="390"/>
      <c r="W73" s="390"/>
    </row>
    <row r="74" spans="1:23" x14ac:dyDescent="0.2">
      <c r="A74" t="s">
        <v>346</v>
      </c>
      <c r="B74" t="s">
        <v>347</v>
      </c>
      <c r="C74" t="s">
        <v>348</v>
      </c>
      <c r="D74" t="s">
        <v>128</v>
      </c>
      <c r="E74" s="202">
        <v>0.78245370370370371</v>
      </c>
      <c r="F74">
        <v>13.749000000000001</v>
      </c>
      <c r="G74" t="s">
        <v>347</v>
      </c>
      <c r="H74">
        <v>37</v>
      </c>
      <c r="I74" t="s">
        <v>129</v>
      </c>
      <c r="J74">
        <v>1</v>
      </c>
      <c r="K74" s="207">
        <v>843000</v>
      </c>
      <c r="L74" s="207">
        <v>50000</v>
      </c>
      <c r="M74" s="161">
        <v>15.3</v>
      </c>
      <c r="N74" s="161">
        <v>1</v>
      </c>
      <c r="O74" s="161">
        <v>170</v>
      </c>
      <c r="P74" s="161">
        <v>11</v>
      </c>
      <c r="Q74" s="161">
        <v>148</v>
      </c>
      <c r="R74" s="161">
        <v>11</v>
      </c>
      <c r="S74" t="s">
        <v>345</v>
      </c>
      <c r="T74" s="390"/>
      <c r="U74" s="390"/>
      <c r="V74" s="390"/>
      <c r="W74" s="390"/>
    </row>
    <row r="75" spans="1:23" x14ac:dyDescent="0.2">
      <c r="A75" t="s">
        <v>349</v>
      </c>
      <c r="B75" t="s">
        <v>350</v>
      </c>
      <c r="C75" t="s">
        <v>351</v>
      </c>
      <c r="D75" t="s">
        <v>128</v>
      </c>
      <c r="E75" s="202">
        <v>0.78296296296296297</v>
      </c>
      <c r="F75">
        <v>13.75</v>
      </c>
      <c r="G75" t="s">
        <v>350</v>
      </c>
      <c r="H75">
        <v>37</v>
      </c>
      <c r="I75" t="s">
        <v>129</v>
      </c>
      <c r="J75">
        <v>1</v>
      </c>
      <c r="K75" s="207">
        <v>752000</v>
      </c>
      <c r="L75" s="207">
        <v>50000</v>
      </c>
      <c r="M75" s="161">
        <v>15.3</v>
      </c>
      <c r="N75" s="161">
        <v>1</v>
      </c>
      <c r="O75" s="161">
        <v>111.8</v>
      </c>
      <c r="P75" s="161">
        <v>4.7</v>
      </c>
      <c r="Q75" s="161">
        <v>122.7</v>
      </c>
      <c r="R75" s="161">
        <v>9.4</v>
      </c>
      <c r="S75" t="s">
        <v>345</v>
      </c>
      <c r="T75" s="390"/>
      <c r="U75" s="390"/>
      <c r="V75" s="390"/>
      <c r="W75" s="390"/>
    </row>
    <row r="76" spans="1:23" x14ac:dyDescent="0.2">
      <c r="A76" t="s">
        <v>352</v>
      </c>
      <c r="B76" t="s">
        <v>353</v>
      </c>
      <c r="C76" t="s">
        <v>354</v>
      </c>
      <c r="D76" t="s">
        <v>128</v>
      </c>
      <c r="E76" s="202">
        <v>0.7834606481481482</v>
      </c>
      <c r="F76">
        <v>13.749000000000001</v>
      </c>
      <c r="G76" t="s">
        <v>353</v>
      </c>
      <c r="H76">
        <v>37</v>
      </c>
      <c r="I76" t="s">
        <v>129</v>
      </c>
      <c r="J76">
        <v>1</v>
      </c>
      <c r="K76" s="207">
        <v>805000</v>
      </c>
      <c r="L76" s="207">
        <v>54000</v>
      </c>
      <c r="M76" s="161">
        <v>15.3</v>
      </c>
      <c r="N76" s="161">
        <v>1</v>
      </c>
      <c r="O76" s="161">
        <v>192</v>
      </c>
      <c r="P76" s="161">
        <v>10</v>
      </c>
      <c r="Q76" s="161">
        <v>144</v>
      </c>
      <c r="R76" s="161">
        <v>7.1</v>
      </c>
      <c r="S76" t="s">
        <v>345</v>
      </c>
      <c r="T76" s="390"/>
      <c r="U76" s="390"/>
      <c r="V76" s="390"/>
      <c r="W76" s="390"/>
    </row>
    <row r="77" spans="1:23" x14ac:dyDescent="0.2">
      <c r="A77" t="s">
        <v>355</v>
      </c>
      <c r="B77" t="s">
        <v>356</v>
      </c>
      <c r="C77" t="s">
        <v>357</v>
      </c>
      <c r="D77" t="s">
        <v>128</v>
      </c>
      <c r="E77" s="202">
        <v>0.78396990740740735</v>
      </c>
      <c r="F77">
        <v>13.75</v>
      </c>
      <c r="G77" t="s">
        <v>356</v>
      </c>
      <c r="H77">
        <v>37</v>
      </c>
      <c r="I77" t="s">
        <v>129</v>
      </c>
      <c r="J77">
        <v>1</v>
      </c>
      <c r="K77" s="207">
        <v>766000</v>
      </c>
      <c r="L77" s="207">
        <v>47000</v>
      </c>
      <c r="M77" s="161">
        <v>15.3</v>
      </c>
      <c r="N77" s="161">
        <v>1</v>
      </c>
      <c r="O77" s="161">
        <v>293</v>
      </c>
      <c r="P77" s="161">
        <v>20</v>
      </c>
      <c r="Q77" s="161">
        <v>278</v>
      </c>
      <c r="R77" s="161">
        <v>19</v>
      </c>
      <c r="S77" t="s">
        <v>345</v>
      </c>
      <c r="T77" s="390"/>
      <c r="U77" s="390"/>
      <c r="V77" s="390"/>
      <c r="W77" s="390"/>
    </row>
    <row r="78" spans="1:23" x14ac:dyDescent="0.2">
      <c r="A78" t="s">
        <v>358</v>
      </c>
      <c r="B78" t="s">
        <v>359</v>
      </c>
      <c r="C78" t="s">
        <v>360</v>
      </c>
      <c r="D78" t="s">
        <v>128</v>
      </c>
      <c r="E78" s="202">
        <v>0.78446759259259258</v>
      </c>
      <c r="F78">
        <v>13.75</v>
      </c>
      <c r="G78" t="s">
        <v>359</v>
      </c>
      <c r="H78">
        <v>37</v>
      </c>
      <c r="I78" t="s">
        <v>129</v>
      </c>
      <c r="J78">
        <v>1</v>
      </c>
      <c r="K78" s="207">
        <v>695000</v>
      </c>
      <c r="L78" s="207">
        <v>46000</v>
      </c>
      <c r="M78" s="161">
        <v>15.3</v>
      </c>
      <c r="N78" s="161">
        <v>1</v>
      </c>
      <c r="O78" s="161">
        <v>124</v>
      </c>
      <c r="P78" s="161">
        <v>10</v>
      </c>
      <c r="Q78" s="161">
        <v>125.3</v>
      </c>
      <c r="R78" s="161">
        <v>9.1999999999999993</v>
      </c>
      <c r="S78" t="s">
        <v>345</v>
      </c>
      <c r="T78" s="390"/>
      <c r="U78" s="390"/>
      <c r="V78" s="390"/>
      <c r="W78" s="390"/>
    </row>
    <row r="79" spans="1:23" x14ac:dyDescent="0.2">
      <c r="A79" t="s">
        <v>361</v>
      </c>
      <c r="B79" t="s">
        <v>362</v>
      </c>
      <c r="C79" t="s">
        <v>363</v>
      </c>
      <c r="D79" t="s">
        <v>128</v>
      </c>
      <c r="E79" s="202">
        <v>0.78497685185185195</v>
      </c>
      <c r="F79">
        <v>13.749000000000001</v>
      </c>
      <c r="G79" t="s">
        <v>362</v>
      </c>
      <c r="H79">
        <v>37</v>
      </c>
      <c r="I79" t="s">
        <v>129</v>
      </c>
      <c r="J79">
        <v>1</v>
      </c>
      <c r="K79" s="207">
        <v>803000</v>
      </c>
      <c r="L79" s="207">
        <v>35000</v>
      </c>
      <c r="M79" s="161">
        <v>15.3</v>
      </c>
      <c r="N79" s="161">
        <v>1</v>
      </c>
      <c r="O79" s="161">
        <v>275</v>
      </c>
      <c r="P79" s="161">
        <v>15</v>
      </c>
      <c r="Q79" s="161">
        <v>234</v>
      </c>
      <c r="R79" s="161">
        <v>12</v>
      </c>
      <c r="S79" t="s">
        <v>345</v>
      </c>
      <c r="T79" s="390"/>
      <c r="U79" s="390"/>
      <c r="V79" s="390"/>
      <c r="W79" s="390"/>
    </row>
    <row r="80" spans="1:23" x14ac:dyDescent="0.2">
      <c r="A80" t="s">
        <v>364</v>
      </c>
      <c r="B80" t="s">
        <v>365</v>
      </c>
      <c r="C80" t="s">
        <v>366</v>
      </c>
      <c r="D80" t="s">
        <v>128</v>
      </c>
      <c r="E80" s="202">
        <v>0.78547453703703696</v>
      </c>
      <c r="F80">
        <v>13.75</v>
      </c>
      <c r="G80" t="s">
        <v>365</v>
      </c>
      <c r="H80">
        <v>37</v>
      </c>
      <c r="I80" t="s">
        <v>129</v>
      </c>
      <c r="J80">
        <v>1</v>
      </c>
      <c r="K80" s="207">
        <v>723000</v>
      </c>
      <c r="L80" s="207">
        <v>49000</v>
      </c>
      <c r="M80" s="161">
        <v>15.3</v>
      </c>
      <c r="N80" s="161">
        <v>1</v>
      </c>
      <c r="O80" s="161">
        <v>240</v>
      </c>
      <c r="P80" s="161">
        <v>13</v>
      </c>
      <c r="Q80" s="161">
        <v>207</v>
      </c>
      <c r="R80" s="161">
        <v>11</v>
      </c>
      <c r="S80" t="s">
        <v>345</v>
      </c>
      <c r="T80" s="393" t="s">
        <v>260</v>
      </c>
      <c r="U80" s="393" t="s">
        <v>261</v>
      </c>
      <c r="V80" s="393" t="s">
        <v>262</v>
      </c>
      <c r="W80" s="393" t="s">
        <v>263</v>
      </c>
    </row>
    <row r="81" spans="1:23" s="148" customFormat="1" x14ac:dyDescent="0.2">
      <c r="A81" s="148" t="s">
        <v>367</v>
      </c>
      <c r="B81" s="148" t="s">
        <v>368</v>
      </c>
      <c r="C81" s="148" t="s">
        <v>369</v>
      </c>
      <c r="D81" s="148" t="s">
        <v>128</v>
      </c>
      <c r="E81" s="203">
        <v>0.78598379629629633</v>
      </c>
      <c r="F81" s="148">
        <v>13.75</v>
      </c>
      <c r="G81" s="148" t="s">
        <v>368</v>
      </c>
      <c r="H81" s="148">
        <v>37</v>
      </c>
      <c r="I81" s="148" t="s">
        <v>129</v>
      </c>
      <c r="J81" s="148">
        <v>1</v>
      </c>
      <c r="K81" s="208">
        <v>774000</v>
      </c>
      <c r="L81" s="208">
        <v>36000</v>
      </c>
      <c r="M81" s="209">
        <v>15.3</v>
      </c>
      <c r="N81" s="209">
        <v>1</v>
      </c>
      <c r="O81" s="209">
        <v>161</v>
      </c>
      <c r="P81" s="209">
        <v>10</v>
      </c>
      <c r="Q81" s="209">
        <v>147.9</v>
      </c>
      <c r="R81" s="209">
        <v>7.5</v>
      </c>
      <c r="S81" s="148" t="s">
        <v>345</v>
      </c>
      <c r="T81" s="392">
        <f>AVERAGE(O73:O81)</f>
        <v>196.2</v>
      </c>
      <c r="U81" s="392">
        <f>AVERAGE(Q73:Q81)</f>
        <v>175.43333333333334</v>
      </c>
      <c r="V81" s="392">
        <f>_xlfn.STDEV.P(O73:O81)</f>
        <v>59.428089131132118</v>
      </c>
      <c r="W81" s="392">
        <f>_xlfn.STDEV.P(Q73:Q81)</f>
        <v>50.278225903466392</v>
      </c>
    </row>
    <row r="82" spans="1:23" x14ac:dyDescent="0.2">
      <c r="A82" t="s">
        <v>370</v>
      </c>
      <c r="B82" t="s">
        <v>371</v>
      </c>
      <c r="C82" t="s">
        <v>372</v>
      </c>
      <c r="D82" t="s">
        <v>128</v>
      </c>
      <c r="E82" s="202">
        <v>0.78850694444444447</v>
      </c>
      <c r="F82">
        <v>13.75</v>
      </c>
      <c r="G82" t="s">
        <v>371</v>
      </c>
      <c r="H82">
        <v>37</v>
      </c>
      <c r="I82" t="s">
        <v>129</v>
      </c>
      <c r="J82">
        <v>1</v>
      </c>
      <c r="K82" s="207">
        <v>945000</v>
      </c>
      <c r="L82" s="207">
        <v>56000</v>
      </c>
      <c r="M82" s="161">
        <v>15.3</v>
      </c>
      <c r="N82" s="161">
        <v>1</v>
      </c>
      <c r="O82" s="161">
        <v>47.4</v>
      </c>
      <c r="P82" s="161">
        <v>2.8</v>
      </c>
      <c r="Q82" s="161">
        <v>447</v>
      </c>
      <c r="R82" s="161">
        <v>32</v>
      </c>
      <c r="S82" t="s">
        <v>373</v>
      </c>
      <c r="T82" s="391" t="s">
        <v>32</v>
      </c>
      <c r="U82" s="390"/>
      <c r="V82" s="390"/>
      <c r="W82" s="390"/>
    </row>
    <row r="83" spans="1:23" x14ac:dyDescent="0.2">
      <c r="A83" t="s">
        <v>374</v>
      </c>
      <c r="B83" t="s">
        <v>375</v>
      </c>
      <c r="C83" t="s">
        <v>376</v>
      </c>
      <c r="D83" t="s">
        <v>128</v>
      </c>
      <c r="E83" s="202">
        <v>0.78900462962962958</v>
      </c>
      <c r="F83">
        <v>13.75</v>
      </c>
      <c r="G83" t="s">
        <v>375</v>
      </c>
      <c r="H83">
        <v>37</v>
      </c>
      <c r="I83" t="s">
        <v>129</v>
      </c>
      <c r="J83">
        <v>1</v>
      </c>
      <c r="K83" s="207">
        <v>1075000</v>
      </c>
      <c r="L83" s="207">
        <v>78000</v>
      </c>
      <c r="M83" s="161">
        <v>15.3</v>
      </c>
      <c r="N83" s="161">
        <v>1</v>
      </c>
      <c r="O83" s="161">
        <v>28.3</v>
      </c>
      <c r="P83" s="161">
        <v>1.7</v>
      </c>
      <c r="Q83" s="161">
        <v>1020</v>
      </c>
      <c r="R83" s="161">
        <v>82</v>
      </c>
      <c r="S83" t="s">
        <v>373</v>
      </c>
      <c r="T83" s="390"/>
      <c r="U83" s="390"/>
      <c r="V83" s="390"/>
      <c r="W83" s="390"/>
    </row>
    <row r="84" spans="1:23" x14ac:dyDescent="0.2">
      <c r="A84" t="s">
        <v>377</v>
      </c>
      <c r="B84" t="s">
        <v>378</v>
      </c>
      <c r="C84" t="s">
        <v>379</v>
      </c>
      <c r="D84" t="s">
        <v>128</v>
      </c>
      <c r="E84" s="202">
        <v>0.78951388888888896</v>
      </c>
      <c r="F84">
        <v>13.749000000000001</v>
      </c>
      <c r="G84" t="s">
        <v>378</v>
      </c>
      <c r="H84">
        <v>37</v>
      </c>
      <c r="I84" t="s">
        <v>129</v>
      </c>
      <c r="J84">
        <v>1</v>
      </c>
      <c r="K84" s="207">
        <v>762000</v>
      </c>
      <c r="L84" s="207">
        <v>82000</v>
      </c>
      <c r="M84" s="161">
        <v>15.3</v>
      </c>
      <c r="N84" s="161">
        <v>1</v>
      </c>
      <c r="O84" s="161">
        <v>50.9</v>
      </c>
      <c r="P84" s="161">
        <v>5.9</v>
      </c>
      <c r="Q84" s="161">
        <v>294</v>
      </c>
      <c r="R84" s="161">
        <v>38</v>
      </c>
      <c r="S84" t="s">
        <v>373</v>
      </c>
      <c r="T84" s="390"/>
      <c r="U84" s="390"/>
      <c r="V84" s="390"/>
      <c r="W84" s="390"/>
    </row>
    <row r="85" spans="1:23" x14ac:dyDescent="0.2">
      <c r="A85" t="s">
        <v>380</v>
      </c>
      <c r="B85" t="s">
        <v>381</v>
      </c>
      <c r="C85" t="s">
        <v>382</v>
      </c>
      <c r="D85" t="s">
        <v>128</v>
      </c>
      <c r="E85" s="202">
        <v>0.79001157407407396</v>
      </c>
      <c r="F85">
        <v>13.75</v>
      </c>
      <c r="G85" t="s">
        <v>381</v>
      </c>
      <c r="H85">
        <v>37</v>
      </c>
      <c r="I85" t="s">
        <v>129</v>
      </c>
      <c r="J85">
        <v>1</v>
      </c>
      <c r="K85" s="207">
        <v>1080000</v>
      </c>
      <c r="L85" s="207">
        <v>110000</v>
      </c>
      <c r="M85" s="161">
        <v>15.3</v>
      </c>
      <c r="N85" s="161">
        <v>1</v>
      </c>
      <c r="O85" s="161">
        <v>28.8</v>
      </c>
      <c r="P85" s="161">
        <v>2.8</v>
      </c>
      <c r="Q85" s="161">
        <v>1004</v>
      </c>
      <c r="R85" s="161">
        <v>75</v>
      </c>
      <c r="S85" t="s">
        <v>373</v>
      </c>
      <c r="T85" s="390"/>
      <c r="U85" s="390"/>
      <c r="V85" s="390"/>
      <c r="W85" s="390"/>
    </row>
    <row r="86" spans="1:23" x14ac:dyDescent="0.2">
      <c r="A86" t="s">
        <v>383</v>
      </c>
      <c r="B86" t="s">
        <v>384</v>
      </c>
      <c r="C86" t="s">
        <v>385</v>
      </c>
      <c r="D86" t="s">
        <v>128</v>
      </c>
      <c r="E86" s="202">
        <v>0.79052083333333334</v>
      </c>
      <c r="F86">
        <v>13.749000000000001</v>
      </c>
      <c r="G86" t="s">
        <v>384</v>
      </c>
      <c r="H86">
        <v>37</v>
      </c>
      <c r="I86" t="s">
        <v>129</v>
      </c>
      <c r="J86">
        <v>1</v>
      </c>
      <c r="K86" s="207">
        <v>989000</v>
      </c>
      <c r="L86" s="207">
        <v>63000</v>
      </c>
      <c r="M86" s="161">
        <v>15.3</v>
      </c>
      <c r="N86" s="161">
        <v>1</v>
      </c>
      <c r="O86" s="161">
        <v>29.6</v>
      </c>
      <c r="P86" s="161">
        <v>1.9</v>
      </c>
      <c r="Q86" s="161">
        <v>919</v>
      </c>
      <c r="R86" s="161">
        <v>43</v>
      </c>
      <c r="S86" t="s">
        <v>373</v>
      </c>
      <c r="T86" s="393" t="s">
        <v>260</v>
      </c>
      <c r="U86" s="393" t="s">
        <v>261</v>
      </c>
      <c r="V86" s="393" t="s">
        <v>262</v>
      </c>
      <c r="W86" s="393" t="s">
        <v>263</v>
      </c>
    </row>
    <row r="87" spans="1:23" s="148" customFormat="1" x14ac:dyDescent="0.2">
      <c r="A87" s="148" t="s">
        <v>386</v>
      </c>
      <c r="B87" s="148" t="s">
        <v>387</v>
      </c>
      <c r="C87" s="148" t="s">
        <v>388</v>
      </c>
      <c r="D87" s="148" t="s">
        <v>128</v>
      </c>
      <c r="E87" s="203">
        <v>0.79101851851851857</v>
      </c>
      <c r="F87" s="148">
        <v>13.749000000000001</v>
      </c>
      <c r="G87" s="148" t="s">
        <v>387</v>
      </c>
      <c r="H87" s="148">
        <v>37</v>
      </c>
      <c r="I87" s="148" t="s">
        <v>129</v>
      </c>
      <c r="J87" s="148">
        <v>1</v>
      </c>
      <c r="K87" s="208">
        <v>962000</v>
      </c>
      <c r="L87" s="208">
        <v>62000</v>
      </c>
      <c r="M87" s="209">
        <v>15.3</v>
      </c>
      <c r="N87" s="209">
        <v>1</v>
      </c>
      <c r="O87" s="209">
        <v>39.799999999999997</v>
      </c>
      <c r="P87" s="209">
        <v>2.7</v>
      </c>
      <c r="Q87" s="209">
        <v>413</v>
      </c>
      <c r="R87" s="209">
        <v>30</v>
      </c>
      <c r="S87" s="148" t="s">
        <v>373</v>
      </c>
      <c r="T87" s="394">
        <f>AVERAGE(O82:O87)</f>
        <v>37.466666666666669</v>
      </c>
      <c r="U87" s="394">
        <f>AVERAGE(Q82:Q87)</f>
        <v>682.83333333333337</v>
      </c>
      <c r="V87" s="392">
        <f>_xlfn.STDEV.P(O82:O87)</f>
        <v>9.179627201338576</v>
      </c>
      <c r="W87" s="392">
        <f>_xlfn.STDEV.P(Q82:Q87)</f>
        <v>303.37623323010803</v>
      </c>
    </row>
    <row r="88" spans="1:23" x14ac:dyDescent="0.2">
      <c r="A88" t="s">
        <v>389</v>
      </c>
      <c r="B88" t="s">
        <v>390</v>
      </c>
      <c r="C88" t="s">
        <v>391</v>
      </c>
      <c r="D88" t="s">
        <v>128</v>
      </c>
      <c r="E88" s="202">
        <v>0.79202546296296295</v>
      </c>
      <c r="F88">
        <v>13.749000000000001</v>
      </c>
      <c r="G88" t="s">
        <v>390</v>
      </c>
      <c r="H88">
        <v>37</v>
      </c>
      <c r="I88" t="s">
        <v>129</v>
      </c>
      <c r="J88">
        <v>1</v>
      </c>
      <c r="K88" s="207">
        <v>865000</v>
      </c>
      <c r="L88" s="207">
        <v>47000</v>
      </c>
      <c r="M88" s="161">
        <v>15.3</v>
      </c>
      <c r="N88" s="161">
        <v>1</v>
      </c>
      <c r="O88" s="161">
        <v>150.1</v>
      </c>
      <c r="P88" s="161">
        <v>9</v>
      </c>
      <c r="Q88" s="161">
        <v>416</v>
      </c>
      <c r="R88" s="161">
        <v>24</v>
      </c>
      <c r="S88" t="s">
        <v>392</v>
      </c>
      <c r="T88" s="391" t="s">
        <v>31</v>
      </c>
      <c r="U88" s="390"/>
      <c r="V88" s="390"/>
      <c r="W88" s="390"/>
    </row>
    <row r="89" spans="1:23" x14ac:dyDescent="0.2">
      <c r="A89" t="s">
        <v>393</v>
      </c>
      <c r="B89" t="s">
        <v>394</v>
      </c>
      <c r="C89" t="s">
        <v>395</v>
      </c>
      <c r="D89" t="s">
        <v>128</v>
      </c>
      <c r="E89" s="202">
        <v>0.79253472222222221</v>
      </c>
      <c r="F89">
        <v>13.75</v>
      </c>
      <c r="G89" t="s">
        <v>394</v>
      </c>
      <c r="H89">
        <v>37</v>
      </c>
      <c r="I89" t="s">
        <v>129</v>
      </c>
      <c r="J89">
        <v>1</v>
      </c>
      <c r="K89" s="207">
        <v>854000</v>
      </c>
      <c r="L89" s="207">
        <v>42000</v>
      </c>
      <c r="M89" s="161">
        <v>15.3</v>
      </c>
      <c r="N89" s="161">
        <v>1</v>
      </c>
      <c r="O89" s="161">
        <v>202</v>
      </c>
      <c r="P89" s="161">
        <v>13</v>
      </c>
      <c r="Q89" s="161">
        <v>428</v>
      </c>
      <c r="R89" s="161">
        <v>20</v>
      </c>
      <c r="S89" s="204" t="s">
        <v>392</v>
      </c>
      <c r="T89" s="390"/>
      <c r="U89" s="390"/>
      <c r="V89" s="390"/>
      <c r="W89" s="390"/>
    </row>
    <row r="90" spans="1:23" x14ac:dyDescent="0.2">
      <c r="A90" t="s">
        <v>396</v>
      </c>
      <c r="B90" t="s">
        <v>397</v>
      </c>
      <c r="C90" t="s">
        <v>398</v>
      </c>
      <c r="D90" t="s">
        <v>128</v>
      </c>
      <c r="E90" s="202">
        <v>0.79304398148148147</v>
      </c>
      <c r="F90">
        <v>13.75</v>
      </c>
      <c r="G90" t="s">
        <v>397</v>
      </c>
      <c r="H90">
        <v>37</v>
      </c>
      <c r="I90" t="s">
        <v>129</v>
      </c>
      <c r="J90">
        <v>1</v>
      </c>
      <c r="K90" s="207">
        <v>1014000</v>
      </c>
      <c r="L90" s="207">
        <v>65000</v>
      </c>
      <c r="M90" s="161">
        <v>15.3</v>
      </c>
      <c r="N90" s="161">
        <v>1</v>
      </c>
      <c r="O90" s="161">
        <v>183</v>
      </c>
      <c r="P90" s="161">
        <v>19</v>
      </c>
      <c r="Q90" s="161">
        <v>559</v>
      </c>
      <c r="R90" s="161">
        <v>48</v>
      </c>
      <c r="S90" t="s">
        <v>392</v>
      </c>
      <c r="T90" s="390"/>
      <c r="U90" s="390"/>
      <c r="V90" s="390"/>
      <c r="W90" s="390"/>
    </row>
    <row r="91" spans="1:23" x14ac:dyDescent="0.2">
      <c r="A91" t="s">
        <v>399</v>
      </c>
      <c r="B91" t="s">
        <v>400</v>
      </c>
      <c r="C91" t="s">
        <v>401</v>
      </c>
      <c r="D91" t="s">
        <v>128</v>
      </c>
      <c r="E91" s="202">
        <v>0.7935416666666667</v>
      </c>
      <c r="F91">
        <v>13.749000000000001</v>
      </c>
      <c r="G91" t="s">
        <v>400</v>
      </c>
      <c r="H91">
        <v>37</v>
      </c>
      <c r="I91" t="s">
        <v>129</v>
      </c>
      <c r="J91">
        <v>1</v>
      </c>
      <c r="K91" s="207">
        <v>913000</v>
      </c>
      <c r="L91" s="207">
        <v>44000</v>
      </c>
      <c r="M91" s="161">
        <v>15.3</v>
      </c>
      <c r="N91" s="161">
        <v>1</v>
      </c>
      <c r="O91" s="161">
        <v>192</v>
      </c>
      <c r="P91" s="161">
        <v>12</v>
      </c>
      <c r="Q91" s="161">
        <v>429</v>
      </c>
      <c r="R91" s="161">
        <v>24</v>
      </c>
      <c r="S91" s="204" t="s">
        <v>392</v>
      </c>
      <c r="T91" s="390"/>
      <c r="U91" s="390"/>
      <c r="V91" s="390"/>
      <c r="W91" s="390"/>
    </row>
    <row r="92" spans="1:23" x14ac:dyDescent="0.2">
      <c r="A92" t="s">
        <v>402</v>
      </c>
      <c r="B92" t="s">
        <v>403</v>
      </c>
      <c r="C92" t="s">
        <v>404</v>
      </c>
      <c r="D92" t="s">
        <v>128</v>
      </c>
      <c r="E92" s="202">
        <v>0.79405092592592597</v>
      </c>
      <c r="F92">
        <v>13.75</v>
      </c>
      <c r="G92" t="s">
        <v>403</v>
      </c>
      <c r="H92">
        <v>37</v>
      </c>
      <c r="I92" t="s">
        <v>129</v>
      </c>
      <c r="J92">
        <v>1</v>
      </c>
      <c r="K92" s="207">
        <v>876000</v>
      </c>
      <c r="L92" s="207">
        <v>38000</v>
      </c>
      <c r="M92" s="161">
        <v>15.3</v>
      </c>
      <c r="N92" s="161">
        <v>1</v>
      </c>
      <c r="O92" s="161">
        <v>246</v>
      </c>
      <c r="P92" s="161">
        <v>14</v>
      </c>
      <c r="Q92" s="161">
        <v>467</v>
      </c>
      <c r="R92" s="161">
        <v>22</v>
      </c>
      <c r="S92" t="s">
        <v>392</v>
      </c>
      <c r="T92" s="390"/>
      <c r="U92" s="390"/>
      <c r="V92" s="390"/>
      <c r="W92" s="390"/>
    </row>
    <row r="93" spans="1:23" x14ac:dyDescent="0.2">
      <c r="A93" t="s">
        <v>405</v>
      </c>
      <c r="B93" t="s">
        <v>406</v>
      </c>
      <c r="C93" t="s">
        <v>407</v>
      </c>
      <c r="D93" t="s">
        <v>128</v>
      </c>
      <c r="E93" s="202">
        <v>0.79454861111111119</v>
      </c>
      <c r="F93">
        <v>13.75</v>
      </c>
      <c r="G93" t="s">
        <v>406</v>
      </c>
      <c r="H93">
        <v>37</v>
      </c>
      <c r="I93" t="s">
        <v>129</v>
      </c>
      <c r="J93">
        <v>1</v>
      </c>
      <c r="K93" s="207">
        <v>825000</v>
      </c>
      <c r="L93" s="207">
        <v>32000</v>
      </c>
      <c r="M93" s="161">
        <v>15.3</v>
      </c>
      <c r="N93" s="161">
        <v>1</v>
      </c>
      <c r="O93" s="161">
        <v>266</v>
      </c>
      <c r="P93" s="161">
        <v>42</v>
      </c>
      <c r="Q93" s="161">
        <v>293</v>
      </c>
      <c r="R93" s="161">
        <v>15</v>
      </c>
      <c r="S93" s="204" t="s">
        <v>392</v>
      </c>
      <c r="T93" s="393" t="s">
        <v>260</v>
      </c>
      <c r="U93" s="393" t="s">
        <v>261</v>
      </c>
      <c r="V93" s="393" t="s">
        <v>262</v>
      </c>
      <c r="W93" s="393" t="s">
        <v>263</v>
      </c>
    </row>
    <row r="94" spans="1:23" s="148" customFormat="1" x14ac:dyDescent="0.2">
      <c r="A94" s="148" t="s">
        <v>408</v>
      </c>
      <c r="B94" s="148" t="s">
        <v>409</v>
      </c>
      <c r="C94" s="148" t="s">
        <v>410</v>
      </c>
      <c r="D94" s="148" t="s">
        <v>128</v>
      </c>
      <c r="E94" s="203">
        <v>0.79505787037037035</v>
      </c>
      <c r="F94" s="148">
        <v>13.749000000000001</v>
      </c>
      <c r="G94" s="148" t="s">
        <v>409</v>
      </c>
      <c r="H94" s="148">
        <v>37</v>
      </c>
      <c r="I94" s="148" t="s">
        <v>129</v>
      </c>
      <c r="J94" s="148">
        <v>1</v>
      </c>
      <c r="K94" s="208">
        <v>833000</v>
      </c>
      <c r="L94" s="208">
        <v>37000</v>
      </c>
      <c r="M94" s="209">
        <v>15.3</v>
      </c>
      <c r="N94" s="209">
        <v>1</v>
      </c>
      <c r="O94" s="209">
        <v>174.7</v>
      </c>
      <c r="P94" s="209">
        <v>9.3000000000000007</v>
      </c>
      <c r="Q94" s="209">
        <v>700</v>
      </c>
      <c r="R94" s="209">
        <v>41</v>
      </c>
      <c r="S94" s="148" t="s">
        <v>392</v>
      </c>
      <c r="T94" s="394">
        <f>AVERAGE(O88:O94)</f>
        <v>201.97142857142856</v>
      </c>
      <c r="U94" s="394">
        <f>AVERAGE(Q88:Q94)</f>
        <v>470.28571428571428</v>
      </c>
      <c r="V94" s="392">
        <f>_xlfn.STDEV.P(O88:O94)</f>
        <v>37.667519706191463</v>
      </c>
      <c r="W94" s="392">
        <f>_xlfn.STDEV.P(Q88:Q94)</f>
        <v>118.63475073363898</v>
      </c>
    </row>
    <row r="95" spans="1:23" x14ac:dyDescent="0.2">
      <c r="A95" t="s">
        <v>411</v>
      </c>
      <c r="B95" t="s">
        <v>412</v>
      </c>
      <c r="C95" t="s">
        <v>413</v>
      </c>
      <c r="D95" t="s">
        <v>128</v>
      </c>
      <c r="E95" s="202">
        <v>0.79758101851851848</v>
      </c>
      <c r="F95">
        <v>13.75</v>
      </c>
      <c r="G95" t="s">
        <v>412</v>
      </c>
      <c r="H95">
        <v>37</v>
      </c>
      <c r="I95" t="s">
        <v>129</v>
      </c>
      <c r="J95">
        <v>1</v>
      </c>
      <c r="K95" s="207">
        <v>1025000</v>
      </c>
      <c r="L95" s="207">
        <v>83000</v>
      </c>
      <c r="M95" s="161">
        <v>15.3</v>
      </c>
      <c r="N95" s="161">
        <v>1</v>
      </c>
      <c r="O95" s="161">
        <v>426</v>
      </c>
      <c r="P95" s="161">
        <v>45</v>
      </c>
      <c r="Q95" s="161">
        <v>1002</v>
      </c>
      <c r="R95" s="161">
        <v>71</v>
      </c>
      <c r="S95" s="204" t="s">
        <v>414</v>
      </c>
      <c r="T95" s="391" t="s">
        <v>29</v>
      </c>
      <c r="U95" s="390"/>
      <c r="V95" s="390"/>
      <c r="W95" s="390"/>
    </row>
    <row r="96" spans="1:23" x14ac:dyDescent="0.2">
      <c r="A96" t="s">
        <v>415</v>
      </c>
      <c r="B96" t="s">
        <v>416</v>
      </c>
      <c r="C96" t="s">
        <v>417</v>
      </c>
      <c r="D96" t="s">
        <v>128</v>
      </c>
      <c r="E96" s="202">
        <v>0.79807870370370371</v>
      </c>
      <c r="F96">
        <v>13.749000000000001</v>
      </c>
      <c r="G96" t="s">
        <v>416</v>
      </c>
      <c r="H96">
        <v>37</v>
      </c>
      <c r="I96" t="s">
        <v>129</v>
      </c>
      <c r="J96">
        <v>1</v>
      </c>
      <c r="K96" s="207">
        <v>962000</v>
      </c>
      <c r="L96" s="207">
        <v>63000</v>
      </c>
      <c r="M96" s="161">
        <v>15.3</v>
      </c>
      <c r="N96" s="161">
        <v>1</v>
      </c>
      <c r="O96" s="161">
        <v>615</v>
      </c>
      <c r="P96" s="161">
        <v>40</v>
      </c>
      <c r="Q96" s="161">
        <v>1393</v>
      </c>
      <c r="R96" s="161">
        <v>91</v>
      </c>
      <c r="S96" s="204" t="s">
        <v>414</v>
      </c>
      <c r="T96" s="390"/>
      <c r="U96" s="390"/>
      <c r="V96" s="390"/>
      <c r="W96" s="390"/>
    </row>
    <row r="97" spans="1:24" x14ac:dyDescent="0.2">
      <c r="A97" t="s">
        <v>418</v>
      </c>
      <c r="B97" t="s">
        <v>419</v>
      </c>
      <c r="C97" t="s">
        <v>420</v>
      </c>
      <c r="D97" t="s">
        <v>128</v>
      </c>
      <c r="E97" s="202">
        <v>0.79858796296296297</v>
      </c>
      <c r="F97">
        <v>13.75</v>
      </c>
      <c r="G97" t="s">
        <v>419</v>
      </c>
      <c r="H97">
        <v>37</v>
      </c>
      <c r="I97" t="s">
        <v>129</v>
      </c>
      <c r="J97">
        <v>1</v>
      </c>
      <c r="K97" s="207">
        <v>998900</v>
      </c>
      <c r="L97" s="207">
        <v>84000</v>
      </c>
      <c r="M97" s="161">
        <v>15.3</v>
      </c>
      <c r="N97" s="161">
        <v>1</v>
      </c>
      <c r="O97" s="161">
        <v>331</v>
      </c>
      <c r="P97" s="161">
        <v>28</v>
      </c>
      <c r="Q97" s="161">
        <v>894</v>
      </c>
      <c r="R97" s="161">
        <v>71</v>
      </c>
      <c r="S97" s="204" t="s">
        <v>414</v>
      </c>
      <c r="T97" s="390"/>
      <c r="U97" s="390"/>
      <c r="V97" s="390"/>
      <c r="W97" s="390"/>
    </row>
    <row r="98" spans="1:24" x14ac:dyDescent="0.2">
      <c r="A98" t="s">
        <v>421</v>
      </c>
      <c r="B98" t="s">
        <v>422</v>
      </c>
      <c r="C98" t="s">
        <v>423</v>
      </c>
      <c r="D98" t="s">
        <v>128</v>
      </c>
      <c r="E98" s="202">
        <v>0.7990856481481482</v>
      </c>
      <c r="F98">
        <v>13.749000000000001</v>
      </c>
      <c r="G98" t="s">
        <v>422</v>
      </c>
      <c r="H98">
        <v>37</v>
      </c>
      <c r="I98" t="s">
        <v>129</v>
      </c>
      <c r="J98">
        <v>1</v>
      </c>
      <c r="K98" s="207">
        <v>888000</v>
      </c>
      <c r="L98" s="207">
        <v>49000</v>
      </c>
      <c r="M98" s="161">
        <v>15.3</v>
      </c>
      <c r="N98" s="161">
        <v>1</v>
      </c>
      <c r="O98" s="161">
        <v>172</v>
      </c>
      <c r="P98" s="161">
        <v>11</v>
      </c>
      <c r="Q98" s="161">
        <v>614</v>
      </c>
      <c r="R98" s="161">
        <v>34</v>
      </c>
      <c r="S98" s="204" t="s">
        <v>414</v>
      </c>
      <c r="T98" s="390"/>
      <c r="U98" s="390"/>
      <c r="V98" s="390"/>
      <c r="W98" s="390"/>
    </row>
    <row r="99" spans="1:24" x14ac:dyDescent="0.2">
      <c r="A99" t="s">
        <v>424</v>
      </c>
      <c r="B99" t="s">
        <v>425</v>
      </c>
      <c r="C99" t="s">
        <v>426</v>
      </c>
      <c r="D99" t="s">
        <v>128</v>
      </c>
      <c r="E99" s="202">
        <v>0.79959490740740735</v>
      </c>
      <c r="F99">
        <v>13.749000000000001</v>
      </c>
      <c r="G99" t="s">
        <v>425</v>
      </c>
      <c r="H99">
        <v>37</v>
      </c>
      <c r="I99" t="s">
        <v>129</v>
      </c>
      <c r="J99">
        <v>1</v>
      </c>
      <c r="K99" s="207">
        <v>910000</v>
      </c>
      <c r="L99" s="207">
        <v>66000</v>
      </c>
      <c r="M99" s="161">
        <v>15.3</v>
      </c>
      <c r="N99" s="161">
        <v>1</v>
      </c>
      <c r="O99" s="161">
        <v>137.6</v>
      </c>
      <c r="P99" s="161">
        <v>9</v>
      </c>
      <c r="Q99" s="161">
        <v>526</v>
      </c>
      <c r="R99" s="161">
        <v>28</v>
      </c>
      <c r="S99" s="204" t="s">
        <v>414</v>
      </c>
      <c r="T99" s="390"/>
      <c r="U99" s="390"/>
      <c r="V99" s="390"/>
      <c r="W99" s="390"/>
    </row>
    <row r="100" spans="1:24" x14ac:dyDescent="0.2">
      <c r="A100" t="s">
        <v>427</v>
      </c>
      <c r="B100" t="s">
        <v>428</v>
      </c>
      <c r="C100" t="s">
        <v>429</v>
      </c>
      <c r="D100" t="s">
        <v>128</v>
      </c>
      <c r="E100" s="202">
        <v>0.80009259259259258</v>
      </c>
      <c r="F100">
        <v>13.75</v>
      </c>
      <c r="G100" t="s">
        <v>428</v>
      </c>
      <c r="H100">
        <v>37</v>
      </c>
      <c r="I100" t="s">
        <v>129</v>
      </c>
      <c r="J100">
        <v>1</v>
      </c>
      <c r="K100" s="207">
        <v>923000</v>
      </c>
      <c r="L100" s="207">
        <v>63000</v>
      </c>
      <c r="M100" s="161">
        <v>15.3</v>
      </c>
      <c r="N100" s="161">
        <v>1</v>
      </c>
      <c r="O100" s="161">
        <v>296</v>
      </c>
      <c r="P100" s="161">
        <v>16</v>
      </c>
      <c r="Q100" s="161">
        <v>896</v>
      </c>
      <c r="R100" s="161">
        <v>38</v>
      </c>
      <c r="S100" s="204" t="s">
        <v>414</v>
      </c>
      <c r="T100" s="390"/>
      <c r="U100" s="390"/>
      <c r="V100" s="390"/>
      <c r="W100" s="390"/>
    </row>
    <row r="101" spans="1:24" x14ac:dyDescent="0.2">
      <c r="A101" t="s">
        <v>430</v>
      </c>
      <c r="B101" t="s">
        <v>431</v>
      </c>
      <c r="C101" t="s">
        <v>432</v>
      </c>
      <c r="D101" t="s">
        <v>128</v>
      </c>
      <c r="E101" s="202">
        <v>0.80060185185185195</v>
      </c>
      <c r="F101">
        <v>13.749000000000001</v>
      </c>
      <c r="G101" t="s">
        <v>431</v>
      </c>
      <c r="H101">
        <v>37</v>
      </c>
      <c r="I101" t="s">
        <v>129</v>
      </c>
      <c r="J101">
        <v>1</v>
      </c>
      <c r="K101" s="207">
        <v>898000</v>
      </c>
      <c r="L101" s="207">
        <v>53000</v>
      </c>
      <c r="M101" s="161">
        <v>15.3</v>
      </c>
      <c r="N101" s="161">
        <v>1</v>
      </c>
      <c r="O101" s="161">
        <v>189</v>
      </c>
      <c r="P101" s="161">
        <v>31</v>
      </c>
      <c r="Q101" s="161">
        <v>590</v>
      </c>
      <c r="R101" s="161">
        <v>62</v>
      </c>
      <c r="S101" s="204" t="s">
        <v>414</v>
      </c>
      <c r="T101" s="390"/>
      <c r="U101" s="390"/>
      <c r="V101" s="390"/>
      <c r="W101" s="390"/>
    </row>
    <row r="102" spans="1:24" x14ac:dyDescent="0.2">
      <c r="A102" t="s">
        <v>433</v>
      </c>
      <c r="B102" t="s">
        <v>434</v>
      </c>
      <c r="C102" t="s">
        <v>435</v>
      </c>
      <c r="D102" t="s">
        <v>128</v>
      </c>
      <c r="E102" s="202">
        <v>0.80109953703703696</v>
      </c>
      <c r="F102">
        <v>13.749000000000001</v>
      </c>
      <c r="G102" t="s">
        <v>434</v>
      </c>
      <c r="H102">
        <v>37</v>
      </c>
      <c r="I102" t="s">
        <v>129</v>
      </c>
      <c r="J102">
        <v>1</v>
      </c>
      <c r="K102" s="207">
        <v>885000</v>
      </c>
      <c r="L102" s="207">
        <v>58000</v>
      </c>
      <c r="M102" s="161">
        <v>15.3</v>
      </c>
      <c r="N102" s="161">
        <v>1</v>
      </c>
      <c r="O102" s="161">
        <v>153</v>
      </c>
      <c r="P102" s="161">
        <v>13</v>
      </c>
      <c r="Q102" s="161">
        <v>474</v>
      </c>
      <c r="R102" s="161">
        <v>41</v>
      </c>
      <c r="S102" s="204" t="s">
        <v>414</v>
      </c>
      <c r="T102" s="390"/>
      <c r="U102" s="390"/>
      <c r="V102" s="390"/>
      <c r="W102" s="390"/>
    </row>
    <row r="103" spans="1:24" x14ac:dyDescent="0.2">
      <c r="A103" t="s">
        <v>436</v>
      </c>
      <c r="B103" t="s">
        <v>437</v>
      </c>
      <c r="C103" t="s">
        <v>438</v>
      </c>
      <c r="D103" t="s">
        <v>128</v>
      </c>
      <c r="E103" s="202">
        <v>0.80160879629629633</v>
      </c>
      <c r="F103">
        <v>13.75</v>
      </c>
      <c r="G103" t="s">
        <v>437</v>
      </c>
      <c r="H103">
        <v>37</v>
      </c>
      <c r="I103" t="s">
        <v>129</v>
      </c>
      <c r="J103">
        <v>1</v>
      </c>
      <c r="K103" s="207">
        <v>949000</v>
      </c>
      <c r="L103" s="207">
        <v>79000</v>
      </c>
      <c r="M103" s="161">
        <v>15.3</v>
      </c>
      <c r="N103" s="161">
        <v>1</v>
      </c>
      <c r="O103" s="161">
        <v>228</v>
      </c>
      <c r="P103" s="161">
        <v>15</v>
      </c>
      <c r="Q103" s="161">
        <v>790</v>
      </c>
      <c r="R103" s="161">
        <v>44</v>
      </c>
      <c r="S103" s="204" t="s">
        <v>414</v>
      </c>
      <c r="T103" s="390"/>
      <c r="U103" s="390"/>
      <c r="V103" s="390"/>
      <c r="W103" s="390"/>
    </row>
    <row r="104" spans="1:24" x14ac:dyDescent="0.2">
      <c r="A104" t="s">
        <v>439</v>
      </c>
      <c r="B104" t="s">
        <v>440</v>
      </c>
      <c r="C104" t="s">
        <v>441</v>
      </c>
      <c r="D104" t="s">
        <v>128</v>
      </c>
      <c r="E104" s="202">
        <v>0.80210648148148145</v>
      </c>
      <c r="F104">
        <v>13.749000000000001</v>
      </c>
      <c r="G104" t="s">
        <v>440</v>
      </c>
      <c r="H104">
        <v>37</v>
      </c>
      <c r="I104" t="s">
        <v>129</v>
      </c>
      <c r="J104">
        <v>1</v>
      </c>
      <c r="K104" s="207">
        <v>899000</v>
      </c>
      <c r="L104" s="207">
        <v>64000</v>
      </c>
      <c r="M104" s="161">
        <v>15.3</v>
      </c>
      <c r="N104" s="161">
        <v>1</v>
      </c>
      <c r="O104" s="161">
        <v>241</v>
      </c>
      <c r="P104" s="161">
        <v>12</v>
      </c>
      <c r="Q104" s="161">
        <v>669</v>
      </c>
      <c r="R104" s="161">
        <v>37</v>
      </c>
      <c r="S104" s="204" t="s">
        <v>414</v>
      </c>
      <c r="T104" s="393" t="s">
        <v>260</v>
      </c>
      <c r="U104" s="393" t="s">
        <v>261</v>
      </c>
      <c r="V104" s="393" t="s">
        <v>262</v>
      </c>
      <c r="W104" s="393" t="s">
        <v>263</v>
      </c>
    </row>
    <row r="105" spans="1:24" s="148" customFormat="1" x14ac:dyDescent="0.2">
      <c r="A105" s="148" t="s">
        <v>442</v>
      </c>
      <c r="B105" s="148" t="s">
        <v>443</v>
      </c>
      <c r="C105" s="148" t="s">
        <v>444</v>
      </c>
      <c r="D105" s="148" t="s">
        <v>128</v>
      </c>
      <c r="E105" s="203">
        <v>0.80261574074074071</v>
      </c>
      <c r="F105" s="148">
        <v>13.75</v>
      </c>
      <c r="G105" s="148" t="s">
        <v>443</v>
      </c>
      <c r="H105" s="148">
        <v>37</v>
      </c>
      <c r="I105" s="148" t="s">
        <v>129</v>
      </c>
      <c r="J105" s="148">
        <v>1</v>
      </c>
      <c r="K105" s="208">
        <v>950000</v>
      </c>
      <c r="L105" s="208">
        <v>68000</v>
      </c>
      <c r="M105" s="209">
        <v>15.3</v>
      </c>
      <c r="N105" s="209">
        <v>1</v>
      </c>
      <c r="O105" s="209">
        <v>195</v>
      </c>
      <c r="P105" s="209">
        <v>14</v>
      </c>
      <c r="Q105" s="209">
        <v>426</v>
      </c>
      <c r="R105" s="209">
        <v>27</v>
      </c>
      <c r="S105" s="205" t="s">
        <v>414</v>
      </c>
      <c r="T105" s="394">
        <f>AVERAGE(O95:O105)</f>
        <v>271.23636363636365</v>
      </c>
      <c r="U105" s="394">
        <f>AVERAGE(Q95:Q105)</f>
        <v>752.18181818181813</v>
      </c>
      <c r="V105" s="392">
        <f>_xlfn.STDEV.P(O95:O105)</f>
        <v>135.96622089011851</v>
      </c>
      <c r="W105" s="392">
        <f>_xlfn.STDEV.P(Q95:Q105)</f>
        <v>270.1073248583769</v>
      </c>
    </row>
    <row r="106" spans="1:24" x14ac:dyDescent="0.2">
      <c r="A106" t="s">
        <v>445</v>
      </c>
      <c r="B106" t="s">
        <v>446</v>
      </c>
      <c r="C106" t="s">
        <v>447</v>
      </c>
      <c r="D106" t="s">
        <v>128</v>
      </c>
      <c r="E106" s="202">
        <v>0.8036226851851852</v>
      </c>
      <c r="F106">
        <v>13.749000000000001</v>
      </c>
      <c r="G106" t="s">
        <v>446</v>
      </c>
      <c r="H106">
        <v>37</v>
      </c>
      <c r="I106" t="s">
        <v>129</v>
      </c>
      <c r="J106">
        <v>1</v>
      </c>
      <c r="K106" s="207">
        <v>767000</v>
      </c>
      <c r="L106" s="207">
        <v>74000</v>
      </c>
      <c r="M106" s="161">
        <v>15.3</v>
      </c>
      <c r="N106" s="161">
        <v>1</v>
      </c>
      <c r="O106" s="161">
        <v>1920</v>
      </c>
      <c r="P106" s="161">
        <v>180</v>
      </c>
      <c r="Q106" s="161">
        <v>1430</v>
      </c>
      <c r="R106" s="161">
        <v>120</v>
      </c>
      <c r="S106" s="204" t="s">
        <v>448</v>
      </c>
      <c r="T106" s="391" t="s">
        <v>28</v>
      </c>
      <c r="U106" s="390"/>
      <c r="V106" s="390"/>
      <c r="W106" s="390"/>
    </row>
    <row r="107" spans="1:24" x14ac:dyDescent="0.2">
      <c r="A107" t="s">
        <v>449</v>
      </c>
      <c r="B107" t="s">
        <v>450</v>
      </c>
      <c r="C107" t="s">
        <v>451</v>
      </c>
      <c r="D107" t="s">
        <v>128</v>
      </c>
      <c r="E107" s="202">
        <v>0.80413194444444447</v>
      </c>
      <c r="F107">
        <v>13.75</v>
      </c>
      <c r="G107" t="s">
        <v>450</v>
      </c>
      <c r="H107">
        <v>37</v>
      </c>
      <c r="I107" t="s">
        <v>129</v>
      </c>
      <c r="J107">
        <v>1</v>
      </c>
      <c r="K107" s="207">
        <v>919000</v>
      </c>
      <c r="L107" s="207">
        <v>74000</v>
      </c>
      <c r="M107" s="161">
        <v>15.3</v>
      </c>
      <c r="N107" s="161">
        <v>1</v>
      </c>
      <c r="O107" s="161">
        <v>1940</v>
      </c>
      <c r="P107" s="161">
        <v>330</v>
      </c>
      <c r="Q107" s="161">
        <v>1700</v>
      </c>
      <c r="R107" s="161">
        <v>230</v>
      </c>
      <c r="S107" s="204" t="s">
        <v>448</v>
      </c>
      <c r="T107" s="390"/>
      <c r="U107" s="390"/>
      <c r="V107" s="390"/>
      <c r="W107" s="390"/>
    </row>
    <row r="108" spans="1:24" x14ac:dyDescent="0.2">
      <c r="A108" t="s">
        <v>452</v>
      </c>
      <c r="B108" t="s">
        <v>453</v>
      </c>
      <c r="C108" t="s">
        <v>454</v>
      </c>
      <c r="D108" t="s">
        <v>128</v>
      </c>
      <c r="E108" s="202">
        <v>0.80462962962962958</v>
      </c>
      <c r="F108">
        <v>13.75</v>
      </c>
      <c r="G108" t="s">
        <v>453</v>
      </c>
      <c r="H108">
        <v>37</v>
      </c>
      <c r="I108" t="s">
        <v>129</v>
      </c>
      <c r="J108">
        <v>1</v>
      </c>
      <c r="K108" s="207">
        <v>953000</v>
      </c>
      <c r="L108" s="207">
        <v>59000</v>
      </c>
      <c r="M108" s="161">
        <v>15.3</v>
      </c>
      <c r="N108" s="161">
        <v>1</v>
      </c>
      <c r="O108" s="161">
        <v>72.900000000000006</v>
      </c>
      <c r="P108" s="161">
        <v>5.2</v>
      </c>
      <c r="Q108" s="161">
        <v>700</v>
      </c>
      <c r="R108" s="161">
        <v>50</v>
      </c>
      <c r="S108" s="204" t="s">
        <v>448</v>
      </c>
      <c r="T108" s="393" t="s">
        <v>260</v>
      </c>
      <c r="U108" s="393" t="s">
        <v>261</v>
      </c>
      <c r="V108" s="393" t="s">
        <v>262</v>
      </c>
      <c r="W108" s="393" t="s">
        <v>263</v>
      </c>
    </row>
    <row r="109" spans="1:24" s="148" customFormat="1" x14ac:dyDescent="0.2">
      <c r="A109" s="148" t="s">
        <v>455</v>
      </c>
      <c r="B109" s="148" t="s">
        <v>456</v>
      </c>
      <c r="C109" s="148" t="s">
        <v>457</v>
      </c>
      <c r="D109" s="148" t="s">
        <v>128</v>
      </c>
      <c r="E109" s="203">
        <v>0.80513888888888896</v>
      </c>
      <c r="F109" s="148">
        <v>13.749000000000001</v>
      </c>
      <c r="G109" s="148" t="s">
        <v>456</v>
      </c>
      <c r="H109" s="148">
        <v>37</v>
      </c>
      <c r="I109" s="148" t="s">
        <v>129</v>
      </c>
      <c r="J109" s="148">
        <v>1</v>
      </c>
      <c r="K109" s="208">
        <v>897000</v>
      </c>
      <c r="L109" s="208">
        <v>44000</v>
      </c>
      <c r="M109" s="209">
        <v>15.3</v>
      </c>
      <c r="N109" s="209">
        <v>1</v>
      </c>
      <c r="O109" s="209">
        <v>349</v>
      </c>
      <c r="P109" s="209">
        <v>44</v>
      </c>
      <c r="Q109" s="209">
        <v>596</v>
      </c>
      <c r="R109" s="209">
        <v>47</v>
      </c>
      <c r="S109" s="205" t="s">
        <v>448</v>
      </c>
      <c r="T109" s="394">
        <f>AVERAGE(O106:O109)</f>
        <v>1070.4749999999999</v>
      </c>
      <c r="U109" s="394">
        <f>AVERAGE(Q106:Q109)</f>
        <v>1106.5</v>
      </c>
      <c r="V109" s="392">
        <f>_xlfn.STDEV.P(O106:O109)</f>
        <v>865.07926045825434</v>
      </c>
      <c r="W109" s="392">
        <f>_xlfn.STDEV.P(Q106:Q109)</f>
        <v>469.77308352011823</v>
      </c>
    </row>
    <row r="110" spans="1:24" x14ac:dyDescent="0.2">
      <c r="A110" t="s">
        <v>458</v>
      </c>
      <c r="B110" t="s">
        <v>459</v>
      </c>
      <c r="C110" t="s">
        <v>460</v>
      </c>
      <c r="D110" t="s">
        <v>128</v>
      </c>
      <c r="E110" s="202">
        <v>0.80715277777777772</v>
      </c>
      <c r="F110">
        <v>13.75</v>
      </c>
      <c r="G110" t="s">
        <v>459</v>
      </c>
      <c r="H110">
        <v>37</v>
      </c>
      <c r="I110" t="s">
        <v>129</v>
      </c>
      <c r="J110">
        <v>1</v>
      </c>
      <c r="K110" s="207">
        <v>720000</v>
      </c>
      <c r="L110" s="207">
        <v>57000</v>
      </c>
      <c r="M110" s="161">
        <v>15.3</v>
      </c>
      <c r="N110" s="161">
        <v>1</v>
      </c>
      <c r="O110" s="161">
        <v>299</v>
      </c>
      <c r="P110" s="161">
        <v>22</v>
      </c>
      <c r="Q110" s="161">
        <v>543</v>
      </c>
      <c r="R110" s="161">
        <v>39</v>
      </c>
      <c r="S110" s="204" t="s">
        <v>461</v>
      </c>
      <c r="T110" s="393" t="s">
        <v>260</v>
      </c>
      <c r="U110" s="393" t="s">
        <v>261</v>
      </c>
      <c r="V110" s="391" t="s">
        <v>30</v>
      </c>
      <c r="W110" s="393" t="s">
        <v>262</v>
      </c>
      <c r="X110" s="204" t="s">
        <v>263</v>
      </c>
    </row>
    <row r="111" spans="1:24" s="148" customFormat="1" x14ac:dyDescent="0.2">
      <c r="A111" s="148" t="s">
        <v>462</v>
      </c>
      <c r="B111" s="148" t="s">
        <v>463</v>
      </c>
      <c r="C111" s="148" t="s">
        <v>464</v>
      </c>
      <c r="D111" s="148" t="s">
        <v>128</v>
      </c>
      <c r="E111" s="203">
        <v>0.80766203703703709</v>
      </c>
      <c r="F111" s="148">
        <v>13.749000000000001</v>
      </c>
      <c r="G111" s="148" t="s">
        <v>463</v>
      </c>
      <c r="H111" s="148">
        <v>37</v>
      </c>
      <c r="I111" s="148" t="s">
        <v>129</v>
      </c>
      <c r="J111" s="148">
        <v>1</v>
      </c>
      <c r="K111" s="208">
        <v>780000</v>
      </c>
      <c r="L111" s="208">
        <v>34000</v>
      </c>
      <c r="M111" s="209">
        <v>15.3</v>
      </c>
      <c r="N111" s="209">
        <v>1</v>
      </c>
      <c r="O111" s="209">
        <v>183</v>
      </c>
      <c r="P111" s="209">
        <v>20</v>
      </c>
      <c r="Q111" s="209">
        <v>453</v>
      </c>
      <c r="R111" s="209">
        <v>24</v>
      </c>
      <c r="S111" s="205" t="s">
        <v>461</v>
      </c>
      <c r="T111" s="394">
        <f>AVERAGE(O110:O111)</f>
        <v>241</v>
      </c>
      <c r="U111" s="394">
        <f>AVERAGE(Q110:Q111)</f>
        <v>498</v>
      </c>
      <c r="V111" s="392"/>
      <c r="W111" s="392">
        <f>_xlfn.STDEV.P(O110:O111)</f>
        <v>58</v>
      </c>
      <c r="X111" s="148">
        <f>_xlfn.STDEV.P(Q110:Q111)</f>
        <v>45</v>
      </c>
    </row>
    <row r="112" spans="1:24" x14ac:dyDescent="0.2">
      <c r="A112" t="s">
        <v>465</v>
      </c>
      <c r="B112" t="s">
        <v>466</v>
      </c>
      <c r="C112" t="s">
        <v>467</v>
      </c>
      <c r="D112" t="s">
        <v>128</v>
      </c>
      <c r="E112" s="202">
        <v>0.8091666666666667</v>
      </c>
      <c r="F112">
        <v>13.749000000000001</v>
      </c>
      <c r="G112" t="s">
        <v>466</v>
      </c>
      <c r="H112">
        <v>37</v>
      </c>
      <c r="I112" t="s">
        <v>129</v>
      </c>
      <c r="J112">
        <v>1</v>
      </c>
      <c r="K112" s="207">
        <v>805000</v>
      </c>
      <c r="L112" s="207">
        <v>42000</v>
      </c>
      <c r="M112" s="161">
        <v>15.3</v>
      </c>
      <c r="N112" s="161">
        <v>1</v>
      </c>
      <c r="O112" s="161">
        <v>214</v>
      </c>
      <c r="P112" s="161">
        <v>17</v>
      </c>
      <c r="Q112" s="161">
        <v>635</v>
      </c>
      <c r="R112" s="161">
        <v>33</v>
      </c>
      <c r="S112" s="204" t="s">
        <v>468</v>
      </c>
      <c r="T112" s="391" t="s">
        <v>27</v>
      </c>
      <c r="U112" s="390"/>
      <c r="V112" s="390"/>
      <c r="W112" s="390"/>
    </row>
    <row r="113" spans="1:23" x14ac:dyDescent="0.2">
      <c r="A113" t="s">
        <v>469</v>
      </c>
      <c r="B113" t="s">
        <v>470</v>
      </c>
      <c r="C113" t="s">
        <v>471</v>
      </c>
      <c r="D113" t="s">
        <v>128</v>
      </c>
      <c r="E113" s="202">
        <v>0.80967592592592597</v>
      </c>
      <c r="F113">
        <v>13.749000000000001</v>
      </c>
      <c r="G113" t="s">
        <v>470</v>
      </c>
      <c r="H113">
        <v>37</v>
      </c>
      <c r="I113" t="s">
        <v>129</v>
      </c>
      <c r="J113">
        <v>1</v>
      </c>
      <c r="K113" s="207">
        <v>720000</v>
      </c>
      <c r="L113" s="207">
        <v>34000</v>
      </c>
      <c r="M113" s="161">
        <v>15.3</v>
      </c>
      <c r="N113" s="161">
        <v>1</v>
      </c>
      <c r="O113" s="161">
        <v>105.1</v>
      </c>
      <c r="P113" s="161">
        <v>6.6</v>
      </c>
      <c r="Q113" s="161">
        <v>708</v>
      </c>
      <c r="R113" s="161">
        <v>38</v>
      </c>
      <c r="S113" s="204" t="s">
        <v>468</v>
      </c>
      <c r="T113" s="390"/>
      <c r="U113" s="390"/>
      <c r="V113" s="390"/>
      <c r="W113" s="390"/>
    </row>
    <row r="114" spans="1:23" x14ac:dyDescent="0.2">
      <c r="A114" t="s">
        <v>472</v>
      </c>
      <c r="B114" t="s">
        <v>473</v>
      </c>
      <c r="C114" t="s">
        <v>474</v>
      </c>
      <c r="D114" t="s">
        <v>128</v>
      </c>
      <c r="E114" s="202">
        <v>0.81018518518518512</v>
      </c>
      <c r="F114">
        <v>13.75</v>
      </c>
      <c r="G114" t="s">
        <v>473</v>
      </c>
      <c r="H114">
        <v>37</v>
      </c>
      <c r="I114" t="s">
        <v>129</v>
      </c>
      <c r="J114">
        <v>1</v>
      </c>
      <c r="K114" s="207">
        <v>807000</v>
      </c>
      <c r="L114" s="207">
        <v>45000</v>
      </c>
      <c r="M114" s="161">
        <v>15.3</v>
      </c>
      <c r="N114" s="161">
        <v>1</v>
      </c>
      <c r="O114" s="161">
        <v>251</v>
      </c>
      <c r="P114" s="161">
        <v>16</v>
      </c>
      <c r="Q114" s="161">
        <v>593</v>
      </c>
      <c r="R114" s="161">
        <v>34</v>
      </c>
      <c r="S114" s="204" t="s">
        <v>468</v>
      </c>
      <c r="T114" s="393" t="s">
        <v>260</v>
      </c>
      <c r="U114" s="393" t="s">
        <v>261</v>
      </c>
      <c r="V114" s="393" t="s">
        <v>262</v>
      </c>
      <c r="W114" s="393" t="s">
        <v>263</v>
      </c>
    </row>
    <row r="115" spans="1:23" s="148" customFormat="1" x14ac:dyDescent="0.2">
      <c r="A115" s="148" t="s">
        <v>475</v>
      </c>
      <c r="B115" s="148" t="s">
        <v>476</v>
      </c>
      <c r="C115" s="148" t="s">
        <v>477</v>
      </c>
      <c r="D115" s="148" t="s">
        <v>128</v>
      </c>
      <c r="E115" s="203">
        <v>0.81068287037037035</v>
      </c>
      <c r="F115" s="148">
        <v>13.749000000000001</v>
      </c>
      <c r="G115" s="148" t="s">
        <v>476</v>
      </c>
      <c r="H115" s="148">
        <v>37</v>
      </c>
      <c r="I115" s="148" t="s">
        <v>129</v>
      </c>
      <c r="J115" s="148">
        <v>1</v>
      </c>
      <c r="K115" s="208">
        <v>687000</v>
      </c>
      <c r="L115" s="208">
        <v>37000</v>
      </c>
      <c r="M115" s="209">
        <v>15.3</v>
      </c>
      <c r="N115" s="209">
        <v>1</v>
      </c>
      <c r="O115" s="209">
        <v>115.9</v>
      </c>
      <c r="P115" s="209">
        <v>6.1</v>
      </c>
      <c r="Q115" s="209">
        <v>412</v>
      </c>
      <c r="R115" s="209">
        <v>27</v>
      </c>
      <c r="S115" s="205" t="s">
        <v>468</v>
      </c>
      <c r="T115" s="394">
        <f>AVERAGE(O112:O115)</f>
        <v>171.5</v>
      </c>
      <c r="U115" s="394">
        <f>AVERAGE(Q112:Q115)</f>
        <v>587</v>
      </c>
      <c r="V115" s="392">
        <f>_xlfn.STDEV.P(O112:O115)</f>
        <v>62.503639894009389</v>
      </c>
      <c r="W115" s="392">
        <f>_xlfn.STDEV.P(Q112:Q115)</f>
        <v>109.09399616844183</v>
      </c>
    </row>
    <row r="116" spans="1:23" x14ac:dyDescent="0.2">
      <c r="A116" t="s">
        <v>478</v>
      </c>
      <c r="B116" t="s">
        <v>479</v>
      </c>
      <c r="C116" t="s">
        <v>480</v>
      </c>
      <c r="D116" t="s">
        <v>128</v>
      </c>
      <c r="E116" s="202">
        <v>0.81168981481481473</v>
      </c>
      <c r="F116">
        <v>13.75</v>
      </c>
      <c r="G116" t="s">
        <v>479</v>
      </c>
      <c r="H116">
        <v>37</v>
      </c>
      <c r="I116" t="s">
        <v>129</v>
      </c>
      <c r="J116">
        <v>1</v>
      </c>
      <c r="K116" s="207">
        <v>744000</v>
      </c>
      <c r="L116" s="207">
        <v>55000</v>
      </c>
      <c r="M116" s="161">
        <v>15.3</v>
      </c>
      <c r="N116" s="161">
        <v>1</v>
      </c>
      <c r="O116" s="161">
        <v>1740</v>
      </c>
      <c r="P116" s="161">
        <v>120</v>
      </c>
      <c r="Q116" s="161">
        <v>1640</v>
      </c>
      <c r="R116" s="161">
        <v>120</v>
      </c>
      <c r="S116" s="204" t="s">
        <v>481</v>
      </c>
      <c r="T116" s="391" t="s">
        <v>33</v>
      </c>
      <c r="U116" s="390"/>
      <c r="V116" s="390"/>
      <c r="W116" s="390"/>
    </row>
    <row r="117" spans="1:23" x14ac:dyDescent="0.2">
      <c r="A117" t="s">
        <v>482</v>
      </c>
      <c r="B117" t="s">
        <v>483</v>
      </c>
      <c r="C117" t="s">
        <v>484</v>
      </c>
      <c r="D117" t="s">
        <v>128</v>
      </c>
      <c r="E117" s="202">
        <v>0.8121990740740741</v>
      </c>
      <c r="F117">
        <v>13.749000000000001</v>
      </c>
      <c r="G117" t="s">
        <v>483</v>
      </c>
      <c r="H117">
        <v>37</v>
      </c>
      <c r="I117" t="s">
        <v>129</v>
      </c>
      <c r="J117">
        <v>1</v>
      </c>
      <c r="K117" s="207">
        <v>829000</v>
      </c>
      <c r="L117" s="207">
        <v>56000</v>
      </c>
      <c r="M117" s="161">
        <v>15.3</v>
      </c>
      <c r="N117" s="161">
        <v>1</v>
      </c>
      <c r="O117" s="161">
        <v>1530</v>
      </c>
      <c r="P117" s="161">
        <v>100</v>
      </c>
      <c r="Q117" s="161">
        <v>1595</v>
      </c>
      <c r="R117" s="161">
        <v>93</v>
      </c>
      <c r="S117" s="204" t="s">
        <v>481</v>
      </c>
      <c r="T117" s="393" t="s">
        <v>260</v>
      </c>
      <c r="U117" s="393" t="s">
        <v>261</v>
      </c>
      <c r="V117" s="393" t="s">
        <v>262</v>
      </c>
      <c r="W117" s="393" t="s">
        <v>263</v>
      </c>
    </row>
    <row r="118" spans="1:23" x14ac:dyDescent="0.2">
      <c r="A118" t="s">
        <v>485</v>
      </c>
      <c r="B118" t="s">
        <v>486</v>
      </c>
      <c r="C118" t="s">
        <v>487</v>
      </c>
      <c r="D118" t="s">
        <v>128</v>
      </c>
      <c r="E118" s="202">
        <v>0.81269675925925933</v>
      </c>
      <c r="F118">
        <v>13.75</v>
      </c>
      <c r="G118" t="s">
        <v>486</v>
      </c>
      <c r="H118">
        <v>37</v>
      </c>
      <c r="I118" t="s">
        <v>129</v>
      </c>
      <c r="J118">
        <v>1</v>
      </c>
      <c r="K118" s="207">
        <v>849000</v>
      </c>
      <c r="L118" s="207">
        <v>76000</v>
      </c>
      <c r="M118" s="161">
        <v>15.3</v>
      </c>
      <c r="N118" s="161">
        <v>1</v>
      </c>
      <c r="O118" s="161">
        <v>1675</v>
      </c>
      <c r="P118" s="161">
        <v>96</v>
      </c>
      <c r="Q118" s="161">
        <v>1820</v>
      </c>
      <c r="R118" s="161">
        <v>110</v>
      </c>
      <c r="S118" s="204" t="s">
        <v>481</v>
      </c>
      <c r="T118" s="394">
        <f>AVERAGE(O116:O118)</f>
        <v>1648.3333333333333</v>
      </c>
      <c r="U118" s="394">
        <f>AVERAGE(Q116:Q118)</f>
        <v>1685</v>
      </c>
      <c r="V118" s="392">
        <f>_xlfn.STDEV.P(O116:O118)</f>
        <v>87.781293881757946</v>
      </c>
      <c r="W118" s="392">
        <f>_xlfn.STDEV.P(Q116:Q118)</f>
        <v>97.211110476117909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D42E-4B04-FB4A-B657-BC9FE332E7C2}">
  <dimension ref="A1:AM86"/>
  <sheetViews>
    <sheetView topLeftCell="C25" zoomScale="89" zoomScaleNormal="100" workbookViewId="0">
      <selection activeCell="AK4" sqref="AK4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hidden="1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620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ht="16" x14ac:dyDescent="0.2">
      <c r="A8" s="309">
        <v>1</v>
      </c>
      <c r="B8" s="309">
        <f>G8</f>
        <v>1</v>
      </c>
      <c r="C8" s="1">
        <v>250.01</v>
      </c>
      <c r="D8" s="1">
        <v>0.39</v>
      </c>
      <c r="E8" s="326">
        <f>10000/(C8+273.15)</f>
        <v>19.114611208808014</v>
      </c>
      <c r="F8" s="327">
        <f t="shared" ref="F8:F63" si="0">SQRT((((-1)*10^4/(C9+273.15)^2)*D8)^2)</f>
        <v>1.371985395591177E-2</v>
      </c>
      <c r="G8" s="309">
        <f>H8/60/60</f>
        <v>1</v>
      </c>
      <c r="H8" s="1">
        <v>3600</v>
      </c>
      <c r="I8" s="324">
        <v>30</v>
      </c>
      <c r="J8" s="350">
        <v>2.8250000000000001E-2</v>
      </c>
      <c r="K8" s="1">
        <v>1.6E-2</v>
      </c>
      <c r="L8" s="328">
        <f t="shared" ref="L8:L65" si="1">100*(K8/J8)</f>
        <v>56.637168141592923</v>
      </c>
      <c r="M8" s="329">
        <f t="shared" ref="M8:M64" si="2">J8/$J$65</f>
        <v>8.2419209481622558E-4</v>
      </c>
      <c r="N8" s="330">
        <f>(1/$J$65)*SQRT(((1-J9/$J$65)*K8)^2+(J9/$J$65)^2*SUMSQ(K9:K$64))</f>
        <v>4.6673907219573922E-4</v>
      </c>
      <c r="O8" s="331">
        <f>100*(N8/M8)</f>
        <v>56.62988945554136</v>
      </c>
      <c r="P8" s="332">
        <f>M8+P7</f>
        <v>8.2419209481622558E-4</v>
      </c>
      <c r="Q8" s="330">
        <f>SQRT(((1-P8)/$J$65)^2*SUMSQ(K$8:K8)+(P8/$J$65)^2*SUMSQ(K9:K$64))</f>
        <v>4.6679087983894689E-4</v>
      </c>
      <c r="R8" s="331">
        <f>100*(Q8/P8)</f>
        <v>56.636175325490065</v>
      </c>
      <c r="S8" s="333">
        <f>IF(P8&lt;=0.85, ((2*PI()-PI()^2*P8/3-2*PI()*SQRT(1-PI()*P8/3))/PI()^2/H8), ((-1)*LN((1-P8)*PI()^2/6)/PI()^2/H8 ))</f>
        <v>1.6473627414384182E-11</v>
      </c>
      <c r="T8" s="333">
        <f>IF(P8&lt;=0.85, ABS((2/PI()-P8/3-2*SQRT(1-PI()*P8/3)/PI())*(-1)*I8/H8^2), ABS((-1)*LN((1-P8)*PI()^2/6)*(-1)*I8/PI()^2/H8^2))</f>
        <v>1.3728022833729651E-13</v>
      </c>
      <c r="U8" s="333">
        <f>IF(P8&lt;=0.85, ((1/(3*H8*$J$65))*((1/SQRT(1-PI()*P8/3))-1)*SQRT(((1-P8)*K8)^2+(-P8)^2*SUMSQ(K9:K$64))),  (1/(PI()^2*H8*$J$65))*SQRT(K8^2+(P8/(1-P8))^2*SUMSQ(K9:K$64)))</f>
        <v>1.8664093956221994E-11</v>
      </c>
      <c r="V8" s="334">
        <f>SQRT(T8^2+U8^2)</f>
        <v>1.8664598818827441E-11</v>
      </c>
      <c r="W8" s="331">
        <f>100*(V8/S8)</f>
        <v>113.29987227057339</v>
      </c>
      <c r="X8" s="334">
        <f>V8*2</f>
        <v>3.7329197637654881E-11</v>
      </c>
      <c r="Y8" s="335">
        <f>LN(S8)</f>
        <v>-24.829260352249918</v>
      </c>
      <c r="Z8" s="335">
        <f>V8/S8</f>
        <v>1.1329987227057339</v>
      </c>
      <c r="AA8" s="335">
        <f>ABS(100*(Z8/Y8))</f>
        <v>4.5631593798285115</v>
      </c>
      <c r="AB8" s="335">
        <f>2*Z8</f>
        <v>2.2659974454114677</v>
      </c>
      <c r="AC8" s="336">
        <f t="shared" ref="AC8:AC63" si="3">S8*($AC$3^2)*10^(-8)</f>
        <v>2.1259150283753127E-15</v>
      </c>
      <c r="AD8" s="337">
        <f t="shared" ref="AD8:AD63" si="4">AC8*SQRT((V8/S8)^2+(2*$AD$3/$AC$3)^2)</f>
        <v>2.409821918715907E-15</v>
      </c>
      <c r="AE8" s="308">
        <f>100*AD8/AC8</f>
        <v>113.35457375065289</v>
      </c>
      <c r="AF8" s="337">
        <f>2*AD8</f>
        <v>4.8196438374318141E-15</v>
      </c>
      <c r="AG8" s="338">
        <f>LN(AC8)</f>
        <v>-33.784574083628179</v>
      </c>
      <c r="AH8" s="339">
        <f>AD8/AC8</f>
        <v>1.1335457375065288</v>
      </c>
      <c r="AI8" s="340">
        <f>ABS(100*(AH8/AG8))</f>
        <v>3.3552168948485841</v>
      </c>
      <c r="AJ8" s="341">
        <f>2*AH8</f>
        <v>2.2670914750130575</v>
      </c>
    </row>
    <row r="9" spans="1:39" ht="16" x14ac:dyDescent="0.2">
      <c r="A9" s="309">
        <v>2</v>
      </c>
      <c r="B9" s="309">
        <f>G9+B8</f>
        <v>2</v>
      </c>
      <c r="C9" s="1">
        <v>260.01</v>
      </c>
      <c r="D9" s="1">
        <v>0.37</v>
      </c>
      <c r="E9" s="326">
        <f t="shared" ref="E9:E63" si="5">10000/(C9+273.15)</f>
        <v>18.756095731112612</v>
      </c>
      <c r="F9" s="327">
        <f t="shared" si="0"/>
        <v>1.2541404191798807E-2</v>
      </c>
      <c r="G9" s="309">
        <f t="shared" ref="G9:G63" si="6">H9/60/60</f>
        <v>1</v>
      </c>
      <c r="H9" s="1">
        <v>3600</v>
      </c>
      <c r="I9" s="324">
        <v>30</v>
      </c>
      <c r="J9" s="350">
        <v>2.3439999999999999E-2</v>
      </c>
      <c r="K9" s="1">
        <v>2.5000000000000001E-2</v>
      </c>
      <c r="L9" s="328">
        <f t="shared" si="1"/>
        <v>106.6552901023891</v>
      </c>
      <c r="M9" s="329">
        <f t="shared" si="2"/>
        <v>6.8386062663689656E-4</v>
      </c>
      <c r="N9" s="342">
        <f>(1/$J$65)*SQRT(((1-J10/$J$65)*K9)^2+(J10/$J$65)^2*(SUMSQ(K$8:K8)+SUMSQ(K10:K$64)))</f>
        <v>7.2903007693180791E-4</v>
      </c>
      <c r="O9" s="340">
        <f>100*(N9/M9)</f>
        <v>106.60506666644145</v>
      </c>
      <c r="P9" s="332">
        <f t="shared" ref="P9:P64" si="7">M9+P8</f>
        <v>1.5080527214531222E-3</v>
      </c>
      <c r="Q9" s="342">
        <f>SQRT(((1-P9)/$J$65)^2*SUMSQ(K$8:K9)+(P9/$J$65)^2*SUMSQ(K10:K$64))</f>
        <v>8.6533365268479827E-4</v>
      </c>
      <c r="R9" s="340">
        <f>100*(Q9/P9)</f>
        <v>57.380862112763822</v>
      </c>
      <c r="S9" s="343">
        <f>IF(P9&lt;=0.85, (((-1)*PI()^2*(P9-P8)/3-2*PI()*(SQRT(1-PI()*P9/3)-SQRT(1-PI()*P8/3)))/PI()^2/H9), ((-1)*LN((1-P9)/(1-P8))/PI()^2/H9 ))</f>
        <v>3.8698667505990974E-11</v>
      </c>
      <c r="T9" s="344">
        <f>IF(P9&lt;=0.85, ABS(((-1)*(P9-P8)/3-2*(SQRT(1-PI()*P9/3)-SQRT(1-PI()*P8/3))/PI())*(-1)*I9/H9^2), ABS((-1)*LN((1-P9)/(1-P8))*(-1)*I9/PI()^2/H9^2))</f>
        <v>3.2248889588322755E-13</v>
      </c>
      <c r="U9" s="344">
        <f>IF(P9&lt;=0.85, (1/(3*H9*$J$65))*SQRT( ((1-P9)*(1/SQRT(1-PI()*P9/3)-1) + (1-P8)*(1-1/SQRT(1-PI()*P8/3)))^2*SUMSQ(K$8:K8) + ( (1-P9)*(1/SQRT(1-PI()*P9/3)-1) -P8*(1-1/SQRT(1-PI()*P8/3)) )^2*K9^2 + ( P9*(1-1/SQRT(1-PI()*P9/3)) - P8*(1-1/SQRT(1-PI()*P8/3)) )^2*SUMSQ(K10:K$64) ), (1/(PI()^2*H9*$J$65))*SQRT((1+P8/(1-P8))^2*K9^2+(P8/(1-P8)-P9/(1-P9))^2*SUMSQ(K10:K$64)) )</f>
        <v>5.5558937078353256E-11</v>
      </c>
      <c r="V9" s="345">
        <f>SQRT(T9^2+U9^2)</f>
        <v>5.5559873005293883E-11</v>
      </c>
      <c r="W9" s="340">
        <f>100*(V9/S9)</f>
        <v>143.57050665037139</v>
      </c>
      <c r="X9" s="345">
        <f>V9*2</f>
        <v>1.1111974601058777E-10</v>
      </c>
      <c r="Y9" s="338">
        <f t="shared" ref="Y9:Y63" si="8">LN(S9)</f>
        <v>-23.975215947855329</v>
      </c>
      <c r="Z9" s="346">
        <f>V9/S9</f>
        <v>1.4357050665037139</v>
      </c>
      <c r="AA9" s="346">
        <f>ABS(100*(Z9/Y9))</f>
        <v>5.9882883625585981</v>
      </c>
      <c r="AB9" s="346">
        <f t="shared" ref="AB9:AB63" si="9">2*Z9</f>
        <v>2.8714101330074278</v>
      </c>
      <c r="AC9" s="336">
        <f t="shared" si="3"/>
        <v>4.9940475621811322E-15</v>
      </c>
      <c r="AD9" s="337">
        <f t="shared" si="4"/>
        <v>7.1721354207300007E-15</v>
      </c>
      <c r="AE9" s="308">
        <f t="shared" ref="AE9:AE63" si="10">100*AD9/AC9</f>
        <v>143.61367871309574</v>
      </c>
      <c r="AF9" s="337">
        <f t="shared" ref="AF9:AF63" si="11">2*AD9</f>
        <v>1.4344270841460001E-14</v>
      </c>
      <c r="AG9" s="338">
        <f>LN(AC9)</f>
        <v>-32.930529679233594</v>
      </c>
      <c r="AH9" s="339">
        <f>AD9/AC9</f>
        <v>1.4361367871309572</v>
      </c>
      <c r="AI9" s="340">
        <f>ABS(100*(AH9/AG9))</f>
        <v>4.3611104987375988</v>
      </c>
      <c r="AJ9" s="341">
        <f t="shared" ref="AJ9:AJ63" si="12">2*AH9</f>
        <v>2.8722735742619143</v>
      </c>
    </row>
    <row r="10" spans="1:39" ht="16" x14ac:dyDescent="0.2">
      <c r="A10" s="309">
        <v>3</v>
      </c>
      <c r="B10" s="309">
        <f t="shared" ref="B10:B63" si="13">G10+B9</f>
        <v>3</v>
      </c>
      <c r="C10" s="1">
        <v>270.01</v>
      </c>
      <c r="D10" s="1">
        <v>0.35</v>
      </c>
      <c r="E10" s="326">
        <f t="shared" si="5"/>
        <v>18.410781353560647</v>
      </c>
      <c r="F10" s="327">
        <f t="shared" si="0"/>
        <v>1.1438432361982007E-2</v>
      </c>
      <c r="G10" s="309">
        <f t="shared" si="6"/>
        <v>1</v>
      </c>
      <c r="H10" s="1">
        <v>3600</v>
      </c>
      <c r="I10" s="324">
        <v>30</v>
      </c>
      <c r="J10" s="350">
        <v>2.5020000000000001E-2</v>
      </c>
      <c r="K10" s="1">
        <v>1.7999999999999999E-2</v>
      </c>
      <c r="L10" s="328">
        <f t="shared" si="1"/>
        <v>71.942446043165461</v>
      </c>
      <c r="M10" s="329">
        <f t="shared" si="2"/>
        <v>7.2995703406378634E-4</v>
      </c>
      <c r="N10" s="342">
        <f>(1/$J$65)*SQRT(((1-J11/$J$65)*K10)^2+(J11/$J$65)^2*(SUMSQ(K$8:K9)+SUMSQ(K11:K$64)))</f>
        <v>5.2504532100362139E-4</v>
      </c>
      <c r="O10" s="340">
        <f t="shared" ref="O10:O64" si="14">100*(N10/M10)</f>
        <v>71.928250088996464</v>
      </c>
      <c r="P10" s="332">
        <f t="shared" si="7"/>
        <v>2.2380097555169086E-3</v>
      </c>
      <c r="Q10" s="342">
        <f>SQRT(((1-P10)/$J$65)^2*SUMSQ(K$8:K10)+(P10/$J$65)^2*SUMSQ(K11:K$64))</f>
        <v>1.0117656374253688E-3</v>
      </c>
      <c r="R10" s="340">
        <f t="shared" ref="R10:R63" si="15">100*(Q10/P10)</f>
        <v>45.208276457744184</v>
      </c>
      <c r="S10" s="343">
        <f t="shared" ref="S10:S63" si="16">IF(P10&lt;=0.85, (((-1)*PI()^2*(P10-P9)/3-2*PI()*(SQRT(1-PI()*P10/3)-SQRT(1-PI()*P9/3)))/PI()^2/H10), ((-1)*LN((1-P10)/(1-P9))/PI()^2/H10 ))</f>
        <v>6.6384204338235786E-11</v>
      </c>
      <c r="T10" s="344">
        <f t="shared" ref="T10:T63" si="17">IF(P10&lt;=0.85, ABS(((-1)*(P10-P9)/3-2*(SQRT(1-PI()*P10/3)-SQRT(1-PI()*P9/3))/PI())*(-1)*I10/H10^2), ABS((-1)*LN((1-P10)/(1-P9))*(-1)*I10/PI()^2/H10^2))</f>
        <v>5.5320170281858267E-13</v>
      </c>
      <c r="U10" s="344">
        <f>IF(P10&lt;=0.85, (1/(3*H10*$J$65))*SQRT( ((1-P10)*(1/SQRT(1-PI()*P10/3)-1) + (1-P9)*(1-1/SQRT(1-PI()*P9/3)))^2*SUMSQ(K$8:K9) + ( (1-P10)*(1/SQRT(1-PI()*P10/3)-1) -P9*(1-1/SQRT(1-PI()*P9/3)) )^2*K10^2 + ( P10*(1-1/SQRT(1-PI()*P10/3)) - P9*(1-1/SQRT(1-PI()*P9/3)) )^2*SUMSQ(K11:K$64) ), (1/(PI()^2*H10*$J$65))*SQRT((1+P9/(1-P9))^2*K10^2+(P9/(1-P9)-P10/(1-P10))^2*SUMSQ(K11:K$64)) )</f>
        <v>6.4783695968241818E-11</v>
      </c>
      <c r="V10" s="345">
        <f t="shared" ref="V10:V63" si="18">SQRT(T10^2+U10^2)</f>
        <v>6.4786057878447828E-11</v>
      </c>
      <c r="W10" s="340">
        <f t="shared" ref="W10:W63" si="19">100*(V10/S10)</f>
        <v>97.592580229409393</v>
      </c>
      <c r="X10" s="345">
        <f t="shared" ref="X10:X63" si="20">V10*2</f>
        <v>1.2957211575689566E-10</v>
      </c>
      <c r="Y10" s="338">
        <f t="shared" si="8"/>
        <v>-23.435561974217986</v>
      </c>
      <c r="Z10" s="346">
        <f t="shared" ref="Z10:Z63" si="21">V10/S10</f>
        <v>0.97592580229409387</v>
      </c>
      <c r="AA10" s="346">
        <f t="shared" ref="AA10:AA63" si="22">ABS(100*(Z10/Y10))</f>
        <v>4.1642944315469492</v>
      </c>
      <c r="AB10" s="346">
        <f t="shared" si="9"/>
        <v>1.9518516045881877</v>
      </c>
      <c r="AC10" s="336">
        <f t="shared" si="3"/>
        <v>8.5668550161675921E-15</v>
      </c>
      <c r="AD10" s="337">
        <f t="shared" si="4"/>
        <v>8.3660548269045511E-15</v>
      </c>
      <c r="AE10" s="308">
        <f t="shared" si="10"/>
        <v>97.656080453280865</v>
      </c>
      <c r="AF10" s="337">
        <f t="shared" si="11"/>
        <v>1.6732109653809102E-14</v>
      </c>
      <c r="AG10" s="338">
        <f t="shared" ref="AG10:AG63" si="23">LN(AC10)</f>
        <v>-32.390875705596251</v>
      </c>
      <c r="AH10" s="339">
        <f t="shared" ref="AH10:AH63" si="24">AD10/AC10</f>
        <v>0.97656080453280869</v>
      </c>
      <c r="AI10" s="340">
        <f t="shared" ref="AI10:AI63" si="25">ABS(100*(AH10/AG10))</f>
        <v>3.0149256025334501</v>
      </c>
      <c r="AJ10" s="341">
        <f t="shared" si="12"/>
        <v>1.9531216090656174</v>
      </c>
    </row>
    <row r="11" spans="1:39" ht="16" x14ac:dyDescent="0.2">
      <c r="A11" s="309">
        <v>4</v>
      </c>
      <c r="B11" s="309">
        <f t="shared" si="13"/>
        <v>4</v>
      </c>
      <c r="C11" s="1">
        <v>280.01</v>
      </c>
      <c r="D11" s="1">
        <v>0.41</v>
      </c>
      <c r="E11" s="326">
        <f t="shared" si="5"/>
        <v>18.077952129582762</v>
      </c>
      <c r="F11" s="327">
        <f t="shared" si="0"/>
        <v>1.2927669961514792E-2</v>
      </c>
      <c r="G11" s="309">
        <f t="shared" si="6"/>
        <v>1</v>
      </c>
      <c r="H11" s="1">
        <v>3600</v>
      </c>
      <c r="I11" s="324">
        <v>30</v>
      </c>
      <c r="J11" s="350">
        <v>2.7570000000000001E-2</v>
      </c>
      <c r="K11" s="1">
        <v>1.9E-2</v>
      </c>
      <c r="L11" s="328">
        <f t="shared" si="1"/>
        <v>68.915487849111344</v>
      </c>
      <c r="M11" s="329">
        <f t="shared" si="2"/>
        <v>8.0435313465781729E-4</v>
      </c>
      <c r="N11" s="342">
        <f>(1/$J$65)*SQRT(((1-J12/$J$65)*K11)^2+(J12/$J$65)^2*(SUMSQ(K$8:K10)+SUMSQ(K12:K$64)))</f>
        <v>5.5420851901102116E-4</v>
      </c>
      <c r="O11" s="340">
        <f t="shared" si="14"/>
        <v>68.901144923962903</v>
      </c>
      <c r="P11" s="332">
        <f t="shared" si="7"/>
        <v>3.0423628901747259E-3</v>
      </c>
      <c r="Q11" s="342">
        <f>SQRT(((1-P11)/$J$65)^2*SUMSQ(K$8:K11)+(P11/$J$65)^2*SUMSQ(K12:K$64))</f>
        <v>1.1530928139030919E-3</v>
      </c>
      <c r="R11" s="340">
        <f t="shared" si="15"/>
        <v>37.901225314935019</v>
      </c>
      <c r="S11" s="343">
        <f t="shared" si="16"/>
        <v>1.0317272393414289E-10</v>
      </c>
      <c r="T11" s="344">
        <f t="shared" si="17"/>
        <v>8.5977269945128625E-13</v>
      </c>
      <c r="U11" s="344">
        <f>IF(P11&lt;=0.85, (1/(3*H11*$J$65))*SQRT( ((1-P11)*(1/SQRT(1-PI()*P11/3)-1) + (1-P10)*(1-1/SQRT(1-PI()*P10/3)))^2*SUMSQ(K$8:K10) + ( (1-P11)*(1/SQRT(1-PI()*P11/3)-1) -P10*(1-1/SQRT(1-PI()*P10/3)) )^2*K11^2 + ( P11*(1-1/SQRT(1-PI()*P11/3)) - P10*(1-1/SQRT(1-PI()*P10/3)) )^2*SUMSQ(K12:K$64) ), (1/(PI()^2*H11*$J$65))*SQRT((1+P10/(1-P10))^2*K11^2+(P10/(1-P10)-P11/(1-P11))^2*SUMSQ(K12:K$64)) )</f>
        <v>9.0975244107491836E-11</v>
      </c>
      <c r="V11" s="345">
        <f t="shared" si="18"/>
        <v>9.0979306710440747E-11</v>
      </c>
      <c r="W11" s="340">
        <f t="shared" si="19"/>
        <v>88.181549581374398</v>
      </c>
      <c r="X11" s="345">
        <f t="shared" si="20"/>
        <v>1.8195861342088149E-10</v>
      </c>
      <c r="Y11" s="338">
        <f t="shared" si="8"/>
        <v>-22.994616600779</v>
      </c>
      <c r="Z11" s="346">
        <f t="shared" si="21"/>
        <v>0.88181549581374397</v>
      </c>
      <c r="AA11" s="346">
        <f t="shared" si="22"/>
        <v>3.8348780113336192</v>
      </c>
      <c r="AB11" s="346">
        <f t="shared" si="9"/>
        <v>1.7636309916274879</v>
      </c>
      <c r="AC11" s="336">
        <f t="shared" si="3"/>
        <v>1.3314398754611565E-14</v>
      </c>
      <c r="AD11" s="337">
        <f t="shared" si="4"/>
        <v>1.1750199439440624E-14</v>
      </c>
      <c r="AE11" s="308">
        <f t="shared" si="10"/>
        <v>88.251821625597884</v>
      </c>
      <c r="AF11" s="337">
        <f t="shared" si="11"/>
        <v>2.3500398878881249E-14</v>
      </c>
      <c r="AG11" s="338">
        <f t="shared" si="23"/>
        <v>-31.949930332157265</v>
      </c>
      <c r="AH11" s="339">
        <f t="shared" si="24"/>
        <v>0.88251821625597882</v>
      </c>
      <c r="AI11" s="340">
        <f t="shared" si="25"/>
        <v>2.7621913634275868</v>
      </c>
      <c r="AJ11" s="341">
        <f t="shared" si="12"/>
        <v>1.7650364325119576</v>
      </c>
    </row>
    <row r="12" spans="1:39" ht="16" x14ac:dyDescent="0.2">
      <c r="A12" s="309">
        <v>5</v>
      </c>
      <c r="B12" s="309">
        <f t="shared" si="13"/>
        <v>5</v>
      </c>
      <c r="C12" s="1">
        <v>290.01</v>
      </c>
      <c r="D12" s="1">
        <v>0.38</v>
      </c>
      <c r="E12" s="326">
        <f t="shared" si="5"/>
        <v>17.756942964699199</v>
      </c>
      <c r="F12" s="327">
        <f t="shared" si="0"/>
        <v>1.156729598812423E-2</v>
      </c>
      <c r="G12" s="309">
        <f t="shared" si="6"/>
        <v>1</v>
      </c>
      <c r="H12" s="1">
        <v>3600</v>
      </c>
      <c r="I12" s="324">
        <v>30</v>
      </c>
      <c r="J12" s="350">
        <v>3.1480000000000001E-2</v>
      </c>
      <c r="K12" s="1">
        <v>1.39999999999999E-2</v>
      </c>
      <c r="L12" s="328">
        <f t="shared" si="1"/>
        <v>44.472681067344027</v>
      </c>
      <c r="M12" s="329">
        <f t="shared" si="2"/>
        <v>9.1842715556866481E-4</v>
      </c>
      <c r="N12" s="342">
        <f>(1/$J$65)*SQRT(((1-J13/$J$65)*K12)^2+(J13/$J$65)^2*(SUMSQ(K$8:K11)+SUMSQ(K13:K$64)))</f>
        <v>4.0869751589778849E-4</v>
      </c>
      <c r="O12" s="340">
        <f t="shared" si="14"/>
        <v>44.499720355582717</v>
      </c>
      <c r="P12" s="332">
        <f t="shared" si="7"/>
        <v>3.9607900457433905E-3</v>
      </c>
      <c r="Q12" s="342">
        <f>SQRT(((1-P12)/$J$65)^2*SUMSQ(K$8:K12)+(P12/$J$65)^2*SUMSQ(K13:K$64))</f>
        <v>1.2231158562687663E-3</v>
      </c>
      <c r="R12" s="340">
        <f t="shared" si="15"/>
        <v>30.880603166109065</v>
      </c>
      <c r="S12" s="343">
        <f t="shared" si="16"/>
        <v>1.5634588977750064E-10</v>
      </c>
      <c r="T12" s="344">
        <f t="shared" si="17"/>
        <v>1.3028824148124997E-12</v>
      </c>
      <c r="U12" s="344">
        <f>IF(P12&lt;=0.85, (1/(3*H12*$J$65))*SQRT( ((1-P12)*(1/SQRT(1-PI()*P12/3)-1) + (1-P11)*(1-1/SQRT(1-PI()*P11/3)))^2*SUMSQ(K$8:K11) + ( (1-P12)*(1/SQRT(1-PI()*P12/3)-1) -P11*(1-1/SQRT(1-PI()*P11/3)) )^2*K12^2 + ( P12*(1-1/SQRT(1-PI()*P12/3)) - P11*(1-1/SQRT(1-PI()*P11/3)) )^2*SUMSQ(K13:K$64) ), (1/(PI()^2*H12*$J$65))*SQRT((1+P11/(1-P11))^2*K12^2+(P11/(1-P11)-P12/(1-P12))^2*SUMSQ(K13:K$64)) )</f>
        <v>9.410277305370321E-11</v>
      </c>
      <c r="V12" s="345">
        <f t="shared" si="18"/>
        <v>9.411179202939235E-11</v>
      </c>
      <c r="W12" s="340">
        <f t="shared" si="19"/>
        <v>60.194605795729558</v>
      </c>
      <c r="X12" s="345">
        <f t="shared" si="20"/>
        <v>1.882235840587847E-10</v>
      </c>
      <c r="Y12" s="338">
        <f t="shared" si="8"/>
        <v>-22.578950320969543</v>
      </c>
      <c r="Z12" s="346">
        <f t="shared" si="21"/>
        <v>0.60194605795729561</v>
      </c>
      <c r="AA12" s="346">
        <f t="shared" si="22"/>
        <v>2.6659612134327419</v>
      </c>
      <c r="AB12" s="346">
        <f t="shared" si="9"/>
        <v>1.2038921159145912</v>
      </c>
      <c r="AC12" s="336">
        <f t="shared" si="3"/>
        <v>2.0176374537430549E-14</v>
      </c>
      <c r="AD12" s="337">
        <f t="shared" si="4"/>
        <v>1.2165850096427075E-14</v>
      </c>
      <c r="AE12" s="308">
        <f t="shared" si="10"/>
        <v>60.297503269764285</v>
      </c>
      <c r="AF12" s="337">
        <f t="shared" si="11"/>
        <v>2.433170019285415E-14</v>
      </c>
      <c r="AG12" s="338">
        <f t="shared" si="23"/>
        <v>-31.534264052347805</v>
      </c>
      <c r="AH12" s="339">
        <f t="shared" si="24"/>
        <v>0.60297503269764285</v>
      </c>
      <c r="AI12" s="340">
        <f t="shared" si="25"/>
        <v>1.9121265417727413</v>
      </c>
      <c r="AJ12" s="341">
        <f t="shared" si="12"/>
        <v>1.2059500653952857</v>
      </c>
    </row>
    <row r="13" spans="1:39" ht="16" x14ac:dyDescent="0.2">
      <c r="A13" s="309">
        <v>6</v>
      </c>
      <c r="B13" s="309">
        <f t="shared" si="13"/>
        <v>6</v>
      </c>
      <c r="C13" s="1">
        <v>300.01</v>
      </c>
      <c r="D13" s="1">
        <v>0.38</v>
      </c>
      <c r="E13" s="326">
        <f t="shared" si="5"/>
        <v>17.447135180403379</v>
      </c>
      <c r="F13" s="327">
        <f t="shared" si="0"/>
        <v>1.1173986492725163E-2</v>
      </c>
      <c r="G13" s="309">
        <f t="shared" si="6"/>
        <v>1</v>
      </c>
      <c r="H13" s="1">
        <v>3600</v>
      </c>
      <c r="I13" s="324">
        <v>30</v>
      </c>
      <c r="J13" s="350">
        <v>3.5189999999999999E-2</v>
      </c>
      <c r="K13" s="1">
        <v>0.02</v>
      </c>
      <c r="L13" s="328">
        <f t="shared" si="1"/>
        <v>56.834327934072185</v>
      </c>
      <c r="M13" s="329">
        <f t="shared" si="2"/>
        <v>1.0266661881976275E-3</v>
      </c>
      <c r="N13" s="342">
        <f>(1/$J$65)*SQRT(((1-J14/$J$65)*K13)^2+(J14/$J$65)^2*(SUMSQ(K$8:K12)+SUMSQ(K14:K$64)))</f>
        <v>5.8341127315631749E-4</v>
      </c>
      <c r="O13" s="340">
        <f t="shared" si="14"/>
        <v>56.825799842549607</v>
      </c>
      <c r="P13" s="332">
        <f t="shared" si="7"/>
        <v>4.987456233941018E-3</v>
      </c>
      <c r="Q13" s="342">
        <f>SQRT(((1-P13)/$J$65)^2*SUMSQ(K$8:K13)+(P13/$J$65)^2*SUMSQ(K14:K$64))</f>
        <v>1.3545338462515077E-3</v>
      </c>
      <c r="R13" s="340">
        <f t="shared" si="15"/>
        <v>27.158811681063593</v>
      </c>
      <c r="S13" s="343">
        <f t="shared" si="16"/>
        <v>2.2348490503332082E-10</v>
      </c>
      <c r="T13" s="344">
        <f t="shared" si="17"/>
        <v>1.862374208611003E-12</v>
      </c>
      <c r="U13" s="344">
        <f>IF(P13&lt;=0.85, (1/(3*H13*$J$65))*SQRT( ((1-P13)*(1/SQRT(1-PI()*P13/3)-1) + (1-P12)*(1-1/SQRT(1-PI()*P12/3)))^2*SUMSQ(K$8:K12) + ( (1-P13)*(1/SQRT(1-PI()*P13/3)-1) -P12*(1-1/SQRT(1-PI()*P12/3)) )^2*K13^2 + ( P13*(1-1/SQRT(1-PI()*P13/3)) - P12*(1-1/SQRT(1-PI()*P12/3)) )^2*SUMSQ(K14:K$64) ), (1/(PI()^2*H13*$J$65))*SQRT((1+P12/(1-P12))^2*K13^2+(P12/(1-P12)-P13/(1-P13))^2*SUMSQ(K14:K$64)) )</f>
        <v>1.5425273012007351E-10</v>
      </c>
      <c r="V13" s="345">
        <f t="shared" si="18"/>
        <v>1.5426397242126604E-10</v>
      </c>
      <c r="W13" s="340">
        <f t="shared" si="19"/>
        <v>69.026573583690492</v>
      </c>
      <c r="X13" s="345">
        <f t="shared" si="20"/>
        <v>3.0852794484253207E-10</v>
      </c>
      <c r="Y13" s="338">
        <f t="shared" si="8"/>
        <v>-22.221677243156588</v>
      </c>
      <c r="Z13" s="346">
        <f t="shared" si="21"/>
        <v>0.69026573583690498</v>
      </c>
      <c r="AA13" s="346">
        <f t="shared" si="22"/>
        <v>3.1062719896603661</v>
      </c>
      <c r="AB13" s="346">
        <f t="shared" si="9"/>
        <v>1.38053147167381</v>
      </c>
      <c r="AC13" s="336">
        <f t="shared" si="3"/>
        <v>2.8840637600588035E-14</v>
      </c>
      <c r="AD13" s="337">
        <f t="shared" si="4"/>
        <v>1.9933588425654934E-14</v>
      </c>
      <c r="AE13" s="308">
        <f t="shared" si="10"/>
        <v>69.116323646216841</v>
      </c>
      <c r="AF13" s="337">
        <f t="shared" si="11"/>
        <v>3.9867176851309869E-14</v>
      </c>
      <c r="AG13" s="338">
        <f t="shared" si="23"/>
        <v>-31.176990974534853</v>
      </c>
      <c r="AH13" s="339">
        <f t="shared" si="24"/>
        <v>0.69116323646216848</v>
      </c>
      <c r="AI13" s="340">
        <f t="shared" si="25"/>
        <v>2.2169016792759306</v>
      </c>
      <c r="AJ13" s="341">
        <f t="shared" si="12"/>
        <v>1.382326472924337</v>
      </c>
    </row>
    <row r="14" spans="1:39" ht="16" x14ac:dyDescent="0.2">
      <c r="A14" s="309">
        <v>7</v>
      </c>
      <c r="B14" s="309">
        <f t="shared" si="13"/>
        <v>7</v>
      </c>
      <c r="C14" s="1">
        <v>310.01</v>
      </c>
      <c r="D14" s="1">
        <v>0.35</v>
      </c>
      <c r="E14" s="326">
        <f t="shared" si="5"/>
        <v>17.147952534467386</v>
      </c>
      <c r="F14" s="327">
        <f t="shared" si="0"/>
        <v>9.9477378368941268E-3</v>
      </c>
      <c r="G14" s="309">
        <f t="shared" si="6"/>
        <v>1</v>
      </c>
      <c r="H14" s="1">
        <v>3600</v>
      </c>
      <c r="I14" s="324">
        <v>30</v>
      </c>
      <c r="J14" s="350">
        <v>3.918E-2</v>
      </c>
      <c r="K14" s="1">
        <v>2.5999999999999999E-2</v>
      </c>
      <c r="L14" s="328">
        <f t="shared" si="1"/>
        <v>66.360387953037261</v>
      </c>
      <c r="M14" s="329">
        <f t="shared" si="2"/>
        <v>1.1430742044212289E-3</v>
      </c>
      <c r="N14" s="342">
        <f>(1/$J$65)*SQRT(((1-J15/$J$65)*K14)^2+(J15/$J$65)^2*(SUMSQ(K$8:K13)+SUMSQ(K15:K$64)))</f>
        <v>7.5814761127704713E-4</v>
      </c>
      <c r="O14" s="340">
        <f t="shared" si="14"/>
        <v>66.325318893966198</v>
      </c>
      <c r="P14" s="332">
        <f t="shared" si="7"/>
        <v>6.130530438362247E-3</v>
      </c>
      <c r="Q14" s="342">
        <f>SQRT(((1-P14)/$J$65)^2*SUMSQ(K$8:K14)+(P14/$J$65)^2*SUMSQ(K15:K$64))</f>
        <v>1.5509586271241404E-3</v>
      </c>
      <c r="R14" s="340">
        <f t="shared" si="15"/>
        <v>25.298930373445376</v>
      </c>
      <c r="S14" s="343">
        <f t="shared" si="16"/>
        <v>3.0942358375154938E-10</v>
      </c>
      <c r="T14" s="344">
        <f t="shared" si="17"/>
        <v>2.5785298645964313E-12</v>
      </c>
      <c r="U14" s="344">
        <f>IF(P14&lt;=0.85, (1/(3*H14*$J$65))*SQRT( ((1-P14)*(1/SQRT(1-PI()*P14/3)-1) + (1-P13)*(1-1/SQRT(1-PI()*P13/3)))^2*SUMSQ(K$8:K13) + ( (1-P14)*(1/SQRT(1-PI()*P14/3)-1) -P13*(1-1/SQRT(1-PI()*P13/3)) )^2*K14^2 + ( P14*(1-1/SQRT(1-PI()*P14/3)) - P13*(1-1/SQRT(1-PI()*P13/3)) )^2*SUMSQ(K15:K$64) ), (1/(PI()^2*H14*$J$65))*SQRT((1+P13/(1-P13))^2*K14^2+(P13/(1-P13)-P14/(1-P14))^2*SUMSQ(K15:K$64)) )</f>
        <v>2.3860470841342243E-10</v>
      </c>
      <c r="V14" s="345">
        <f t="shared" si="18"/>
        <v>2.3861864070796511E-10</v>
      </c>
      <c r="W14" s="340">
        <f t="shared" si="19"/>
        <v>77.117147250018007</v>
      </c>
      <c r="X14" s="345">
        <f t="shared" si="20"/>
        <v>4.7723728141593022E-10</v>
      </c>
      <c r="Y14" s="338">
        <f t="shared" si="8"/>
        <v>-21.896309956545984</v>
      </c>
      <c r="Z14" s="346">
        <f t="shared" si="21"/>
        <v>0.77117147250018003</v>
      </c>
      <c r="AA14" s="346">
        <f t="shared" si="22"/>
        <v>3.5219243517770691</v>
      </c>
      <c r="AB14" s="346">
        <f t="shared" si="9"/>
        <v>1.5423429450003601</v>
      </c>
      <c r="AC14" s="336">
        <f t="shared" si="3"/>
        <v>3.9930989713703948E-14</v>
      </c>
      <c r="AD14" s="337">
        <f t="shared" si="4"/>
        <v>3.0825722492913489E-14</v>
      </c>
      <c r="AE14" s="308">
        <f t="shared" si="10"/>
        <v>77.197491757471724</v>
      </c>
      <c r="AF14" s="337">
        <f t="shared" si="11"/>
        <v>6.1651444985826978E-14</v>
      </c>
      <c r="AG14" s="338">
        <f t="shared" si="23"/>
        <v>-30.851623687924249</v>
      </c>
      <c r="AH14" s="339">
        <f t="shared" si="24"/>
        <v>0.77197491757471726</v>
      </c>
      <c r="AI14" s="340">
        <f t="shared" si="25"/>
        <v>2.5022181178648273</v>
      </c>
      <c r="AJ14" s="341">
        <f t="shared" si="12"/>
        <v>1.5439498351494345</v>
      </c>
    </row>
    <row r="15" spans="1:39" ht="16" x14ac:dyDescent="0.2">
      <c r="A15" s="309">
        <v>8</v>
      </c>
      <c r="B15" s="309">
        <f t="shared" si="13"/>
        <v>8</v>
      </c>
      <c r="C15" s="1">
        <v>320.01</v>
      </c>
      <c r="D15" s="1">
        <v>0.44</v>
      </c>
      <c r="E15" s="326">
        <f t="shared" si="5"/>
        <v>16.858857643806058</v>
      </c>
      <c r="F15" s="327">
        <f t="shared" si="0"/>
        <v>1.2094491438091812E-2</v>
      </c>
      <c r="G15" s="309">
        <f t="shared" si="6"/>
        <v>1</v>
      </c>
      <c r="H15" s="1">
        <v>3600</v>
      </c>
      <c r="I15" s="324">
        <v>30</v>
      </c>
      <c r="J15" s="350">
        <v>4.6600000000000003E-2</v>
      </c>
      <c r="K15" s="1">
        <v>2.1000000000000001E-2</v>
      </c>
      <c r="L15" s="328">
        <f t="shared" si="1"/>
        <v>45.064377682403432</v>
      </c>
      <c r="M15" s="329">
        <f t="shared" si="2"/>
        <v>1.3595522696791544E-3</v>
      </c>
      <c r="N15" s="342">
        <f>(1/$J$65)*SQRT(((1-J16/$J$65)*K15)^2+(J16/$J$65)^2*(SUMSQ(K$8:K14)+SUMSQ(K16:K$64)))</f>
        <v>6.1279544551288317E-4</v>
      </c>
      <c r="O15" s="340">
        <f t="shared" si="14"/>
        <v>45.073327387221305</v>
      </c>
      <c r="P15" s="332">
        <f t="shared" si="7"/>
        <v>7.4900827080414019E-3</v>
      </c>
      <c r="Q15" s="342">
        <f>SQRT(((1-P15)/$J$65)^2*SUMSQ(K$8:K15)+(P15/$J$65)^2*SUMSQ(K16:K$64))</f>
        <v>1.6668034365463669E-3</v>
      </c>
      <c r="R15" s="340">
        <f t="shared" si="15"/>
        <v>22.253471710757957</v>
      </c>
      <c r="S15" s="343">
        <f t="shared" si="16"/>
        <v>4.5131091128387094E-10</v>
      </c>
      <c r="T15" s="344">
        <f t="shared" si="17"/>
        <v>3.760924260698883E-12</v>
      </c>
      <c r="U15" s="344">
        <f>IF(P15&lt;=0.85, (1/(3*H15*$J$65))*SQRT( ((1-P15)*(1/SQRT(1-PI()*P15/3)-1) + (1-P14)*(1-1/SQRT(1-PI()*P14/3)))^2*SUMSQ(K$8:K14) + ( (1-P15)*(1/SQRT(1-PI()*P15/3)-1) -P14*(1-1/SQRT(1-PI()*P14/3)) )^2*K15^2 + ( P15*(1-1/SQRT(1-PI()*P15/3)) - P14*(1-1/SQRT(1-PI()*P14/3)) )^2*SUMSQ(K16:K$64) ), (1/(PI()^2*H15*$J$65))*SQRT((1+P14/(1-P14))^2*K15^2+(P14/(1-P14)-P15/(1-P15))^2*SUMSQ(K16:K$64)) )</f>
        <v>2.4635788410374081E-10</v>
      </c>
      <c r="V15" s="345">
        <f t="shared" si="18"/>
        <v>2.4638658975554432E-10</v>
      </c>
      <c r="W15" s="340">
        <f t="shared" si="19"/>
        <v>54.593537092784608</v>
      </c>
      <c r="X15" s="345">
        <f t="shared" si="20"/>
        <v>4.9277317951108864E-10</v>
      </c>
      <c r="Y15" s="338">
        <f t="shared" si="8"/>
        <v>-21.518864631936342</v>
      </c>
      <c r="Z15" s="346">
        <f t="shared" si="21"/>
        <v>0.54593537092784605</v>
      </c>
      <c r="AA15" s="346">
        <f t="shared" si="22"/>
        <v>2.5370082495784581</v>
      </c>
      <c r="AB15" s="346">
        <f t="shared" si="9"/>
        <v>1.0918707418556921</v>
      </c>
      <c r="AC15" s="336">
        <f t="shared" si="3"/>
        <v>5.8241492576819028E-14</v>
      </c>
      <c r="AD15" s="337">
        <f t="shared" si="4"/>
        <v>3.1862156187657721E-14</v>
      </c>
      <c r="AE15" s="308">
        <f t="shared" si="10"/>
        <v>54.706970542748984</v>
      </c>
      <c r="AF15" s="337">
        <f t="shared" si="11"/>
        <v>6.3724312375315443E-14</v>
      </c>
      <c r="AG15" s="338">
        <f t="shared" si="23"/>
        <v>-30.474178363314607</v>
      </c>
      <c r="AH15" s="339">
        <f t="shared" si="24"/>
        <v>0.54706970542748978</v>
      </c>
      <c r="AI15" s="340">
        <f t="shared" si="25"/>
        <v>1.7951909938482957</v>
      </c>
      <c r="AJ15" s="341">
        <f t="shared" si="12"/>
        <v>1.0941394108549796</v>
      </c>
    </row>
    <row r="16" spans="1:39" ht="16" x14ac:dyDescent="0.2">
      <c r="A16" s="309">
        <v>9</v>
      </c>
      <c r="B16" s="309">
        <f t="shared" si="13"/>
        <v>9</v>
      </c>
      <c r="C16" s="1">
        <v>330.01</v>
      </c>
      <c r="D16" s="1">
        <v>0.43</v>
      </c>
      <c r="E16" s="326">
        <f t="shared" si="5"/>
        <v>16.579348763180583</v>
      </c>
      <c r="F16" s="327">
        <f t="shared" si="0"/>
        <v>1.1437229202852022E-2</v>
      </c>
      <c r="G16" s="309">
        <f t="shared" si="6"/>
        <v>1</v>
      </c>
      <c r="H16" s="1">
        <v>3600</v>
      </c>
      <c r="I16" s="324">
        <v>30</v>
      </c>
      <c r="J16" s="350">
        <v>5.5789999999999999E-2</v>
      </c>
      <c r="K16" s="1">
        <v>0.03</v>
      </c>
      <c r="L16" s="328">
        <f t="shared" si="1"/>
        <v>53.773077612475348</v>
      </c>
      <c r="M16" s="329">
        <f t="shared" si="2"/>
        <v>1.6276699812317601E-3</v>
      </c>
      <c r="N16" s="342">
        <f>(1/$J$65)*SQRT(((1-J17/$J$65)*K16)^2+(J17/$J$65)^2*(SUMSQ(K$8:K15)+SUMSQ(K17:K$64)))</f>
        <v>8.7468327605927159E-4</v>
      </c>
      <c r="O16" s="340">
        <f t="shared" si="14"/>
        <v>53.73836749126157</v>
      </c>
      <c r="P16" s="332">
        <f t="shared" si="7"/>
        <v>9.1177526892731627E-3</v>
      </c>
      <c r="Q16" s="342">
        <f>SQRT(((1-P16)/$J$65)^2*SUMSQ(K$8:K16)+(P16/$J$65)^2*SUMSQ(K17:K$64))</f>
        <v>1.8802200901361522E-3</v>
      </c>
      <c r="R16" s="340">
        <f t="shared" si="15"/>
        <v>20.621529824429107</v>
      </c>
      <c r="S16" s="343">
        <f t="shared" si="16"/>
        <v>6.5959481671659378E-10</v>
      </c>
      <c r="T16" s="344">
        <f t="shared" si="17"/>
        <v>5.4966234726384184E-12</v>
      </c>
      <c r="U16" s="344">
        <f>IF(P16&lt;=0.85, (1/(3*H16*$J$65))*SQRT( ((1-P16)*(1/SQRT(1-PI()*P16/3)-1) + (1-P15)*(1-1/SQRT(1-PI()*P15/3)))^2*SUMSQ(K$8:K15) + ( (1-P16)*(1/SQRT(1-PI()*P16/3)-1) -P15*(1-1/SQRT(1-PI()*P15/3)) )^2*K16^2 + ( P16*(1-1/SQRT(1-PI()*P16/3)) - P15*(1-1/SQRT(1-PI()*P15/3)) )^2*SUMSQ(K17:K$64) ), (1/(PI()^2*H16*$J$65))*SQRT((1+P15/(1-P15))^2*K16^2+(P15/(1-P15)-P16/(1-P16))^2*SUMSQ(K17:K$64)) )</f>
        <v>4.1123150870536948E-10</v>
      </c>
      <c r="V16" s="345">
        <f t="shared" si="18"/>
        <v>4.1126824168867494E-10</v>
      </c>
      <c r="W16" s="340">
        <f t="shared" si="19"/>
        <v>62.351648506871662</v>
      </c>
      <c r="X16" s="345">
        <f t="shared" si="20"/>
        <v>8.2253648337734987E-10</v>
      </c>
      <c r="Y16" s="338">
        <f t="shared" si="8"/>
        <v>-21.139395383496247</v>
      </c>
      <c r="Z16" s="346">
        <f t="shared" si="21"/>
        <v>0.6235164850687166</v>
      </c>
      <c r="AA16" s="346">
        <f t="shared" si="22"/>
        <v>2.9495473912915346</v>
      </c>
      <c r="AB16" s="346">
        <f t="shared" si="9"/>
        <v>1.2470329701374332</v>
      </c>
      <c r="AC16" s="336">
        <f t="shared" si="3"/>
        <v>8.5120447259349745E-14</v>
      </c>
      <c r="AD16" s="337">
        <f t="shared" si="4"/>
        <v>5.3158563731501388E-14</v>
      </c>
      <c r="AE16" s="308">
        <f t="shared" si="10"/>
        <v>62.45099202725627</v>
      </c>
      <c r="AF16" s="337">
        <f t="shared" si="11"/>
        <v>1.0631712746300278E-13</v>
      </c>
      <c r="AG16" s="338">
        <f t="shared" si="23"/>
        <v>-30.094709114874508</v>
      </c>
      <c r="AH16" s="339">
        <f t="shared" si="24"/>
        <v>0.62450992027256269</v>
      </c>
      <c r="AI16" s="340">
        <f t="shared" si="25"/>
        <v>2.0751485514903831</v>
      </c>
      <c r="AJ16" s="341">
        <f t="shared" si="12"/>
        <v>1.2490198405451254</v>
      </c>
    </row>
    <row r="17" spans="1:39" ht="16" x14ac:dyDescent="0.2">
      <c r="A17" s="309">
        <v>10</v>
      </c>
      <c r="B17" s="309">
        <f t="shared" si="13"/>
        <v>10</v>
      </c>
      <c r="C17" s="1">
        <v>340.01</v>
      </c>
      <c r="D17" s="1">
        <v>0.39</v>
      </c>
      <c r="E17" s="326">
        <f t="shared" si="5"/>
        <v>16.308956879118014</v>
      </c>
      <c r="F17" s="327">
        <f t="shared" si="0"/>
        <v>1.0043046412829628E-2</v>
      </c>
      <c r="G17" s="309">
        <f t="shared" si="6"/>
        <v>1</v>
      </c>
      <c r="H17" s="1">
        <v>3600</v>
      </c>
      <c r="I17" s="324">
        <v>30</v>
      </c>
      <c r="J17" s="350">
        <v>6.8900000000000003E-2</v>
      </c>
      <c r="K17" s="1">
        <v>2.5000000000000001E-2</v>
      </c>
      <c r="L17" s="328">
        <f t="shared" si="1"/>
        <v>36.284470246734394</v>
      </c>
      <c r="M17" s="329">
        <f t="shared" si="2"/>
        <v>2.0101534631093076E-3</v>
      </c>
      <c r="N17" s="342">
        <f>(1/$J$65)*SQRT(((1-J18/$J$65)*K17)^2+(J18/$J$65)^2*(SUMSQ(K$8:K16)+SUMSQ(K18:K$64)))</f>
        <v>7.2976304137062971E-4</v>
      </c>
      <c r="O17" s="340">
        <f t="shared" si="14"/>
        <v>36.303847181987358</v>
      </c>
      <c r="P17" s="332">
        <f t="shared" si="7"/>
        <v>1.1127906152382471E-2</v>
      </c>
      <c r="Q17" s="342">
        <f>SQRT(((1-P17)/$J$65)^2*SUMSQ(K$8:K17)+(P17/$J$65)^2*SUMSQ(K18:K$64))</f>
        <v>2.0154737424051597E-3</v>
      </c>
      <c r="R17" s="340">
        <f t="shared" si="15"/>
        <v>18.11188659219281</v>
      </c>
      <c r="S17" s="343">
        <f t="shared" si="16"/>
        <v>9.9445992586813668E-10</v>
      </c>
      <c r="T17" s="344">
        <f t="shared" si="17"/>
        <v>8.2871660489010278E-12</v>
      </c>
      <c r="U17" s="344">
        <f>IF(P17&lt;=0.85, (1/(3*H17*$J$65))*SQRT( ((1-P17)*(1/SQRT(1-PI()*P17/3)-1) + (1-P16)*(1-1/SQRT(1-PI()*P16/3)))^2*SUMSQ(K$8:K16) + ( (1-P17)*(1/SQRT(1-PI()*P17/3)-1) -P16*(1-1/SQRT(1-PI()*P16/3)) )^2*K17^2 + ( P17*(1-1/SQRT(1-PI()*P17/3)) - P16*(1-1/SQRT(1-PI()*P16/3)) )^2*SUMSQ(K18:K$64) ), (1/(PI()^2*H17*$J$65))*SQRT((1+P16/(1-P16))^2*K17^2+(P16/(1-P16)-P17/(1-P17))^2*SUMSQ(K18:K$64)) )</f>
        <v>4.3813711817302825E-10</v>
      </c>
      <c r="V17" s="345">
        <f t="shared" si="18"/>
        <v>4.3821548516921237E-10</v>
      </c>
      <c r="W17" s="340">
        <f t="shared" si="19"/>
        <v>44.065675626563042</v>
      </c>
      <c r="X17" s="345">
        <f t="shared" si="20"/>
        <v>8.7643097033842474E-10</v>
      </c>
      <c r="Y17" s="338">
        <f t="shared" si="8"/>
        <v>-20.728821314204954</v>
      </c>
      <c r="Z17" s="346">
        <f t="shared" si="21"/>
        <v>0.44065675626563039</v>
      </c>
      <c r="AA17" s="346">
        <f t="shared" si="22"/>
        <v>2.125816753332034</v>
      </c>
      <c r="AB17" s="346">
        <f t="shared" si="9"/>
        <v>0.88131351253126078</v>
      </c>
      <c r="AC17" s="336">
        <f t="shared" si="3"/>
        <v>1.2833465564931267E-13</v>
      </c>
      <c r="AD17" s="337">
        <f t="shared" si="4"/>
        <v>5.673178721548991E-14</v>
      </c>
      <c r="AE17" s="308">
        <f t="shared" si="10"/>
        <v>44.206131951228521</v>
      </c>
      <c r="AF17" s="337">
        <f t="shared" si="11"/>
        <v>1.1346357443097982E-13</v>
      </c>
      <c r="AG17" s="338">
        <f t="shared" si="23"/>
        <v>-29.684135045583215</v>
      </c>
      <c r="AH17" s="339">
        <f t="shared" si="24"/>
        <v>0.44206131951228522</v>
      </c>
      <c r="AI17" s="340">
        <f t="shared" si="25"/>
        <v>1.4892174517918477</v>
      </c>
      <c r="AJ17" s="341">
        <f t="shared" si="12"/>
        <v>0.88412263902457044</v>
      </c>
      <c r="AM17" s="322"/>
    </row>
    <row r="18" spans="1:39" ht="16" x14ac:dyDescent="0.2">
      <c r="A18" s="309">
        <v>11</v>
      </c>
      <c r="B18" s="309">
        <f t="shared" si="13"/>
        <v>11</v>
      </c>
      <c r="C18" s="1">
        <v>350.01</v>
      </c>
      <c r="D18" s="1">
        <v>0.4</v>
      </c>
      <c r="E18" s="326">
        <f t="shared" si="5"/>
        <v>16.047243083638232</v>
      </c>
      <c r="F18" s="327">
        <f t="shared" si="0"/>
        <v>9.9780751131908173E-3</v>
      </c>
      <c r="G18" s="309">
        <f t="shared" si="6"/>
        <v>1</v>
      </c>
      <c r="H18" s="1">
        <v>3600</v>
      </c>
      <c r="I18" s="324">
        <v>30</v>
      </c>
      <c r="J18" s="350">
        <v>8.5550000000000001E-2</v>
      </c>
      <c r="K18" s="1">
        <v>3.9E-2</v>
      </c>
      <c r="L18" s="328">
        <f t="shared" si="1"/>
        <v>45.587375803623608</v>
      </c>
      <c r="M18" s="329">
        <f t="shared" si="2"/>
        <v>2.495916237576216E-3</v>
      </c>
      <c r="N18" s="342">
        <f>(1/$J$65)*SQRT(((1-J19/$J$65)*K18)^2+(J19/$J$65)^2*(SUMSQ(K$8:K17)+SUMSQ(K19:K$64)))</f>
        <v>1.1364867405155917E-3</v>
      </c>
      <c r="O18" s="340">
        <f t="shared" si="14"/>
        <v>45.533849389883123</v>
      </c>
      <c r="P18" s="332">
        <f t="shared" si="7"/>
        <v>1.3623822389958688E-2</v>
      </c>
      <c r="Q18" s="342">
        <f>SQRT(((1-P18)/$J$65)^2*SUMSQ(K$8:K18)+(P18/$J$65)^2*SUMSQ(K19:K$64))</f>
        <v>2.3093415681869562E-3</v>
      </c>
      <c r="R18" s="340">
        <f t="shared" si="15"/>
        <v>16.950760969175839</v>
      </c>
      <c r="S18" s="343">
        <f t="shared" si="16"/>
        <v>1.5123129349128423E-9</v>
      </c>
      <c r="T18" s="344">
        <f t="shared" si="17"/>
        <v>1.2602607790940355E-11</v>
      </c>
      <c r="U18" s="344">
        <f>IF(P18&lt;=0.85, (1/(3*H18*$J$65))*SQRT( ((1-P18)*(1/SQRT(1-PI()*P18/3)-1) + (1-P17)*(1-1/SQRT(1-PI()*P17/3)))^2*SUMSQ(K$8:K17) + ( (1-P18)*(1/SQRT(1-PI()*P18/3)-1) -P17*(1-1/SQRT(1-PI()*P17/3)) )^2*K18^2 + ( P18*(1-1/SQRT(1-PI()*P18/3)) - P17*(1-1/SQRT(1-PI()*P17/3)) )^2*SUMSQ(K19:K$64) ), (1/(PI()^2*H18*$J$65))*SQRT((1+P17/(1-P17))^2*K18^2+(P17/(1-P17)-P18/(1-P18))^2*SUMSQ(K19:K$64)) )</f>
        <v>7.9738556351462636E-10</v>
      </c>
      <c r="V18" s="345">
        <f t="shared" si="18"/>
        <v>7.9748514884270443E-10</v>
      </c>
      <c r="W18" s="340">
        <f t="shared" si="19"/>
        <v>52.732812795036047</v>
      </c>
      <c r="X18" s="345">
        <f t="shared" si="20"/>
        <v>1.5949702976854089E-9</v>
      </c>
      <c r="Y18" s="338">
        <f t="shared" si="8"/>
        <v>-20.309625613068945</v>
      </c>
      <c r="Z18" s="346">
        <f t="shared" si="21"/>
        <v>0.52732812795036044</v>
      </c>
      <c r="AA18" s="346">
        <f t="shared" si="22"/>
        <v>2.5964443559758807</v>
      </c>
      <c r="AB18" s="346">
        <f t="shared" si="9"/>
        <v>1.0546562559007209</v>
      </c>
      <c r="AC18" s="336">
        <f t="shared" si="3"/>
        <v>1.9516337932532831E-13</v>
      </c>
      <c r="AD18" s="337">
        <f t="shared" si="4"/>
        <v>1.0314431456648201E-13</v>
      </c>
      <c r="AE18" s="308">
        <f t="shared" si="10"/>
        <v>52.850240102957642</v>
      </c>
      <c r="AF18" s="337">
        <f t="shared" si="11"/>
        <v>2.0628862913296402E-13</v>
      </c>
      <c r="AG18" s="338">
        <f t="shared" si="23"/>
        <v>-29.26493934444721</v>
      </c>
      <c r="AH18" s="339">
        <f t="shared" si="24"/>
        <v>0.52850240102957646</v>
      </c>
      <c r="AI18" s="340">
        <f t="shared" si="25"/>
        <v>1.805923445830943</v>
      </c>
      <c r="AJ18" s="341">
        <f t="shared" si="12"/>
        <v>1.0570048020591529</v>
      </c>
    </row>
    <row r="19" spans="1:39" ht="16" x14ac:dyDescent="0.2">
      <c r="A19" s="309">
        <v>12</v>
      </c>
      <c r="B19" s="309">
        <f t="shared" si="13"/>
        <v>12</v>
      </c>
      <c r="C19" s="1">
        <v>360</v>
      </c>
      <c r="D19" s="1">
        <v>0.41</v>
      </c>
      <c r="E19" s="326">
        <f t="shared" si="5"/>
        <v>15.794045644791915</v>
      </c>
      <c r="F19" s="327">
        <f t="shared" si="0"/>
        <v>9.9119547052197044E-3</v>
      </c>
      <c r="G19" s="309">
        <f t="shared" si="6"/>
        <v>1</v>
      </c>
      <c r="H19" s="1">
        <v>3600</v>
      </c>
      <c r="I19" s="324">
        <v>30</v>
      </c>
      <c r="J19" s="350">
        <v>0.10707</v>
      </c>
      <c r="K19" s="1">
        <v>4.9000000000000002E-2</v>
      </c>
      <c r="L19" s="328">
        <f t="shared" si="1"/>
        <v>45.764453161483146</v>
      </c>
      <c r="M19" s="329">
        <f t="shared" si="2"/>
        <v>3.1237609767070184E-3</v>
      </c>
      <c r="N19" s="342">
        <f>(1/$J$65)*SQRT(((1-J20/$J$65)*K19)^2+(J20/$J$65)^2*(SUMSQ(K$8:K18)+SUMSQ(K20:K$64)))</f>
        <v>1.4267475028290856E-3</v>
      </c>
      <c r="O19" s="340">
        <f t="shared" si="14"/>
        <v>45.674029270098728</v>
      </c>
      <c r="P19" s="332">
        <f t="shared" si="7"/>
        <v>1.6747583366665705E-2</v>
      </c>
      <c r="Q19" s="342">
        <f>SQRT(((1-P19)/$J$65)^2*SUMSQ(K$8:K19)+(P19/$J$65)^2*SUMSQ(K20:K$64))</f>
        <v>2.7062419256794045E-3</v>
      </c>
      <c r="R19" s="340">
        <f t="shared" si="15"/>
        <v>16.158999578804266</v>
      </c>
      <c r="S19" s="343">
        <f t="shared" si="16"/>
        <v>2.3276851595279638E-9</v>
      </c>
      <c r="T19" s="344">
        <f t="shared" si="17"/>
        <v>1.9397376329399837E-11</v>
      </c>
      <c r="U19" s="344">
        <f>IF(P19&lt;=0.85, (1/(3*H19*$J$65))*SQRT( ((1-P19)*(1/SQRT(1-PI()*P19/3)-1) + (1-P18)*(1-1/SQRT(1-PI()*P18/3)))^2*SUMSQ(K$8:K18) + ( (1-P19)*(1/SQRT(1-PI()*P19/3)-1) -P18*(1-1/SQRT(1-PI()*P18/3)) )^2*K19^2 + ( P19*(1-1/SQRT(1-PI()*P19/3)) - P18*(1-1/SQRT(1-PI()*P18/3)) )^2*SUMSQ(K20:K$64) ), (1/(PI()^2*H19*$J$65))*SQRT((1+P18/(1-P18))^2*K19^2+(P18/(1-P18)-P19/(1-P19))^2*SUMSQ(K20:K$64)) )</f>
        <v>1.2250935632118177E-9</v>
      </c>
      <c r="V19" s="345">
        <f t="shared" si="18"/>
        <v>1.225247116638718E-9</v>
      </c>
      <c r="W19" s="340">
        <f t="shared" si="19"/>
        <v>52.63800869389005</v>
      </c>
      <c r="X19" s="345">
        <f t="shared" si="20"/>
        <v>2.4504942332774359E-9</v>
      </c>
      <c r="Y19" s="338">
        <f t="shared" si="8"/>
        <v>-19.878391556975668</v>
      </c>
      <c r="Z19" s="346">
        <f t="shared" si="21"/>
        <v>0.52638008693890048</v>
      </c>
      <c r="AA19" s="346">
        <f t="shared" si="22"/>
        <v>2.648001401070021</v>
      </c>
      <c r="AB19" s="346">
        <f t="shared" si="9"/>
        <v>1.052760173877801</v>
      </c>
      <c r="AC19" s="336">
        <f t="shared" si="3"/>
        <v>3.0038683876301991E-13</v>
      </c>
      <c r="AD19" s="337">
        <f t="shared" si="4"/>
        <v>1.5847102036440267E-13</v>
      </c>
      <c r="AE19" s="308">
        <f t="shared" si="10"/>
        <v>52.755647024010607</v>
      </c>
      <c r="AF19" s="337">
        <f t="shared" si="11"/>
        <v>3.1694204072880534E-13</v>
      </c>
      <c r="AG19" s="338">
        <f t="shared" si="23"/>
        <v>-28.833705288353933</v>
      </c>
      <c r="AH19" s="339">
        <f t="shared" si="24"/>
        <v>0.5275564702401061</v>
      </c>
      <c r="AI19" s="340">
        <f t="shared" si="25"/>
        <v>1.829652016500247</v>
      </c>
      <c r="AJ19" s="341">
        <f t="shared" si="12"/>
        <v>1.0551129404802122</v>
      </c>
    </row>
    <row r="20" spans="1:39" ht="16" x14ac:dyDescent="0.2">
      <c r="A20" s="309">
        <v>13</v>
      </c>
      <c r="B20" s="309">
        <f t="shared" si="13"/>
        <v>13</v>
      </c>
      <c r="C20" s="1">
        <v>370</v>
      </c>
      <c r="D20" s="1">
        <v>0.47</v>
      </c>
      <c r="E20" s="326">
        <f t="shared" si="5"/>
        <v>15.548472362590376</v>
      </c>
      <c r="F20" s="327">
        <f t="shared" si="0"/>
        <v>1.1017219333656422E-2</v>
      </c>
      <c r="G20" s="309">
        <f t="shared" si="6"/>
        <v>1</v>
      </c>
      <c r="H20" s="1">
        <v>3600</v>
      </c>
      <c r="I20" s="324">
        <v>30</v>
      </c>
      <c r="J20" s="350">
        <v>0.13771</v>
      </c>
      <c r="K20" s="1">
        <v>4.2999999999999997E-2</v>
      </c>
      <c r="L20" s="328">
        <f t="shared" si="1"/>
        <v>31.225038123593059</v>
      </c>
      <c r="M20" s="329">
        <f t="shared" si="2"/>
        <v>4.0176811814917673E-3</v>
      </c>
      <c r="N20" s="342">
        <f>(1/$J$65)*SQRT(((1-J21/$J$65)*K20)^2+(J21/$J$65)^2*(SUMSQ(K$8:K19)+SUMSQ(K21:K$64)))</f>
        <v>1.253457436527425E-3</v>
      </c>
      <c r="O20" s="340">
        <f t="shared" si="14"/>
        <v>31.19852919892503</v>
      </c>
      <c r="P20" s="332">
        <f t="shared" si="7"/>
        <v>2.0765264548157473E-2</v>
      </c>
      <c r="Q20" s="342">
        <f>SQRT(((1-P20)/$J$65)^2*SUMSQ(K$8:K20)+(P20/$J$65)^2*SUMSQ(K21:K$64))</f>
        <v>2.9749833648046536E-3</v>
      </c>
      <c r="R20" s="340">
        <f t="shared" si="15"/>
        <v>14.326729899853973</v>
      </c>
      <c r="S20" s="343">
        <f t="shared" si="16"/>
        <v>3.7083586923535025E-9</v>
      </c>
      <c r="T20" s="344">
        <f t="shared" si="17"/>
        <v>3.0902989102945779E-11</v>
      </c>
      <c r="U20" s="344">
        <f>IF(P20&lt;=0.85, (1/(3*H20*$J$65))*SQRT( ((1-P20)*(1/SQRT(1-PI()*P20/3)-1) + (1-P19)*(1-1/SQRT(1-PI()*P19/3)))^2*SUMSQ(K$8:K19) + ( (1-P20)*(1/SQRT(1-PI()*P20/3)-1) -P19*(1-1/SQRT(1-PI()*P19/3)) )^2*K20^2 + ( P20*(1-1/SQRT(1-PI()*P20/3)) - P19*(1-1/SQRT(1-PI()*P19/3)) )^2*SUMSQ(K21:K$64) ), (1/(PI()^2*H20*$J$65))*SQRT((1+P19/(1-P19))^2*K20^2+(P19/(1-P19)-P20/(1-P20))^2*SUMSQ(K21:K$64)) )</f>
        <v>1.3892927225691231E-9</v>
      </c>
      <c r="V20" s="345">
        <f t="shared" si="18"/>
        <v>1.3896363782367758E-9</v>
      </c>
      <c r="W20" s="340">
        <f t="shared" si="19"/>
        <v>37.473084281252355</v>
      </c>
      <c r="X20" s="345">
        <f t="shared" si="20"/>
        <v>2.7792727564735516E-9</v>
      </c>
      <c r="Y20" s="338">
        <f t="shared" si="8"/>
        <v>-19.412676459198138</v>
      </c>
      <c r="Z20" s="346">
        <f t="shared" si="21"/>
        <v>0.37473084281252356</v>
      </c>
      <c r="AA20" s="346">
        <f t="shared" si="22"/>
        <v>1.9303409480920293</v>
      </c>
      <c r="AB20" s="346">
        <f t="shared" si="9"/>
        <v>0.74946168562504711</v>
      </c>
      <c r="AC20" s="336">
        <f t="shared" si="3"/>
        <v>4.7856220590474246E-13</v>
      </c>
      <c r="AD20" s="337">
        <f t="shared" si="4"/>
        <v>1.801219636857276E-13</v>
      </c>
      <c r="AE20" s="308">
        <f t="shared" si="10"/>
        <v>37.638150581740838</v>
      </c>
      <c r="AF20" s="337">
        <f t="shared" si="11"/>
        <v>3.6024392737145521E-13</v>
      </c>
      <c r="AG20" s="338">
        <f t="shared" si="23"/>
        <v>-28.3679901905764</v>
      </c>
      <c r="AH20" s="339">
        <f t="shared" si="24"/>
        <v>0.37638150581740837</v>
      </c>
      <c r="AI20" s="340">
        <f t="shared" si="25"/>
        <v>1.3267824166917508</v>
      </c>
      <c r="AJ20" s="341">
        <f t="shared" si="12"/>
        <v>0.75276301163481674</v>
      </c>
    </row>
    <row r="21" spans="1:39" ht="16" x14ac:dyDescent="0.2">
      <c r="A21" s="309">
        <v>14</v>
      </c>
      <c r="B21" s="309">
        <f t="shared" si="13"/>
        <v>14</v>
      </c>
      <c r="C21" s="1">
        <v>380</v>
      </c>
      <c r="D21" s="1">
        <v>0.48</v>
      </c>
      <c r="E21" s="326">
        <f t="shared" si="5"/>
        <v>15.310418739952539</v>
      </c>
      <c r="F21" s="327">
        <f t="shared" si="0"/>
        <v>1.0914847933230056E-2</v>
      </c>
      <c r="G21" s="309">
        <f t="shared" si="6"/>
        <v>1</v>
      </c>
      <c r="H21" s="1">
        <v>3600</v>
      </c>
      <c r="I21" s="324">
        <v>30</v>
      </c>
      <c r="J21" s="350">
        <v>0.17352999999999999</v>
      </c>
      <c r="K21" s="1">
        <v>4.3999999999999997E-2</v>
      </c>
      <c r="L21" s="328">
        <f t="shared" si="1"/>
        <v>25.355846251368639</v>
      </c>
      <c r="M21" s="329">
        <f t="shared" si="2"/>
        <v>5.062727582777332E-3</v>
      </c>
      <c r="N21" s="342">
        <f>(1/$J$65)*SQRT(((1-J22/$J$65)*K21)^2+(J22/$J$65)^2*(SUMSQ(K$8:K20)+SUMSQ(K22:K$64)))</f>
        <v>1.2847541947230462E-3</v>
      </c>
      <c r="O21" s="340">
        <f t="shared" si="14"/>
        <v>25.376719835639477</v>
      </c>
      <c r="P21" s="332">
        <f t="shared" si="7"/>
        <v>2.5827992130934806E-2</v>
      </c>
      <c r="Q21" s="342">
        <f>SQRT(((1-P21)/$J$65)^2*SUMSQ(K$8:K21)+(P21/$J$65)^2*SUMSQ(K22:K$64))</f>
        <v>3.2317514952435416E-3</v>
      </c>
      <c r="R21" s="340">
        <f t="shared" si="15"/>
        <v>12.512592844461942</v>
      </c>
      <c r="S21" s="343">
        <f t="shared" si="16"/>
        <v>5.8253463328151057E-9</v>
      </c>
      <c r="T21" s="344">
        <f t="shared" si="17"/>
        <v>4.8544552773458992E-11</v>
      </c>
      <c r="U21" s="344">
        <f>IF(P21&lt;=0.85, (1/(3*H21*$J$65))*SQRT( ((1-P21)*(1/SQRT(1-PI()*P21/3)-1) + (1-P20)*(1-1/SQRT(1-PI()*P20/3)))^2*SUMSQ(K$8:K20) + ( (1-P21)*(1/SQRT(1-PI()*P21/3)-1) -P20*(1-1/SQRT(1-PI()*P20/3)) )^2*K21^2 + ( P21*(1-1/SQRT(1-PI()*P21/3)) - P20*(1-1/SQRT(1-PI()*P20/3)) )^2*SUMSQ(K22:K$64) ), (1/(PI()^2*H21*$J$65))*SQRT((1+P20/(1-P20))^2*K21^2+(P20/(1-P20)-P21/(1-P21))^2*SUMSQ(K22:K$64)) )</f>
        <v>1.8011767459400914E-9</v>
      </c>
      <c r="V21" s="345">
        <f t="shared" si="18"/>
        <v>1.8018308032996084E-9</v>
      </c>
      <c r="W21" s="340">
        <f t="shared" si="19"/>
        <v>30.930878618316783</v>
      </c>
      <c r="X21" s="345">
        <f t="shared" si="20"/>
        <v>3.6036616065992168E-9</v>
      </c>
      <c r="Y21" s="338">
        <f t="shared" si="8"/>
        <v>-18.96104738298483</v>
      </c>
      <c r="Z21" s="346">
        <f t="shared" si="21"/>
        <v>0.30930878618316782</v>
      </c>
      <c r="AA21" s="346">
        <f t="shared" si="22"/>
        <v>1.6312853395468743</v>
      </c>
      <c r="AB21" s="346">
        <f t="shared" si="9"/>
        <v>0.61861757236633563</v>
      </c>
      <c r="AC21" s="336">
        <f t="shared" si="3"/>
        <v>7.5175861411125618E-13</v>
      </c>
      <c r="AD21" s="337">
        <f t="shared" si="4"/>
        <v>2.3402736912556273E-13</v>
      </c>
      <c r="AE21" s="308">
        <f t="shared" si="10"/>
        <v>31.130653474750602</v>
      </c>
      <c r="AF21" s="337">
        <f t="shared" si="11"/>
        <v>4.6805473825112545E-13</v>
      </c>
      <c r="AG21" s="338">
        <f t="shared" si="23"/>
        <v>-27.916361114363095</v>
      </c>
      <c r="AH21" s="339">
        <f t="shared" si="24"/>
        <v>0.31130653474750603</v>
      </c>
      <c r="AI21" s="340">
        <f t="shared" si="25"/>
        <v>1.115140091046241</v>
      </c>
      <c r="AJ21" s="341">
        <f t="shared" si="12"/>
        <v>0.62261306949501205</v>
      </c>
    </row>
    <row r="22" spans="1:39" ht="16" x14ac:dyDescent="0.2">
      <c r="A22" s="309">
        <v>15</v>
      </c>
      <c r="B22" s="309">
        <f t="shared" si="13"/>
        <v>15</v>
      </c>
      <c r="C22" s="1">
        <v>390</v>
      </c>
      <c r="D22" s="1">
        <v>0.5</v>
      </c>
      <c r="E22" s="326">
        <f t="shared" si="5"/>
        <v>15.079544597753149</v>
      </c>
      <c r="F22" s="327">
        <f t="shared" si="0"/>
        <v>1.103433853601108E-2</v>
      </c>
      <c r="G22" s="309">
        <f t="shared" si="6"/>
        <v>1</v>
      </c>
      <c r="H22" s="1">
        <v>3600</v>
      </c>
      <c r="I22" s="324">
        <v>30</v>
      </c>
      <c r="J22" s="350">
        <v>0.24357999999999999</v>
      </c>
      <c r="K22" s="1">
        <v>8.3000000000000004E-2</v>
      </c>
      <c r="L22" s="328">
        <f t="shared" si="1"/>
        <v>34.075047212414816</v>
      </c>
      <c r="M22" s="329">
        <f t="shared" si="2"/>
        <v>7.106432228507477E-3</v>
      </c>
      <c r="N22" s="342">
        <f>(1/$J$65)*SQRT(((1-J23/$J$65)*K22)^2+(J23/$J$65)^2*(SUMSQ(K$8:K21)+SUMSQ(K23:K$64)))</f>
        <v>2.4083852352888347E-3</v>
      </c>
      <c r="O22" s="340">
        <f t="shared" si="14"/>
        <v>33.890216044382846</v>
      </c>
      <c r="P22" s="332">
        <f t="shared" si="7"/>
        <v>3.2934424359442285E-2</v>
      </c>
      <c r="Q22" s="342">
        <f>SQRT(((1-P22)/$J$65)^2*SUMSQ(K$8:K22)+(P22/$J$65)^2*SUMSQ(K23:K$64))</f>
        <v>3.9983115491359416E-3</v>
      </c>
      <c r="R22" s="340">
        <f t="shared" si="15"/>
        <v>12.140219927632126</v>
      </c>
      <c r="S22" s="343">
        <f t="shared" si="16"/>
        <v>1.0363671833645953E-8</v>
      </c>
      <c r="T22" s="344">
        <f t="shared" si="17"/>
        <v>8.6363931947050018E-11</v>
      </c>
      <c r="U22" s="344">
        <f>IF(P22&lt;=0.85, (1/(3*H22*$J$65))*SQRT( ((1-P22)*(1/SQRT(1-PI()*P22/3)-1) + (1-P21)*(1-1/SQRT(1-PI()*P21/3)))^2*SUMSQ(K$8:K21) + ( (1-P22)*(1/SQRT(1-PI()*P22/3)-1) -P21*(1-1/SQRT(1-PI()*P21/3)) )^2*K22^2 + ( P22*(1-1/SQRT(1-PI()*P22/3)) - P21*(1-1/SQRT(1-PI()*P21/3)) )^2*SUMSQ(K23:K$64) ), (1/(PI()^2*H22*$J$65))*SQRT((1+P21/(1-P21))^2*K22^2+(P21/(1-P21)-P22/(1-P22))^2*SUMSQ(K23:K$64)) )</f>
        <v>4.0997398642747817E-9</v>
      </c>
      <c r="V22" s="345">
        <f t="shared" si="18"/>
        <v>4.1006494221604901E-9</v>
      </c>
      <c r="W22" s="340">
        <f t="shared" si="19"/>
        <v>39.567534441293446</v>
      </c>
      <c r="X22" s="345">
        <f t="shared" si="20"/>
        <v>8.2012988443209802E-9</v>
      </c>
      <c r="Y22" s="338">
        <f t="shared" si="8"/>
        <v>-18.384959238811359</v>
      </c>
      <c r="Z22" s="346">
        <f t="shared" si="21"/>
        <v>0.39567534441293445</v>
      </c>
      <c r="AA22" s="346">
        <f t="shared" si="22"/>
        <v>2.1521687335463247</v>
      </c>
      <c r="AB22" s="346">
        <f t="shared" si="9"/>
        <v>0.7913506888258689</v>
      </c>
      <c r="AC22" s="336">
        <f t="shared" si="3"/>
        <v>1.3374277046632765E-12</v>
      </c>
      <c r="AD22" s="337">
        <f t="shared" si="4"/>
        <v>5.3127842448175755E-13</v>
      </c>
      <c r="AE22" s="308">
        <f t="shared" si="10"/>
        <v>39.72389854265186</v>
      </c>
      <c r="AF22" s="337">
        <f t="shared" si="11"/>
        <v>1.0625568489635151E-12</v>
      </c>
      <c r="AG22" s="338">
        <f t="shared" si="23"/>
        <v>-27.340272970189623</v>
      </c>
      <c r="AH22" s="339">
        <f t="shared" si="24"/>
        <v>0.39723898542651864</v>
      </c>
      <c r="AI22" s="340">
        <f t="shared" si="25"/>
        <v>1.4529444744741462</v>
      </c>
      <c r="AJ22" s="341">
        <f t="shared" si="12"/>
        <v>0.79447797085303729</v>
      </c>
    </row>
    <row r="23" spans="1:39" ht="16" x14ac:dyDescent="0.2">
      <c r="A23" s="309">
        <v>16</v>
      </c>
      <c r="B23" s="309">
        <f t="shared" si="13"/>
        <v>16</v>
      </c>
      <c r="C23" s="1">
        <v>400</v>
      </c>
      <c r="D23" s="1">
        <v>0.54</v>
      </c>
      <c r="E23" s="326">
        <f t="shared" si="5"/>
        <v>14.855529971031718</v>
      </c>
      <c r="F23" s="327">
        <f t="shared" si="0"/>
        <v>1.1571091531980455E-2</v>
      </c>
      <c r="G23" s="309">
        <f t="shared" si="6"/>
        <v>1</v>
      </c>
      <c r="H23" s="1">
        <v>3600</v>
      </c>
      <c r="I23" s="324">
        <v>30</v>
      </c>
      <c r="J23" s="350">
        <v>0.30585000000000001</v>
      </c>
      <c r="K23" s="1">
        <v>6.4000000000000001E-2</v>
      </c>
      <c r="L23" s="328">
        <f t="shared" si="1"/>
        <v>20.925290174922349</v>
      </c>
      <c r="M23" s="329">
        <f t="shared" si="2"/>
        <v>8.9231558300723046E-3</v>
      </c>
      <c r="N23" s="342">
        <f>(1/$J$65)*SQRT(((1-J24/$J$65)*K23)^2+(J24/$J$65)^2*(SUMSQ(K$8:K22)+SUMSQ(K24:K$64)))</f>
        <v>1.863250669106099E-3</v>
      </c>
      <c r="O23" s="340">
        <f t="shared" si="14"/>
        <v>20.881072846746427</v>
      </c>
      <c r="P23" s="332">
        <f t="shared" si="7"/>
        <v>4.185758018951459E-2</v>
      </c>
      <c r="Q23" s="342">
        <f>SQRT(((1-P23)/$J$65)^2*SUMSQ(K$8:K23)+(P23/$J$65)^2*SUMSQ(K24:K$64))</f>
        <v>4.3854006337390545E-3</v>
      </c>
      <c r="R23" s="340">
        <f t="shared" si="15"/>
        <v>10.476956894984594</v>
      </c>
      <c r="S23" s="343">
        <f t="shared" si="16"/>
        <v>1.6671466318574644E-8</v>
      </c>
      <c r="T23" s="344">
        <f t="shared" si="17"/>
        <v>1.3892888598812119E-10</v>
      </c>
      <c r="U23" s="344">
        <f>IF(P23&lt;=0.85, (1/(3*H23*$J$65))*SQRT( ((1-P23)*(1/SQRT(1-PI()*P23/3)-1) + (1-P22)*(1-1/SQRT(1-PI()*P22/3)))^2*SUMSQ(K$8:K22) + ( (1-P23)*(1/SQRT(1-PI()*P23/3)-1) -P22*(1-1/SQRT(1-PI()*P22/3)) )^2*K23^2 + ( P23*(1-1/SQRT(1-PI()*P23/3)) - P22*(1-1/SQRT(1-PI()*P22/3)) )^2*SUMSQ(K24:K$64) ), (1/(PI()^2*H23*$J$65))*SQRT((1+P22/(1-P22))^2*K23^2+(P22/(1-P22)-P23/(1-P23))^2*SUMSQ(K24:K$64)) )</f>
        <v>4.2921044194340814E-9</v>
      </c>
      <c r="V23" s="345">
        <f t="shared" si="18"/>
        <v>4.2943522890754406E-9</v>
      </c>
      <c r="W23" s="340">
        <f t="shared" si="19"/>
        <v>25.758695768055233</v>
      </c>
      <c r="X23" s="345">
        <f t="shared" si="20"/>
        <v>8.5887045781508812E-9</v>
      </c>
      <c r="Y23" s="338">
        <f t="shared" si="8"/>
        <v>-17.909567182529923</v>
      </c>
      <c r="Z23" s="346">
        <f t="shared" si="21"/>
        <v>0.25758695768055234</v>
      </c>
      <c r="AA23" s="346">
        <f t="shared" si="22"/>
        <v>1.4382645602503352</v>
      </c>
      <c r="AB23" s="346">
        <f t="shared" si="9"/>
        <v>0.51517391536110468</v>
      </c>
      <c r="AC23" s="336">
        <f t="shared" si="3"/>
        <v>2.1514460598255302E-12</v>
      </c>
      <c r="AD23" s="337">
        <f t="shared" si="4"/>
        <v>5.5933821695432862E-13</v>
      </c>
      <c r="AE23" s="308">
        <f t="shared" si="10"/>
        <v>25.998244966443067</v>
      </c>
      <c r="AF23" s="337">
        <f t="shared" si="11"/>
        <v>1.1186764339086572E-12</v>
      </c>
      <c r="AG23" s="338">
        <f t="shared" si="23"/>
        <v>-26.864880913908184</v>
      </c>
      <c r="AH23" s="339">
        <f t="shared" si="24"/>
        <v>0.25998244966443068</v>
      </c>
      <c r="AI23" s="340">
        <f t="shared" si="25"/>
        <v>0.96774093470794242</v>
      </c>
      <c r="AJ23" s="341">
        <f t="shared" si="12"/>
        <v>0.51996489932886136</v>
      </c>
    </row>
    <row r="24" spans="1:39" ht="16" x14ac:dyDescent="0.2">
      <c r="A24" s="309">
        <v>17</v>
      </c>
      <c r="B24" s="309">
        <f t="shared" si="13"/>
        <v>17</v>
      </c>
      <c r="C24" s="1">
        <v>409.99</v>
      </c>
      <c r="D24" s="1">
        <v>0.49</v>
      </c>
      <c r="E24" s="326">
        <f t="shared" si="5"/>
        <v>14.638287905846532</v>
      </c>
      <c r="F24" s="327">
        <f t="shared" si="0"/>
        <v>1.0198919314350317E-2</v>
      </c>
      <c r="G24" s="309">
        <f t="shared" si="6"/>
        <v>1</v>
      </c>
      <c r="H24" s="1">
        <v>3600</v>
      </c>
      <c r="I24" s="324">
        <v>30</v>
      </c>
      <c r="J24" s="350">
        <v>0.372</v>
      </c>
      <c r="K24" s="1">
        <v>0.10199999999999999</v>
      </c>
      <c r="L24" s="328">
        <f t="shared" si="1"/>
        <v>27.419354838709676</v>
      </c>
      <c r="M24" s="329">
        <f t="shared" si="2"/>
        <v>1.0853078204305696E-2</v>
      </c>
      <c r="N24" s="342">
        <f>(1/$J$65)*SQRT(((1-J25/$J$65)*K24)^2+(J25/$J$65)^2*(SUMSQ(K$8:K23)+SUMSQ(K25:K$64)))</f>
        <v>2.9519477765071445E-3</v>
      </c>
      <c r="O24" s="340">
        <f t="shared" si="14"/>
        <v>27.199175394645465</v>
      </c>
      <c r="P24" s="332">
        <f t="shared" si="7"/>
        <v>5.2710658393820289E-2</v>
      </c>
      <c r="Q24" s="342">
        <f>SQRT(((1-P24)/$J$65)^2*SUMSQ(K$8:K24)+(P24/$J$65)^2*SUMSQ(K25:K$64))</f>
        <v>5.2202358954425822E-3</v>
      </c>
      <c r="R24" s="340">
        <f t="shared" si="15"/>
        <v>9.9035679965147132</v>
      </c>
      <c r="S24" s="343">
        <f t="shared" si="16"/>
        <v>2.5847992633550342E-8</v>
      </c>
      <c r="T24" s="344">
        <f t="shared" si="17"/>
        <v>2.153999386129207E-10</v>
      </c>
      <c r="U24" s="344">
        <f>IF(P24&lt;=0.85, (1/(3*H24*$J$65))*SQRT( ((1-P24)*(1/SQRT(1-PI()*P24/3)-1) + (1-P23)*(1-1/SQRT(1-PI()*P23/3)))^2*SUMSQ(K$8:K23) + ( (1-P24)*(1/SQRT(1-PI()*P24/3)-1) -P23*(1-1/SQRT(1-PI()*P23/3)) )^2*K24^2 + ( P24*(1-1/SQRT(1-PI()*P24/3)) - P23*(1-1/SQRT(1-PI()*P23/3)) )^2*SUMSQ(K25:K$64) ), (1/(PI()^2*H24*$J$65))*SQRT((1+P23/(1-P23))^2*K24^2+(P23/(1-P23)-P24/(1-P24))^2*SUMSQ(K25:K$64)) )</f>
        <v>8.195148917958069E-9</v>
      </c>
      <c r="V24" s="345">
        <f t="shared" si="18"/>
        <v>8.1979791974036968E-9</v>
      </c>
      <c r="W24" s="340">
        <f t="shared" si="19"/>
        <v>31.716115497351353</v>
      </c>
      <c r="X24" s="345">
        <f t="shared" si="20"/>
        <v>1.6395958394807394E-8</v>
      </c>
      <c r="Y24" s="338">
        <f t="shared" si="8"/>
        <v>-17.471032893415344</v>
      </c>
      <c r="Z24" s="346">
        <f t="shared" si="21"/>
        <v>0.31716115497351355</v>
      </c>
      <c r="AA24" s="346">
        <f t="shared" si="22"/>
        <v>1.8153543462965396</v>
      </c>
      <c r="AB24" s="346">
        <f t="shared" si="9"/>
        <v>0.6343223099470271</v>
      </c>
      <c r="AC24" s="336">
        <f t="shared" si="3"/>
        <v>3.3356731101626181E-12</v>
      </c>
      <c r="AD24" s="337">
        <f t="shared" si="4"/>
        <v>1.0644458072768161E-12</v>
      </c>
      <c r="AE24" s="308">
        <f t="shared" si="10"/>
        <v>31.910974850437999</v>
      </c>
      <c r="AF24" s="337">
        <f t="shared" si="11"/>
        <v>2.1288916145536321E-12</v>
      </c>
      <c r="AG24" s="338">
        <f t="shared" si="23"/>
        <v>-26.426346624793606</v>
      </c>
      <c r="AH24" s="339">
        <f t="shared" si="24"/>
        <v>0.31910974850438001</v>
      </c>
      <c r="AI24" s="340">
        <f t="shared" si="25"/>
        <v>1.2075439448182608</v>
      </c>
      <c r="AJ24" s="341">
        <f t="shared" si="12"/>
        <v>0.63821949700876002</v>
      </c>
    </row>
    <row r="25" spans="1:39" ht="16" x14ac:dyDescent="0.2">
      <c r="A25" s="309">
        <v>18</v>
      </c>
      <c r="B25" s="309">
        <f t="shared" si="13"/>
        <v>18</v>
      </c>
      <c r="C25" s="1">
        <v>419.99</v>
      </c>
      <c r="D25" s="1">
        <v>0.59</v>
      </c>
      <c r="E25" s="326">
        <f t="shared" si="5"/>
        <v>14.427099864385262</v>
      </c>
      <c r="F25" s="327">
        <f t="shared" si="0"/>
        <v>1.1933515522597984E-2</v>
      </c>
      <c r="G25" s="309">
        <f t="shared" si="6"/>
        <v>1</v>
      </c>
      <c r="H25" s="1">
        <v>3600</v>
      </c>
      <c r="I25" s="324">
        <v>30</v>
      </c>
      <c r="J25" s="350">
        <v>0.43673000000000001</v>
      </c>
      <c r="K25" s="1">
        <v>6.7000000000000004E-2</v>
      </c>
      <c r="L25" s="328">
        <f t="shared" si="1"/>
        <v>15.341286378311544</v>
      </c>
      <c r="M25" s="329">
        <f t="shared" si="2"/>
        <v>1.2741572161737706E-2</v>
      </c>
      <c r="N25" s="342">
        <f>(1/$J$65)*SQRT(((1-J26/$J$65)*K25)^2+(J26/$J$65)^2*(SUMSQ(K$8:K24)+SUMSQ(K26:K$64)))</f>
        <v>1.9562691454474966E-3</v>
      </c>
      <c r="O25" s="340">
        <f t="shared" si="14"/>
        <v>15.353436142849572</v>
      </c>
      <c r="P25" s="332">
        <f t="shared" si="7"/>
        <v>6.5452230555557989E-2</v>
      </c>
      <c r="Q25" s="342">
        <f>SQRT(((1-P25)/$J$65)^2*SUMSQ(K$8:K25)+(P25/$J$65)^2*SUMSQ(K26:K$64))</f>
        <v>5.5331248648797238E-3</v>
      </c>
      <c r="R25" s="340">
        <f t="shared" si="15"/>
        <v>8.4536841875587818</v>
      </c>
      <c r="S25" s="343">
        <f t="shared" si="16"/>
        <v>3.8289852495274458E-8</v>
      </c>
      <c r="T25" s="344">
        <f t="shared" si="17"/>
        <v>3.1908210412728751E-10</v>
      </c>
      <c r="U25" s="344">
        <f>IF(P25&lt;=0.85, (1/(3*H25*$J$65))*SQRT( ((1-P25)*(1/SQRT(1-PI()*P25/3)-1) + (1-P24)*(1-1/SQRT(1-PI()*P24/3)))^2*SUMSQ(K$8:K24) + ( (1-P25)*(1/SQRT(1-PI()*P25/3)-1) -P24*(1-1/SQRT(1-PI()*P24/3)) )^2*K25^2 + ( P25*(1-1/SQRT(1-PI()*P25/3)) - P24*(1-1/SQRT(1-PI()*P24/3)) )^2*SUMSQ(K26:K$64) ), (1/(PI()^2*H25*$J$65))*SQRT((1+P24/(1-P24))^2*K25^2+(P24/(1-P24)-P25/(1-P25))^2*SUMSQ(K26:K$64)) )</f>
        <v>7.3636045942267594E-9</v>
      </c>
      <c r="V25" s="345">
        <f t="shared" si="18"/>
        <v>7.3705146366649141E-9</v>
      </c>
      <c r="W25" s="340">
        <f t="shared" si="19"/>
        <v>19.24926359425006</v>
      </c>
      <c r="X25" s="345">
        <f t="shared" si="20"/>
        <v>1.4741029273329828E-8</v>
      </c>
      <c r="Y25" s="338">
        <f t="shared" si="8"/>
        <v>-17.07808092376877</v>
      </c>
      <c r="Z25" s="346">
        <f t="shared" si="21"/>
        <v>0.1924926359425006</v>
      </c>
      <c r="AA25" s="346">
        <f t="shared" si="22"/>
        <v>1.1271327077189042</v>
      </c>
      <c r="AB25" s="346">
        <f t="shared" si="9"/>
        <v>0.3849852718850012</v>
      </c>
      <c r="AC25" s="336">
        <f t="shared" si="3"/>
        <v>4.9412901485741704E-12</v>
      </c>
      <c r="AD25" s="337">
        <f t="shared" si="4"/>
        <v>9.6694430463091106E-13</v>
      </c>
      <c r="AE25" s="308">
        <f t="shared" si="10"/>
        <v>19.56866072537608</v>
      </c>
      <c r="AF25" s="337">
        <f t="shared" si="11"/>
        <v>1.9338886092618221E-12</v>
      </c>
      <c r="AG25" s="338">
        <f t="shared" si="23"/>
        <v>-26.033394655147031</v>
      </c>
      <c r="AH25" s="339">
        <f t="shared" si="24"/>
        <v>0.1956866072537608</v>
      </c>
      <c r="AI25" s="340">
        <f t="shared" si="25"/>
        <v>0.75167533794933594</v>
      </c>
      <c r="AJ25" s="341">
        <f t="shared" si="12"/>
        <v>0.39137321450752161</v>
      </c>
    </row>
    <row r="26" spans="1:39" ht="16" x14ac:dyDescent="0.2">
      <c r="A26" s="309">
        <v>19</v>
      </c>
      <c r="B26" s="309">
        <f t="shared" si="13"/>
        <v>19</v>
      </c>
      <c r="C26" s="1">
        <v>429.99</v>
      </c>
      <c r="D26" s="1">
        <v>0.56999999999999995</v>
      </c>
      <c r="E26" s="326">
        <f t="shared" si="5"/>
        <v>14.221918821287368</v>
      </c>
      <c r="F26" s="327">
        <f t="shared" si="0"/>
        <v>1.1207926191289826E-2</v>
      </c>
      <c r="G26" s="309">
        <f t="shared" si="6"/>
        <v>1</v>
      </c>
      <c r="H26" s="1">
        <v>3600</v>
      </c>
      <c r="I26" s="324">
        <v>30</v>
      </c>
      <c r="J26" s="350">
        <v>0.53197000000000005</v>
      </c>
      <c r="K26" s="1">
        <v>9.2999999999999999E-2</v>
      </c>
      <c r="L26" s="328">
        <f t="shared" si="1"/>
        <v>17.482188845235633</v>
      </c>
      <c r="M26" s="329">
        <f t="shared" si="2"/>
        <v>1.5520193581571241E-2</v>
      </c>
      <c r="N26" s="342">
        <f>(1/$J$65)*SQRT(((1-J27/$J$65)*K26)^2+(J27/$J$65)^2*(SUMSQ(K$8:K25)+SUMSQ(K27:K$64)))</f>
        <v>2.6951547871491006E-3</v>
      </c>
      <c r="O26" s="340">
        <f t="shared" si="14"/>
        <v>17.365471461318251</v>
      </c>
      <c r="P26" s="332">
        <f t="shared" si="7"/>
        <v>8.0972424137129226E-2</v>
      </c>
      <c r="Q26" s="342">
        <f>SQRT(((1-P26)/$J$65)^2*SUMSQ(K$8:K26)+(P26/$J$65)^2*SUMSQ(K27:K$64))</f>
        <v>6.0783961546902708E-3</v>
      </c>
      <c r="R26" s="340">
        <f t="shared" si="15"/>
        <v>7.5067484016488439</v>
      </c>
      <c r="S26" s="343">
        <f t="shared" si="16"/>
        <v>5.8486941591424447E-8</v>
      </c>
      <c r="T26" s="344">
        <f t="shared" si="17"/>
        <v>4.8739117992853852E-10</v>
      </c>
      <c r="U26" s="344">
        <f>IF(P26&lt;=0.85, (1/(3*H26*$J$65))*SQRT( ((1-P26)*(1/SQRT(1-PI()*P26/3)-1) + (1-P25)*(1-1/SQRT(1-PI()*P25/3)))^2*SUMSQ(K$8:K25) + ( (1-P26)*(1/SQRT(1-PI()*P26/3)-1) -P25*(1-1/SQRT(1-PI()*P25/3)) )^2*K26^2 + ( P26*(1-1/SQRT(1-PI()*P26/3)) - P25*(1-1/SQRT(1-PI()*P25/3)) )^2*SUMSQ(K27:K$64) ), (1/(PI()^2*H26*$J$65))*SQRT((1+P25/(1-P25))^2*K26^2+(P25/(1-P25)-P26/(1-P26))^2*SUMSQ(K27:K$64)) )</f>
        <v>1.2100134017596973E-8</v>
      </c>
      <c r="V26" s="345">
        <f t="shared" si="18"/>
        <v>1.210994605297974E-8</v>
      </c>
      <c r="W26" s="340">
        <f t="shared" si="19"/>
        <v>20.705384353274749</v>
      </c>
      <c r="X26" s="345">
        <f t="shared" si="20"/>
        <v>2.421989210595948E-8</v>
      </c>
      <c r="Y26" s="338">
        <f t="shared" si="8"/>
        <v>-16.654462328285451</v>
      </c>
      <c r="Z26" s="346">
        <f t="shared" si="21"/>
        <v>0.2070538435327475</v>
      </c>
      <c r="AA26" s="346">
        <f t="shared" si="22"/>
        <v>1.243233431685713</v>
      </c>
      <c r="AB26" s="346">
        <f t="shared" si="9"/>
        <v>0.414107687065495</v>
      </c>
      <c r="AC26" s="336">
        <f t="shared" si="3"/>
        <v>7.5477164175966883E-12</v>
      </c>
      <c r="AD26" s="337">
        <f t="shared" si="4"/>
        <v>1.5852204044265842E-12</v>
      </c>
      <c r="AE26" s="308">
        <f t="shared" si="10"/>
        <v>21.002649234817746</v>
      </c>
      <c r="AF26" s="337">
        <f t="shared" si="11"/>
        <v>3.1704408088531683E-12</v>
      </c>
      <c r="AG26" s="338">
        <f t="shared" si="23"/>
        <v>-25.609776059663716</v>
      </c>
      <c r="AH26" s="339">
        <f t="shared" si="24"/>
        <v>0.21002649234817744</v>
      </c>
      <c r="AI26" s="340">
        <f t="shared" si="25"/>
        <v>0.82010280706427741</v>
      </c>
      <c r="AJ26" s="341">
        <f t="shared" si="12"/>
        <v>0.42005298469635488</v>
      </c>
    </row>
    <row r="27" spans="1:39" ht="16" x14ac:dyDescent="0.2">
      <c r="A27" s="309">
        <v>20</v>
      </c>
      <c r="B27" s="309">
        <f t="shared" si="13"/>
        <v>20</v>
      </c>
      <c r="C27" s="1">
        <v>439.99</v>
      </c>
      <c r="D27" s="1">
        <v>0.59</v>
      </c>
      <c r="E27" s="326">
        <f t="shared" si="5"/>
        <v>14.022492077291977</v>
      </c>
      <c r="F27" s="327">
        <f t="shared" si="0"/>
        <v>1.1282549350756253E-2</v>
      </c>
      <c r="G27" s="309">
        <f t="shared" si="6"/>
        <v>1</v>
      </c>
      <c r="H27" s="1">
        <v>3600</v>
      </c>
      <c r="I27" s="324">
        <v>30</v>
      </c>
      <c r="J27" s="350">
        <v>0.61138999999999999</v>
      </c>
      <c r="K27" s="1">
        <v>0.10099999999999899</v>
      </c>
      <c r="L27" s="328">
        <f t="shared" si="1"/>
        <v>16.51973372151965</v>
      </c>
      <c r="M27" s="329">
        <f t="shared" si="2"/>
        <v>1.7837267428307688E-2</v>
      </c>
      <c r="N27" s="342">
        <f>(1/$J$65)*SQRT(((1-J28/$J$65)*K27)^2+(J28/$J$65)^2*(SUMSQ(K$8:K26)+SUMSQ(K28:K$64)))</f>
        <v>2.9233667889390228E-3</v>
      </c>
      <c r="O27" s="340">
        <f t="shared" si="14"/>
        <v>16.389095474902444</v>
      </c>
      <c r="P27" s="332">
        <f t="shared" si="7"/>
        <v>9.8809691565436911E-2</v>
      </c>
      <c r="Q27" s="342">
        <f>SQRT(((1-P27)/$J$65)^2*SUMSQ(K$8:K27)+(P27/$J$65)^2*SUMSQ(K28:K$64))</f>
        <v>6.644179297327006E-3</v>
      </c>
      <c r="R27" s="340">
        <f t="shared" si="15"/>
        <v>6.7242182341262406</v>
      </c>
      <c r="S27" s="343">
        <f t="shared" si="16"/>
        <v>8.3716025744349967E-8</v>
      </c>
      <c r="T27" s="344">
        <f t="shared" si="17"/>
        <v>6.9763354786958423E-10</v>
      </c>
      <c r="U27" s="344">
        <f>IF(P27&lt;=0.85, (1/(3*H27*$J$65))*SQRT( ((1-P27)*(1/SQRT(1-PI()*P27/3)-1) + (1-P26)*(1-1/SQRT(1-PI()*P26/3)))^2*SUMSQ(K$8:K26) + ( (1-P27)*(1/SQRT(1-PI()*P27/3)-1) -P26*(1-1/SQRT(1-PI()*P26/3)) )^2*K27^2 + ( P27*(1-1/SQRT(1-PI()*P27/3)) - P26*(1-1/SQRT(1-PI()*P26/3)) )^2*SUMSQ(K28:K$64) ), (1/(PI()^2*H27*$J$65))*SQRT((1+P26/(1-P26))^2*K27^2+(P26/(1-P26)-P27/(1-P27))^2*SUMSQ(K28:K$64)) )</f>
        <v>1.6150097454244563E-8</v>
      </c>
      <c r="V27" s="345">
        <f t="shared" si="18"/>
        <v>1.6165158222198441E-8</v>
      </c>
      <c r="W27" s="340">
        <f t="shared" si="19"/>
        <v>19.309514610217189</v>
      </c>
      <c r="X27" s="345">
        <f t="shared" si="20"/>
        <v>3.2330316444396882E-8</v>
      </c>
      <c r="Y27" s="338">
        <f t="shared" si="8"/>
        <v>-16.295835411298661</v>
      </c>
      <c r="Z27" s="346">
        <f t="shared" si="21"/>
        <v>0.19309514610217191</v>
      </c>
      <c r="AA27" s="346">
        <f t="shared" si="22"/>
        <v>1.1849355447483845</v>
      </c>
      <c r="AB27" s="346">
        <f t="shared" si="9"/>
        <v>0.38619029220434381</v>
      </c>
      <c r="AC27" s="336">
        <f t="shared" si="3"/>
        <v>1.0803519635898065E-11</v>
      </c>
      <c r="AD27" s="337">
        <f t="shared" si="4"/>
        <v>2.120507414946944E-12</v>
      </c>
      <c r="AE27" s="308">
        <f t="shared" si="10"/>
        <v>19.627931326203143</v>
      </c>
      <c r="AF27" s="337">
        <f t="shared" si="11"/>
        <v>4.241014829893888E-12</v>
      </c>
      <c r="AG27" s="338">
        <f t="shared" si="23"/>
        <v>-25.251149142676923</v>
      </c>
      <c r="AH27" s="339">
        <f t="shared" si="24"/>
        <v>0.19627931326203144</v>
      </c>
      <c r="AI27" s="340">
        <f t="shared" si="25"/>
        <v>0.77730843912485603</v>
      </c>
      <c r="AJ27" s="341">
        <f t="shared" si="12"/>
        <v>0.39255862652406287</v>
      </c>
    </row>
    <row r="28" spans="1:39" ht="16" x14ac:dyDescent="0.2">
      <c r="A28" s="309">
        <v>21</v>
      </c>
      <c r="B28" s="309">
        <f t="shared" si="13"/>
        <v>21</v>
      </c>
      <c r="C28" s="1">
        <v>449.99</v>
      </c>
      <c r="D28" s="1">
        <v>0.6</v>
      </c>
      <c r="E28" s="326">
        <f t="shared" si="5"/>
        <v>13.828580911026911</v>
      </c>
      <c r="F28" s="327">
        <f t="shared" si="0"/>
        <v>1.1162909915475494E-2</v>
      </c>
      <c r="G28" s="309">
        <f t="shared" si="6"/>
        <v>1</v>
      </c>
      <c r="H28" s="1">
        <v>3600</v>
      </c>
      <c r="I28" s="324">
        <v>30</v>
      </c>
      <c r="J28" s="350">
        <v>0.71718000000000004</v>
      </c>
      <c r="K28" s="1">
        <v>0.115</v>
      </c>
      <c r="L28" s="328">
        <f t="shared" si="1"/>
        <v>16.035026074346746</v>
      </c>
      <c r="M28" s="329">
        <f t="shared" si="2"/>
        <v>2.0923684480010644E-2</v>
      </c>
      <c r="N28" s="342">
        <f>(1/$J$65)*SQRT(((1-J29/$J$65)*K28)^2+(J29/$J$65)^2*(SUMSQ(K$8:K27)+SUMSQ(K29:K$64)))</f>
        <v>3.3187015156218433E-3</v>
      </c>
      <c r="O28" s="340">
        <f t="shared" si="14"/>
        <v>15.860980501748395</v>
      </c>
      <c r="P28" s="332">
        <f t="shared" si="7"/>
        <v>0.11973337604544755</v>
      </c>
      <c r="Q28" s="342">
        <f>SQRT(((1-P28)/$J$65)^2*SUMSQ(K$8:K28)+(P28/$J$65)^2*SUMSQ(K29:K$64))</f>
        <v>7.2824407597642492E-3</v>
      </c>
      <c r="R28" s="340">
        <f t="shared" si="15"/>
        <v>6.0822145004915189</v>
      </c>
      <c r="S28" s="343">
        <f t="shared" si="16"/>
        <v>1.2140680098244632E-7</v>
      </c>
      <c r="T28" s="344">
        <f t="shared" si="17"/>
        <v>1.0117233415203866E-9</v>
      </c>
      <c r="U28" s="344">
        <f>IF(P28&lt;=0.85, (1/(3*H28*$J$65))*SQRT( ((1-P28)*(1/SQRT(1-PI()*P28/3)-1) + (1-P27)*(1-1/SQRT(1-PI()*P27/3)))^2*SUMSQ(K$8:K27) + ( (1-P28)*(1/SQRT(1-PI()*P28/3)-1) -P27*(1-1/SQRT(1-PI()*P27/3)) )^2*K28^2 + ( P28*(1-1/SQRT(1-PI()*P28/3)) - P27*(1-1/SQRT(1-PI()*P27/3)) )^2*SUMSQ(K29:K$64) ), (1/(PI()^2*H28*$J$65))*SQRT((1+P27/(1-P27))^2*K28^2+(P27/(1-P27)-P28/(1-P28))^2*SUMSQ(K29:K$64)) )</f>
        <v>2.2405208091034546E-8</v>
      </c>
      <c r="V28" s="345">
        <f t="shared" si="18"/>
        <v>2.2428039007508818E-8</v>
      </c>
      <c r="W28" s="340">
        <f t="shared" si="19"/>
        <v>18.473461804459859</v>
      </c>
      <c r="X28" s="345">
        <f t="shared" si="20"/>
        <v>4.4856078015017636E-8</v>
      </c>
      <c r="Y28" s="338">
        <f t="shared" si="8"/>
        <v>-15.924118938617935</v>
      </c>
      <c r="Z28" s="346">
        <f t="shared" si="21"/>
        <v>0.18473461804459859</v>
      </c>
      <c r="AA28" s="346">
        <f t="shared" si="22"/>
        <v>1.1600931816490931</v>
      </c>
      <c r="AB28" s="346">
        <f t="shared" si="9"/>
        <v>0.36946923608919718</v>
      </c>
      <c r="AC28" s="336">
        <f t="shared" si="3"/>
        <v>1.5667499104064303E-11</v>
      </c>
      <c r="AD28" s="337">
        <f t="shared" si="4"/>
        <v>2.9464360827908986E-12</v>
      </c>
      <c r="AE28" s="308">
        <f t="shared" si="10"/>
        <v>18.806039580538823</v>
      </c>
      <c r="AF28" s="337">
        <f t="shared" si="11"/>
        <v>5.8928721655817972E-12</v>
      </c>
      <c r="AG28" s="338">
        <f t="shared" si="23"/>
        <v>-24.879432669996199</v>
      </c>
      <c r="AH28" s="339">
        <f t="shared" si="24"/>
        <v>0.18806039580538825</v>
      </c>
      <c r="AI28" s="340">
        <f t="shared" si="25"/>
        <v>0.75588699428899386</v>
      </c>
      <c r="AJ28" s="341">
        <f t="shared" si="12"/>
        <v>0.37612079161077649</v>
      </c>
    </row>
    <row r="29" spans="1:39" ht="16" x14ac:dyDescent="0.2">
      <c r="A29" s="309">
        <v>22</v>
      </c>
      <c r="B29" s="309">
        <f t="shared" si="13"/>
        <v>22</v>
      </c>
      <c r="C29" s="1">
        <v>459.99</v>
      </c>
      <c r="D29" s="1">
        <v>0.71</v>
      </c>
      <c r="E29" s="326">
        <f t="shared" si="5"/>
        <v>13.639959625719507</v>
      </c>
      <c r="F29" s="327">
        <f t="shared" si="0"/>
        <v>1.2856677812481012E-2</v>
      </c>
      <c r="G29" s="309">
        <f t="shared" si="6"/>
        <v>1</v>
      </c>
      <c r="H29" s="1">
        <v>3600</v>
      </c>
      <c r="I29" s="324">
        <v>30</v>
      </c>
      <c r="J29" s="350">
        <v>0.80974000000000002</v>
      </c>
      <c r="K29" s="1">
        <v>9.6999999999999906E-2</v>
      </c>
      <c r="L29" s="328">
        <f t="shared" si="1"/>
        <v>11.979153802455098</v>
      </c>
      <c r="M29" s="329">
        <f t="shared" si="2"/>
        <v>2.3624117056866921E-2</v>
      </c>
      <c r="N29" s="342">
        <f>(1/$J$65)*SQRT(((1-J30/$J$65)*K29)^2+(J30/$J$65)^2*(SUMSQ(K$8:K28)+SUMSQ(K30:K$64)))</f>
        <v>2.8190480445350699E-3</v>
      </c>
      <c r="O29" s="340">
        <f t="shared" si="14"/>
        <v>11.932924467607332</v>
      </c>
      <c r="P29" s="332">
        <f t="shared" si="7"/>
        <v>0.14335749310231446</v>
      </c>
      <c r="Q29" s="342">
        <f>SQRT(((1-P29)/$J$65)^2*SUMSQ(K$8:K29)+(P29/$J$65)^2*SUMSQ(K30:K$64))</f>
        <v>7.6895478126078626E-3</v>
      </c>
      <c r="R29" s="340">
        <f t="shared" si="15"/>
        <v>5.3638966796941832</v>
      </c>
      <c r="S29" s="343">
        <f t="shared" si="16"/>
        <v>1.6832211982022104E-7</v>
      </c>
      <c r="T29" s="344">
        <f t="shared" si="17"/>
        <v>1.4026843318351761E-9</v>
      </c>
      <c r="U29" s="344">
        <f>IF(P29&lt;=0.85, (1/(3*H29*$J$65))*SQRT( ((1-P29)*(1/SQRT(1-PI()*P29/3)-1) + (1-P28)*(1-1/SQRT(1-PI()*P28/3)))^2*SUMSQ(K$8:K28) + ( (1-P29)*(1/SQRT(1-PI()*P29/3)-1) -P28*(1-1/SQRT(1-PI()*P28/3)) )^2*K29^2 + ( P29*(1-1/SQRT(1-PI()*P29/3)) - P28*(1-1/SQRT(1-PI()*P28/3)) )^2*SUMSQ(K30:K$64) ), (1/(PI()^2*H29*$J$65))*SQRT((1+P28/(1-P28))^2*K29^2+(P28/(1-P28)-P29/(1-P29))^2*SUMSQ(K30:K$64)) )</f>
        <v>2.3989879607087885E-8</v>
      </c>
      <c r="V29" s="345">
        <f t="shared" si="18"/>
        <v>2.4030851980263769E-8</v>
      </c>
      <c r="W29" s="340">
        <f t="shared" si="19"/>
        <v>14.276704693316766</v>
      </c>
      <c r="X29" s="345">
        <f t="shared" si="20"/>
        <v>4.8061703960527539E-8</v>
      </c>
      <c r="Y29" s="338">
        <f t="shared" si="8"/>
        <v>-15.597386313487414</v>
      </c>
      <c r="Z29" s="346">
        <f t="shared" si="21"/>
        <v>0.14276704693316766</v>
      </c>
      <c r="AA29" s="346">
        <f t="shared" si="22"/>
        <v>0.91532673528585839</v>
      </c>
      <c r="AB29" s="346">
        <f t="shared" si="9"/>
        <v>0.28553409386633533</v>
      </c>
      <c r="AC29" s="336">
        <f t="shared" si="3"/>
        <v>2.1721902233951596E-11</v>
      </c>
      <c r="AD29" s="337">
        <f t="shared" si="4"/>
        <v>3.1940994060145154E-12</v>
      </c>
      <c r="AE29" s="308">
        <f t="shared" si="10"/>
        <v>14.704510551668442</v>
      </c>
      <c r="AF29" s="337">
        <f t="shared" si="11"/>
        <v>6.3881988120290308E-12</v>
      </c>
      <c r="AG29" s="338">
        <f t="shared" si="23"/>
        <v>-24.552700044865677</v>
      </c>
      <c r="AH29" s="339">
        <f t="shared" si="24"/>
        <v>0.14704510551668443</v>
      </c>
      <c r="AI29" s="340">
        <f t="shared" si="25"/>
        <v>0.5988958658232526</v>
      </c>
      <c r="AJ29" s="341">
        <f t="shared" si="12"/>
        <v>0.29409021103336885</v>
      </c>
    </row>
    <row r="30" spans="1:39" ht="16" x14ac:dyDescent="0.2">
      <c r="A30" s="309">
        <v>23</v>
      </c>
      <c r="B30" s="309">
        <f t="shared" si="13"/>
        <v>23</v>
      </c>
      <c r="C30" s="1">
        <v>469.98</v>
      </c>
      <c r="D30" s="1">
        <v>0.59</v>
      </c>
      <c r="E30" s="326">
        <f t="shared" si="5"/>
        <v>13.456595750407063</v>
      </c>
      <c r="F30" s="327">
        <f t="shared" si="0"/>
        <v>1.040934888704784E-2</v>
      </c>
      <c r="G30" s="309">
        <f t="shared" si="6"/>
        <v>1</v>
      </c>
      <c r="H30" s="1">
        <v>3600</v>
      </c>
      <c r="I30" s="324">
        <v>30</v>
      </c>
      <c r="J30" s="350">
        <v>0.90632999999999997</v>
      </c>
      <c r="K30" s="1">
        <v>0.159</v>
      </c>
      <c r="L30" s="328">
        <f t="shared" si="1"/>
        <v>17.543278938135117</v>
      </c>
      <c r="M30" s="329">
        <f t="shared" si="2"/>
        <v>2.6442124647603177E-2</v>
      </c>
      <c r="N30" s="342">
        <f>(1/$J$65)*SQRT(((1-J31/$J$65)*K30)^2+(J31/$J$65)^2*(SUMSQ(K$8:K29)+SUMSQ(K31:K$64)))</f>
        <v>4.551149294063226E-3</v>
      </c>
      <c r="O30" s="340">
        <f t="shared" si="14"/>
        <v>17.211738295302837</v>
      </c>
      <c r="P30" s="332">
        <f t="shared" si="7"/>
        <v>0.16979961774991764</v>
      </c>
      <c r="Q30" s="342">
        <f>SQRT(((1-P30)/$J$65)^2*SUMSQ(K$8:K30)+(P30/$J$65)^2*SUMSQ(K31:K$64))</f>
        <v>8.6040679176157351E-3</v>
      </c>
      <c r="R30" s="340">
        <f t="shared" si="15"/>
        <v>5.0671892149297308</v>
      </c>
      <c r="S30" s="343">
        <f t="shared" si="16"/>
        <v>2.2944323268503953E-7</v>
      </c>
      <c r="T30" s="344">
        <f t="shared" si="17"/>
        <v>1.9120269390419947E-9</v>
      </c>
      <c r="U30" s="344">
        <f>IF(P30&lt;=0.85, (1/(3*H30*$J$65))*SQRT( ((1-P30)*(1/SQRT(1-PI()*P30/3)-1) + (1-P29)*(1-1/SQRT(1-PI()*P29/3)))^2*SUMSQ(K$8:K29) + ( (1-P30)*(1/SQRT(1-PI()*P30/3)-1) -P29*(1-1/SQRT(1-PI()*P29/3)) )^2*K30^2 + ( P30*(1-1/SQRT(1-PI()*P30/3)) - P29*(1-1/SQRT(1-PI()*P29/3)) )^2*SUMSQ(K31:K$64) ), (1/(PI()^2*H30*$J$65))*SQRT((1+P29/(1-P29))^2*K30^2+(P29/(1-P29)-P30/(1-P30))^2*SUMSQ(K31:K$64)) )</f>
        <v>4.4204540682287802E-8</v>
      </c>
      <c r="V30" s="345">
        <f t="shared" si="18"/>
        <v>4.4245872846488851E-8</v>
      </c>
      <c r="W30" s="340">
        <f t="shared" si="19"/>
        <v>19.284017370530112</v>
      </c>
      <c r="X30" s="345">
        <f t="shared" si="20"/>
        <v>8.8491745692977702E-8</v>
      </c>
      <c r="Y30" s="338">
        <f t="shared" si="8"/>
        <v>-15.2876101901773</v>
      </c>
      <c r="Z30" s="346">
        <f t="shared" si="21"/>
        <v>0.19284017370530113</v>
      </c>
      <c r="AA30" s="346">
        <f t="shared" si="22"/>
        <v>1.2614147751439013</v>
      </c>
      <c r="AB30" s="346">
        <f t="shared" si="9"/>
        <v>0.38568034741060225</v>
      </c>
      <c r="AC30" s="336">
        <f t="shared" si="3"/>
        <v>2.9609557400711277E-11</v>
      </c>
      <c r="AD30" s="337">
        <f t="shared" si="4"/>
        <v>5.8043166055007342E-12</v>
      </c>
      <c r="AE30" s="308">
        <f t="shared" si="10"/>
        <v>19.602848252508171</v>
      </c>
      <c r="AF30" s="337">
        <f t="shared" si="11"/>
        <v>1.1608633211001468E-11</v>
      </c>
      <c r="AG30" s="338">
        <f t="shared" si="23"/>
        <v>-24.242923921555565</v>
      </c>
      <c r="AH30" s="339">
        <f t="shared" si="24"/>
        <v>0.1960284825250817</v>
      </c>
      <c r="AI30" s="340">
        <f t="shared" si="25"/>
        <v>0.80860082372647812</v>
      </c>
      <c r="AJ30" s="341">
        <f t="shared" si="12"/>
        <v>0.39205696505016341</v>
      </c>
    </row>
    <row r="31" spans="1:39" ht="16" x14ac:dyDescent="0.2">
      <c r="A31" s="309">
        <v>24</v>
      </c>
      <c r="B31" s="309">
        <f t="shared" si="13"/>
        <v>24</v>
      </c>
      <c r="C31" s="1">
        <v>479.71</v>
      </c>
      <c r="D31" s="1">
        <v>0.87</v>
      </c>
      <c r="E31" s="326">
        <f t="shared" si="5"/>
        <v>13.282682039157349</v>
      </c>
      <c r="F31" s="327">
        <f t="shared" si="0"/>
        <v>1.4976680046478575E-2</v>
      </c>
      <c r="G31" s="309">
        <f t="shared" si="6"/>
        <v>1</v>
      </c>
      <c r="H31" s="1">
        <v>3600</v>
      </c>
      <c r="I31" s="324">
        <v>30</v>
      </c>
      <c r="J31" s="350">
        <v>0.97545999999999999</v>
      </c>
      <c r="K31" s="1">
        <v>0.16399999999999901</v>
      </c>
      <c r="L31" s="328">
        <f t="shared" si="1"/>
        <v>16.81258073114213</v>
      </c>
      <c r="M31" s="329">
        <f t="shared" si="2"/>
        <v>2.845898834723665E-2</v>
      </c>
      <c r="N31" s="342">
        <f>(1/$J$65)*SQRT(((1-J32/$J$65)*K31)^2+(J32/$J$65)^2*(SUMSQ(K$8:K30)+SUMSQ(K32:K$64)))</f>
        <v>4.6881140016104541E-3</v>
      </c>
      <c r="O31" s="340">
        <f t="shared" si="14"/>
        <v>16.473227875880088</v>
      </c>
      <c r="P31" s="332">
        <f t="shared" si="7"/>
        <v>0.19825860609715429</v>
      </c>
      <c r="Q31" s="342">
        <f>SQRT(((1-P31)/$J$65)^2*SUMSQ(K$8:K31)+(P31/$J$65)^2*SUMSQ(K32:K$64))</f>
        <v>9.3899957413415176E-3</v>
      </c>
      <c r="R31" s="340">
        <f t="shared" si="15"/>
        <v>4.7362361343043347</v>
      </c>
      <c r="S31" s="343">
        <f t="shared" si="16"/>
        <v>2.9783184803962859E-7</v>
      </c>
      <c r="T31" s="344">
        <f t="shared" si="17"/>
        <v>2.481932066996907E-9</v>
      </c>
      <c r="U31" s="344">
        <f>IF(P31&lt;=0.85, (1/(3*H31*$J$65))*SQRT( ((1-P31)*(1/SQRT(1-PI()*P31/3)-1) + (1-P30)*(1-1/SQRT(1-PI()*P30/3)))^2*SUMSQ(K$8:K30) + ( (1-P31)*(1/SQRT(1-PI()*P31/3)-1) -P30*(1-1/SQRT(1-PI()*P30/3)) )^2*K31^2 + ( P31*(1-1/SQRT(1-PI()*P31/3)) - P30*(1-1/SQRT(1-PI()*P30/3)) )^2*SUMSQ(K32:K$64) ), (1/(PI()^2*H31*$J$65))*SQRT((1+P30/(1-P30))^2*K31^2+(P30/(1-P30)-P31/(1-P31))^2*SUMSQ(K32:K$64)) )</f>
        <v>5.4498132002370215E-8</v>
      </c>
      <c r="V31" s="345">
        <f t="shared" si="18"/>
        <v>5.4554618306179691E-8</v>
      </c>
      <c r="W31" s="340">
        <f t="shared" si="19"/>
        <v>18.317254741313231</v>
      </c>
      <c r="X31" s="345">
        <f t="shared" si="20"/>
        <v>1.0910923661235938E-7</v>
      </c>
      <c r="Y31" s="338">
        <f t="shared" si="8"/>
        <v>-15.026736778023684</v>
      </c>
      <c r="Z31" s="346">
        <f t="shared" si="21"/>
        <v>0.18317254741313233</v>
      </c>
      <c r="AA31" s="346">
        <f t="shared" si="22"/>
        <v>1.2189775472810482</v>
      </c>
      <c r="AB31" s="346">
        <f t="shared" si="9"/>
        <v>0.36634509482626465</v>
      </c>
      <c r="AC31" s="336">
        <f t="shared" si="3"/>
        <v>3.8435080856774849E-11</v>
      </c>
      <c r="AD31" s="337">
        <f t="shared" si="4"/>
        <v>7.1691487758781896E-12</v>
      </c>
      <c r="AE31" s="308">
        <f t="shared" si="10"/>
        <v>18.652617910687972</v>
      </c>
      <c r="AF31" s="337">
        <f t="shared" si="11"/>
        <v>1.4338297551756379E-11</v>
      </c>
      <c r="AG31" s="338">
        <f t="shared" si="23"/>
        <v>-23.982050509401947</v>
      </c>
      <c r="AH31" s="339">
        <f t="shared" si="24"/>
        <v>0.18652617910687971</v>
      </c>
      <c r="AI31" s="340">
        <f t="shared" si="25"/>
        <v>0.77777410665428215</v>
      </c>
      <c r="AJ31" s="341">
        <f t="shared" si="12"/>
        <v>0.37305235821375943</v>
      </c>
    </row>
    <row r="32" spans="1:39" ht="16" x14ac:dyDescent="0.2">
      <c r="A32" s="309">
        <v>25</v>
      </c>
      <c r="B32" s="309">
        <f t="shared" si="13"/>
        <v>25</v>
      </c>
      <c r="C32" s="1">
        <v>489.02</v>
      </c>
      <c r="D32" s="1">
        <v>2.0499999999999998</v>
      </c>
      <c r="E32" s="326">
        <f t="shared" si="5"/>
        <v>13.120432449453535</v>
      </c>
      <c r="F32" s="327">
        <f t="shared" si="0"/>
        <v>3.4603670883904876E-2</v>
      </c>
      <c r="G32" s="309">
        <f t="shared" si="6"/>
        <v>1</v>
      </c>
      <c r="H32" s="1">
        <v>3600</v>
      </c>
      <c r="I32" s="324">
        <v>30</v>
      </c>
      <c r="J32" s="350">
        <v>1.0448900000000001</v>
      </c>
      <c r="K32" s="1">
        <v>0.153</v>
      </c>
      <c r="L32" s="328">
        <f t="shared" si="1"/>
        <v>14.642689661112652</v>
      </c>
      <c r="M32" s="329">
        <f t="shared" si="2"/>
        <v>3.0484604529292955E-2</v>
      </c>
      <c r="N32" s="342">
        <f>(1/$J$65)*SQRT(((1-J33/$J$65)*K32)^2+(J33/$J$65)^2*(SUMSQ(K$8:K31)+SUMSQ(K33:K$64)))</f>
        <v>4.3819221299985439E-3</v>
      </c>
      <c r="O32" s="340">
        <f t="shared" si="14"/>
        <v>14.374213468270227</v>
      </c>
      <c r="P32" s="332">
        <f t="shared" si="7"/>
        <v>0.22874321062644726</v>
      </c>
      <c r="Q32" s="342">
        <f>SQRT(((1-P32)/$J$65)^2*SUMSQ(K$8:K32)+(P32/$J$65)^2*SUMSQ(K33:K$64))</f>
        <v>9.9431090789046609E-3</v>
      </c>
      <c r="R32" s="340">
        <f t="shared" si="15"/>
        <v>4.3468433671425615</v>
      </c>
      <c r="S32" s="343">
        <f t="shared" si="16"/>
        <v>3.8089575184640193E-7</v>
      </c>
      <c r="T32" s="344">
        <f t="shared" si="17"/>
        <v>3.1741312653866869E-9</v>
      </c>
      <c r="U32" s="344">
        <f>IF(P32&lt;=0.85, (1/(3*H32*$J$65))*SQRT( ((1-P32)*(1/SQRT(1-PI()*P32/3)-1) + (1-P31)*(1-1/SQRT(1-PI()*P31/3)))^2*SUMSQ(K$8:K31) + ( (1-P32)*(1/SQRT(1-PI()*P32/3)-1) -P31*(1-1/SQRT(1-PI()*P31/3)) )^2*K32^2 + ( P32*(1-1/SQRT(1-PI()*P32/3)) - P31*(1-1/SQRT(1-PI()*P31/3)) )^2*SUMSQ(K33:K$64) ), (1/(PI()^2*H32*$J$65))*SQRT((1+P31/(1-P31))^2*K32^2+(P31/(1-P31)-P32/(1-P32))^2*SUMSQ(K33:K$64)) )</f>
        <v>6.0865867959596642E-8</v>
      </c>
      <c r="V32" s="345">
        <f t="shared" si="18"/>
        <v>6.0948576618038896E-8</v>
      </c>
      <c r="W32" s="340">
        <f t="shared" si="19"/>
        <v>16.001379989823754</v>
      </c>
      <c r="X32" s="345">
        <f t="shared" si="20"/>
        <v>1.2189715323607779E-7</v>
      </c>
      <c r="Y32" s="338">
        <f t="shared" si="8"/>
        <v>-14.780740116460771</v>
      </c>
      <c r="Z32" s="346">
        <f t="shared" si="21"/>
        <v>0.16001379989823752</v>
      </c>
      <c r="AA32" s="346">
        <f t="shared" si="22"/>
        <v>1.0825831361450973</v>
      </c>
      <c r="AB32" s="346">
        <f t="shared" si="9"/>
        <v>0.32002759979647505</v>
      </c>
      <c r="AC32" s="336">
        <f t="shared" si="3"/>
        <v>4.9154444417477434E-11</v>
      </c>
      <c r="AD32" s="337">
        <f t="shared" si="4"/>
        <v>8.0535697665586839E-12</v>
      </c>
      <c r="AE32" s="308">
        <f t="shared" si="10"/>
        <v>16.384214819230351</v>
      </c>
      <c r="AF32" s="337">
        <f t="shared" si="11"/>
        <v>1.6107139533117368E-11</v>
      </c>
      <c r="AG32" s="338">
        <f t="shared" si="23"/>
        <v>-23.736053847839035</v>
      </c>
      <c r="AH32" s="339">
        <f t="shared" si="24"/>
        <v>0.1638421481923035</v>
      </c>
      <c r="AI32" s="340">
        <f t="shared" si="25"/>
        <v>0.69026700580736988</v>
      </c>
      <c r="AJ32" s="341">
        <f t="shared" si="12"/>
        <v>0.327684296384607</v>
      </c>
    </row>
    <row r="33" spans="1:36" ht="16" x14ac:dyDescent="0.2">
      <c r="A33" s="309">
        <v>26</v>
      </c>
      <c r="B33" s="309">
        <f t="shared" si="13"/>
        <v>26</v>
      </c>
      <c r="C33" s="1">
        <v>496.54</v>
      </c>
      <c r="D33" s="1">
        <v>5.34</v>
      </c>
      <c r="E33" s="326">
        <f t="shared" si="5"/>
        <v>12.99224363055256</v>
      </c>
      <c r="F33" s="327">
        <f t="shared" si="0"/>
        <v>9.2641585007001342E-2</v>
      </c>
      <c r="G33" s="309">
        <f t="shared" si="6"/>
        <v>1</v>
      </c>
      <c r="H33" s="1">
        <v>3600</v>
      </c>
      <c r="I33" s="324">
        <v>30</v>
      </c>
      <c r="J33" s="350">
        <v>1.00657</v>
      </c>
      <c r="K33" s="1">
        <v>0.123</v>
      </c>
      <c r="L33" s="328">
        <f t="shared" si="1"/>
        <v>12.219716462839148</v>
      </c>
      <c r="M33" s="329">
        <f t="shared" si="2"/>
        <v>2.9366620774483827E-2</v>
      </c>
      <c r="N33" s="342">
        <f>(1/$J$65)*SQRT(((1-J34/$J$65)*K33)^2+(J34/$J$65)^2*(SUMSQ(K$8:K32)+SUMSQ(K34:K$64)))</f>
        <v>3.5444121418905651E-3</v>
      </c>
      <c r="O33" s="340">
        <f t="shared" si="14"/>
        <v>12.06952672256471</v>
      </c>
      <c r="P33" s="332">
        <f t="shared" si="7"/>
        <v>0.25810983140093108</v>
      </c>
      <c r="Q33" s="342">
        <f>SQRT(((1-P33)/$J$65)^2*SUMSQ(K$8:K33)+(P33/$J$65)^2*SUMSQ(K34:K$64))</f>
        <v>1.0233405068103196E-2</v>
      </c>
      <c r="R33" s="340">
        <f t="shared" si="15"/>
        <v>3.9647482672627401</v>
      </c>
      <c r="S33" s="343">
        <f t="shared" si="16"/>
        <v>4.3115909878003959E-7</v>
      </c>
      <c r="T33" s="344">
        <f t="shared" si="17"/>
        <v>3.5929924898336599E-9</v>
      </c>
      <c r="U33" s="344">
        <f>IF(P33&lt;=0.85, (1/(3*H33*$J$65))*SQRT( ((1-P33)*(1/SQRT(1-PI()*P33/3)-1) + (1-P32)*(1-1/SQRT(1-PI()*P32/3)))^2*SUMSQ(K$8:K32) + ( (1-P33)*(1/SQRT(1-PI()*P33/3)-1) -P32*(1-1/SQRT(1-PI()*P32/3)) )^2*K33^2 + ( P33*(1-1/SQRT(1-PI()*P33/3)) - P32*(1-1/SQRT(1-PI()*P32/3)) )^2*SUMSQ(K34:K$64) ), (1/(PI()^2*H33*$J$65))*SQRT((1+P32/(1-P32))^2*K33^2+(P32/(1-P32)-P33/(1-P33))^2*SUMSQ(K34:K$64)) )</f>
        <v>5.8202373304201259E-8</v>
      </c>
      <c r="V33" s="345">
        <f t="shared" si="18"/>
        <v>5.8313170495811664E-8</v>
      </c>
      <c r="W33" s="340">
        <f t="shared" si="19"/>
        <v>13.524745427107582</v>
      </c>
      <c r="X33" s="345">
        <f t="shared" si="20"/>
        <v>1.1662634099162333E-7</v>
      </c>
      <c r="Y33" s="338">
        <f t="shared" si="8"/>
        <v>-14.656788676256804</v>
      </c>
      <c r="Z33" s="346">
        <f t="shared" si="21"/>
        <v>0.13524745427107582</v>
      </c>
      <c r="AA33" s="346">
        <f t="shared" si="22"/>
        <v>0.92276321408774409</v>
      </c>
      <c r="AB33" s="346">
        <f t="shared" si="9"/>
        <v>0.27049490854215164</v>
      </c>
      <c r="AC33" s="336">
        <f t="shared" si="3"/>
        <v>5.5640909233924599E-11</v>
      </c>
      <c r="AD33" s="337">
        <f t="shared" si="4"/>
        <v>7.7761444845355695E-12</v>
      </c>
      <c r="AE33" s="308">
        <f t="shared" si="10"/>
        <v>13.975588450295142</v>
      </c>
      <c r="AF33" s="337">
        <f t="shared" si="11"/>
        <v>1.5552288969071139E-11</v>
      </c>
      <c r="AG33" s="338">
        <f t="shared" si="23"/>
        <v>-23.612102407635067</v>
      </c>
      <c r="AH33" s="339">
        <f t="shared" si="24"/>
        <v>0.13975588450295143</v>
      </c>
      <c r="AI33" s="340">
        <f t="shared" si="25"/>
        <v>0.59188242575875338</v>
      </c>
      <c r="AJ33" s="341">
        <f t="shared" si="12"/>
        <v>0.27951176900590285</v>
      </c>
    </row>
    <row r="34" spans="1:36" ht="16" x14ac:dyDescent="0.2">
      <c r="A34" s="309">
        <v>27</v>
      </c>
      <c r="B34" s="309">
        <f t="shared" si="13"/>
        <v>27.5</v>
      </c>
      <c r="C34" s="1">
        <v>486.07</v>
      </c>
      <c r="D34" s="1">
        <v>5.93</v>
      </c>
      <c r="E34" s="326">
        <f t="shared" si="5"/>
        <v>13.171412765733253</v>
      </c>
      <c r="F34" s="327">
        <f t="shared" si="0"/>
        <v>0.10455332883684319</v>
      </c>
      <c r="G34" s="309">
        <f t="shared" si="6"/>
        <v>1.5</v>
      </c>
      <c r="H34" s="1">
        <v>5400</v>
      </c>
      <c r="I34" s="324">
        <v>30</v>
      </c>
      <c r="J34" s="350">
        <v>0.73785999999999996</v>
      </c>
      <c r="K34" s="1">
        <v>7.1999999999999995E-2</v>
      </c>
      <c r="L34" s="328">
        <f t="shared" si="1"/>
        <v>9.7579486623478715</v>
      </c>
      <c r="M34" s="329">
        <f t="shared" si="2"/>
        <v>2.1527022268357527E-2</v>
      </c>
      <c r="N34" s="342">
        <f>(1/$J$65)*SQRT(((1-J35/$J$65)*K34)^2+(J35/$J$65)^2*(SUMSQ(K$8:K33)+SUMSQ(K35:K$64)))</f>
        <v>2.093610592226504E-3</v>
      </c>
      <c r="O34" s="340">
        <f t="shared" si="14"/>
        <v>9.7255001928617535</v>
      </c>
      <c r="P34" s="332">
        <f t="shared" si="7"/>
        <v>0.27963685366928859</v>
      </c>
      <c r="Q34" s="342">
        <f>SQRT(((1-P34)/$J$65)^2*SUMSQ(K$8:K34)+(P34/$J$65)^2*SUMSQ(K35:K$64))</f>
        <v>1.0315359363512869E-2</v>
      </c>
      <c r="R34" s="340">
        <f t="shared" si="15"/>
        <v>3.6888411624428756</v>
      </c>
      <c r="S34" s="343">
        <f t="shared" si="16"/>
        <v>2.3896228309436909E-7</v>
      </c>
      <c r="T34" s="344">
        <f t="shared" si="17"/>
        <v>1.3275682394131611E-9</v>
      </c>
      <c r="U34" s="344">
        <f>IF(P34&lt;=0.85, (1/(3*H34*$J$65))*SQRT( ((1-P34)*(1/SQRT(1-PI()*P34/3)-1) + (1-P33)*(1-1/SQRT(1-PI()*P33/3)))^2*SUMSQ(K$8:K33) + ( (1-P34)*(1/SQRT(1-PI()*P34/3)-1) -P33*(1-1/SQRT(1-PI()*P33/3)) )^2*K34^2 + ( P34*(1-1/SQRT(1-PI()*P34/3)) - P33*(1-1/SQRT(1-PI()*P33/3)) )^2*SUMSQ(K35:K$64) ), (1/(PI()^2*H34*$J$65))*SQRT((1+P33/(1-P33))^2*K34^2+(P33/(1-P33)-P34/(1-P34))^2*SUMSQ(K35:K$64)) )</f>
        <v>2.660970532825048E-8</v>
      </c>
      <c r="V34" s="345">
        <f t="shared" si="18"/>
        <v>2.6642801186936415E-8</v>
      </c>
      <c r="W34" s="340">
        <f t="shared" si="19"/>
        <v>11.14937505698958</v>
      </c>
      <c r="X34" s="345">
        <f t="shared" si="20"/>
        <v>5.3285602373872829E-8</v>
      </c>
      <c r="Y34" s="338">
        <f t="shared" si="8"/>
        <v>-15.246960108789049</v>
      </c>
      <c r="Z34" s="346">
        <f t="shared" si="21"/>
        <v>0.1114937505698958</v>
      </c>
      <c r="AA34" s="346">
        <f t="shared" si="22"/>
        <v>0.73125232685317831</v>
      </c>
      <c r="AB34" s="346">
        <f t="shared" si="9"/>
        <v>0.2229875011397916</v>
      </c>
      <c r="AC34" s="336">
        <f t="shared" si="3"/>
        <v>3.0837987048415089E-11</v>
      </c>
      <c r="AD34" s="337">
        <f t="shared" si="4"/>
        <v>3.6056306419618464E-12</v>
      </c>
      <c r="AE34" s="308">
        <f t="shared" si="10"/>
        <v>11.692172502378547</v>
      </c>
      <c r="AF34" s="337">
        <f t="shared" si="11"/>
        <v>7.2112612839236927E-12</v>
      </c>
      <c r="AG34" s="338">
        <f t="shared" si="23"/>
        <v>-24.202273840167312</v>
      </c>
      <c r="AH34" s="339">
        <f t="shared" si="24"/>
        <v>0.11692172502378545</v>
      </c>
      <c r="AI34" s="340">
        <f t="shared" si="25"/>
        <v>0.48310223161650323</v>
      </c>
      <c r="AJ34" s="341">
        <f t="shared" si="12"/>
        <v>0.2338434500475709</v>
      </c>
    </row>
    <row r="35" spans="1:36" ht="16" x14ac:dyDescent="0.2">
      <c r="A35" s="309">
        <v>28</v>
      </c>
      <c r="B35" s="309">
        <f t="shared" si="13"/>
        <v>29</v>
      </c>
      <c r="C35" s="1">
        <v>479.96</v>
      </c>
      <c r="D35" s="1">
        <v>0.57999999999999996</v>
      </c>
      <c r="E35" s="326">
        <f t="shared" si="5"/>
        <v>13.278272762279084</v>
      </c>
      <c r="F35" s="327">
        <f t="shared" si="0"/>
        <v>1.0502355559204516E-2</v>
      </c>
      <c r="G35" s="309">
        <f t="shared" si="6"/>
        <v>1.5</v>
      </c>
      <c r="H35" s="1">
        <v>5400</v>
      </c>
      <c r="I35" s="324">
        <v>30</v>
      </c>
      <c r="J35" s="350">
        <v>0.42971999999999999</v>
      </c>
      <c r="K35" s="1">
        <v>7.5999999999999998E-2</v>
      </c>
      <c r="L35" s="328">
        <f t="shared" si="1"/>
        <v>17.685935027459738</v>
      </c>
      <c r="M35" s="329">
        <f t="shared" si="2"/>
        <v>1.2537055822457644E-2</v>
      </c>
      <c r="N35" s="342">
        <f>(1/$J$65)*SQRT(((1-J36/$J$65)*K35)^2+(J36/$J$65)^2*(SUMSQ(K$8:K34)+SUMSQ(K36:K$64)))</f>
        <v>2.2072399656323321E-3</v>
      </c>
      <c r="O35" s="340">
        <f t="shared" si="14"/>
        <v>17.605728146144969</v>
      </c>
      <c r="P35" s="332">
        <f t="shared" si="7"/>
        <v>0.29217390949174621</v>
      </c>
      <c r="Q35" s="342">
        <f>SQRT(((1-P35)/$J$65)^2*SUMSQ(K$8:K35)+(P35/$J$65)^2*SUMSQ(K36:K$64))</f>
        <v>1.0411951166150749E-2</v>
      </c>
      <c r="R35" s="340">
        <f t="shared" si="15"/>
        <v>3.5636142817347909</v>
      </c>
      <c r="S35" s="343">
        <f t="shared" si="16"/>
        <v>1.5069952055431077E-7</v>
      </c>
      <c r="T35" s="344">
        <f t="shared" si="17"/>
        <v>8.3721955863506E-10</v>
      </c>
      <c r="U35" s="344">
        <f>IF(P35&lt;=0.85, (1/(3*H35*$J$65))*SQRT( ((1-P35)*(1/SQRT(1-PI()*P35/3)-1) + (1-P34)*(1-1/SQRT(1-PI()*P34/3)))^2*SUMSQ(K$8:K34) + ( (1-P35)*(1/SQRT(1-PI()*P35/3)-1) -P34*(1-1/SQRT(1-PI()*P34/3)) )^2*K35^2 + ( P35*(1-1/SQRT(1-PI()*P35/3)) - P34*(1-1/SQRT(1-PI()*P34/3)) )^2*SUMSQ(K36:K$64) ), (1/(PI()^2*H35*$J$65))*SQRT((1+P34/(1-P34))^2*K35^2+(P34/(1-P34)-P35/(1-P35))^2*SUMSQ(K36:K$64)) )</f>
        <v>2.7781887654783541E-8</v>
      </c>
      <c r="V35" s="345">
        <f t="shared" si="18"/>
        <v>2.7794499784172681E-8</v>
      </c>
      <c r="W35" s="340">
        <f t="shared" si="19"/>
        <v>18.443655083929606</v>
      </c>
      <c r="X35" s="345">
        <f t="shared" si="20"/>
        <v>5.5588999568345362E-8</v>
      </c>
      <c r="Y35" s="338">
        <f t="shared" si="8"/>
        <v>-15.707977912776814</v>
      </c>
      <c r="Z35" s="346">
        <f t="shared" si="21"/>
        <v>0.18443655083929605</v>
      </c>
      <c r="AA35" s="346">
        <f t="shared" si="22"/>
        <v>1.1741584554258637</v>
      </c>
      <c r="AB35" s="346">
        <f t="shared" si="9"/>
        <v>0.36887310167859211</v>
      </c>
      <c r="AC35" s="336">
        <f t="shared" si="3"/>
        <v>1.9447712847725584E-11</v>
      </c>
      <c r="AD35" s="337">
        <f t="shared" si="4"/>
        <v>3.6516505244484325E-12</v>
      </c>
      <c r="AE35" s="308">
        <f t="shared" si="10"/>
        <v>18.776760810078983</v>
      </c>
      <c r="AF35" s="337">
        <f t="shared" si="11"/>
        <v>7.303301048896865E-12</v>
      </c>
      <c r="AG35" s="338">
        <f t="shared" si="23"/>
        <v>-24.663291644155077</v>
      </c>
      <c r="AH35" s="339">
        <f t="shared" si="24"/>
        <v>0.18776760810078982</v>
      </c>
      <c r="AI35" s="340">
        <f t="shared" si="25"/>
        <v>0.76132420120527033</v>
      </c>
      <c r="AJ35" s="341">
        <f t="shared" si="12"/>
        <v>0.37553521620157965</v>
      </c>
    </row>
    <row r="36" spans="1:36" ht="16" x14ac:dyDescent="0.2">
      <c r="A36" s="309">
        <v>29</v>
      </c>
      <c r="B36" s="309">
        <f t="shared" si="13"/>
        <v>30.5</v>
      </c>
      <c r="C36" s="1">
        <v>469.99</v>
      </c>
      <c r="D36" s="1">
        <v>0.56999999999999995</v>
      </c>
      <c r="E36" s="326">
        <f t="shared" si="5"/>
        <v>13.45641467287456</v>
      </c>
      <c r="F36" s="327">
        <f t="shared" si="0"/>
        <v>1.060476441970172E-2</v>
      </c>
      <c r="G36" s="309">
        <f t="shared" si="6"/>
        <v>1.5</v>
      </c>
      <c r="H36" s="1">
        <v>5400</v>
      </c>
      <c r="I36" s="324">
        <v>30</v>
      </c>
      <c r="J36" s="350">
        <v>0.25472</v>
      </c>
      <c r="K36" s="1">
        <v>0.05</v>
      </c>
      <c r="L36" s="328">
        <f t="shared" si="1"/>
        <v>19.629396984924625</v>
      </c>
      <c r="M36" s="329">
        <f t="shared" si="2"/>
        <v>7.4314410758084598E-3</v>
      </c>
      <c r="N36" s="342">
        <f>(1/$J$65)*SQRT(((1-J37/$J$65)*K36)^2+(J37/$J$65)^2*(SUMSQ(K$8:K35)+SUMSQ(K37:K$64)))</f>
        <v>1.4558194395410495E-3</v>
      </c>
      <c r="O36" s="340">
        <f t="shared" si="14"/>
        <v>19.590001786869745</v>
      </c>
      <c r="P36" s="332">
        <f t="shared" si="7"/>
        <v>0.29960535056755466</v>
      </c>
      <c r="Q36" s="342">
        <f>SQRT(((1-P36)/$J$65)^2*SUMSQ(K$8:K36)+(P36/$J$65)^2*SUMSQ(K37:K$64))</f>
        <v>1.0451830199756389E-2</v>
      </c>
      <c r="R36" s="340">
        <f t="shared" si="15"/>
        <v>3.4885325578989357</v>
      </c>
      <c r="S36" s="343">
        <f t="shared" si="16"/>
        <v>9.3460349289351312E-8</v>
      </c>
      <c r="T36" s="344">
        <f t="shared" si="17"/>
        <v>5.1922416271861833E-10</v>
      </c>
      <c r="U36" s="344">
        <f>IF(P36&lt;=0.85, (1/(3*H36*$J$65))*SQRT( ((1-P36)*(1/SQRT(1-PI()*P36/3)-1) + (1-P35)*(1-1/SQRT(1-PI()*P35/3)))^2*SUMSQ(K$8:K35) + ( (1-P36)*(1/SQRT(1-PI()*P36/3)-1) -P35*(1-1/SQRT(1-PI()*P35/3)) )^2*K36^2 + ( P36*(1-1/SQRT(1-PI()*P36/3)) - P35*(1-1/SQRT(1-PI()*P35/3)) )^2*SUMSQ(K37:K$64) ), (1/(PI()^2*H36*$J$65))*SQRT((1+P35/(1-P35))^2*K36^2+(P35/(1-P35)-P36/(1-P36))^2*SUMSQ(K37:K$64)) )</f>
        <v>1.8960626946136014E-8</v>
      </c>
      <c r="V36" s="345">
        <f t="shared" si="18"/>
        <v>1.8967734918057295E-8</v>
      </c>
      <c r="W36" s="340">
        <f t="shared" si="19"/>
        <v>20.294954023051616</v>
      </c>
      <c r="X36" s="345">
        <f t="shared" si="20"/>
        <v>3.7935469836114589E-8</v>
      </c>
      <c r="Y36" s="338">
        <f t="shared" si="8"/>
        <v>-16.185728562367277</v>
      </c>
      <c r="Z36" s="346">
        <f t="shared" si="21"/>
        <v>0.20294954023051615</v>
      </c>
      <c r="AA36" s="346">
        <f t="shared" si="22"/>
        <v>1.2538795485696279</v>
      </c>
      <c r="AB36" s="346">
        <f t="shared" si="9"/>
        <v>0.40589908046103229</v>
      </c>
      <c r="AC36" s="336">
        <f t="shared" si="3"/>
        <v>1.206102069165107E-11</v>
      </c>
      <c r="AD36" s="337">
        <f t="shared" si="4"/>
        <v>2.4843462817527623E-12</v>
      </c>
      <c r="AE36" s="308">
        <f t="shared" si="10"/>
        <v>20.598142937210003</v>
      </c>
      <c r="AF36" s="337">
        <f t="shared" si="11"/>
        <v>4.9686925635055246E-12</v>
      </c>
      <c r="AG36" s="338">
        <f t="shared" si="23"/>
        <v>-25.141042293745539</v>
      </c>
      <c r="AH36" s="339">
        <f t="shared" si="24"/>
        <v>0.20598142937210007</v>
      </c>
      <c r="AI36" s="340">
        <f t="shared" si="25"/>
        <v>0.81930345991798081</v>
      </c>
      <c r="AJ36" s="341">
        <f t="shared" si="12"/>
        <v>0.41196285874420013</v>
      </c>
    </row>
    <row r="37" spans="1:36" ht="16" x14ac:dyDescent="0.2">
      <c r="A37" s="309">
        <v>30</v>
      </c>
      <c r="B37" s="309">
        <f t="shared" si="13"/>
        <v>32</v>
      </c>
      <c r="C37" s="1">
        <v>459.99</v>
      </c>
      <c r="D37" s="1">
        <v>0.59</v>
      </c>
      <c r="E37" s="326">
        <f t="shared" si="5"/>
        <v>13.639959625719507</v>
      </c>
      <c r="F37" s="327">
        <f t="shared" si="0"/>
        <v>1.1282237313935649E-2</v>
      </c>
      <c r="G37" s="309">
        <f t="shared" si="6"/>
        <v>1.5</v>
      </c>
      <c r="H37" s="1">
        <v>5400</v>
      </c>
      <c r="I37" s="324">
        <v>30</v>
      </c>
      <c r="J37" s="350">
        <v>0.16313</v>
      </c>
      <c r="K37" s="1">
        <v>5.5E-2</v>
      </c>
      <c r="L37" s="328">
        <f t="shared" si="1"/>
        <v>33.715441672285905</v>
      </c>
      <c r="M37" s="329">
        <f t="shared" si="2"/>
        <v>4.7593081921193233E-3</v>
      </c>
      <c r="N37" s="342">
        <f>(1/$J$65)*SQRT(((1-J38/$J$65)*K37)^2+(J38/$J$65)^2*(SUMSQ(K$8:K36)+SUMSQ(K38:K$64)))</f>
        <v>1.6012244043546225E-3</v>
      </c>
      <c r="O37" s="340">
        <f t="shared" si="14"/>
        <v>33.644057911736034</v>
      </c>
      <c r="P37" s="332">
        <f t="shared" si="7"/>
        <v>0.304364658759674</v>
      </c>
      <c r="Q37" s="342">
        <f>SQRT(((1-P37)/$J$65)^2*SUMSQ(K$8:K37)+(P37/$J$65)^2*SUMSQ(K38:K$64))</f>
        <v>1.0499744470298175E-2</v>
      </c>
      <c r="R37" s="340">
        <f t="shared" si="15"/>
        <v>3.4497252450682065</v>
      </c>
      <c r="S37" s="343">
        <f t="shared" si="16"/>
        <v>6.1500681917592139E-8</v>
      </c>
      <c r="T37" s="344">
        <f t="shared" si="17"/>
        <v>3.4167045509773395E-10</v>
      </c>
      <c r="U37" s="344">
        <f>IF(P37&lt;=0.85, (1/(3*H37*$J$65))*SQRT( ((1-P37)*(1/SQRT(1-PI()*P37/3)-1) + (1-P36)*(1-1/SQRT(1-PI()*P36/3)))^2*SUMSQ(K$8:K36) + ( (1-P37)*(1/SQRT(1-PI()*P37/3)-1) -P36*(1-1/SQRT(1-PI()*P36/3)) )^2*K37^2 + ( P37*(1-1/SQRT(1-PI()*P37/3)) - P36*(1-1/SQRT(1-PI()*P36/3)) )^2*SUMSQ(K38:K$64) ), (1/(PI()^2*H37*$J$65))*SQRT((1+P36/(1-P36))^2*K37^2+(P36/(1-P36)-P37/(1-P37))^2*SUMSQ(K38:K$64)) )</f>
        <v>2.096272951506842E-8</v>
      </c>
      <c r="V37" s="345">
        <f t="shared" si="18"/>
        <v>2.0965513764794969E-8</v>
      </c>
      <c r="W37" s="340">
        <f t="shared" si="19"/>
        <v>34.089888292438317</v>
      </c>
      <c r="X37" s="345">
        <f t="shared" si="20"/>
        <v>4.1931027529589939E-8</v>
      </c>
      <c r="Y37" s="338">
        <f t="shared" si="8"/>
        <v>-16.604217574104482</v>
      </c>
      <c r="Z37" s="346">
        <f t="shared" si="21"/>
        <v>0.34089888292438314</v>
      </c>
      <c r="AA37" s="346">
        <f t="shared" si="22"/>
        <v>2.0530860993777895</v>
      </c>
      <c r="AB37" s="346">
        <f t="shared" si="9"/>
        <v>0.68179776584876628</v>
      </c>
      <c r="AC37" s="336">
        <f t="shared" si="3"/>
        <v>7.9366384011924975E-12</v>
      </c>
      <c r="AD37" s="337">
        <f t="shared" si="4"/>
        <v>2.719985467001551E-12</v>
      </c>
      <c r="AE37" s="308">
        <f t="shared" si="10"/>
        <v>34.271253514496351</v>
      </c>
      <c r="AF37" s="337">
        <f t="shared" si="11"/>
        <v>5.4399709340031021E-12</v>
      </c>
      <c r="AG37" s="338">
        <f t="shared" si="23"/>
        <v>-25.559531305482746</v>
      </c>
      <c r="AH37" s="339">
        <f t="shared" si="24"/>
        <v>0.34271253514496353</v>
      </c>
      <c r="AI37" s="340">
        <f t="shared" si="25"/>
        <v>1.3408404522325832</v>
      </c>
      <c r="AJ37" s="341">
        <f t="shared" si="12"/>
        <v>0.68542507028992705</v>
      </c>
    </row>
    <row r="38" spans="1:36" ht="16" x14ac:dyDescent="0.2">
      <c r="A38" s="309">
        <v>31</v>
      </c>
      <c r="B38" s="309">
        <f t="shared" si="13"/>
        <v>33.5</v>
      </c>
      <c r="C38" s="1">
        <v>450</v>
      </c>
      <c r="D38" s="1">
        <v>0.59</v>
      </c>
      <c r="E38" s="326">
        <f t="shared" si="5"/>
        <v>13.828389684021296</v>
      </c>
      <c r="F38" s="327">
        <f t="shared" si="0"/>
        <v>1.1600861411149722E-2</v>
      </c>
      <c r="G38" s="309">
        <f t="shared" si="6"/>
        <v>1.5</v>
      </c>
      <c r="H38" s="1">
        <v>5400</v>
      </c>
      <c r="I38" s="324">
        <v>30</v>
      </c>
      <c r="J38" s="350">
        <v>0.10453</v>
      </c>
      <c r="K38" s="1">
        <v>4.7E-2</v>
      </c>
      <c r="L38" s="328">
        <f t="shared" si="1"/>
        <v>44.963168468382285</v>
      </c>
      <c r="M38" s="329">
        <f t="shared" si="2"/>
        <v>3.0496566255270815E-3</v>
      </c>
      <c r="N38" s="342">
        <f>(1/$J$65)*SQRT(((1-J39/$J$65)*K38)^2+(J39/$J$65)^2*(SUMSQ(K$8:K37)+SUMSQ(K39:K$64)))</f>
        <v>1.3692484633364105E-3</v>
      </c>
      <c r="O38" s="340">
        <f t="shared" si="14"/>
        <v>44.898446988265739</v>
      </c>
      <c r="P38" s="332">
        <f t="shared" si="7"/>
        <v>0.30741431538520109</v>
      </c>
      <c r="Q38" s="342">
        <f>SQRT(((1-P38)/$J$65)^2*SUMSQ(K$8:K38)+(P38/$J$65)^2*SUMSQ(K39:K$64))</f>
        <v>1.0533906482981109E-2</v>
      </c>
      <c r="R38" s="340">
        <f t="shared" si="15"/>
        <v>3.4266154683726255</v>
      </c>
      <c r="S38" s="343">
        <f t="shared" si="16"/>
        <v>4.0091764293128871E-8</v>
      </c>
      <c r="T38" s="344">
        <f t="shared" si="17"/>
        <v>2.2273202385071605E-10</v>
      </c>
      <c r="U38" s="344">
        <f>IF(P38&lt;=0.85, (1/(3*H38*$J$65))*SQRT( ((1-P38)*(1/SQRT(1-PI()*P38/3)-1) + (1-P37)*(1-1/SQRT(1-PI()*P37/3)))^2*SUMSQ(K$8:K37) + ( (1-P38)*(1/SQRT(1-PI()*P38/3)-1) -P37*(1-1/SQRT(1-PI()*P37/3)) )^2*K38^2 + ( P38*(1-1/SQRT(1-PI()*P38/3)) - P37*(1-1/SQRT(1-PI()*P37/3)) )^2*SUMSQ(K39:K$64) ), (1/(PI()^2*H38*$J$65))*SQRT((1+P37/(1-P37))^2*K38^2+(P37/(1-P37)-P38/(1-P38))^2*SUMSQ(K39:K$64)) )</f>
        <v>1.8135057193441015E-8</v>
      </c>
      <c r="V38" s="345">
        <f t="shared" si="18"/>
        <v>1.8136424922344133E-8</v>
      </c>
      <c r="W38" s="340">
        <f t="shared" si="19"/>
        <v>45.237283123138695</v>
      </c>
      <c r="X38" s="345">
        <f t="shared" si="20"/>
        <v>3.6272849844688266E-8</v>
      </c>
      <c r="Y38" s="338">
        <f t="shared" si="8"/>
        <v>-17.032094902950806</v>
      </c>
      <c r="Z38" s="346">
        <f t="shared" si="21"/>
        <v>0.45237283123138694</v>
      </c>
      <c r="AA38" s="346">
        <f t="shared" si="22"/>
        <v>2.6560022933703444</v>
      </c>
      <c r="AB38" s="346">
        <f t="shared" si="9"/>
        <v>0.90474566246277388</v>
      </c>
      <c r="AC38" s="336">
        <f t="shared" si="3"/>
        <v>5.1738261453225628E-12</v>
      </c>
      <c r="AD38" s="337">
        <f t="shared" si="4"/>
        <v>2.3475777144699923E-12</v>
      </c>
      <c r="AE38" s="308">
        <f t="shared" si="10"/>
        <v>45.374112862148216</v>
      </c>
      <c r="AF38" s="337">
        <f t="shared" si="11"/>
        <v>4.6951554289399846E-12</v>
      </c>
      <c r="AG38" s="338">
        <f t="shared" si="23"/>
        <v>-25.987408634329071</v>
      </c>
      <c r="AH38" s="339">
        <f t="shared" si="24"/>
        <v>0.45374112862148219</v>
      </c>
      <c r="AI38" s="340">
        <f t="shared" si="25"/>
        <v>1.7460037474536623</v>
      </c>
      <c r="AJ38" s="341">
        <f t="shared" si="12"/>
        <v>0.90748225724296439</v>
      </c>
    </row>
    <row r="39" spans="1:36" ht="16" x14ac:dyDescent="0.2">
      <c r="A39" s="309">
        <v>32</v>
      </c>
      <c r="B39" s="309">
        <f t="shared" si="13"/>
        <v>35</v>
      </c>
      <c r="C39" s="1">
        <v>440</v>
      </c>
      <c r="D39" s="1">
        <v>0.6</v>
      </c>
      <c r="E39" s="326">
        <f t="shared" si="5"/>
        <v>14.022295449765126</v>
      </c>
      <c r="F39" s="327">
        <f t="shared" si="0"/>
        <v>1.2135433316807739E-2</v>
      </c>
      <c r="G39" s="309">
        <f t="shared" si="6"/>
        <v>1.5</v>
      </c>
      <c r="H39" s="1">
        <v>5400</v>
      </c>
      <c r="I39" s="324">
        <v>30</v>
      </c>
      <c r="J39" s="350">
        <v>6.7710000000000006E-2</v>
      </c>
      <c r="K39" s="1">
        <v>3.6999999999999998E-2</v>
      </c>
      <c r="L39" s="328">
        <f t="shared" si="1"/>
        <v>54.644808743169392</v>
      </c>
      <c r="M39" s="329">
        <f t="shared" si="2"/>
        <v>1.9754352828320935E-3</v>
      </c>
      <c r="N39" s="342">
        <f>(1/$J$65)*SQRT(((1-J40/$J$65)*K39)^2+(J40/$J$65)^2*(SUMSQ(K$8:K38)+SUMSQ(K40:K$64)))</f>
        <v>1.0785054402707938E-3</v>
      </c>
      <c r="O39" s="340">
        <f t="shared" si="14"/>
        <v>54.595837668981417</v>
      </c>
      <c r="P39" s="332">
        <f t="shared" si="7"/>
        <v>0.3093897506680332</v>
      </c>
      <c r="Q39" s="342">
        <f>SQRT(((1-P39)/$J$65)^2*SUMSQ(K$8:K39)+(P39/$J$65)^2*SUMSQ(K40:K$64))</f>
        <v>1.0554688310733612E-2</v>
      </c>
      <c r="R39" s="340">
        <f t="shared" si="15"/>
        <v>3.4114537692163256</v>
      </c>
      <c r="S39" s="343">
        <f t="shared" si="16"/>
        <v>2.6256773625564042E-8</v>
      </c>
      <c r="T39" s="344">
        <f t="shared" si="17"/>
        <v>1.4587096458646686E-10</v>
      </c>
      <c r="U39" s="344">
        <f>IF(P39&lt;=0.85, (1/(3*H39*$J$65))*SQRT( ((1-P39)*(1/SQRT(1-PI()*P39/3)-1) + (1-P38)*(1-1/SQRT(1-PI()*P38/3)))^2*SUMSQ(K$8:K38) + ( (1-P39)*(1/SQRT(1-PI()*P39/3)-1) -P38*(1-1/SQRT(1-PI()*P38/3)) )^2*K39^2 + ( P39*(1-1/SQRT(1-PI()*P39/3)) - P38*(1-1/SQRT(1-PI()*P38/3)) )^2*SUMSQ(K40:K$64) ), (1/(PI()^2*H39*$J$65))*SQRT((1+P38/(1-P38))^2*K39^2+(P38/(1-P38)-P39/(1-P39))^2*SUMSQ(K40:K$64)) )</f>
        <v>1.4406009400057749E-8</v>
      </c>
      <c r="V39" s="345">
        <f t="shared" si="18"/>
        <v>1.4406747904119846E-8</v>
      </c>
      <c r="W39" s="340">
        <f t="shared" si="19"/>
        <v>54.868690683661114</v>
      </c>
      <c r="X39" s="345">
        <f t="shared" si="20"/>
        <v>2.8813495808239692E-8</v>
      </c>
      <c r="Y39" s="338">
        <f t="shared" si="8"/>
        <v>-17.455341838317487</v>
      </c>
      <c r="Z39" s="346">
        <f t="shared" si="21"/>
        <v>0.54868690683661114</v>
      </c>
      <c r="AA39" s="346">
        <f t="shared" si="22"/>
        <v>3.1433753169596983</v>
      </c>
      <c r="AB39" s="346">
        <f t="shared" si="9"/>
        <v>1.0973738136732223</v>
      </c>
      <c r="AC39" s="336">
        <f t="shared" si="3"/>
        <v>3.3884261336695892E-12</v>
      </c>
      <c r="AD39" s="337">
        <f t="shared" si="4"/>
        <v>1.8630094278626074E-12</v>
      </c>
      <c r="AE39" s="308">
        <f t="shared" si="10"/>
        <v>54.981556462174083</v>
      </c>
      <c r="AF39" s="337">
        <f t="shared" si="11"/>
        <v>3.7260188557252147E-12</v>
      </c>
      <c r="AG39" s="338">
        <f t="shared" si="23"/>
        <v>-26.410655569695749</v>
      </c>
      <c r="AH39" s="339">
        <f t="shared" si="24"/>
        <v>0.54981556462174075</v>
      </c>
      <c r="AI39" s="340">
        <f t="shared" si="25"/>
        <v>2.0817944604624392</v>
      </c>
      <c r="AJ39" s="341">
        <f t="shared" si="12"/>
        <v>1.0996311292434815</v>
      </c>
    </row>
    <row r="40" spans="1:36" ht="16" x14ac:dyDescent="0.2">
      <c r="A40" s="309">
        <v>33</v>
      </c>
      <c r="B40" s="309">
        <f t="shared" si="13"/>
        <v>36.5</v>
      </c>
      <c r="C40" s="1">
        <v>430</v>
      </c>
      <c r="D40" s="1">
        <v>0.56999999999999995</v>
      </c>
      <c r="E40" s="326">
        <f t="shared" si="5"/>
        <v>14.221716561188936</v>
      </c>
      <c r="F40" s="327">
        <f t="shared" si="0"/>
        <v>1.1863706678094537E-2</v>
      </c>
      <c r="G40" s="309">
        <f t="shared" si="6"/>
        <v>1.5</v>
      </c>
      <c r="H40" s="1">
        <v>5400</v>
      </c>
      <c r="I40" s="324">
        <v>30</v>
      </c>
      <c r="J40" s="350">
        <v>4.2290000000000001E-2</v>
      </c>
      <c r="K40" s="1">
        <v>1.9E-2</v>
      </c>
      <c r="L40" s="328">
        <f t="shared" si="1"/>
        <v>44.927878931189404</v>
      </c>
      <c r="M40" s="329">
        <f t="shared" si="2"/>
        <v>1.2338082722045374E-3</v>
      </c>
      <c r="N40" s="342">
        <f>(1/$J$65)*SQRT(((1-J41/$J$65)*K40)^2+(J41/$J$65)^2*(SUMSQ(K$8:K39)+SUMSQ(K41:K$64)))</f>
        <v>5.5422552268803856E-4</v>
      </c>
      <c r="O40" s="340">
        <f t="shared" si="14"/>
        <v>44.91990653440525</v>
      </c>
      <c r="P40" s="332">
        <f t="shared" si="7"/>
        <v>0.31062355894023774</v>
      </c>
      <c r="Q40" s="342">
        <f>SQRT(((1-P40)/$J$65)^2*SUMSQ(K$8:K40)+(P40/$J$65)^2*SUMSQ(K41:K$64))</f>
        <v>1.0559984687483929E-2</v>
      </c>
      <c r="R40" s="340">
        <f t="shared" si="15"/>
        <v>3.3996084274842824</v>
      </c>
      <c r="S40" s="343">
        <f t="shared" si="16"/>
        <v>1.6514395676593648E-8</v>
      </c>
      <c r="T40" s="344">
        <f t="shared" si="17"/>
        <v>9.1746642647742552E-11</v>
      </c>
      <c r="U40" s="344">
        <f>IF(P40&lt;=0.85, (1/(3*H40*$J$65))*SQRT( ((1-P40)*(1/SQRT(1-PI()*P40/3)-1) + (1-P39)*(1-1/SQRT(1-PI()*P39/3)))^2*SUMSQ(K$8:K39) + ( (1-P40)*(1/SQRT(1-PI()*P40/3)-1) -P39*(1-1/SQRT(1-PI()*P39/3)) )^2*K40^2 + ( P40*(1-1/SQRT(1-PI()*P40/3)) - P39*(1-1/SQRT(1-PI()*P39/3)) )^2*SUMSQ(K41:K$64) ), (1/(PI()^2*H40*$J$65))*SQRT((1+P39/(1-P39))^2*K40^2+(P39/(1-P39)-P40/(1-P40))^2*SUMSQ(K41:K$64)) )</f>
        <v>7.4657863804896898E-9</v>
      </c>
      <c r="V40" s="345">
        <f t="shared" si="18"/>
        <v>7.4663500939577215E-9</v>
      </c>
      <c r="W40" s="340">
        <f t="shared" si="19"/>
        <v>45.211161462844238</v>
      </c>
      <c r="X40" s="345">
        <f t="shared" si="20"/>
        <v>1.4932700187915443E-8</v>
      </c>
      <c r="Y40" s="338">
        <f t="shared" si="8"/>
        <v>-17.919033371168354</v>
      </c>
      <c r="Z40" s="346">
        <f t="shared" si="21"/>
        <v>0.45211161462844235</v>
      </c>
      <c r="AA40" s="346">
        <f t="shared" si="22"/>
        <v>2.5230803763995882</v>
      </c>
      <c r="AB40" s="346">
        <f t="shared" si="9"/>
        <v>0.9042232292568847</v>
      </c>
      <c r="AC40" s="336">
        <f t="shared" si="3"/>
        <v>2.1311761563061394E-12</v>
      </c>
      <c r="AD40" s="337">
        <f t="shared" si="4"/>
        <v>9.6644725559821239E-13</v>
      </c>
      <c r="AE40" s="308">
        <f t="shared" si="10"/>
        <v>45.348070019388118</v>
      </c>
      <c r="AF40" s="337">
        <f t="shared" si="11"/>
        <v>1.9328945111964248E-12</v>
      </c>
      <c r="AG40" s="338">
        <f t="shared" si="23"/>
        <v>-26.874347102546619</v>
      </c>
      <c r="AH40" s="339">
        <f t="shared" si="24"/>
        <v>0.45348070019388115</v>
      </c>
      <c r="AI40" s="340">
        <f t="shared" si="25"/>
        <v>1.6874110409584955</v>
      </c>
      <c r="AJ40" s="341">
        <f t="shared" si="12"/>
        <v>0.9069614003877623</v>
      </c>
    </row>
    <row r="41" spans="1:36" ht="16" x14ac:dyDescent="0.2">
      <c r="A41" s="309">
        <v>34</v>
      </c>
      <c r="B41" s="309">
        <f t="shared" si="13"/>
        <v>38</v>
      </c>
      <c r="C41" s="1">
        <v>420</v>
      </c>
      <c r="D41" s="1">
        <v>0.62</v>
      </c>
      <c r="E41" s="326">
        <f t="shared" si="5"/>
        <v>14.426891726177596</v>
      </c>
      <c r="F41" s="327">
        <f t="shared" si="0"/>
        <v>1.3284938374143924E-2</v>
      </c>
      <c r="G41" s="309">
        <f t="shared" si="6"/>
        <v>1.5</v>
      </c>
      <c r="H41" s="1">
        <v>5400</v>
      </c>
      <c r="I41" s="324">
        <v>30</v>
      </c>
      <c r="J41" s="350">
        <v>3.3259999999999998E-2</v>
      </c>
      <c r="K41" s="1">
        <v>1.7999999999999999E-2</v>
      </c>
      <c r="L41" s="328">
        <f t="shared" si="1"/>
        <v>54.119061936259769</v>
      </c>
      <c r="M41" s="329">
        <f t="shared" si="2"/>
        <v>9.7035855127743933E-4</v>
      </c>
      <c r="N41" s="342">
        <f>(1/$J$65)*SQRT(((1-J42/$J$65)*K41)^2+(J42/$J$65)^2*(SUMSQ(K$8:K40)+SUMSQ(K42:K$64)))</f>
        <v>5.2502085161276681E-4</v>
      </c>
      <c r="O41" s="340">
        <f t="shared" si="14"/>
        <v>54.10586127381444</v>
      </c>
      <c r="P41" s="332">
        <f t="shared" si="7"/>
        <v>0.31159391749151516</v>
      </c>
      <c r="Q41" s="342">
        <f>SQRT(((1-P41)/$J$65)^2*SUMSQ(K$8:K41)+(P41/$J$65)^2*SUMSQ(K42:K$64))</f>
        <v>1.0564758703775027E-2</v>
      </c>
      <c r="R41" s="340">
        <f t="shared" si="15"/>
        <v>3.3905535733259975</v>
      </c>
      <c r="S41" s="343">
        <f t="shared" si="16"/>
        <v>1.3050501974448616E-8</v>
      </c>
      <c r="T41" s="344">
        <f t="shared" si="17"/>
        <v>7.2502788746936818E-11</v>
      </c>
      <c r="U41" s="344">
        <f>IF(P41&lt;=0.85, (1/(3*H41*$J$65))*SQRT( ((1-P41)*(1/SQRT(1-PI()*P41/3)-1) + (1-P40)*(1-1/SQRT(1-PI()*P40/3)))^2*SUMSQ(K$8:K40) + ( (1-P41)*(1/SQRT(1-PI()*P41/3)-1) -P40*(1-1/SQRT(1-PI()*P40/3)) )^2*K41^2 + ( P41*(1-1/SQRT(1-PI()*P41/3)) - P40*(1-1/SQRT(1-PI()*P40/3)) )^2*SUMSQ(K42:K$64) ), (1/(PI()^2*H41*$J$65))*SQRT((1+P40/(1-P40))^2*K41^2+(P40/(1-P40)-P41/(1-P41))^2*SUMSQ(K42:K$64)) )</f>
        <v>7.0929105978491681E-9</v>
      </c>
      <c r="V41" s="345">
        <f t="shared" si="18"/>
        <v>7.0932811451018298E-9</v>
      </c>
      <c r="W41" s="340">
        <f t="shared" si="19"/>
        <v>54.352554093242233</v>
      </c>
      <c r="X41" s="345">
        <f t="shared" si="20"/>
        <v>1.418656229020366E-8</v>
      </c>
      <c r="Y41" s="338">
        <f t="shared" si="8"/>
        <v>-18.154439238442496</v>
      </c>
      <c r="Z41" s="346">
        <f t="shared" si="21"/>
        <v>0.54352554093242234</v>
      </c>
      <c r="AA41" s="346">
        <f t="shared" si="22"/>
        <v>2.9938988133629207</v>
      </c>
      <c r="AB41" s="346">
        <f t="shared" si="9"/>
        <v>1.0870510818648447</v>
      </c>
      <c r="AC41" s="336">
        <f t="shared" si="3"/>
        <v>1.684162059601804E-12</v>
      </c>
      <c r="AD41" s="337">
        <f t="shared" si="4"/>
        <v>9.1730395006800935E-13</v>
      </c>
      <c r="AE41" s="308">
        <f t="shared" si="10"/>
        <v>54.466489423523328</v>
      </c>
      <c r="AF41" s="337">
        <f t="shared" si="11"/>
        <v>1.8346079001360187E-12</v>
      </c>
      <c r="AG41" s="338">
        <f t="shared" si="23"/>
        <v>-27.109752969820761</v>
      </c>
      <c r="AH41" s="339">
        <f t="shared" si="24"/>
        <v>0.54466489423523334</v>
      </c>
      <c r="AI41" s="340">
        <f t="shared" si="25"/>
        <v>2.0091105029306893</v>
      </c>
      <c r="AJ41" s="341">
        <f t="shared" si="12"/>
        <v>1.0893297884704667</v>
      </c>
    </row>
    <row r="42" spans="1:36" ht="16" x14ac:dyDescent="0.2">
      <c r="A42" s="309">
        <v>35</v>
      </c>
      <c r="B42" s="309">
        <f t="shared" si="13"/>
        <v>39.5</v>
      </c>
      <c r="C42" s="1">
        <v>410</v>
      </c>
      <c r="D42" s="1">
        <v>0.56999999999999995</v>
      </c>
      <c r="E42" s="326">
        <f t="shared" si="5"/>
        <v>14.638073629510357</v>
      </c>
      <c r="F42" s="327">
        <f t="shared" si="0"/>
        <v>1.2579145931052631E-2</v>
      </c>
      <c r="G42" s="309">
        <f t="shared" si="6"/>
        <v>1.5</v>
      </c>
      <c r="H42" s="1">
        <v>5400</v>
      </c>
      <c r="I42" s="324">
        <v>30</v>
      </c>
      <c r="J42" s="350">
        <v>2.358E-2</v>
      </c>
      <c r="K42" s="1">
        <v>1.7000000000000001E-2</v>
      </c>
      <c r="L42" s="328">
        <f t="shared" si="1"/>
        <v>72.094995759117893</v>
      </c>
      <c r="M42" s="329">
        <f t="shared" si="2"/>
        <v>6.8794511843421591E-4</v>
      </c>
      <c r="N42" s="342">
        <f>(1/$J$65)*SQRT(((1-J43/$J$65)*K42)^2+(J43/$J$65)^2*(SUMSQ(K$8:K41)+SUMSQ(K43:K$64)))</f>
        <v>4.9585619621575049E-4</v>
      </c>
      <c r="O42" s="340">
        <f t="shared" si="14"/>
        <v>72.077871174423663</v>
      </c>
      <c r="P42" s="332">
        <f t="shared" si="7"/>
        <v>0.31228186260994939</v>
      </c>
      <c r="Q42" s="342">
        <f>SQRT(((1-P42)/$J$65)^2*SUMSQ(K$8:K42)+(P42/$J$65)^2*SUMSQ(K43:K$64))</f>
        <v>1.0569035719248577E-2</v>
      </c>
      <c r="R42" s="340">
        <f t="shared" si="15"/>
        <v>3.3844539131783193</v>
      </c>
      <c r="S42" s="343">
        <f t="shared" si="16"/>
        <v>9.2856133070750168E-9</v>
      </c>
      <c r="T42" s="344">
        <f t="shared" si="17"/>
        <v>5.1586740594861236E-11</v>
      </c>
      <c r="U42" s="344">
        <f>IF(P42&lt;=0.85, (1/(3*H42*$J$65))*SQRT( ((1-P42)*(1/SQRT(1-PI()*P42/3)-1) + (1-P41)*(1-1/SQRT(1-PI()*P41/3)))^2*SUMSQ(K$8:K41) + ( (1-P42)*(1/SQRT(1-PI()*P42/3)-1) -P41*(1-1/SQRT(1-PI()*P41/3)) )^2*K42^2 + ( P42*(1-1/SQRT(1-PI()*P42/3)) - P41*(1-1/SQRT(1-PI()*P41/3)) )^2*SUMSQ(K43:K$64) ), (1/(PI()^2*H42*$J$65))*SQRT((1+P41/(1-P41))^2*K42^2+(P41/(1-P41)-P42/(1-P42))^2*SUMSQ(K43:K$64)) )</f>
        <v>6.7103391363928416E-9</v>
      </c>
      <c r="V42" s="345">
        <f t="shared" si="18"/>
        <v>6.710537423873786E-9</v>
      </c>
      <c r="W42" s="340">
        <f t="shared" si="19"/>
        <v>72.268111991706618</v>
      </c>
      <c r="X42" s="345">
        <f t="shared" si="20"/>
        <v>1.3421074847747572E-8</v>
      </c>
      <c r="Y42" s="338">
        <f t="shared" si="8"/>
        <v>-18.494799590787906</v>
      </c>
      <c r="Z42" s="346">
        <f t="shared" si="21"/>
        <v>0.72268111991706618</v>
      </c>
      <c r="AA42" s="346">
        <f t="shared" si="22"/>
        <v>3.9074828379163797</v>
      </c>
      <c r="AB42" s="346">
        <f t="shared" si="9"/>
        <v>1.4453622398341324</v>
      </c>
      <c r="AC42" s="336">
        <f t="shared" si="3"/>
        <v>1.198304683032708E-12</v>
      </c>
      <c r="AD42" s="337">
        <f t="shared" si="4"/>
        <v>8.6701946812564007E-13</v>
      </c>
      <c r="AE42" s="308">
        <f t="shared" si="10"/>
        <v>72.353841256078482</v>
      </c>
      <c r="AF42" s="337">
        <f t="shared" si="11"/>
        <v>1.7340389362512801E-12</v>
      </c>
      <c r="AG42" s="338">
        <f t="shared" si="23"/>
        <v>-27.450113322166171</v>
      </c>
      <c r="AH42" s="339">
        <f t="shared" si="24"/>
        <v>0.72353841256078488</v>
      </c>
      <c r="AI42" s="340">
        <f t="shared" si="25"/>
        <v>2.6358303299845476</v>
      </c>
      <c r="AJ42" s="341">
        <f t="shared" si="12"/>
        <v>1.4470768251215698</v>
      </c>
    </row>
    <row r="43" spans="1:36" ht="16" x14ac:dyDescent="0.2">
      <c r="A43" s="309">
        <v>36</v>
      </c>
      <c r="B43" s="309">
        <f t="shared" si="13"/>
        <v>41</v>
      </c>
      <c r="C43" s="1">
        <v>400</v>
      </c>
      <c r="D43" s="1">
        <v>0.62</v>
      </c>
      <c r="E43" s="326">
        <f t="shared" si="5"/>
        <v>14.855529971031718</v>
      </c>
      <c r="F43" s="327">
        <f t="shared" si="0"/>
        <v>1.3402391026550144E-2</v>
      </c>
      <c r="G43" s="309">
        <f t="shared" si="6"/>
        <v>1.5</v>
      </c>
      <c r="H43" s="1">
        <v>5400</v>
      </c>
      <c r="I43" s="324">
        <v>30</v>
      </c>
      <c r="J43" s="350">
        <v>1.6719999999999999E-2</v>
      </c>
      <c r="K43" s="1">
        <v>1.7999999999999999E-2</v>
      </c>
      <c r="L43" s="328">
        <f t="shared" si="1"/>
        <v>107.65550239234449</v>
      </c>
      <c r="M43" s="329">
        <f t="shared" si="2"/>
        <v>4.878050203655678E-4</v>
      </c>
      <c r="N43" s="342">
        <f>(1/$J$65)*SQRT(((1-J44/$J$65)*K43)^2+(J44/$J$65)^2*(SUMSQ(K$8:K42)+SUMSQ(K44:K$64)))</f>
        <v>5.2501921776999523E-4</v>
      </c>
      <c r="O43" s="340">
        <f t="shared" si="14"/>
        <v>107.62890824217813</v>
      </c>
      <c r="P43" s="332">
        <f t="shared" si="7"/>
        <v>0.31276966763031494</v>
      </c>
      <c r="Q43" s="342">
        <f>SQRT(((1-P43)/$J$65)^2*SUMSQ(K$8:K43)+(P43/$J$65)^2*SUMSQ(K44:K$64))</f>
        <v>1.0573856887069093E-2</v>
      </c>
      <c r="R43" s="340">
        <f t="shared" si="15"/>
        <v>3.3807168601678788</v>
      </c>
      <c r="S43" s="343">
        <f t="shared" si="16"/>
        <v>6.6009866965430482E-9</v>
      </c>
      <c r="T43" s="344">
        <f t="shared" si="17"/>
        <v>3.6672148314128003E-11</v>
      </c>
      <c r="U43" s="344">
        <f>IF(P43&lt;=0.85, (1/(3*H43*$J$65))*SQRT( ((1-P43)*(1/SQRT(1-PI()*P43/3)-1) + (1-P42)*(1-1/SQRT(1-PI()*P42/3)))^2*SUMSQ(K$8:K42) + ( (1-P43)*(1/SQRT(1-PI()*P43/3)-1) -P42*(1-1/SQRT(1-PI()*P42/3)) )^2*K43^2 + ( P43*(1-1/SQRT(1-PI()*P43/3)) - P42*(1-1/SQRT(1-PI()*P42/3)) )^2*SUMSQ(K44:K$64) ), (1/(PI()^2*H43*$J$65))*SQRT((1+P42/(1-P42))^2*K43^2+(P42/(1-P42)-P43/(1-P43))^2*SUMSQ(K44:K$64)) )</f>
        <v>7.1136325061474702E-9</v>
      </c>
      <c r="V43" s="345">
        <f t="shared" si="18"/>
        <v>7.11372703152011E-9</v>
      </c>
      <c r="W43" s="340">
        <f t="shared" si="19"/>
        <v>107.76763169732769</v>
      </c>
      <c r="X43" s="345">
        <f t="shared" si="20"/>
        <v>1.422745406304022E-8</v>
      </c>
      <c r="Y43" s="338">
        <f t="shared" si="8"/>
        <v>-18.836046699611746</v>
      </c>
      <c r="Z43" s="346">
        <f t="shared" si="21"/>
        <v>1.0776763169732768</v>
      </c>
      <c r="AA43" s="346">
        <f t="shared" si="22"/>
        <v>5.721350844790007</v>
      </c>
      <c r="AB43" s="346">
        <f t="shared" si="9"/>
        <v>2.1553526339465536</v>
      </c>
      <c r="AC43" s="336">
        <f t="shared" si="3"/>
        <v>8.5185469279420162E-13</v>
      </c>
      <c r="AD43" s="337">
        <f t="shared" si="4"/>
        <v>9.1851351349401109E-13</v>
      </c>
      <c r="AE43" s="308">
        <f t="shared" si="10"/>
        <v>107.82513981124637</v>
      </c>
      <c r="AF43" s="337">
        <f t="shared" si="11"/>
        <v>1.8370270269880222E-12</v>
      </c>
      <c r="AG43" s="338">
        <f t="shared" si="23"/>
        <v>-27.791360430990007</v>
      </c>
      <c r="AH43" s="339">
        <f t="shared" si="24"/>
        <v>1.0782513981124635</v>
      </c>
      <c r="AI43" s="340">
        <f t="shared" si="25"/>
        <v>3.8798079021353371</v>
      </c>
      <c r="AJ43" s="341">
        <f t="shared" si="12"/>
        <v>2.156502796224927</v>
      </c>
    </row>
    <row r="44" spans="1:36" ht="16" x14ac:dyDescent="0.2">
      <c r="A44" s="309">
        <v>37</v>
      </c>
      <c r="B44" s="309">
        <f t="shared" si="13"/>
        <v>42.5</v>
      </c>
      <c r="C44" s="1">
        <v>407</v>
      </c>
      <c r="D44" s="1">
        <v>0.33</v>
      </c>
      <c r="E44" s="326">
        <f t="shared" si="5"/>
        <v>14.702639123722708</v>
      </c>
      <c r="F44" s="327">
        <f t="shared" si="0"/>
        <v>6.9283043165713565E-3</v>
      </c>
      <c r="G44" s="309">
        <f t="shared" si="6"/>
        <v>1.5</v>
      </c>
      <c r="H44" s="1">
        <v>5400</v>
      </c>
      <c r="I44" s="324">
        <v>30</v>
      </c>
      <c r="J44" s="350">
        <v>2.3199999999999998E-2</v>
      </c>
      <c r="K44" s="1">
        <v>1.4999999999999999E-2</v>
      </c>
      <c r="L44" s="328">
        <f t="shared" si="1"/>
        <v>64.65517241379311</v>
      </c>
      <c r="M44" s="329">
        <f t="shared" si="2"/>
        <v>6.7685864069863479E-4</v>
      </c>
      <c r="N44" s="342">
        <f>(1/$J$65)*SQRT(((1-J45/$J$65)*K44)^2+(J45/$J$65)^2*(SUMSQ(K$8:K43)+SUMSQ(K45:K$64)))</f>
        <v>4.3777008045982384E-4</v>
      </c>
      <c r="O44" s="340">
        <f t="shared" si="14"/>
        <v>64.67673663853499</v>
      </c>
      <c r="P44" s="332">
        <f t="shared" si="7"/>
        <v>0.31344652627101355</v>
      </c>
      <c r="Q44" s="342">
        <f>SQRT(((1-P44)/$J$65)^2*SUMSQ(K$8:K44)+(P44/$J$65)^2*SUMSQ(K45:K$64))</f>
        <v>1.0577149240195987E-2</v>
      </c>
      <c r="R44" s="340">
        <f t="shared" si="15"/>
        <v>3.3744668878706046</v>
      </c>
      <c r="S44" s="343">
        <f t="shared" si="16"/>
        <v>9.1823689646560954E-9</v>
      </c>
      <c r="T44" s="344">
        <f t="shared" si="17"/>
        <v>5.1013160914756055E-11</v>
      </c>
      <c r="U44" s="344">
        <f>IF(P44&lt;=0.85, (1/(3*H44*$J$65))*SQRT( ((1-P44)*(1/SQRT(1-PI()*P44/3)-1) + (1-P43)*(1-1/SQRT(1-PI()*P43/3)))^2*SUMSQ(K$8:K43) + ( (1-P44)*(1/SQRT(1-PI()*P44/3)-1) -P43*(1-1/SQRT(1-PI()*P43/3)) )^2*K44^2 + ( P44*(1-1/SQRT(1-PI()*P44/3)) - P43*(1-1/SQRT(1-PI()*P43/3)) )^2*SUMSQ(K45:K$64) ), (1/(PI()^2*H44*$J$65))*SQRT((1+P43/(1-P43))^2*K44^2+(P43/(1-P43)-P44/(1-P44))^2*SUMSQ(K45:K$64)) )</f>
        <v>5.9545088696359045E-9</v>
      </c>
      <c r="V44" s="345">
        <f t="shared" si="18"/>
        <v>5.9547273842854611E-9</v>
      </c>
      <c r="W44" s="340">
        <f t="shared" si="19"/>
        <v>64.849576478638937</v>
      </c>
      <c r="X44" s="345">
        <f t="shared" si="20"/>
        <v>1.1909454768570922E-8</v>
      </c>
      <c r="Y44" s="338">
        <f t="shared" si="8"/>
        <v>-18.505980608452951</v>
      </c>
      <c r="Z44" s="346">
        <f t="shared" si="21"/>
        <v>0.64849576478638937</v>
      </c>
      <c r="AA44" s="346">
        <f t="shared" si="22"/>
        <v>3.5042496720772358</v>
      </c>
      <c r="AB44" s="346">
        <f t="shared" si="9"/>
        <v>1.2969915295727787</v>
      </c>
      <c r="AC44" s="336">
        <f t="shared" si="3"/>
        <v>1.1849810419412832E-12</v>
      </c>
      <c r="AD44" s="337">
        <f t="shared" si="4"/>
        <v>7.6958711255363053E-13</v>
      </c>
      <c r="AE44" s="308">
        <f t="shared" si="10"/>
        <v>64.94509914630045</v>
      </c>
      <c r="AF44" s="337">
        <f t="shared" si="11"/>
        <v>1.5391742251072611E-12</v>
      </c>
      <c r="AG44" s="338">
        <f t="shared" si="23"/>
        <v>-27.461294339831216</v>
      </c>
      <c r="AH44" s="339">
        <f t="shared" si="24"/>
        <v>0.64945099146300456</v>
      </c>
      <c r="AI44" s="340">
        <f t="shared" si="25"/>
        <v>2.364968611552329</v>
      </c>
      <c r="AJ44" s="341">
        <f t="shared" si="12"/>
        <v>1.2989019829260091</v>
      </c>
    </row>
    <row r="45" spans="1:36" ht="16" x14ac:dyDescent="0.2">
      <c r="A45" s="309">
        <v>38</v>
      </c>
      <c r="B45" s="309">
        <f t="shared" si="13"/>
        <v>44</v>
      </c>
      <c r="C45" s="1">
        <v>417</v>
      </c>
      <c r="D45" s="1">
        <v>0.34</v>
      </c>
      <c r="E45" s="326">
        <f t="shared" si="5"/>
        <v>14.489603709338549</v>
      </c>
      <c r="F45" s="327">
        <f t="shared" si="0"/>
        <v>6.9358027048498387E-3</v>
      </c>
      <c r="G45" s="309">
        <f t="shared" si="6"/>
        <v>1.5</v>
      </c>
      <c r="H45" s="1">
        <v>5400</v>
      </c>
      <c r="I45" s="324">
        <v>30</v>
      </c>
      <c r="J45" s="350">
        <v>3.3919999999999999E-2</v>
      </c>
      <c r="K45" s="1">
        <v>2.3E-2</v>
      </c>
      <c r="L45" s="328">
        <f t="shared" si="1"/>
        <v>67.806603773584911</v>
      </c>
      <c r="M45" s="329">
        <f t="shared" si="2"/>
        <v>9.8961401260765905E-4</v>
      </c>
      <c r="N45" s="342">
        <f>(1/$J$65)*SQRT(((1-J46/$J$65)*K45)^2+(J46/$J$65)^2*(SUMSQ(K$8:K44)+SUMSQ(K46:K$64)))</f>
        <v>6.7086935728719152E-4</v>
      </c>
      <c r="O45" s="340">
        <f t="shared" si="14"/>
        <v>67.79101232807254</v>
      </c>
      <c r="P45" s="332">
        <f t="shared" si="7"/>
        <v>0.31443614028362121</v>
      </c>
      <c r="Q45" s="342">
        <f>SQRT(((1-P45)/$J$65)^2*SUMSQ(K$8:K45)+(P45/$J$65)^2*SUMSQ(K46:K$64))</f>
        <v>1.0584942594937294E-2</v>
      </c>
      <c r="R45" s="340">
        <f t="shared" si="15"/>
        <v>3.3663250621858167</v>
      </c>
      <c r="S45" s="343">
        <f t="shared" si="16"/>
        <v>1.3473674260063445E-8</v>
      </c>
      <c r="T45" s="344">
        <f t="shared" si="17"/>
        <v>7.4853745889241378E-11</v>
      </c>
      <c r="U45" s="344">
        <f>IF(P45&lt;=0.85, (1/(3*H45*$J$65))*SQRT( ((1-P45)*(1/SQRT(1-PI()*P45/3)-1) + (1-P44)*(1-1/SQRT(1-PI()*P44/3)))^2*SUMSQ(K$8:K44) + ( (1-P45)*(1/SQRT(1-PI()*P45/3)-1) -P44*(1-1/SQRT(1-PI()*P44/3)) )^2*K45^2 + ( P45*(1-1/SQRT(1-PI()*P45/3)) - P44*(1-1/SQRT(1-PI()*P44/3)) )^2*SUMSQ(K46:K$64) ), (1/(PI()^2*H45*$J$65))*SQRT((1+P44/(1-P44))^2*K45^2+(P44/(1-P44)-P45/(1-P45))^2*SUMSQ(K46:K$64)) )</f>
        <v>9.1599710389011739E-9</v>
      </c>
      <c r="V45" s="345">
        <f t="shared" si="18"/>
        <v>9.160276879919181E-9</v>
      </c>
      <c r="W45" s="340">
        <f t="shared" si="19"/>
        <v>67.986480176907932</v>
      </c>
      <c r="X45" s="345">
        <f t="shared" si="20"/>
        <v>1.8320553759838362E-8</v>
      </c>
      <c r="Y45" s="338">
        <f t="shared" si="8"/>
        <v>-18.122528110144479</v>
      </c>
      <c r="Z45" s="346">
        <f t="shared" si="21"/>
        <v>0.67986480176907937</v>
      </c>
      <c r="AA45" s="346">
        <f t="shared" si="22"/>
        <v>3.7514898453296386</v>
      </c>
      <c r="AB45" s="346">
        <f t="shared" si="9"/>
        <v>1.3597296035381587</v>
      </c>
      <c r="AC45" s="336">
        <f t="shared" si="3"/>
        <v>1.7387722737914834E-12</v>
      </c>
      <c r="AD45" s="337">
        <f t="shared" si="4"/>
        <v>1.1837144588439517E-12</v>
      </c>
      <c r="AE45" s="308">
        <f t="shared" si="10"/>
        <v>68.077601459724264</v>
      </c>
      <c r="AF45" s="337">
        <f t="shared" si="11"/>
        <v>2.3674289176879034E-12</v>
      </c>
      <c r="AG45" s="338">
        <f t="shared" si="23"/>
        <v>-27.077841841522741</v>
      </c>
      <c r="AH45" s="339">
        <f t="shared" si="24"/>
        <v>0.68077601459724268</v>
      </c>
      <c r="AI45" s="340">
        <f t="shared" si="25"/>
        <v>2.5141442903078826</v>
      </c>
      <c r="AJ45" s="341">
        <f t="shared" si="12"/>
        <v>1.3615520291944854</v>
      </c>
    </row>
    <row r="46" spans="1:36" ht="16" x14ac:dyDescent="0.2">
      <c r="A46" s="309">
        <v>39</v>
      </c>
      <c r="B46" s="309">
        <f t="shared" si="13"/>
        <v>45.5</v>
      </c>
      <c r="C46" s="1">
        <v>427</v>
      </c>
      <c r="D46" s="1">
        <v>0.27</v>
      </c>
      <c r="E46" s="326">
        <f t="shared" si="5"/>
        <v>14.282653717060631</v>
      </c>
      <c r="F46" s="327">
        <f t="shared" si="0"/>
        <v>5.3538177273619782E-3</v>
      </c>
      <c r="G46" s="309">
        <f t="shared" si="6"/>
        <v>1.5</v>
      </c>
      <c r="H46" s="1">
        <v>5400</v>
      </c>
      <c r="I46" s="324">
        <v>30</v>
      </c>
      <c r="J46" s="350">
        <v>5.0299999999999997E-2</v>
      </c>
      <c r="K46" s="1">
        <v>2.5000000000000001E-2</v>
      </c>
      <c r="L46" s="328">
        <f t="shared" si="1"/>
        <v>49.701789264413527</v>
      </c>
      <c r="M46" s="329">
        <f t="shared" si="2"/>
        <v>1.4674995528940228E-3</v>
      </c>
      <c r="N46" s="342">
        <f>(1/$J$65)*SQRT(((1-J47/$J$65)*K46)^2+(J47/$J$65)^2*(SUMSQ(K$8:K45)+SUMSQ(K47:K$64)))</f>
        <v>7.2947976578367302E-4</v>
      </c>
      <c r="O46" s="340">
        <f t="shared" si="14"/>
        <v>49.709028145533836</v>
      </c>
      <c r="P46" s="332">
        <f t="shared" si="7"/>
        <v>0.31590363983651526</v>
      </c>
      <c r="Q46" s="342">
        <f>SQRT(((1-P46)/$J$65)^2*SUMSQ(K$8:K46)+(P46/$J$65)^2*SUMSQ(K47:K$64))</f>
        <v>1.0594063780834802E-2</v>
      </c>
      <c r="R46" s="340">
        <f t="shared" si="15"/>
        <v>3.3535744590715648</v>
      </c>
      <c r="S46" s="343">
        <f t="shared" si="16"/>
        <v>2.0086246002905208E-8</v>
      </c>
      <c r="T46" s="344">
        <f t="shared" si="17"/>
        <v>1.1159025557169567E-10</v>
      </c>
      <c r="U46" s="344">
        <f>IF(P46&lt;=0.85, (1/(3*H46*$J$65))*SQRT( ((1-P46)*(1/SQRT(1-PI()*P46/3)-1) + (1-P45)*(1-1/SQRT(1-PI()*P45/3)))^2*SUMSQ(K$8:K45) + ( (1-P46)*(1/SQRT(1-PI()*P46/3)-1) -P45*(1-1/SQRT(1-PI()*P45/3)) )^2*K46^2 + ( P46*(1-1/SQRT(1-PI()*P46/3)) - P45*(1-1/SQRT(1-PI()*P45/3)) )^2*SUMSQ(K47:K$64) ), (1/(PI()^2*H46*$J$65))*SQRT((1+P45/(1-P45))^2*K46^2+(P45/(1-P45)-P46/(1-P46))^2*SUMSQ(K47:K$64)) )</f>
        <v>1.0032350642508416E-8</v>
      </c>
      <c r="V46" s="345">
        <f t="shared" si="18"/>
        <v>1.0032971234852494E-8</v>
      </c>
      <c r="W46" s="340">
        <f t="shared" si="19"/>
        <v>49.949459114467473</v>
      </c>
      <c r="X46" s="345">
        <f t="shared" si="20"/>
        <v>2.0065942469704989E-8</v>
      </c>
      <c r="Y46" s="338">
        <f t="shared" si="8"/>
        <v>-17.723230534569172</v>
      </c>
      <c r="Z46" s="346">
        <f t="shared" si="21"/>
        <v>0.49949459114467476</v>
      </c>
      <c r="AA46" s="346">
        <f t="shared" si="22"/>
        <v>2.8183044291525197</v>
      </c>
      <c r="AB46" s="346">
        <f t="shared" si="9"/>
        <v>0.99898918228934952</v>
      </c>
      <c r="AC46" s="336">
        <f t="shared" si="3"/>
        <v>2.5921220121765159E-12</v>
      </c>
      <c r="AD46" s="337">
        <f t="shared" si="4"/>
        <v>1.2979639890986117E-12</v>
      </c>
      <c r="AE46" s="308">
        <f t="shared" si="10"/>
        <v>50.073414098619374</v>
      </c>
      <c r="AF46" s="337">
        <f t="shared" si="11"/>
        <v>2.5959279781972234E-12</v>
      </c>
      <c r="AG46" s="338">
        <f t="shared" si="23"/>
        <v>-26.678544265947437</v>
      </c>
      <c r="AH46" s="339">
        <f t="shared" si="24"/>
        <v>0.50073414098619373</v>
      </c>
      <c r="AI46" s="340">
        <f t="shared" si="25"/>
        <v>1.8769170311340115</v>
      </c>
      <c r="AJ46" s="341">
        <f t="shared" si="12"/>
        <v>1.0014682819723875</v>
      </c>
    </row>
    <row r="47" spans="1:36" ht="16" x14ac:dyDescent="0.2">
      <c r="A47" s="309">
        <v>40</v>
      </c>
      <c r="B47" s="309">
        <f t="shared" si="13"/>
        <v>47</v>
      </c>
      <c r="C47" s="1">
        <v>437</v>
      </c>
      <c r="D47" s="1">
        <v>0.32</v>
      </c>
      <c r="E47" s="326">
        <f t="shared" si="5"/>
        <v>14.081532070689292</v>
      </c>
      <c r="F47" s="327">
        <f t="shared" si="0"/>
        <v>6.1702682932438715E-3</v>
      </c>
      <c r="G47" s="309">
        <f t="shared" si="6"/>
        <v>1.5</v>
      </c>
      <c r="H47" s="1">
        <v>5400</v>
      </c>
      <c r="I47" s="324">
        <v>30</v>
      </c>
      <c r="J47" s="350">
        <v>7.5149999999999995E-2</v>
      </c>
      <c r="K47" s="1">
        <v>3.5999999999999997E-2</v>
      </c>
      <c r="L47" s="328">
        <f t="shared" si="1"/>
        <v>47.904191616766468</v>
      </c>
      <c r="M47" s="329">
        <f t="shared" si="2"/>
        <v>2.1924968469182069E-3</v>
      </c>
      <c r="N47" s="342">
        <f>(1/$J$65)*SQRT(((1-J48/$J$65)*K47)^2+(J48/$J$65)^2*(SUMSQ(K$8:K46)+SUMSQ(K48:K$64)))</f>
        <v>1.0492042258146612E-3</v>
      </c>
      <c r="O47" s="340">
        <f t="shared" si="14"/>
        <v>47.854309450407285</v>
      </c>
      <c r="P47" s="332">
        <f t="shared" si="7"/>
        <v>0.31809613668343345</v>
      </c>
      <c r="Q47" s="342">
        <f>SQRT(((1-P47)/$J$65)^2*SUMSQ(K$8:K47)+(P47/$J$65)^2*SUMSQ(K48:K$64))</f>
        <v>1.0612883950558316E-2</v>
      </c>
      <c r="R47" s="340">
        <f t="shared" si="15"/>
        <v>3.3363762481404069</v>
      </c>
      <c r="S47" s="343">
        <f t="shared" si="16"/>
        <v>3.0246598535050143E-8</v>
      </c>
      <c r="T47" s="344">
        <f t="shared" si="17"/>
        <v>1.6803665852805646E-10</v>
      </c>
      <c r="U47" s="344">
        <f>IF(P47&lt;=0.85, (1/(3*H47*$J$65))*SQRT( ((1-P47)*(1/SQRT(1-PI()*P47/3)-1) + (1-P46)*(1-1/SQRT(1-PI()*P46/3)))^2*SUMSQ(K$8:K46) + ( (1-P47)*(1/SQRT(1-PI()*P47/3)-1) -P46*(1-1/SQRT(1-PI()*P46/3)) )^2*K47^2 + ( P47*(1-1/SQRT(1-PI()*P47/3)) - P46*(1-1/SQRT(1-PI()*P46/3)) )^2*SUMSQ(K48:K$64) ), (1/(PI()^2*H47*$J$65))*SQRT((1+P46/(1-P46))^2*K47^2+(P46/(1-P46)-P47/(1-P47))^2*SUMSQ(K48:K$64)) )</f>
        <v>1.4563677972796095E-8</v>
      </c>
      <c r="V47" s="345">
        <f t="shared" si="18"/>
        <v>1.456464734945256E-8</v>
      </c>
      <c r="W47" s="340">
        <f t="shared" si="19"/>
        <v>48.153009114644284</v>
      </c>
      <c r="X47" s="345">
        <f t="shared" si="20"/>
        <v>2.9129294698905119E-8</v>
      </c>
      <c r="Y47" s="338">
        <f t="shared" si="8"/>
        <v>-17.313882103914295</v>
      </c>
      <c r="Z47" s="346">
        <f t="shared" si="21"/>
        <v>0.48153009114644285</v>
      </c>
      <c r="AA47" s="346">
        <f t="shared" si="22"/>
        <v>2.7811792194055616</v>
      </c>
      <c r="AB47" s="346">
        <f t="shared" si="9"/>
        <v>0.9630601822928857</v>
      </c>
      <c r="AC47" s="336">
        <f t="shared" si="3"/>
        <v>3.9033114423088063E-12</v>
      </c>
      <c r="AD47" s="337">
        <f t="shared" si="4"/>
        <v>1.8845802964675783E-12</v>
      </c>
      <c r="AE47" s="308">
        <f t="shared" si="10"/>
        <v>48.281576408180491</v>
      </c>
      <c r="AF47" s="337">
        <f t="shared" si="11"/>
        <v>3.7691605929351566E-12</v>
      </c>
      <c r="AG47" s="338">
        <f t="shared" si="23"/>
        <v>-26.26919583529256</v>
      </c>
      <c r="AH47" s="339">
        <f t="shared" si="24"/>
        <v>0.48281576408180493</v>
      </c>
      <c r="AI47" s="340">
        <f t="shared" si="25"/>
        <v>1.8379541083368218</v>
      </c>
      <c r="AJ47" s="341">
        <f t="shared" si="12"/>
        <v>0.96563152816360986</v>
      </c>
    </row>
    <row r="48" spans="1:36" ht="16" x14ac:dyDescent="0.2">
      <c r="A48" s="309">
        <v>41</v>
      </c>
      <c r="B48" s="309">
        <f t="shared" si="13"/>
        <v>48.5</v>
      </c>
      <c r="C48" s="1">
        <v>447</v>
      </c>
      <c r="D48" s="1">
        <v>0.3</v>
      </c>
      <c r="E48" s="326">
        <f t="shared" si="5"/>
        <v>13.885995973061169</v>
      </c>
      <c r="F48" s="327">
        <f t="shared" si="0"/>
        <v>5.6274153612362954E-3</v>
      </c>
      <c r="G48" s="309">
        <f t="shared" si="6"/>
        <v>1.5</v>
      </c>
      <c r="H48" s="1">
        <v>5400</v>
      </c>
      <c r="I48" s="324">
        <v>30</v>
      </c>
      <c r="J48" s="350">
        <v>8.4260000000000002E-2</v>
      </c>
      <c r="K48" s="1">
        <v>4.9000000000000002E-2</v>
      </c>
      <c r="L48" s="328">
        <f t="shared" si="1"/>
        <v>58.153334915737013</v>
      </c>
      <c r="M48" s="329">
        <f t="shared" si="2"/>
        <v>2.458280563158059E-3</v>
      </c>
      <c r="N48" s="342">
        <f>(1/$J$65)*SQRT(((1-J49/$J$65)*K48)^2+(J49/$J$65)^2*(SUMSQ(K$8:K47)+SUMSQ(K49:K$64)))</f>
        <v>1.4268690207041139E-3</v>
      </c>
      <c r="O48" s="340">
        <f t="shared" si="14"/>
        <v>58.043375605226679</v>
      </c>
      <c r="P48" s="332">
        <f t="shared" si="7"/>
        <v>0.32055441724659151</v>
      </c>
      <c r="Q48" s="342">
        <f>SQRT(((1-P48)/$J$65)^2*SUMSQ(K$8:K48)+(P48/$J$65)^2*SUMSQ(K49:K$64))</f>
        <v>1.0647289865049517E-2</v>
      </c>
      <c r="R48" s="340">
        <f t="shared" si="15"/>
        <v>3.321523364583344</v>
      </c>
      <c r="S48" s="343">
        <f t="shared" si="16"/>
        <v>3.4252548016198073E-8</v>
      </c>
      <c r="T48" s="344">
        <f t="shared" si="17"/>
        <v>1.9029193342332252E-10</v>
      </c>
      <c r="U48" s="344">
        <f>IF(P48&lt;=0.85, (1/(3*H48*$J$65))*SQRT( ((1-P48)*(1/SQRT(1-PI()*P48/3)-1) + (1-P47)*(1-1/SQRT(1-PI()*P47/3)))^2*SUMSQ(K$8:K47) + ( (1-P48)*(1/SQRT(1-PI()*P48/3)-1) -P47*(1-1/SQRT(1-PI()*P47/3)) )^2*K48^2 + ( P48*(1-1/SQRT(1-PI()*P48/3)) - P47*(1-1/SQRT(1-PI()*P47/3)) )^2*SUMSQ(K49:K$64) ), (1/(PI()^2*H48*$J$65))*SQRT((1+P47/(1-P47))^2*K48^2+(P47/(1-P47)-P48/(1-P48))^2*SUMSQ(K49:K$64)) )</f>
        <v>1.9983155024081018E-8</v>
      </c>
      <c r="V48" s="345">
        <f t="shared" si="18"/>
        <v>1.9984061042150078E-8</v>
      </c>
      <c r="W48" s="340">
        <f t="shared" si="19"/>
        <v>58.343283053569003</v>
      </c>
      <c r="X48" s="345">
        <f t="shared" si="20"/>
        <v>3.9968122084300157E-8</v>
      </c>
      <c r="Y48" s="338">
        <f t="shared" si="8"/>
        <v>-17.1895048803718</v>
      </c>
      <c r="Z48" s="346">
        <f t="shared" si="21"/>
        <v>0.58343283053569006</v>
      </c>
      <c r="AA48" s="346">
        <f t="shared" si="22"/>
        <v>3.3941223705744732</v>
      </c>
      <c r="AB48" s="346">
        <f t="shared" si="9"/>
        <v>1.1668656610713801</v>
      </c>
      <c r="AC48" s="336">
        <f t="shared" si="3"/>
        <v>4.4202776204711551E-12</v>
      </c>
      <c r="AD48" s="337">
        <f t="shared" si="4"/>
        <v>2.5836275060891529E-12</v>
      </c>
      <c r="AE48" s="308">
        <f t="shared" si="10"/>
        <v>58.449439784593558</v>
      </c>
      <c r="AF48" s="337">
        <f t="shared" si="11"/>
        <v>5.1672550121783058E-12</v>
      </c>
      <c r="AG48" s="338">
        <f t="shared" si="23"/>
        <v>-26.144818611750065</v>
      </c>
      <c r="AH48" s="339">
        <f t="shared" si="24"/>
        <v>0.5844943978459356</v>
      </c>
      <c r="AI48" s="340">
        <f t="shared" si="25"/>
        <v>2.2356031859530701</v>
      </c>
      <c r="AJ48" s="341">
        <f t="shared" si="12"/>
        <v>1.1689887956918712</v>
      </c>
    </row>
    <row r="49" spans="1:36" ht="16" x14ac:dyDescent="0.2">
      <c r="A49" s="309">
        <v>42</v>
      </c>
      <c r="B49" s="309">
        <f t="shared" si="13"/>
        <v>50</v>
      </c>
      <c r="C49" s="1">
        <v>456.99</v>
      </c>
      <c r="D49" s="1">
        <v>0.31</v>
      </c>
      <c r="E49" s="326">
        <f t="shared" si="5"/>
        <v>13.696003506176897</v>
      </c>
      <c r="F49" s="327">
        <f t="shared" si="0"/>
        <v>5.6587721425529229E-3</v>
      </c>
      <c r="G49" s="309">
        <f t="shared" si="6"/>
        <v>1.5</v>
      </c>
      <c r="H49" s="1">
        <v>5400</v>
      </c>
      <c r="I49" s="324">
        <v>30</v>
      </c>
      <c r="J49" s="350">
        <v>0.1072</v>
      </c>
      <c r="K49" s="1">
        <v>3.9E-2</v>
      </c>
      <c r="L49" s="328">
        <f t="shared" si="1"/>
        <v>36.380597014925371</v>
      </c>
      <c r="M49" s="329">
        <f t="shared" si="2"/>
        <v>3.1275537190902439E-3</v>
      </c>
      <c r="N49" s="342">
        <f>(1/$J$65)*SQRT(((1-J50/$J$65)*K49)^2+(J50/$J$65)^2*(SUMSQ(K$8:K48)+SUMSQ(K50:K$64)))</f>
        <v>1.1371298575807453E-3</v>
      </c>
      <c r="O49" s="340">
        <f t="shared" si="14"/>
        <v>36.358443682032693</v>
      </c>
      <c r="P49" s="332">
        <f t="shared" si="7"/>
        <v>0.32368197096568174</v>
      </c>
      <c r="Q49" s="342">
        <f>SQRT(((1-P49)/$J$65)^2*SUMSQ(K$8:K49)+(P49/$J$65)^2*SUMSQ(K50:K$64))</f>
        <v>1.0668413883254062E-2</v>
      </c>
      <c r="R49" s="340">
        <f t="shared" si="15"/>
        <v>3.295955549030309</v>
      </c>
      <c r="S49" s="343">
        <f t="shared" si="16"/>
        <v>4.4099585745324336E-8</v>
      </c>
      <c r="T49" s="344">
        <f t="shared" si="17"/>
        <v>2.449976985851353E-10</v>
      </c>
      <c r="U49" s="344">
        <f>IF(P49&lt;=0.85, (1/(3*H49*$J$65))*SQRT( ((1-P49)*(1/SQRT(1-PI()*P49/3)-1) + (1-P48)*(1-1/SQRT(1-PI()*P48/3)))^2*SUMSQ(K$8:K48) + ( (1-P49)*(1/SQRT(1-PI()*P49/3)-1) -P48*(1-1/SQRT(1-PI()*P48/3)) )^2*K49^2 + ( P49*(1-1/SQRT(1-PI()*P49/3)) - P48*(1-1/SQRT(1-PI()*P48/3)) )^2*SUMSQ(K50:K$64) ), (1/(PI()^2*H49*$J$65))*SQRT((1+P48/(1-P48))^2*K49^2+(P48/(1-P48)-P49/(1-P49))^2*SUMSQ(K50:K$64)) )</f>
        <v>1.6185412358981442E-8</v>
      </c>
      <c r="V49" s="345">
        <f t="shared" si="18"/>
        <v>1.6187266511137119E-8</v>
      </c>
      <c r="W49" s="340">
        <f t="shared" si="19"/>
        <v>36.706164553605532</v>
      </c>
      <c r="X49" s="345">
        <f t="shared" si="20"/>
        <v>3.2374533022274237E-8</v>
      </c>
      <c r="Y49" s="338">
        <f t="shared" si="8"/>
        <v>-16.93681544806779</v>
      </c>
      <c r="Z49" s="346">
        <f t="shared" si="21"/>
        <v>0.3670616455360553</v>
      </c>
      <c r="AA49" s="346">
        <f t="shared" si="22"/>
        <v>2.1672412187612928</v>
      </c>
      <c r="AB49" s="346">
        <f t="shared" si="9"/>
        <v>0.73412329107211061</v>
      </c>
      <c r="AC49" s="336">
        <f t="shared" si="3"/>
        <v>5.691033900599807E-12</v>
      </c>
      <c r="AD49" s="337">
        <f t="shared" si="4"/>
        <v>2.0985496326665987E-12</v>
      </c>
      <c r="AE49" s="308">
        <f t="shared" si="10"/>
        <v>36.874664064914846</v>
      </c>
      <c r="AF49" s="337">
        <f t="shared" si="11"/>
        <v>4.1970992653331973E-12</v>
      </c>
      <c r="AG49" s="338">
        <f t="shared" si="23"/>
        <v>-25.892129179446055</v>
      </c>
      <c r="AH49" s="339">
        <f t="shared" si="24"/>
        <v>0.36874664064914847</v>
      </c>
      <c r="AI49" s="340">
        <f t="shared" si="25"/>
        <v>1.4241649966039509</v>
      </c>
      <c r="AJ49" s="341">
        <f t="shared" si="12"/>
        <v>0.73749328129829694</v>
      </c>
    </row>
    <row r="50" spans="1:36" ht="16" x14ac:dyDescent="0.2">
      <c r="A50" s="309">
        <v>43</v>
      </c>
      <c r="B50" s="309">
        <f t="shared" si="13"/>
        <v>51.5</v>
      </c>
      <c r="C50" s="1">
        <v>467</v>
      </c>
      <c r="D50" s="1">
        <v>0.33</v>
      </c>
      <c r="E50" s="326">
        <f t="shared" si="5"/>
        <v>13.510774842937243</v>
      </c>
      <c r="F50" s="327">
        <f t="shared" si="0"/>
        <v>5.8649461562993123E-3</v>
      </c>
      <c r="G50" s="309">
        <f t="shared" si="6"/>
        <v>1.5</v>
      </c>
      <c r="H50" s="1">
        <v>5400</v>
      </c>
      <c r="I50" s="324">
        <v>30</v>
      </c>
      <c r="J50" s="350">
        <v>0.14718000000000001</v>
      </c>
      <c r="K50" s="1">
        <v>4.9000000000000002E-2</v>
      </c>
      <c r="L50" s="328">
        <f t="shared" si="1"/>
        <v>33.292566924853922</v>
      </c>
      <c r="M50" s="329">
        <f t="shared" si="2"/>
        <v>4.2939678766390115E-3</v>
      </c>
      <c r="N50" s="342">
        <f>(1/$J$65)*SQRT(((1-J51/$J$65)*K50)^2+(J51/$J$65)^2*(SUMSQ(K$8:K49)+SUMSQ(K51:K$64)))</f>
        <v>1.4274568084011675E-3</v>
      </c>
      <c r="O50" s="340">
        <f t="shared" si="14"/>
        <v>33.243304314574218</v>
      </c>
      <c r="P50" s="332">
        <f t="shared" si="7"/>
        <v>0.32797593884232074</v>
      </c>
      <c r="Q50" s="342">
        <f>SQRT(((1-P50)/$J$65)^2*SUMSQ(K$8:K50)+(P50/$J$65)^2*SUMSQ(K51:K$64))</f>
        <v>1.0701165920562191E-2</v>
      </c>
      <c r="R50" s="340">
        <f t="shared" si="15"/>
        <v>3.2627899346320448</v>
      </c>
      <c r="S50" s="343">
        <f t="shared" si="16"/>
        <v>6.1505538435689144E-8</v>
      </c>
      <c r="T50" s="344">
        <f t="shared" si="17"/>
        <v>3.4169743575382858E-10</v>
      </c>
      <c r="U50" s="344">
        <f>IF(P50&lt;=0.85, (1/(3*H50*$J$65))*SQRT( ((1-P50)*(1/SQRT(1-PI()*P50/3)-1) + (1-P49)*(1-1/SQRT(1-PI()*P49/3)))^2*SUMSQ(K$8:K49) + ( (1-P50)*(1/SQRT(1-PI()*P50/3)-1) -P49*(1-1/SQRT(1-PI()*P49/3)) )^2*K50^2 + ( P50*(1-1/SQRT(1-PI()*P50/3)) - P49*(1-1/SQRT(1-PI()*P49/3)) )^2*SUMSQ(K51:K$64) ), (1/(PI()^2*H50*$J$65))*SQRT((1+P49/(1-P49))^2*K50^2+(P49/(1-P49)-P50/(1-P50))^2*SUMSQ(K51:K$64)) )</f>
        <v>2.0686388057397962E-8</v>
      </c>
      <c r="V50" s="345">
        <f t="shared" si="18"/>
        <v>2.068920994138872E-8</v>
      </c>
      <c r="W50" s="340">
        <f t="shared" si="19"/>
        <v>33.637962478812504</v>
      </c>
      <c r="X50" s="345">
        <f t="shared" si="20"/>
        <v>4.1378419882777439E-8</v>
      </c>
      <c r="Y50" s="338">
        <f t="shared" si="8"/>
        <v>-16.604138610323862</v>
      </c>
      <c r="Z50" s="346">
        <f t="shared" si="21"/>
        <v>0.33637962478812505</v>
      </c>
      <c r="AA50" s="346">
        <f t="shared" si="22"/>
        <v>2.0258782023114175</v>
      </c>
      <c r="AB50" s="346">
        <f t="shared" si="9"/>
        <v>0.67275924957625011</v>
      </c>
      <c r="AC50" s="336">
        <f t="shared" si="3"/>
        <v>7.9372651329103098E-12</v>
      </c>
      <c r="AD50" s="337">
        <f t="shared" si="4"/>
        <v>2.6845220643460502E-12</v>
      </c>
      <c r="AE50" s="308">
        <f t="shared" si="10"/>
        <v>33.821751187511765</v>
      </c>
      <c r="AF50" s="337">
        <f t="shared" si="11"/>
        <v>5.3690441286921003E-12</v>
      </c>
      <c r="AG50" s="338">
        <f t="shared" si="23"/>
        <v>-25.559452341702123</v>
      </c>
      <c r="AH50" s="339">
        <f t="shared" si="24"/>
        <v>0.33821751187511767</v>
      </c>
      <c r="AI50" s="340">
        <f t="shared" si="25"/>
        <v>1.3232580548030404</v>
      </c>
      <c r="AJ50" s="341">
        <f t="shared" si="12"/>
        <v>0.67643502375023534</v>
      </c>
    </row>
    <row r="51" spans="1:36" ht="16" x14ac:dyDescent="0.2">
      <c r="A51" s="309">
        <v>44</v>
      </c>
      <c r="B51" s="309">
        <f t="shared" si="13"/>
        <v>53</v>
      </c>
      <c r="C51" s="1">
        <v>476.96</v>
      </c>
      <c r="D51" s="1">
        <v>0.4</v>
      </c>
      <c r="E51" s="326">
        <f t="shared" si="5"/>
        <v>13.331378064550535</v>
      </c>
      <c r="F51" s="327">
        <f t="shared" si="0"/>
        <v>6.9410901036044102E-3</v>
      </c>
      <c r="G51" s="309">
        <f t="shared" si="6"/>
        <v>1.5</v>
      </c>
      <c r="H51" s="1">
        <v>5400</v>
      </c>
      <c r="I51" s="324">
        <v>30</v>
      </c>
      <c r="J51" s="350">
        <v>0.20319000000000001</v>
      </c>
      <c r="K51" s="1">
        <v>4.5999999999999999E-2</v>
      </c>
      <c r="L51" s="328">
        <f t="shared" si="1"/>
        <v>22.638909395147397</v>
      </c>
      <c r="M51" s="329">
        <f t="shared" si="2"/>
        <v>5.9280563449808452E-3</v>
      </c>
      <c r="N51" s="342">
        <f>(1/$J$65)*SQRT(((1-J52/$J$65)*K51)^2+(J52/$J$65)^2*(SUMSQ(K$8:K50)+SUMSQ(K52:K$64)))</f>
        <v>1.3425248626671884E-3</v>
      </c>
      <c r="O51" s="340">
        <f t="shared" si="14"/>
        <v>22.646965287431431</v>
      </c>
      <c r="P51" s="332">
        <f t="shared" si="7"/>
        <v>0.33390399518730157</v>
      </c>
      <c r="Q51" s="342">
        <f>SQRT(((1-P51)/$J$65)^2*SUMSQ(K$8:K51)+(P51/$J$65)^2*SUMSQ(K52:K$64))</f>
        <v>1.0729209502249759E-2</v>
      </c>
      <c r="R51" s="340">
        <f t="shared" si="15"/>
        <v>3.2132617928788991</v>
      </c>
      <c r="S51" s="343">
        <f t="shared" si="16"/>
        <v>8.6754983718428639E-8</v>
      </c>
      <c r="T51" s="344">
        <f t="shared" si="17"/>
        <v>4.8197213176904787E-10</v>
      </c>
      <c r="U51" s="344">
        <f>IF(P51&lt;=0.85, (1/(3*H51*$J$65))*SQRT( ((1-P51)*(1/SQRT(1-PI()*P51/3)-1) + (1-P50)*(1-1/SQRT(1-PI()*P50/3)))^2*SUMSQ(K$8:K50) + ( (1-P51)*(1/SQRT(1-PI()*P51/3)-1) -P50*(1-1/SQRT(1-PI()*P50/3)) )^2*K51^2 + ( P51*(1-1/SQRT(1-PI()*P51/3)) - P50*(1-1/SQRT(1-PI()*P50/3)) )^2*SUMSQ(K52:K$64) ), (1/(PI()^2*H51*$J$65))*SQRT((1+P50/(1-P50))^2*K51^2+(P50/(1-P50)-P51/(1-P51))^2*SUMSQ(K52:K$64)) )</f>
        <v>2.00830149791347E-8</v>
      </c>
      <c r="V51" s="345">
        <f t="shared" si="18"/>
        <v>2.0088797569490085E-8</v>
      </c>
      <c r="W51" s="340">
        <f t="shared" si="19"/>
        <v>23.155785072463551</v>
      </c>
      <c r="X51" s="345">
        <f t="shared" si="20"/>
        <v>4.0177595138980171E-8</v>
      </c>
      <c r="Y51" s="338">
        <f t="shared" si="8"/>
        <v>-16.260177970565795</v>
      </c>
      <c r="Z51" s="346">
        <f t="shared" si="21"/>
        <v>0.23155785072463553</v>
      </c>
      <c r="AA51" s="346">
        <f t="shared" si="22"/>
        <v>1.4240794359311564</v>
      </c>
      <c r="AB51" s="346">
        <f t="shared" si="9"/>
        <v>0.46311570144927106</v>
      </c>
      <c r="AC51" s="336">
        <f t="shared" si="3"/>
        <v>1.1195695946869728E-11</v>
      </c>
      <c r="AD51" s="337">
        <f t="shared" si="4"/>
        <v>2.6222526351263802E-12</v>
      </c>
      <c r="AE51" s="308">
        <f t="shared" si="10"/>
        <v>23.421970796371539</v>
      </c>
      <c r="AF51" s="337">
        <f t="shared" si="11"/>
        <v>5.2445052702527603E-12</v>
      </c>
      <c r="AG51" s="338">
        <f t="shared" si="23"/>
        <v>-25.21549170194406</v>
      </c>
      <c r="AH51" s="339">
        <f t="shared" si="24"/>
        <v>0.23421970796371541</v>
      </c>
      <c r="AI51" s="340">
        <f t="shared" si="25"/>
        <v>0.92887226127602163</v>
      </c>
      <c r="AJ51" s="341">
        <f t="shared" si="12"/>
        <v>0.46843941592743082</v>
      </c>
    </row>
    <row r="52" spans="1:36" ht="16" x14ac:dyDescent="0.2">
      <c r="A52" s="309">
        <v>45</v>
      </c>
      <c r="B52" s="309">
        <f t="shared" si="13"/>
        <v>54.5</v>
      </c>
      <c r="C52" s="1">
        <v>485.98</v>
      </c>
      <c r="D52" s="1">
        <v>1.91</v>
      </c>
      <c r="E52" s="326">
        <f t="shared" si="5"/>
        <v>13.172974325873039</v>
      </c>
      <c r="F52" s="327">
        <f t="shared" si="0"/>
        <v>3.2562913169142768E-2</v>
      </c>
      <c r="G52" s="309">
        <f t="shared" si="6"/>
        <v>1.5</v>
      </c>
      <c r="H52" s="1">
        <v>5400</v>
      </c>
      <c r="I52" s="324">
        <v>30</v>
      </c>
      <c r="J52" s="350">
        <v>0.25020999999999999</v>
      </c>
      <c r="K52" s="1">
        <v>7.0999999999999994E-2</v>
      </c>
      <c r="L52" s="328">
        <f t="shared" si="1"/>
        <v>28.376164022221335</v>
      </c>
      <c r="M52" s="329">
        <f t="shared" si="2"/>
        <v>7.2998620900519571E-3</v>
      </c>
      <c r="N52" s="342">
        <f>(1/$J$65)*SQRT(((1-J53/$J$65)*K52)^2+(J53/$J$65)^2*(SUMSQ(K$8:K51)+SUMSQ(K53:K$64)))</f>
        <v>2.0628159518197371E-3</v>
      </c>
      <c r="O52" s="340">
        <f t="shared" si="14"/>
        <v>28.258286613809918</v>
      </c>
      <c r="P52" s="332">
        <f t="shared" si="7"/>
        <v>0.34120385727735353</v>
      </c>
      <c r="Q52" s="342">
        <f>SQRT(((1-P52)/$J$65)^2*SUMSQ(K$8:K52)+(P52/$J$65)^2*SUMSQ(K53:K$64))</f>
        <v>1.0793777347930755E-2</v>
      </c>
      <c r="R52" s="340">
        <f t="shared" si="15"/>
        <v>3.1634394271096546</v>
      </c>
      <c r="S52" s="343">
        <f t="shared" si="16"/>
        <v>1.0980971461321999E-7</v>
      </c>
      <c r="T52" s="344">
        <f t="shared" si="17"/>
        <v>6.1005397007344421E-10</v>
      </c>
      <c r="U52" s="344">
        <f>IF(P52&lt;=0.85, (1/(3*H52*$J$65))*SQRT( ((1-P52)*(1/SQRT(1-PI()*P52/3)-1) + (1-P51)*(1-1/SQRT(1-PI()*P51/3)))^2*SUMSQ(K$8:K51) + ( (1-P52)*(1/SQRT(1-PI()*P52/3)-1) -P51*(1-1/SQRT(1-PI()*P51/3)) )^2*K52^2 + ( P52*(1-1/SQRT(1-PI()*P52/3)) - P51*(1-1/SQRT(1-PI()*P51/3)) )^2*SUMSQ(K53:K$64) ), (1/(PI()^2*H52*$J$65))*SQRT((1+P51/(1-P51))^2*K52^2+(P51/(1-P51)-P52/(1-P52))^2*SUMSQ(K53:K$64)) )</f>
        <v>3.156279948554041E-8</v>
      </c>
      <c r="V52" s="345">
        <f t="shared" si="18"/>
        <v>3.1568694575652516E-8</v>
      </c>
      <c r="W52" s="340">
        <f t="shared" si="19"/>
        <v>28.748544413257189</v>
      </c>
      <c r="X52" s="345">
        <f t="shared" si="20"/>
        <v>6.3137389151305032E-8</v>
      </c>
      <c r="Y52" s="338">
        <f t="shared" si="8"/>
        <v>-16.024516836254474</v>
      </c>
      <c r="Z52" s="346">
        <f t="shared" si="21"/>
        <v>0.28748544413257188</v>
      </c>
      <c r="AA52" s="346">
        <f t="shared" si="22"/>
        <v>1.7940350218994057</v>
      </c>
      <c r="AB52" s="346">
        <f t="shared" si="9"/>
        <v>0.57497088826514375</v>
      </c>
      <c r="AC52" s="336">
        <f t="shared" si="3"/>
        <v>1.4170899746950195E-11</v>
      </c>
      <c r="AD52" s="337">
        <f t="shared" si="4"/>
        <v>4.1043709523855432E-12</v>
      </c>
      <c r="AE52" s="308">
        <f t="shared" si="10"/>
        <v>28.963375831297299</v>
      </c>
      <c r="AF52" s="337">
        <f t="shared" si="11"/>
        <v>8.2087419047710864E-12</v>
      </c>
      <c r="AG52" s="338">
        <f t="shared" si="23"/>
        <v>-24.979830567632735</v>
      </c>
      <c r="AH52" s="339">
        <f t="shared" si="24"/>
        <v>0.289633758312973</v>
      </c>
      <c r="AI52" s="340">
        <f t="shared" si="25"/>
        <v>1.1594704676990959</v>
      </c>
      <c r="AJ52" s="341">
        <f t="shared" si="12"/>
        <v>0.579267516625946</v>
      </c>
    </row>
    <row r="53" spans="1:36" ht="16" x14ac:dyDescent="0.2">
      <c r="A53" s="309">
        <v>46</v>
      </c>
      <c r="B53" s="309">
        <f t="shared" si="13"/>
        <v>56</v>
      </c>
      <c r="C53" s="1">
        <v>492.72</v>
      </c>
      <c r="D53" s="1">
        <v>5.41</v>
      </c>
      <c r="E53" s="326">
        <f t="shared" si="5"/>
        <v>13.057046235000717</v>
      </c>
      <c r="F53" s="327">
        <f t="shared" si="0"/>
        <v>9.1564831798088317E-2</v>
      </c>
      <c r="G53" s="309">
        <f t="shared" si="6"/>
        <v>1.5</v>
      </c>
      <c r="H53" s="1">
        <v>5400</v>
      </c>
      <c r="I53" s="324">
        <v>30</v>
      </c>
      <c r="J53" s="350">
        <v>0.28538000000000002</v>
      </c>
      <c r="K53" s="1">
        <v>6.6000000000000003E-2</v>
      </c>
      <c r="L53" s="328">
        <f t="shared" si="1"/>
        <v>23.127058658630599</v>
      </c>
      <c r="M53" s="329">
        <f t="shared" si="2"/>
        <v>8.3259447794213973E-3</v>
      </c>
      <c r="N53" s="342">
        <f>(1/$J$65)*SQRT(((1-J54/$J$65)*K53)^2+(J54/$J$65)^2*(SUMSQ(K$8:K52)+SUMSQ(K54:K$64)))</f>
        <v>1.9187884352636086E-3</v>
      </c>
      <c r="O53" s="340">
        <f t="shared" si="14"/>
        <v>23.045894323081889</v>
      </c>
      <c r="P53" s="332">
        <f t="shared" si="7"/>
        <v>0.34952980205677492</v>
      </c>
      <c r="Q53" s="342">
        <f>SQRT(((1-P53)/$J$65)^2*SUMSQ(K$8:K53)+(P53/$J$65)^2*SUMSQ(K54:K$64))</f>
        <v>1.0846569871347987E-2</v>
      </c>
      <c r="R53" s="340">
        <f t="shared" si="15"/>
        <v>3.1031888575802058</v>
      </c>
      <c r="S53" s="343">
        <f t="shared" si="16"/>
        <v>1.2932901082878782E-7</v>
      </c>
      <c r="T53" s="344">
        <f t="shared" si="17"/>
        <v>7.1849450460437738E-10</v>
      </c>
      <c r="U53" s="344">
        <f>IF(P53&lt;=0.85, (1/(3*H53*$J$65))*SQRT( ((1-P53)*(1/SQRT(1-PI()*P53/3)-1) + (1-P52)*(1-1/SQRT(1-PI()*P52/3)))^2*SUMSQ(K$8:K52) + ( (1-P53)*(1/SQRT(1-PI()*P53/3)-1) -P52*(1-1/SQRT(1-PI()*P52/3)) )^2*K53^2 + ( P53*(1-1/SQRT(1-PI()*P53/3)) - P52*(1-1/SQRT(1-PI()*P52/3)) )^2*SUMSQ(K54:K$64) ), (1/(PI()^2*H53*$J$65))*SQRT((1+P52/(1-P52))^2*K53^2+(P52/(1-P52)-P53/(1-P53))^2*SUMSQ(K54:K$64)) )</f>
        <v>3.0498788127946258E-8</v>
      </c>
      <c r="V53" s="345">
        <f t="shared" si="18"/>
        <v>3.0507250148554892E-8</v>
      </c>
      <c r="W53" s="340">
        <f t="shared" si="19"/>
        <v>23.588868385409604</v>
      </c>
      <c r="X53" s="345">
        <f t="shared" si="20"/>
        <v>6.1014500297109783E-8</v>
      </c>
      <c r="Y53" s="338">
        <f t="shared" si="8"/>
        <v>-15.860906207976655</v>
      </c>
      <c r="Z53" s="346">
        <f t="shared" si="21"/>
        <v>0.23588868385409603</v>
      </c>
      <c r="AA53" s="346">
        <f t="shared" si="22"/>
        <v>1.4872333318222675</v>
      </c>
      <c r="AB53" s="346">
        <f t="shared" si="9"/>
        <v>0.47177736770819206</v>
      </c>
      <c r="AC53" s="336">
        <f t="shared" si="3"/>
        <v>1.6689857115850736E-11</v>
      </c>
      <c r="AD53" s="337">
        <f t="shared" si="4"/>
        <v>3.9805678193781262E-12</v>
      </c>
      <c r="AE53" s="308">
        <f t="shared" si="10"/>
        <v>23.850221075875421</v>
      </c>
      <c r="AF53" s="337">
        <f t="shared" si="11"/>
        <v>7.9611356387562523E-12</v>
      </c>
      <c r="AG53" s="338">
        <f t="shared" si="23"/>
        <v>-24.816219939354916</v>
      </c>
      <c r="AH53" s="339">
        <f t="shared" si="24"/>
        <v>0.23850221075875422</v>
      </c>
      <c r="AI53" s="340">
        <f t="shared" si="25"/>
        <v>0.96107389175949554</v>
      </c>
      <c r="AJ53" s="341">
        <f t="shared" si="12"/>
        <v>0.47700442151750844</v>
      </c>
    </row>
    <row r="54" spans="1:36" ht="16" x14ac:dyDescent="0.2">
      <c r="A54" s="309">
        <v>47</v>
      </c>
      <c r="B54" s="309">
        <f t="shared" si="13"/>
        <v>57.5</v>
      </c>
      <c r="C54" s="1">
        <v>495.51</v>
      </c>
      <c r="D54" s="1">
        <v>9.4700000000000006</v>
      </c>
      <c r="E54" s="326">
        <f t="shared" si="5"/>
        <v>13.009653162646684</v>
      </c>
      <c r="F54" s="327">
        <f t="shared" si="0"/>
        <v>0.15870358419923447</v>
      </c>
      <c r="G54" s="309">
        <f t="shared" si="6"/>
        <v>1.5</v>
      </c>
      <c r="H54" s="1">
        <v>5400</v>
      </c>
      <c r="I54" s="324">
        <v>30</v>
      </c>
      <c r="J54" s="350">
        <v>0.28200999999999998</v>
      </c>
      <c r="K54" s="1">
        <v>7.3999999999999996E-2</v>
      </c>
      <c r="L54" s="328">
        <f t="shared" si="1"/>
        <v>26.24020424807631</v>
      </c>
      <c r="M54" s="329">
        <f t="shared" si="2"/>
        <v>8.2276252268716384E-3</v>
      </c>
      <c r="N54" s="342">
        <f>(1/$J$65)*SQRT(((1-J55/$J$65)*K54)^2+(J55/$J$65)^2*(SUMSQ(K$8:K53)+SUMSQ(K55:K$64)))</f>
        <v>2.1492041956094757E-3</v>
      </c>
      <c r="O54" s="340">
        <f t="shared" si="14"/>
        <v>26.121804729147346</v>
      </c>
      <c r="P54" s="332">
        <f t="shared" si="7"/>
        <v>0.35775742728364657</v>
      </c>
      <c r="Q54" s="342">
        <f>SQRT(((1-P54)/$J$65)^2*SUMSQ(K$8:K54)+(P54/$J$65)^2*SUMSQ(K55:K$64))</f>
        <v>1.0909164851832956E-2</v>
      </c>
      <c r="R54" s="340">
        <f t="shared" si="15"/>
        <v>3.0493189015426552</v>
      </c>
      <c r="S54" s="343">
        <f t="shared" si="16"/>
        <v>1.3216195893821435E-7</v>
      </c>
      <c r="T54" s="344">
        <f t="shared" si="17"/>
        <v>7.3423310521230204E-10</v>
      </c>
      <c r="U54" s="344">
        <f>IF(P54&lt;=0.85, (1/(3*H54*$J$65))*SQRT( ((1-P54)*(1/SQRT(1-PI()*P54/3)-1) + (1-P53)*(1-1/SQRT(1-PI()*P53/3)))^2*SUMSQ(K$8:K53) + ( (1-P54)*(1/SQRT(1-PI()*P54/3)-1) -P53*(1-1/SQRT(1-PI()*P53/3)) )^2*K54^2 + ( P54*(1-1/SQRT(1-PI()*P54/3)) - P53*(1-1/SQRT(1-PI()*P53/3)) )^2*SUMSQ(K55:K$64) ), (1/(PI()^2*H54*$J$65))*SQRT((1+P53/(1-P53))^2*K54^2+(P53/(1-P53)-P54/(1-P54))^2*SUMSQ(K55:K$64)) )</f>
        <v>3.5169486060839324E-8</v>
      </c>
      <c r="V54" s="345">
        <f t="shared" si="18"/>
        <v>3.5177149515507378E-8</v>
      </c>
      <c r="W54" s="340">
        <f t="shared" si="19"/>
        <v>26.616698025755415</v>
      </c>
      <c r="X54" s="345">
        <f t="shared" si="20"/>
        <v>7.0354299031014755E-8</v>
      </c>
      <c r="Y54" s="338">
        <f t="shared" si="8"/>
        <v>-15.839237704809213</v>
      </c>
      <c r="Z54" s="346">
        <f t="shared" si="21"/>
        <v>0.26616698025755414</v>
      </c>
      <c r="AA54" s="346">
        <f t="shared" si="22"/>
        <v>1.6804279676713152</v>
      </c>
      <c r="AB54" s="346">
        <f t="shared" si="9"/>
        <v>0.53233396051510828</v>
      </c>
      <c r="AC54" s="336">
        <f t="shared" si="3"/>
        <v>1.7055447936192987E-11</v>
      </c>
      <c r="AD54" s="337">
        <f t="shared" si="4"/>
        <v>4.5791478050939716E-12</v>
      </c>
      <c r="AE54" s="308">
        <f t="shared" si="10"/>
        <v>26.848593025672834</v>
      </c>
      <c r="AF54" s="337">
        <f t="shared" si="11"/>
        <v>9.1582956101879431E-12</v>
      </c>
      <c r="AG54" s="338">
        <f t="shared" si="23"/>
        <v>-24.794551436187476</v>
      </c>
      <c r="AH54" s="339">
        <f t="shared" si="24"/>
        <v>0.26848593025672834</v>
      </c>
      <c r="AI54" s="340">
        <f t="shared" si="25"/>
        <v>1.0828424581413278</v>
      </c>
      <c r="AJ54" s="341">
        <f t="shared" si="12"/>
        <v>0.53697186051345669</v>
      </c>
    </row>
    <row r="55" spans="1:36" ht="16" x14ac:dyDescent="0.2">
      <c r="A55" s="309">
        <v>48</v>
      </c>
      <c r="B55" s="309">
        <f t="shared" si="13"/>
        <v>59</v>
      </c>
      <c r="C55" s="1">
        <v>499.32</v>
      </c>
      <c r="D55" s="1">
        <v>12</v>
      </c>
      <c r="E55" s="326">
        <f t="shared" si="5"/>
        <v>12.945486556112211</v>
      </c>
      <c r="F55" s="327">
        <f t="shared" si="0"/>
        <v>0.20187556528070755</v>
      </c>
      <c r="G55" s="309">
        <f t="shared" si="6"/>
        <v>1.5</v>
      </c>
      <c r="H55" s="1">
        <v>5400</v>
      </c>
      <c r="I55" s="324">
        <v>30</v>
      </c>
      <c r="J55" s="350">
        <v>0.30343999999999999</v>
      </c>
      <c r="K55" s="1">
        <v>6.2E-2</v>
      </c>
      <c r="L55" s="328">
        <f t="shared" si="1"/>
        <v>20.432375428420777</v>
      </c>
      <c r="M55" s="329">
        <f t="shared" si="2"/>
        <v>8.8528442212755919E-3</v>
      </c>
      <c r="N55" s="342">
        <f>(1/$J$65)*SQRT(((1-J56/$J$65)*K55)^2+(J56/$J$65)^2*(SUMSQ(K$8:K54)+SUMSQ(K56:K$64)))</f>
        <v>1.8032633901164897E-3</v>
      </c>
      <c r="O55" s="340">
        <f t="shared" si="14"/>
        <v>20.369311207157562</v>
      </c>
      <c r="P55" s="332">
        <f t="shared" si="7"/>
        <v>0.36661027150492215</v>
      </c>
      <c r="Q55" s="342">
        <f>SQRT(((1-P55)/$J$65)^2*SUMSQ(K$8:K55)+(P55/$J$65)^2*SUMSQ(K56:K$64))</f>
        <v>1.0950662502784834E-2</v>
      </c>
      <c r="R55" s="340">
        <f t="shared" si="15"/>
        <v>2.9870037350106839</v>
      </c>
      <c r="S55" s="343">
        <f t="shared" si="16"/>
        <v>1.4714920915726441E-7</v>
      </c>
      <c r="T55" s="344">
        <f t="shared" si="17"/>
        <v>8.174956064292469E-10</v>
      </c>
      <c r="U55" s="344">
        <f>IF(P55&lt;=0.85, (1/(3*H55*$J$65))*SQRT( ((1-P55)*(1/SQRT(1-PI()*P55/3)-1) + (1-P54)*(1-1/SQRT(1-PI()*P54/3)))^2*SUMSQ(K$8:K54) + ( (1-P55)*(1/SQRT(1-PI()*P55/3)-1) -P54*(1-1/SQRT(1-PI()*P54/3)) )^2*K55^2 + ( P55*(1-1/SQRT(1-PI()*P55/3)) - P54*(1-1/SQRT(1-PI()*P54/3)) )^2*SUMSQ(K56:K$64) ), (1/(PI()^2*H55*$J$65))*SQRT((1+P54/(1-P54))^2*K55^2+(P54/(1-P54)-P55/(1-P55))^2*SUMSQ(K56:K$64)) )</f>
        <v>3.0801467649331023E-8</v>
      </c>
      <c r="V55" s="345">
        <f t="shared" si="18"/>
        <v>3.0812314233424869E-8</v>
      </c>
      <c r="W55" s="340">
        <f t="shared" si="19"/>
        <v>20.939503793387352</v>
      </c>
      <c r="X55" s="345">
        <f t="shared" si="20"/>
        <v>6.1624628466849738E-8</v>
      </c>
      <c r="Y55" s="338">
        <f t="shared" si="8"/>
        <v>-15.731818736679847</v>
      </c>
      <c r="Z55" s="346">
        <f t="shared" si="21"/>
        <v>0.20939503793387351</v>
      </c>
      <c r="AA55" s="346">
        <f t="shared" si="22"/>
        <v>1.3310287986325078</v>
      </c>
      <c r="AB55" s="346">
        <f t="shared" si="9"/>
        <v>0.41879007586774702</v>
      </c>
      <c r="AC55" s="336">
        <f t="shared" si="3"/>
        <v>1.8989546582061306E-11</v>
      </c>
      <c r="AD55" s="337">
        <f t="shared" si="4"/>
        <v>4.0321437213670013E-12</v>
      </c>
      <c r="AE55" s="308">
        <f t="shared" si="10"/>
        <v>21.233491299766012</v>
      </c>
      <c r="AF55" s="337">
        <f t="shared" si="11"/>
        <v>8.0642874427340026E-12</v>
      </c>
      <c r="AG55" s="338">
        <f t="shared" si="23"/>
        <v>-24.68713246805811</v>
      </c>
      <c r="AH55" s="339">
        <f t="shared" si="24"/>
        <v>0.21233491299766011</v>
      </c>
      <c r="AI55" s="340">
        <f t="shared" si="25"/>
        <v>0.86010359150619631</v>
      </c>
      <c r="AJ55" s="341">
        <f t="shared" si="12"/>
        <v>0.42466982599532022</v>
      </c>
    </row>
    <row r="56" spans="1:36" ht="16" x14ac:dyDescent="0.2">
      <c r="A56" s="309">
        <v>49</v>
      </c>
      <c r="B56" s="309">
        <f t="shared" si="13"/>
        <v>60.5</v>
      </c>
      <c r="C56" s="1">
        <v>497.84</v>
      </c>
      <c r="D56" s="1">
        <v>25.85</v>
      </c>
      <c r="E56" s="326">
        <f t="shared" si="5"/>
        <v>12.970336839647725</v>
      </c>
      <c r="F56" s="327">
        <f t="shared" si="0"/>
        <v>0.40439137406798698</v>
      </c>
      <c r="G56" s="309">
        <f t="shared" si="6"/>
        <v>1.5</v>
      </c>
      <c r="H56" s="1">
        <v>5400</v>
      </c>
      <c r="I56" s="324">
        <v>30</v>
      </c>
      <c r="J56" s="350">
        <v>0.25106000000000001</v>
      </c>
      <c r="K56" s="1">
        <v>7.2999999999999995E-2</v>
      </c>
      <c r="L56" s="328">
        <f t="shared" si="1"/>
        <v>29.076714729546723</v>
      </c>
      <c r="M56" s="329">
        <f t="shared" si="2"/>
        <v>7.3246607902499681E-3</v>
      </c>
      <c r="N56" s="342">
        <f>(1/$J$65)*SQRT(((1-J57/$J$65)*K56)^2+(J57/$J$65)^2*(SUMSQ(K$8:K55)+SUMSQ(K57:K$64)))</f>
        <v>2.1210895602598004E-3</v>
      </c>
      <c r="O56" s="340">
        <f t="shared" si="14"/>
        <v>28.958195075507575</v>
      </c>
      <c r="P56" s="332">
        <f t="shared" si="7"/>
        <v>0.37393493229517211</v>
      </c>
      <c r="Q56" s="342">
        <f>SQRT(((1-P56)/$J$65)^2*SUMSQ(K$8:K56)+(P56/$J$65)^2*SUMSQ(K57:K$64))</f>
        <v>1.10046526890724E-2</v>
      </c>
      <c r="R56" s="340">
        <f t="shared" si="15"/>
        <v>2.9429325100832475</v>
      </c>
      <c r="S56" s="343">
        <f t="shared" si="16"/>
        <v>1.2570327093836398E-7</v>
      </c>
      <c r="T56" s="344">
        <f t="shared" si="17"/>
        <v>6.9835150521313317E-10</v>
      </c>
      <c r="U56" s="344">
        <f>IF(P56&lt;=0.85, (1/(3*H56*$J$65))*SQRT( ((1-P56)*(1/SQRT(1-PI()*P56/3)-1) + (1-P55)*(1-1/SQRT(1-PI()*P55/3)))^2*SUMSQ(K$8:K55) + ( (1-P56)*(1/SQRT(1-PI()*P56/3)-1) -P55*(1-1/SQRT(1-PI()*P55/3)) )^2*K56^2 + ( P56*(1-1/SQRT(1-PI()*P56/3)) - P55*(1-1/SQRT(1-PI()*P55/3)) )^2*SUMSQ(K57:K$64) ), (1/(PI()^2*H56*$J$65))*SQRT((1+P55/(1-P55))^2*K56^2+(P55/(1-P55)-P56/(1-P56))^2*SUMSQ(K57:K$64)) )</f>
        <v>3.693055945811944E-8</v>
      </c>
      <c r="V56" s="345">
        <f t="shared" si="18"/>
        <v>3.6937161730627443E-8</v>
      </c>
      <c r="W56" s="340">
        <f t="shared" si="19"/>
        <v>29.384407784216549</v>
      </c>
      <c r="X56" s="345">
        <f t="shared" si="20"/>
        <v>7.3874323461254886E-8</v>
      </c>
      <c r="Y56" s="338">
        <f t="shared" si="8"/>
        <v>-15.889341699903854</v>
      </c>
      <c r="Z56" s="346">
        <f t="shared" si="21"/>
        <v>0.29384407784216549</v>
      </c>
      <c r="AA56" s="346">
        <f t="shared" si="22"/>
        <v>1.849315619186058</v>
      </c>
      <c r="AB56" s="346">
        <f t="shared" si="9"/>
        <v>0.58768815568433097</v>
      </c>
      <c r="AC56" s="336">
        <f t="shared" si="3"/>
        <v>1.6221956833287498E-11</v>
      </c>
      <c r="AD56" s="337">
        <f t="shared" si="4"/>
        <v>4.800827088572473E-12</v>
      </c>
      <c r="AE56" s="308">
        <f t="shared" si="10"/>
        <v>29.59462374305647</v>
      </c>
      <c r="AF56" s="337">
        <f t="shared" si="11"/>
        <v>9.6016541771449459E-12</v>
      </c>
      <c r="AG56" s="338">
        <f t="shared" si="23"/>
        <v>-24.844655431282117</v>
      </c>
      <c r="AH56" s="339">
        <f t="shared" si="24"/>
        <v>0.2959462374305647</v>
      </c>
      <c r="AI56" s="340">
        <f t="shared" si="25"/>
        <v>1.1911867252460917</v>
      </c>
      <c r="AJ56" s="341">
        <f t="shared" si="12"/>
        <v>0.59189247486112939</v>
      </c>
    </row>
    <row r="57" spans="1:36" ht="16" x14ac:dyDescent="0.2">
      <c r="A57" s="309">
        <v>50</v>
      </c>
      <c r="B57" s="309">
        <f t="shared" si="13"/>
        <v>61.166666666666664</v>
      </c>
      <c r="C57" s="1">
        <v>526.37</v>
      </c>
      <c r="D57" s="1">
        <v>16.87</v>
      </c>
      <c r="E57" s="326">
        <f t="shared" si="5"/>
        <v>12.507504502701622</v>
      </c>
      <c r="F57" s="327">
        <f t="shared" si="0"/>
        <v>0.2508005613011709</v>
      </c>
      <c r="G57" s="309">
        <f t="shared" si="6"/>
        <v>0.66666666666666663</v>
      </c>
      <c r="H57" s="1">
        <v>2400</v>
      </c>
      <c r="I57" s="324">
        <v>30</v>
      </c>
      <c r="J57" s="350">
        <v>0.21992999999999999</v>
      </c>
      <c r="K57" s="1">
        <v>0.06</v>
      </c>
      <c r="L57" s="328">
        <f t="shared" si="1"/>
        <v>27.281407720638384</v>
      </c>
      <c r="M57" s="329">
        <f t="shared" si="2"/>
        <v>6.4164448641746011E-3</v>
      </c>
      <c r="N57" s="342">
        <f>(1/$J$65)*SQRT(((1-J58/$J$65)*K57)^2+(J58/$J$65)^2*(SUMSQ(K$8:K56)+SUMSQ(K58:K$64)))</f>
        <v>1.7460504113089995E-3</v>
      </c>
      <c r="O57" s="340">
        <f t="shared" si="14"/>
        <v>27.212115872106196</v>
      </c>
      <c r="P57" s="332">
        <f t="shared" si="7"/>
        <v>0.38035137715934669</v>
      </c>
      <c r="Q57" s="342">
        <f>SQRT(((1-P57)/$J$65)^2*SUMSQ(K$8:K57)+(P57/$J$65)^2*SUMSQ(K58:K$64))</f>
        <v>1.103900443979022E-2</v>
      </c>
      <c r="R57" s="340">
        <f t="shared" si="15"/>
        <v>2.9023174629299353</v>
      </c>
      <c r="S57" s="343">
        <f t="shared" si="16"/>
        <v>2.5451318757133038E-7</v>
      </c>
      <c r="T57" s="344">
        <f t="shared" si="17"/>
        <v>3.1814148446416278E-9</v>
      </c>
      <c r="U57" s="344">
        <f>IF(P57&lt;=0.85, (1/(3*H57*$J$65))*SQRT( ((1-P57)*(1/SQRT(1-PI()*P57/3)-1) + (1-P56)*(1-1/SQRT(1-PI()*P56/3)))^2*SUMSQ(K$8:K56) + ( (1-P57)*(1/SQRT(1-PI()*P57/3)-1) -P56*(1-1/SQRT(1-PI()*P56/3)) )^2*K57^2 + ( P57*(1-1/SQRT(1-PI()*P57/3)) - P56*(1-1/SQRT(1-PI()*P56/3)) )^2*SUMSQ(K58:K$64) ), (1/(PI()^2*H57*$J$65))*SQRT((1+P56/(1-P56))^2*K57^2+(P56/(1-P56)-P57/(1-P57))^2*SUMSQ(K58:K$64)) )</f>
        <v>7.029667082567454E-8</v>
      </c>
      <c r="V57" s="345">
        <f t="shared" si="18"/>
        <v>7.0368624610595796E-8</v>
      </c>
      <c r="W57" s="340">
        <f t="shared" si="19"/>
        <v>27.648321598610341</v>
      </c>
      <c r="X57" s="345">
        <f t="shared" si="20"/>
        <v>1.4073724922119159E-7</v>
      </c>
      <c r="Y57" s="338">
        <f t="shared" si="8"/>
        <v>-15.18391318472924</v>
      </c>
      <c r="Z57" s="346">
        <f t="shared" si="21"/>
        <v>0.27648321598610343</v>
      </c>
      <c r="AA57" s="346">
        <f t="shared" si="22"/>
        <v>1.8208956585985228</v>
      </c>
      <c r="AB57" s="346">
        <f t="shared" si="9"/>
        <v>0.55296643197220685</v>
      </c>
      <c r="AC57" s="336">
        <f t="shared" si="3"/>
        <v>3.2844825050805155E-11</v>
      </c>
      <c r="AD57" s="337">
        <f t="shared" si="4"/>
        <v>9.1543896562142149E-12</v>
      </c>
      <c r="AE57" s="308">
        <f t="shared" si="10"/>
        <v>27.871634700608048</v>
      </c>
      <c r="AF57" s="337">
        <f t="shared" si="11"/>
        <v>1.830877931242843E-11</v>
      </c>
      <c r="AG57" s="338">
        <f t="shared" si="23"/>
        <v>-24.139226916107503</v>
      </c>
      <c r="AH57" s="339">
        <f t="shared" si="24"/>
        <v>0.2787163470060805</v>
      </c>
      <c r="AI57" s="340">
        <f t="shared" si="25"/>
        <v>1.1546200214891722</v>
      </c>
      <c r="AJ57" s="341">
        <f t="shared" si="12"/>
        <v>0.557432694012161</v>
      </c>
    </row>
    <row r="58" spans="1:36" ht="16" x14ac:dyDescent="0.2">
      <c r="A58" s="309">
        <v>51</v>
      </c>
      <c r="B58" s="309">
        <f t="shared" si="13"/>
        <v>61.833333333333329</v>
      </c>
      <c r="C58" s="1">
        <v>547</v>
      </c>
      <c r="D58" s="1">
        <v>0.34</v>
      </c>
      <c r="E58" s="326">
        <f t="shared" si="5"/>
        <v>12.192891544229715</v>
      </c>
      <c r="F58" s="327">
        <f t="shared" si="0"/>
        <v>4.9336208700782131E-3</v>
      </c>
      <c r="G58" s="309">
        <f t="shared" si="6"/>
        <v>0.66666666666666663</v>
      </c>
      <c r="H58" s="1">
        <v>2400</v>
      </c>
      <c r="I58" s="324">
        <v>30</v>
      </c>
      <c r="J58" s="350">
        <v>0.27973999999999999</v>
      </c>
      <c r="K58" s="1">
        <v>4.5999999999999999E-2</v>
      </c>
      <c r="L58" s="328">
        <f t="shared" si="1"/>
        <v>16.443840709230003</v>
      </c>
      <c r="M58" s="329">
        <f t="shared" si="2"/>
        <v>8.1613981098722452E-3</v>
      </c>
      <c r="N58" s="342">
        <f>(1/$J$65)*SQRT(((1-J59/$J$65)*K58)^2+(J59/$J$65)^2*(SUMSQ(K$8:K57)+SUMSQ(K59:K$64)))</f>
        <v>1.3442609206270723E-3</v>
      </c>
      <c r="O58" s="340">
        <f t="shared" si="14"/>
        <v>16.470963706586232</v>
      </c>
      <c r="P58" s="332">
        <f t="shared" si="7"/>
        <v>0.38851277526921896</v>
      </c>
      <c r="Q58" s="342">
        <f>SQRT(((1-P58)/$J$65)^2*SUMSQ(K$8:K58)+(P58/$J$65)^2*SUMSQ(K59:K$64))</f>
        <v>1.1059080689629875E-2</v>
      </c>
      <c r="R58" s="340">
        <f t="shared" si="15"/>
        <v>2.8465166124760022</v>
      </c>
      <c r="S58" s="343">
        <f t="shared" si="16"/>
        <v>3.3301153312083025E-7</v>
      </c>
      <c r="T58" s="344">
        <f t="shared" si="17"/>
        <v>4.1626441640103779E-9</v>
      </c>
      <c r="U58" s="344">
        <f>IF(P58&lt;=0.85, (1/(3*H58*$J$65))*SQRT( ((1-P58)*(1/SQRT(1-PI()*P58/3)-1) + (1-P57)*(1-1/SQRT(1-PI()*P57/3)))^2*SUMSQ(K$8:K57) + ( (1-P58)*(1/SQRT(1-PI()*P58/3)-1) -P57*(1-1/SQRT(1-PI()*P57/3)) )^2*K58^2 + ( P58*(1-1/SQRT(1-PI()*P58/3)) - P57*(1-1/SQRT(1-PI()*P57/3)) )^2*SUMSQ(K59:K$64) ), (1/(PI()^2*H58*$J$65))*SQRT((1+P57/(1-P57))^2*K58^2+(P57/(1-P57)-P58/(1-P58))^2*SUMSQ(K59:K$64)) )</f>
        <v>5.6847558722830745E-8</v>
      </c>
      <c r="V58" s="345">
        <f t="shared" si="18"/>
        <v>5.6999759115121353E-8</v>
      </c>
      <c r="W58" s="340">
        <f t="shared" si="19"/>
        <v>17.116451968178382</v>
      </c>
      <c r="X58" s="345">
        <f t="shared" si="20"/>
        <v>1.1399951823024271E-7</v>
      </c>
      <c r="Y58" s="338">
        <f t="shared" si="8"/>
        <v>-14.915088713569222</v>
      </c>
      <c r="Z58" s="346">
        <f t="shared" si="21"/>
        <v>0.17116451968178381</v>
      </c>
      <c r="AA58" s="346">
        <f t="shared" si="22"/>
        <v>1.147593037955345</v>
      </c>
      <c r="AB58" s="346">
        <f t="shared" si="9"/>
        <v>0.34232903936356762</v>
      </c>
      <c r="AC58" s="336">
        <f t="shared" si="3"/>
        <v>4.2975005144629889E-11</v>
      </c>
      <c r="AD58" s="337">
        <f t="shared" si="4"/>
        <v>7.509828496387996E-12</v>
      </c>
      <c r="AE58" s="308">
        <f t="shared" si="10"/>
        <v>17.474875153857699</v>
      </c>
      <c r="AF58" s="337">
        <f t="shared" si="11"/>
        <v>1.5019656992775992E-11</v>
      </c>
      <c r="AG58" s="338">
        <f t="shared" si="23"/>
        <v>-23.870402444947487</v>
      </c>
      <c r="AH58" s="339">
        <f t="shared" si="24"/>
        <v>0.17474875153857697</v>
      </c>
      <c r="AI58" s="340">
        <f t="shared" si="25"/>
        <v>0.73207291725223944</v>
      </c>
      <c r="AJ58" s="341">
        <f t="shared" si="12"/>
        <v>0.34949750307715394</v>
      </c>
    </row>
    <row r="59" spans="1:36" ht="16" x14ac:dyDescent="0.2">
      <c r="A59" s="309">
        <v>52</v>
      </c>
      <c r="B59" s="309">
        <f t="shared" si="13"/>
        <v>62.499999999999993</v>
      </c>
      <c r="C59" s="1">
        <v>557</v>
      </c>
      <c r="D59" s="1">
        <v>0.38</v>
      </c>
      <c r="E59" s="326">
        <f t="shared" si="5"/>
        <v>12.046015780280673</v>
      </c>
      <c r="F59" s="327">
        <f t="shared" si="0"/>
        <v>5.3835646550123755E-3</v>
      </c>
      <c r="G59" s="309">
        <f t="shared" si="6"/>
        <v>0.66666666666666663</v>
      </c>
      <c r="H59" s="1">
        <v>2400</v>
      </c>
      <c r="I59" s="324">
        <v>30</v>
      </c>
      <c r="J59" s="350">
        <v>0.28581000000000001</v>
      </c>
      <c r="K59" s="1">
        <v>9.2999999999999999E-2</v>
      </c>
      <c r="L59" s="328">
        <f t="shared" si="1"/>
        <v>32.539099401700426</v>
      </c>
      <c r="M59" s="329">
        <f t="shared" si="2"/>
        <v>8.3384900042274487E-3</v>
      </c>
      <c r="N59" s="342">
        <f>(1/$J$65)*SQRT(((1-J60/$J$65)*K59)^2+(J60/$J$65)^2*(SUMSQ(K$8:K58)+SUMSQ(K60:K$64)))</f>
        <v>2.6979717493657834E-3</v>
      </c>
      <c r="O59" s="340">
        <f t="shared" si="14"/>
        <v>32.355639306372801</v>
      </c>
      <c r="P59" s="332">
        <f t="shared" si="7"/>
        <v>0.39685126527344639</v>
      </c>
      <c r="Q59" s="342">
        <f>SQRT(((1-P59)/$J$65)^2*SUMSQ(K$8:K59)+(P59/$J$65)^2*SUMSQ(K60:K$64))</f>
        <v>1.1131312601385997E-2</v>
      </c>
      <c r="R59" s="340">
        <f t="shared" si="15"/>
        <v>2.8049079278394333</v>
      </c>
      <c r="S59" s="343">
        <f t="shared" si="16"/>
        <v>3.5119098535369654E-7</v>
      </c>
      <c r="T59" s="344">
        <f t="shared" si="17"/>
        <v>4.3898873169212074E-9</v>
      </c>
      <c r="U59" s="344">
        <f>IF(P59&lt;=0.85, (1/(3*H59*$J$65))*SQRT( ((1-P59)*(1/SQRT(1-PI()*P59/3)-1) + (1-P58)*(1-1/SQRT(1-PI()*P58/3)))^2*SUMSQ(K$8:K58) + ( (1-P59)*(1/SQRT(1-PI()*P59/3)-1) -P58*(1-1/SQRT(1-PI()*P58/3)) )^2*K59^2 + ( P59*(1-1/SQRT(1-PI()*P59/3)) - P58*(1-1/SQRT(1-PI()*P58/3)) )^2*SUMSQ(K60:K$64) ), (1/(PI()^2*H59*$J$65))*SQRT((1+P58/(1-P58))^2*K59^2+(P58/(1-P58)-P59/(1-P59))^2*SUMSQ(K60:K$64)) )</f>
        <v>1.1495799181307095E-7</v>
      </c>
      <c r="V59" s="345">
        <f t="shared" si="18"/>
        <v>1.1504177933407216E-7</v>
      </c>
      <c r="W59" s="340">
        <f t="shared" si="19"/>
        <v>32.757611707546999</v>
      </c>
      <c r="X59" s="345">
        <f t="shared" si="20"/>
        <v>2.3008355866814432E-7</v>
      </c>
      <c r="Y59" s="338">
        <f t="shared" si="8"/>
        <v>-14.86193564364217</v>
      </c>
      <c r="Z59" s="346">
        <f t="shared" si="21"/>
        <v>0.32757611707546996</v>
      </c>
      <c r="AA59" s="346">
        <f t="shared" si="22"/>
        <v>2.2041282167414353</v>
      </c>
      <c r="AB59" s="346">
        <f t="shared" si="9"/>
        <v>0.65515223415093993</v>
      </c>
      <c r="AC59" s="336">
        <f t="shared" si="3"/>
        <v>4.5321056183500397E-11</v>
      </c>
      <c r="AD59" s="337">
        <f t="shared" si="4"/>
        <v>1.4931616462172794E-11</v>
      </c>
      <c r="AE59" s="308">
        <f t="shared" si="10"/>
        <v>32.946311757864116</v>
      </c>
      <c r="AF59" s="337">
        <f t="shared" si="11"/>
        <v>2.9863232924345589E-11</v>
      </c>
      <c r="AG59" s="338">
        <f t="shared" si="23"/>
        <v>-23.817249375020435</v>
      </c>
      <c r="AH59" s="339">
        <f t="shared" si="24"/>
        <v>0.32946311757864116</v>
      </c>
      <c r="AI59" s="340">
        <f t="shared" si="25"/>
        <v>1.3832962505073427</v>
      </c>
      <c r="AJ59" s="341">
        <f t="shared" si="12"/>
        <v>0.65892623515728233</v>
      </c>
    </row>
    <row r="60" spans="1:36" ht="16" x14ac:dyDescent="0.2">
      <c r="A60" s="309">
        <v>53</v>
      </c>
      <c r="B60" s="309">
        <f t="shared" si="13"/>
        <v>63.166666666666657</v>
      </c>
      <c r="C60" s="1">
        <v>567</v>
      </c>
      <c r="D60" s="1">
        <v>0.41</v>
      </c>
      <c r="E60" s="326">
        <f t="shared" si="5"/>
        <v>11.902636433970125</v>
      </c>
      <c r="F60" s="327">
        <f t="shared" si="0"/>
        <v>5.6727381648876739E-3</v>
      </c>
      <c r="G60" s="309">
        <f t="shared" si="6"/>
        <v>0.66666666666666663</v>
      </c>
      <c r="H60" s="1">
        <v>2400</v>
      </c>
      <c r="I60" s="324">
        <v>30</v>
      </c>
      <c r="J60" s="350">
        <v>0.26439000000000001</v>
      </c>
      <c r="K60" s="1">
        <v>5.5999999999999897E-2</v>
      </c>
      <c r="L60" s="328">
        <f t="shared" si="1"/>
        <v>21.180831347630356</v>
      </c>
      <c r="M60" s="329">
        <f t="shared" si="2"/>
        <v>7.7135627592375888E-3</v>
      </c>
      <c r="N60" s="342">
        <f>(1/$J$65)*SQRT(((1-J61/$J$65)*K60)^2+(J61/$J$65)^2*(SUMSQ(K$8:K59)+SUMSQ(K61:K$64)))</f>
        <v>1.6300147041996978E-3</v>
      </c>
      <c r="O60" s="340">
        <f t="shared" si="14"/>
        <v>21.131800635803852</v>
      </c>
      <c r="P60" s="332">
        <f t="shared" si="7"/>
        <v>0.40456482803268395</v>
      </c>
      <c r="Q60" s="342">
        <f>SQRT(((1-P60)/$J$65)^2*SUMSQ(K$8:K60)+(P60/$J$65)^2*SUMSQ(K61:K$64))</f>
        <v>1.1155444302857294E-2</v>
      </c>
      <c r="R60" s="340">
        <f t="shared" si="15"/>
        <v>2.757393507760904</v>
      </c>
      <c r="S60" s="343">
        <f t="shared" si="16"/>
        <v>3.3494313531397499E-7</v>
      </c>
      <c r="T60" s="344">
        <f t="shared" si="17"/>
        <v>4.1867891914246884E-9</v>
      </c>
      <c r="U60" s="344">
        <f>IF(P60&lt;=0.85, (1/(3*H60*$J$65))*SQRT( ((1-P60)*(1/SQRT(1-PI()*P60/3)-1) + (1-P59)*(1-1/SQRT(1-PI()*P59/3)))^2*SUMSQ(K$8:K59) + ( (1-P60)*(1/SQRT(1-PI()*P60/3)-1) -P59*(1-1/SQRT(1-PI()*P59/3)) )^2*K60^2 + ( P60*(1-1/SQRT(1-PI()*P60/3)) - P59*(1-1/SQRT(1-PI()*P59/3)) )^2*SUMSQ(K61:K$64) ), (1/(PI()^2*H60*$J$65))*SQRT((1+P59/(1-P59))^2*K60^2+(P59/(1-P59)-P60/(1-P60))^2*SUMSQ(K61:K$64)) )</f>
        <v>7.240426133765032E-8</v>
      </c>
      <c r="V60" s="345">
        <f t="shared" si="18"/>
        <v>7.252521122743591E-8</v>
      </c>
      <c r="W60" s="340">
        <f t="shared" si="19"/>
        <v>21.65299227865976</v>
      </c>
      <c r="X60" s="345">
        <f t="shared" si="20"/>
        <v>1.4505042245487182E-7</v>
      </c>
      <c r="Y60" s="338">
        <f t="shared" si="8"/>
        <v>-14.909305064861131</v>
      </c>
      <c r="Z60" s="346">
        <f t="shared" si="21"/>
        <v>0.21652992278659758</v>
      </c>
      <c r="AA60" s="346">
        <f t="shared" si="22"/>
        <v>1.4523139867660517</v>
      </c>
      <c r="AB60" s="346">
        <f t="shared" si="9"/>
        <v>0.43305984557319516</v>
      </c>
      <c r="AC60" s="336">
        <f t="shared" si="3"/>
        <v>4.3224277635014343E-11</v>
      </c>
      <c r="AD60" s="337">
        <f t="shared" si="4"/>
        <v>9.4822914452483454E-12</v>
      </c>
      <c r="AE60" s="308">
        <f t="shared" si="10"/>
        <v>21.93742027412646</v>
      </c>
      <c r="AF60" s="337">
        <f t="shared" si="11"/>
        <v>1.8964582890496691E-11</v>
      </c>
      <c r="AG60" s="338">
        <f t="shared" si="23"/>
        <v>-23.864618796239395</v>
      </c>
      <c r="AH60" s="339">
        <f t="shared" si="24"/>
        <v>0.2193742027412646</v>
      </c>
      <c r="AI60" s="340">
        <f t="shared" si="25"/>
        <v>0.91924452937766499</v>
      </c>
      <c r="AJ60" s="341">
        <f t="shared" si="12"/>
        <v>0.43874840548252919</v>
      </c>
    </row>
    <row r="61" spans="1:36" ht="16" x14ac:dyDescent="0.2">
      <c r="A61" s="309">
        <v>54</v>
      </c>
      <c r="B61" s="309">
        <f t="shared" si="13"/>
        <v>63.833333333333321</v>
      </c>
      <c r="C61" s="1">
        <v>577</v>
      </c>
      <c r="D61" s="1">
        <v>0.4</v>
      </c>
      <c r="E61" s="326">
        <f t="shared" si="5"/>
        <v>11.762630124095748</v>
      </c>
      <c r="F61" s="327">
        <f t="shared" si="0"/>
        <v>5.4069455658124765E-3</v>
      </c>
      <c r="G61" s="309">
        <f t="shared" si="6"/>
        <v>0.66666666666666663</v>
      </c>
      <c r="H61" s="1">
        <v>2400</v>
      </c>
      <c r="I61" s="324">
        <v>30</v>
      </c>
      <c r="J61" s="350">
        <v>0.23365</v>
      </c>
      <c r="K61" s="1">
        <v>4.9000000000000002E-2</v>
      </c>
      <c r="L61" s="328">
        <f t="shared" si="1"/>
        <v>20.971538626150227</v>
      </c>
      <c r="M61" s="329">
        <f t="shared" si="2"/>
        <v>6.8167250603118979E-3</v>
      </c>
      <c r="N61" s="342">
        <f>(1/$J$65)*SQRT(((1-J62/$J$65)*K61)^2+(J62/$J$65)^2*(SUMSQ(K$8:K60)+SUMSQ(K62:K$64)))</f>
        <v>1.4273350440431982E-3</v>
      </c>
      <c r="O61" s="340">
        <f t="shared" si="14"/>
        <v>20.938721034142617</v>
      </c>
      <c r="P61" s="332">
        <f t="shared" si="7"/>
        <v>0.41138155309299584</v>
      </c>
      <c r="Q61" s="342">
        <f>SQRT(((1-P61)/$J$65)^2*SUMSQ(K$8:K61)+(P61/$J$65)^2*SUMSQ(K62:K$64))</f>
        <v>1.1173453155416641E-2</v>
      </c>
      <c r="R61" s="340">
        <f t="shared" si="15"/>
        <v>2.7160802596539373</v>
      </c>
      <c r="S61" s="343">
        <f t="shared" si="16"/>
        <v>3.04225111380721E-7</v>
      </c>
      <c r="T61" s="344">
        <f t="shared" si="17"/>
        <v>3.8028138922590127E-9</v>
      </c>
      <c r="U61" s="344">
        <f>IF(P61&lt;=0.85, (1/(3*H61*$J$65))*SQRT( ((1-P61)*(1/SQRT(1-PI()*P61/3)-1) + (1-P60)*(1-1/SQRT(1-PI()*P60/3)))^2*SUMSQ(K$8:K60) + ( (1-P61)*(1/SQRT(1-PI()*P61/3)-1) -P60*(1-1/SQRT(1-PI()*P60/3)) )^2*K61^2 + ( P61*(1-1/SQRT(1-PI()*P61/3)) - P60*(1-1/SQRT(1-PI()*P60/3)) )^2*SUMSQ(K62:K$64) ), (1/(PI()^2*H61*$J$65))*SQRT((1+P60/(1-P60))^2*K61^2+(P60/(1-P60)-P61/(1-P61))^2*SUMSQ(K62:K$64)) )</f>
        <v>6.5162334949780418E-8</v>
      </c>
      <c r="V61" s="345">
        <f t="shared" si="18"/>
        <v>6.5273204989540183E-8</v>
      </c>
      <c r="W61" s="340">
        <f t="shared" si="19"/>
        <v>21.455561210348069</v>
      </c>
      <c r="X61" s="345">
        <f t="shared" si="20"/>
        <v>1.3054640997908037E-7</v>
      </c>
      <c r="Y61" s="338">
        <f t="shared" si="8"/>
        <v>-15.005497911610636</v>
      </c>
      <c r="Z61" s="346">
        <f t="shared" si="21"/>
        <v>0.21455561210348068</v>
      </c>
      <c r="AA61" s="346">
        <f t="shared" si="22"/>
        <v>1.4298466693162271</v>
      </c>
      <c r="AB61" s="346">
        <f t="shared" si="9"/>
        <v>0.42911122420696135</v>
      </c>
      <c r="AC61" s="336">
        <f t="shared" si="3"/>
        <v>3.9260128933637489E-11</v>
      </c>
      <c r="AD61" s="337">
        <f t="shared" si="4"/>
        <v>8.5361618308416922E-12</v>
      </c>
      <c r="AE61" s="308">
        <f t="shared" si="10"/>
        <v>21.742572076802418</v>
      </c>
      <c r="AF61" s="337">
        <f t="shared" si="11"/>
        <v>1.7072323661683384E-11</v>
      </c>
      <c r="AG61" s="338">
        <f t="shared" si="23"/>
        <v>-23.960811642988901</v>
      </c>
      <c r="AH61" s="339">
        <f t="shared" si="24"/>
        <v>0.21742572076802419</v>
      </c>
      <c r="AI61" s="340">
        <f t="shared" si="25"/>
        <v>0.90742218589095447</v>
      </c>
      <c r="AJ61" s="341">
        <f t="shared" si="12"/>
        <v>0.43485144153604838</v>
      </c>
    </row>
    <row r="62" spans="1:36" ht="16" x14ac:dyDescent="0.2">
      <c r="A62" s="309">
        <v>55</v>
      </c>
      <c r="B62" s="309">
        <f t="shared" si="13"/>
        <v>64.499999999999986</v>
      </c>
      <c r="C62" s="1">
        <v>586.96</v>
      </c>
      <c r="D62" s="1">
        <v>0.27</v>
      </c>
      <c r="E62" s="326">
        <f t="shared" si="5"/>
        <v>11.626419876527422</v>
      </c>
      <c r="F62" s="327">
        <f t="shared" si="0"/>
        <v>3.567591982538647E-3</v>
      </c>
      <c r="G62" s="309">
        <f t="shared" si="6"/>
        <v>0.66666666666666663</v>
      </c>
      <c r="H62" s="1">
        <v>2400</v>
      </c>
      <c r="I62" s="324">
        <v>30</v>
      </c>
      <c r="J62" s="350">
        <v>0.1971</v>
      </c>
      <c r="K62" s="1">
        <v>7.0999999999999994E-2</v>
      </c>
      <c r="L62" s="328">
        <f t="shared" si="1"/>
        <v>36.022323693556565</v>
      </c>
      <c r="M62" s="329">
        <f t="shared" si="2"/>
        <v>5.7503809517974536E-3</v>
      </c>
      <c r="N62" s="342">
        <f>(1/$J$65)*SQRT(((1-J63/$J$65)*K62)^2+(J63/$J$65)^2*(SUMSQ(K$8:K61)+SUMSQ(K63:K$64)))</f>
        <v>2.0645049743350879E-3</v>
      </c>
      <c r="O62" s="340">
        <f t="shared" si="14"/>
        <v>35.902055735798946</v>
      </c>
      <c r="P62" s="332">
        <f t="shared" si="7"/>
        <v>0.41713193404479332</v>
      </c>
      <c r="Q62" s="342">
        <f>SQRT(((1-P62)/$J$65)^2*SUMSQ(K$8:K62)+(P62/$J$65)^2*SUMSQ(K63:K$64))</f>
        <v>1.1207352462819776E-2</v>
      </c>
      <c r="R62" s="340">
        <f t="shared" si="15"/>
        <v>2.6867644378472075</v>
      </c>
      <c r="S62" s="343">
        <f t="shared" si="16"/>
        <v>2.6274809185919608E-7</v>
      </c>
      <c r="T62" s="344">
        <f t="shared" si="17"/>
        <v>3.28435114823995E-9</v>
      </c>
      <c r="U62" s="344">
        <f>IF(P62&lt;=0.85, (1/(3*H62*$J$65))*SQRT( ((1-P62)*(1/SQRT(1-PI()*P62/3)-1) + (1-P61)*(1-1/SQRT(1-PI()*P61/3)))^2*SUMSQ(K$8:K61) + ( (1-P62)*(1/SQRT(1-PI()*P62/3)-1) -P61*(1-1/SQRT(1-PI()*P61/3)) )^2*K62^2 + ( P62*(1-1/SQRT(1-PI()*P62/3)) - P61*(1-1/SQRT(1-PI()*P61/3)) )^2*SUMSQ(K63:K$64) ), (1/(PI()^2*H62*$J$65))*SQRT((1+P61/(1-P61))^2*K62^2+(P61/(1-P61)-P62/(1-P62))^2*SUMSQ(K63:K$64)) )</f>
        <v>9.5105753807402031E-8</v>
      </c>
      <c r="V62" s="345">
        <f t="shared" si="18"/>
        <v>9.5162447266445975E-8</v>
      </c>
      <c r="W62" s="340">
        <f t="shared" si="19"/>
        <v>36.218130679115461</v>
      </c>
      <c r="X62" s="345">
        <f t="shared" si="20"/>
        <v>1.9032489453289195E-7</v>
      </c>
      <c r="Y62" s="338">
        <f t="shared" si="8"/>
        <v>-15.152070089407172</v>
      </c>
      <c r="Z62" s="346">
        <f t="shared" si="21"/>
        <v>0.36218130679115462</v>
      </c>
      <c r="AA62" s="346">
        <f t="shared" si="22"/>
        <v>2.3903090775982876</v>
      </c>
      <c r="AB62" s="346">
        <f t="shared" si="9"/>
        <v>0.72436261358230924</v>
      </c>
      <c r="AC62" s="336">
        <f t="shared" si="3"/>
        <v>3.3907536155192507E-11</v>
      </c>
      <c r="AD62" s="337">
        <f t="shared" si="4"/>
        <v>1.2338576071060967E-11</v>
      </c>
      <c r="AE62" s="308">
        <f t="shared" si="10"/>
        <v>36.388890111590932</v>
      </c>
      <c r="AF62" s="337">
        <f t="shared" si="11"/>
        <v>2.4677152142121933E-11</v>
      </c>
      <c r="AG62" s="338">
        <f t="shared" si="23"/>
        <v>-24.107383820785437</v>
      </c>
      <c r="AH62" s="339">
        <f t="shared" si="24"/>
        <v>0.36388890111590932</v>
      </c>
      <c r="AI62" s="340">
        <f t="shared" si="25"/>
        <v>1.5094499835447244</v>
      </c>
      <c r="AJ62" s="341">
        <f t="shared" si="12"/>
        <v>0.72777780223181865</v>
      </c>
    </row>
    <row r="63" spans="1:36" ht="16" x14ac:dyDescent="0.2">
      <c r="A63" s="309">
        <v>56</v>
      </c>
      <c r="B63" s="309">
        <f t="shared" si="13"/>
        <v>65.166666666666657</v>
      </c>
      <c r="C63" s="1">
        <v>596.79999999999995</v>
      </c>
      <c r="D63" s="1">
        <v>0.41</v>
      </c>
      <c r="E63" s="326">
        <f t="shared" si="5"/>
        <v>11.494913500775908</v>
      </c>
      <c r="F63" s="327">
        <f t="shared" si="0"/>
        <v>5.4951739807264824E-2</v>
      </c>
      <c r="G63" s="309">
        <f t="shared" si="6"/>
        <v>0.66666666666666663</v>
      </c>
      <c r="H63" s="1">
        <v>2400</v>
      </c>
      <c r="I63" s="324">
        <v>30</v>
      </c>
      <c r="J63" s="350">
        <v>0.15837999999999999</v>
      </c>
      <c r="K63" s="1">
        <v>4.9000000000000002E-2</v>
      </c>
      <c r="L63" s="328">
        <f t="shared" si="1"/>
        <v>30.938249779012505</v>
      </c>
      <c r="M63" s="329">
        <f t="shared" si="2"/>
        <v>4.6207272204245595E-3</v>
      </c>
      <c r="N63" s="342">
        <f>(1/$J$65)*SQRT(((1-J64/$J$65)*K63)^2+(J64/$J$65)^2*(SUMSQ(K$8:K62)+SUMSQ(K64:K$64)))</f>
        <v>1.3142394029384059E-2</v>
      </c>
      <c r="O63" s="340">
        <f t="shared" si="14"/>
        <v>284.42263311480474</v>
      </c>
      <c r="P63" s="332">
        <f t="shared" si="7"/>
        <v>0.42175266126521788</v>
      </c>
      <c r="Q63" s="342">
        <f>SQRT(((1-P63)/$J$65)^2*SUMSQ(K$8:K63)+(P63/$J$65)^2*SUMSQ(K64:K$64))</f>
        <v>1.1222652747294426E-2</v>
      </c>
      <c r="R63" s="340">
        <f t="shared" si="15"/>
        <v>2.6609560005211428</v>
      </c>
      <c r="S63" s="343">
        <f t="shared" si="16"/>
        <v>2.1525029193675255E-7</v>
      </c>
      <c r="T63" s="344">
        <f t="shared" si="17"/>
        <v>2.6906286492094075E-9</v>
      </c>
      <c r="U63" s="344">
        <f>IF(P63&lt;=0.85, (1/(3*H63*$J$65))*SQRT( ((1-P63)*(1/SQRT(1-PI()*P63/3)-1) + (1-P62)*(1-1/SQRT(1-PI()*P62/3)))^2*SUMSQ(K$8:K62) + ( (1-P63)*(1/SQRT(1-PI()*P63/3)-1) -P62*(1-1/SQRT(1-PI()*P62/3)) )^2*K63^2 + ( P63*(1-1/SQRT(1-PI()*P63/3)) - P62*(1-1/SQRT(1-PI()*P62/3)) )^2*SUMSQ(K64:K$64) ), (1/(PI()^2*H63*$J$65))*SQRT((1+P62/(1-P62))^2*K63^2+(P62/(1-P62)-P63/(1-P63))^2*SUMSQ(K64:K$64)) )</f>
        <v>6.7164114464089625E-8</v>
      </c>
      <c r="V63" s="345">
        <f t="shared" si="18"/>
        <v>6.7217986835915285E-8</v>
      </c>
      <c r="W63" s="340">
        <f t="shared" si="19"/>
        <v>31.227826095430377</v>
      </c>
      <c r="X63" s="345">
        <f t="shared" si="20"/>
        <v>1.3443597367183057E-7</v>
      </c>
      <c r="Y63" s="338">
        <f t="shared" si="8"/>
        <v>-15.351464337371187</v>
      </c>
      <c r="Z63" s="346">
        <f t="shared" si="21"/>
        <v>0.31227826095430378</v>
      </c>
      <c r="AA63" s="346">
        <f t="shared" si="22"/>
        <v>2.0341920099055439</v>
      </c>
      <c r="AB63" s="346">
        <f t="shared" si="9"/>
        <v>0.62455652190860755</v>
      </c>
      <c r="AC63" s="336">
        <f t="shared" si="3"/>
        <v>2.7777964074321142E-11</v>
      </c>
      <c r="AD63" s="337">
        <f t="shared" si="4"/>
        <v>8.729423350116177E-12</v>
      </c>
      <c r="AE63" s="308">
        <f t="shared" si="10"/>
        <v>31.425713298354868</v>
      </c>
      <c r="AF63" s="337">
        <f t="shared" si="11"/>
        <v>1.7458846700232354E-11</v>
      </c>
      <c r="AG63" s="338">
        <f t="shared" si="23"/>
        <v>-24.306778068749448</v>
      </c>
      <c r="AH63" s="339">
        <f t="shared" si="24"/>
        <v>0.31425713298354868</v>
      </c>
      <c r="AI63" s="340">
        <f t="shared" si="25"/>
        <v>1.2928786040449367</v>
      </c>
      <c r="AJ63" s="341">
        <f t="shared" si="12"/>
        <v>0.62851426596709736</v>
      </c>
    </row>
    <row r="64" spans="1:36" x14ac:dyDescent="0.2">
      <c r="J64" s="338">
        <v>19.82</v>
      </c>
      <c r="K64" s="346">
        <f>IF(J64&lt;0.06,J64*0.1,IF(J64&lt;0.2,J64*0.06,J64*0.03))</f>
        <v>0.59460000000000002</v>
      </c>
      <c r="L64" s="328">
        <f t="shared" si="1"/>
        <v>3</v>
      </c>
      <c r="M64" s="329">
        <f t="shared" si="2"/>
        <v>0.57824733873478196</v>
      </c>
      <c r="N64" s="342">
        <f>(1/$J$65)*SQRT(((1-J65/$J$65)*K64)^2+(J65/$J$65)^2*(SUMSQ(K$8:K63)+SUMSQ(K$64:K65)))</f>
        <v>3.2171962325562381E-2</v>
      </c>
      <c r="O64" s="340">
        <f t="shared" si="14"/>
        <v>5.5637026183216598</v>
      </c>
      <c r="P64" s="332">
        <f t="shared" si="7"/>
        <v>0.99999999999999978</v>
      </c>
      <c r="Q64" s="342"/>
      <c r="R64" s="340"/>
      <c r="S64" s="343"/>
      <c r="T64" s="344"/>
      <c r="U64" s="344"/>
      <c r="V64" s="345"/>
      <c r="W64" s="340"/>
      <c r="X64" s="345"/>
      <c r="Y64" s="338"/>
      <c r="Z64" s="346"/>
      <c r="AA64" s="346"/>
      <c r="AB64" s="346"/>
      <c r="AC64" s="336"/>
      <c r="AD64" s="337"/>
      <c r="AE64" s="308"/>
      <c r="AF64" s="337"/>
      <c r="AG64" s="338"/>
      <c r="AH64" s="339"/>
      <c r="AI64" s="340"/>
      <c r="AJ64" s="341"/>
    </row>
    <row r="65" spans="10:36" x14ac:dyDescent="0.2">
      <c r="J65" s="120">
        <f>SUM(J8:J64)</f>
        <v>34.27599</v>
      </c>
      <c r="K65" s="346">
        <f>SQRT(SUMSQ(K8:K64))</f>
        <v>0.77974493265426192</v>
      </c>
      <c r="L65" s="328">
        <f t="shared" si="1"/>
        <v>2.2749012724483286</v>
      </c>
      <c r="M65" s="329"/>
      <c r="N65" s="342"/>
      <c r="O65" s="340"/>
      <c r="P65" s="332"/>
      <c r="Q65" s="342"/>
      <c r="R65" s="340"/>
      <c r="S65" s="343"/>
      <c r="T65" s="344"/>
      <c r="U65" s="344"/>
      <c r="V65" s="345"/>
      <c r="W65" s="340"/>
      <c r="X65" s="345"/>
      <c r="Y65" s="338"/>
      <c r="Z65" s="346"/>
      <c r="AA65" s="346"/>
      <c r="AB65" s="346"/>
      <c r="AC65" s="336"/>
      <c r="AD65" s="337"/>
      <c r="AE65" s="308"/>
      <c r="AF65" s="337"/>
      <c r="AG65" s="338"/>
      <c r="AH65" s="339"/>
      <c r="AI65" s="340"/>
      <c r="AJ65" s="341"/>
    </row>
    <row r="66" spans="10:36" x14ac:dyDescent="0.2">
      <c r="L66" s="328"/>
      <c r="M66" s="329"/>
      <c r="N66" s="342"/>
      <c r="O66" s="340"/>
      <c r="P66" s="332"/>
      <c r="Q66" s="342"/>
      <c r="R66" s="340"/>
      <c r="S66" s="343"/>
      <c r="T66" s="344"/>
      <c r="U66" s="344"/>
      <c r="V66" s="345"/>
      <c r="W66" s="340"/>
      <c r="X66" s="345"/>
      <c r="Y66" s="338"/>
      <c r="Z66" s="346"/>
      <c r="AA66" s="346"/>
      <c r="AB66" s="346"/>
      <c r="AC66" s="336"/>
      <c r="AD66" s="337"/>
      <c r="AE66" s="308"/>
      <c r="AF66" s="337"/>
      <c r="AG66" s="338"/>
      <c r="AH66" s="339"/>
      <c r="AI66" s="340"/>
      <c r="AJ66" s="341"/>
    </row>
    <row r="67" spans="10:36" x14ac:dyDescent="0.2">
      <c r="L67" s="328"/>
      <c r="M67" s="329"/>
      <c r="N67" s="342"/>
      <c r="O67" s="340"/>
      <c r="P67" s="332"/>
      <c r="Q67" s="342"/>
      <c r="R67" s="340"/>
      <c r="S67" s="343"/>
      <c r="T67" s="344"/>
      <c r="U67" s="344"/>
      <c r="V67" s="345"/>
      <c r="W67" s="340"/>
      <c r="X67" s="345"/>
      <c r="Y67" s="338"/>
      <c r="Z67" s="346"/>
      <c r="AA67" s="346"/>
      <c r="AB67" s="346"/>
      <c r="AC67" s="336"/>
      <c r="AD67" s="337"/>
      <c r="AE67" s="308"/>
      <c r="AF67" s="337"/>
      <c r="AG67" s="338"/>
      <c r="AH67" s="339"/>
      <c r="AI67" s="340"/>
      <c r="AJ67" s="341"/>
    </row>
    <row r="68" spans="10:36" x14ac:dyDescent="0.2">
      <c r="K68" s="349"/>
      <c r="L68" s="328"/>
      <c r="M68" s="329"/>
      <c r="N68" s="342"/>
      <c r="O68" s="340"/>
      <c r="P68" s="332"/>
      <c r="Q68" s="342"/>
      <c r="R68" s="340"/>
      <c r="S68" s="343"/>
      <c r="T68" s="344"/>
      <c r="U68" s="344"/>
      <c r="V68" s="345"/>
      <c r="W68" s="340"/>
      <c r="X68" s="345"/>
      <c r="Y68" s="338"/>
      <c r="Z68" s="346"/>
      <c r="AA68" s="346"/>
      <c r="AB68" s="346"/>
      <c r="AC68" s="336"/>
      <c r="AD68" s="337"/>
      <c r="AE68" s="308"/>
      <c r="AF68" s="337"/>
      <c r="AG68" s="338"/>
      <c r="AH68" s="339"/>
      <c r="AI68" s="340"/>
      <c r="AJ68" s="341"/>
    </row>
    <row r="69" spans="10:36" x14ac:dyDescent="0.2">
      <c r="L69" s="328"/>
      <c r="M69" s="329"/>
      <c r="N69" s="342"/>
      <c r="O69" s="340"/>
      <c r="P69" s="332"/>
      <c r="Q69" s="342"/>
      <c r="R69" s="340"/>
      <c r="S69" s="343"/>
      <c r="T69" s="344"/>
      <c r="U69" s="344"/>
      <c r="V69" s="345"/>
      <c r="W69" s="340"/>
      <c r="X69" s="345"/>
      <c r="Y69" s="338"/>
      <c r="Z69" s="346"/>
      <c r="AA69" s="346"/>
      <c r="AB69" s="346"/>
      <c r="AC69" s="336"/>
      <c r="AD69" s="337"/>
      <c r="AE69" s="308"/>
      <c r="AF69" s="337"/>
      <c r="AG69" s="338"/>
      <c r="AH69" s="339"/>
      <c r="AI69" s="340"/>
      <c r="AJ69" s="341"/>
    </row>
    <row r="70" spans="10:36" x14ac:dyDescent="0.2">
      <c r="L70" s="328"/>
      <c r="M70" s="329"/>
      <c r="N70" s="342"/>
      <c r="O70" s="340"/>
      <c r="P70" s="332"/>
      <c r="Q70" s="342"/>
      <c r="R70" s="340"/>
      <c r="S70" s="343"/>
      <c r="T70" s="344"/>
      <c r="U70" s="344"/>
      <c r="V70" s="345"/>
      <c r="W70" s="340"/>
      <c r="X70" s="345"/>
      <c r="Y70" s="338"/>
      <c r="Z70" s="346"/>
      <c r="AA70" s="346"/>
      <c r="AB70" s="346"/>
      <c r="AC70" s="336"/>
      <c r="AD70" s="337"/>
      <c r="AE70" s="308"/>
      <c r="AF70" s="337"/>
      <c r="AG70" s="338"/>
      <c r="AH70" s="339"/>
      <c r="AI70" s="340"/>
      <c r="AJ70" s="341"/>
    </row>
    <row r="71" spans="10:36" x14ac:dyDescent="0.2">
      <c r="L71" s="328"/>
      <c r="M71" s="329"/>
      <c r="N71" s="342"/>
      <c r="O71" s="340"/>
      <c r="P71" s="332"/>
      <c r="Q71" s="342"/>
      <c r="R71" s="340"/>
      <c r="S71" s="343"/>
      <c r="T71" s="344"/>
      <c r="U71" s="344"/>
      <c r="V71" s="345"/>
      <c r="W71" s="340"/>
      <c r="X71" s="345"/>
      <c r="Y71" s="338"/>
      <c r="Z71" s="346"/>
      <c r="AA71" s="346"/>
      <c r="AB71" s="346"/>
      <c r="AC71" s="336"/>
      <c r="AD71" s="337"/>
      <c r="AE71" s="308"/>
      <c r="AF71" s="337"/>
      <c r="AG71" s="338"/>
      <c r="AH71" s="339"/>
      <c r="AI71" s="340"/>
      <c r="AJ71" s="341"/>
    </row>
    <row r="72" spans="10:36" x14ac:dyDescent="0.2">
      <c r="L72" s="328"/>
      <c r="M72" s="329"/>
      <c r="O72" s="340"/>
      <c r="P72" s="332"/>
      <c r="Q72" s="342"/>
      <c r="R72" s="340"/>
      <c r="S72" s="343"/>
      <c r="T72" s="344"/>
      <c r="U72" s="344"/>
      <c r="V72" s="345"/>
      <c r="W72" s="340"/>
      <c r="X72" s="345"/>
      <c r="Y72" s="338"/>
      <c r="Z72" s="346"/>
      <c r="AA72" s="346"/>
      <c r="AB72" s="346"/>
      <c r="AC72" s="336"/>
      <c r="AD72" s="337"/>
      <c r="AE72" s="308"/>
      <c r="AF72" s="337"/>
      <c r="AG72" s="338"/>
      <c r="AH72" s="339"/>
      <c r="AI72" s="340"/>
      <c r="AJ72" s="341"/>
    </row>
    <row r="73" spans="10:36" x14ac:dyDescent="0.2">
      <c r="L73" s="328"/>
      <c r="M73" s="329"/>
      <c r="O73" s="340"/>
      <c r="P73" s="332"/>
      <c r="Q73" s="342"/>
      <c r="R73" s="340"/>
      <c r="S73" s="343"/>
      <c r="T73" s="344"/>
      <c r="U73" s="344"/>
      <c r="V73" s="345"/>
      <c r="W73" s="340"/>
      <c r="X73" s="345"/>
      <c r="Y73" s="338"/>
      <c r="Z73" s="346"/>
      <c r="AA73" s="346"/>
      <c r="AB73" s="346"/>
      <c r="AC73" s="336"/>
      <c r="AD73" s="337"/>
      <c r="AE73" s="308"/>
      <c r="AF73" s="337"/>
      <c r="AG73" s="338"/>
      <c r="AH73" s="339"/>
      <c r="AI73" s="340"/>
      <c r="AJ73" s="341"/>
    </row>
    <row r="74" spans="10:36" x14ac:dyDescent="0.2">
      <c r="L74" s="328"/>
      <c r="M74" s="329"/>
      <c r="O74" s="340"/>
      <c r="P74" s="332"/>
      <c r="Q74" s="342"/>
      <c r="R74" s="340"/>
      <c r="S74" s="343"/>
      <c r="T74" s="344"/>
      <c r="U74" s="344"/>
      <c r="V74" s="345"/>
      <c r="W74" s="340"/>
      <c r="X74" s="345"/>
      <c r="Y74" s="338"/>
      <c r="Z74" s="346"/>
      <c r="AA74" s="346"/>
      <c r="AB74" s="346"/>
      <c r="AC74" s="336"/>
      <c r="AD74" s="337"/>
      <c r="AE74" s="308"/>
      <c r="AF74" s="337"/>
      <c r="AG74" s="338"/>
      <c r="AH74" s="339"/>
      <c r="AI74" s="340"/>
      <c r="AJ74" s="341"/>
    </row>
    <row r="75" spans="10:36" x14ac:dyDescent="0.2">
      <c r="L75" s="328"/>
      <c r="M75" s="329"/>
      <c r="O75" s="340"/>
      <c r="P75" s="332"/>
      <c r="Q75" s="342"/>
      <c r="R75" s="340"/>
      <c r="S75" s="343"/>
      <c r="T75" s="344"/>
      <c r="U75" s="344"/>
      <c r="V75" s="345"/>
      <c r="W75" s="340"/>
      <c r="X75" s="345"/>
      <c r="Y75" s="338"/>
      <c r="Z75" s="346"/>
      <c r="AA75" s="346"/>
      <c r="AB75" s="346"/>
      <c r="AC75" s="336"/>
      <c r="AD75" s="337"/>
      <c r="AE75" s="308"/>
      <c r="AF75" s="337"/>
      <c r="AG75" s="338"/>
      <c r="AH75" s="339"/>
      <c r="AI75" s="340"/>
      <c r="AJ75" s="341"/>
    </row>
    <row r="76" spans="10:36" x14ac:dyDescent="0.2">
      <c r="L76" s="328"/>
      <c r="M76" s="329"/>
      <c r="O76" s="340"/>
      <c r="P76" s="332"/>
      <c r="Q76" s="342"/>
      <c r="R76" s="340"/>
      <c r="S76" s="343"/>
      <c r="T76" s="344"/>
      <c r="U76" s="344"/>
      <c r="V76" s="345"/>
      <c r="W76" s="340"/>
      <c r="X76" s="345"/>
      <c r="Y76" s="338"/>
      <c r="Z76" s="346"/>
      <c r="AA76" s="346"/>
      <c r="AB76" s="346"/>
      <c r="AC76" s="336"/>
      <c r="AD76" s="337"/>
      <c r="AE76" s="308"/>
      <c r="AF76" s="337"/>
      <c r="AG76" s="338"/>
      <c r="AH76" s="339"/>
      <c r="AI76" s="340"/>
      <c r="AJ76" s="341"/>
    </row>
    <row r="77" spans="10:36" x14ac:dyDescent="0.2">
      <c r="L77" s="328"/>
      <c r="M77" s="329"/>
      <c r="O77" s="340"/>
      <c r="P77" s="332"/>
      <c r="Q77" s="342"/>
      <c r="R77" s="340"/>
      <c r="S77" s="343"/>
      <c r="T77" s="344"/>
      <c r="U77" s="344"/>
      <c r="V77" s="345"/>
      <c r="W77" s="340"/>
      <c r="X77" s="345"/>
      <c r="Y77" s="338"/>
      <c r="Z77" s="346"/>
      <c r="AA77" s="346"/>
      <c r="AB77" s="346"/>
      <c r="AC77" s="336"/>
      <c r="AD77" s="337"/>
      <c r="AE77" s="308"/>
      <c r="AF77" s="337"/>
      <c r="AG77" s="338"/>
      <c r="AH77" s="339"/>
      <c r="AI77" s="340"/>
      <c r="AJ77" s="341"/>
    </row>
    <row r="78" spans="10:36" x14ac:dyDescent="0.2">
      <c r="L78" s="328"/>
      <c r="M78" s="329"/>
      <c r="O78" s="340"/>
      <c r="P78" s="332"/>
      <c r="Q78" s="342"/>
      <c r="R78" s="340"/>
      <c r="S78" s="343"/>
      <c r="T78" s="344"/>
      <c r="U78" s="344"/>
      <c r="V78" s="345"/>
      <c r="W78" s="340"/>
      <c r="X78" s="345"/>
      <c r="Y78" s="338"/>
      <c r="Z78" s="346"/>
      <c r="AA78" s="346"/>
      <c r="AB78" s="346"/>
      <c r="AC78" s="336"/>
      <c r="AD78" s="337"/>
      <c r="AE78" s="308"/>
      <c r="AF78" s="337"/>
      <c r="AG78" s="338"/>
      <c r="AH78" s="339"/>
      <c r="AI78" s="340"/>
      <c r="AJ78" s="341"/>
    </row>
    <row r="79" spans="10:36" x14ac:dyDescent="0.2">
      <c r="L79" s="328"/>
      <c r="M79" s="329"/>
      <c r="O79" s="340"/>
      <c r="P79" s="332"/>
      <c r="Q79" s="342"/>
      <c r="R79" s="340"/>
      <c r="S79" s="343"/>
      <c r="T79" s="344"/>
      <c r="U79" s="344"/>
      <c r="V79" s="345"/>
      <c r="W79" s="340"/>
      <c r="X79" s="345"/>
      <c r="Y79" s="338"/>
      <c r="Z79" s="346"/>
      <c r="AA79" s="346"/>
      <c r="AB79" s="346"/>
      <c r="AC79" s="336"/>
      <c r="AD79" s="337"/>
      <c r="AE79" s="308"/>
      <c r="AF79" s="337"/>
      <c r="AG79" s="338"/>
      <c r="AH79" s="339"/>
      <c r="AI79" s="340"/>
      <c r="AJ79" s="341"/>
    </row>
    <row r="80" spans="10:36" x14ac:dyDescent="0.2">
      <c r="L80" s="328"/>
      <c r="M80" s="329"/>
      <c r="O80" s="340"/>
      <c r="P80" s="332"/>
      <c r="Q80" s="342"/>
      <c r="R80" s="340"/>
      <c r="S80" s="343"/>
      <c r="T80" s="344"/>
      <c r="U80" s="344"/>
      <c r="V80" s="345"/>
      <c r="W80" s="340"/>
      <c r="X80" s="345"/>
      <c r="Y80" s="338"/>
      <c r="Z80" s="346"/>
      <c r="AA80" s="346"/>
      <c r="AB80" s="346"/>
      <c r="AC80" s="336"/>
      <c r="AD80" s="337"/>
      <c r="AE80" s="308"/>
      <c r="AF80" s="337"/>
      <c r="AG80" s="338"/>
      <c r="AH80" s="339"/>
      <c r="AI80" s="340"/>
      <c r="AJ80" s="341"/>
    </row>
    <row r="81" spans="12:36" x14ac:dyDescent="0.2">
      <c r="L81" s="328"/>
      <c r="M81" s="329"/>
      <c r="O81" s="340"/>
      <c r="P81" s="332"/>
      <c r="Q81" s="342"/>
      <c r="R81" s="340"/>
      <c r="S81" s="343"/>
      <c r="T81" s="344"/>
      <c r="U81" s="344"/>
      <c r="V81" s="345"/>
      <c r="W81" s="340"/>
      <c r="X81" s="345"/>
      <c r="Y81" s="338"/>
      <c r="Z81" s="346"/>
      <c r="AA81" s="346"/>
      <c r="AB81" s="346"/>
      <c r="AC81" s="336"/>
      <c r="AD81" s="337"/>
      <c r="AE81" s="308"/>
      <c r="AF81" s="337"/>
      <c r="AG81" s="338"/>
      <c r="AH81" s="339"/>
      <c r="AI81" s="340"/>
      <c r="AJ81" s="341"/>
    </row>
    <row r="82" spans="12:36" x14ac:dyDescent="0.2">
      <c r="L82" s="328"/>
      <c r="M82" s="329"/>
      <c r="O82" s="340"/>
      <c r="P82" s="332"/>
      <c r="Q82" s="342"/>
      <c r="R82" s="340"/>
      <c r="S82" s="343"/>
      <c r="T82" s="344"/>
      <c r="U82" s="344"/>
      <c r="V82" s="345"/>
      <c r="W82" s="340"/>
      <c r="X82" s="345"/>
      <c r="Y82" s="338"/>
      <c r="Z82" s="346"/>
      <c r="AA82" s="346"/>
      <c r="AB82" s="346"/>
      <c r="AC82" s="336"/>
      <c r="AD82" s="337"/>
      <c r="AE82" s="308"/>
      <c r="AF82" s="337"/>
      <c r="AG82" s="338"/>
      <c r="AH82" s="339"/>
      <c r="AI82" s="340"/>
      <c r="AJ82" s="341"/>
    </row>
    <row r="83" spans="12:36" x14ac:dyDescent="0.2">
      <c r="L83" s="328"/>
      <c r="M83" s="329"/>
      <c r="O83" s="340"/>
      <c r="P83" s="332"/>
      <c r="Q83" s="342"/>
      <c r="R83" s="340"/>
      <c r="S83" s="343"/>
      <c r="T83" s="344"/>
      <c r="U83" s="344"/>
      <c r="V83" s="345"/>
      <c r="W83" s="340"/>
      <c r="X83" s="345"/>
      <c r="Y83" s="338"/>
      <c r="Z83" s="346"/>
      <c r="AA83" s="346"/>
      <c r="AB83" s="346"/>
      <c r="AC83" s="336"/>
      <c r="AD83" s="337"/>
      <c r="AE83" s="308"/>
      <c r="AF83" s="337"/>
      <c r="AG83" s="338"/>
      <c r="AH83" s="339"/>
      <c r="AI83" s="340"/>
      <c r="AJ83" s="341"/>
    </row>
    <row r="84" spans="12:36" x14ac:dyDescent="0.2">
      <c r="L84" s="328"/>
      <c r="M84" s="329"/>
      <c r="O84" s="340"/>
      <c r="P84" s="332"/>
      <c r="Q84" s="342"/>
      <c r="R84" s="340"/>
      <c r="S84" s="343"/>
      <c r="T84" s="344"/>
      <c r="U84" s="344"/>
      <c r="V84" s="345"/>
      <c r="W84" s="340"/>
      <c r="X84" s="345"/>
      <c r="Y84" s="338"/>
      <c r="Z84" s="346"/>
      <c r="AA84" s="346"/>
      <c r="AB84" s="346"/>
      <c r="AC84" s="336"/>
      <c r="AD84" s="337"/>
      <c r="AE84" s="308"/>
      <c r="AF84" s="337"/>
      <c r="AG84" s="338"/>
      <c r="AH84" s="339"/>
      <c r="AI84" s="340"/>
      <c r="AJ84" s="341"/>
    </row>
    <row r="85" spans="12:36" x14ac:dyDescent="0.2">
      <c r="L85" s="328"/>
      <c r="M85" s="329"/>
      <c r="O85" s="340"/>
      <c r="P85" s="332"/>
      <c r="Q85" s="342"/>
      <c r="R85" s="340"/>
      <c r="S85" s="343"/>
      <c r="T85" s="344"/>
      <c r="U85" s="344"/>
      <c r="V85" s="345"/>
      <c r="W85" s="340"/>
      <c r="X85" s="345"/>
      <c r="Y85" s="338"/>
      <c r="Z85" s="346"/>
      <c r="AA85" s="346"/>
      <c r="AB85" s="346"/>
      <c r="AC85" s="336"/>
      <c r="AD85" s="337"/>
      <c r="AE85" s="308"/>
      <c r="AF85" s="337"/>
      <c r="AG85" s="338"/>
      <c r="AH85" s="339"/>
      <c r="AI85" s="340"/>
      <c r="AJ85" s="341"/>
    </row>
    <row r="86" spans="12:36" x14ac:dyDescent="0.2">
      <c r="L86" s="328"/>
      <c r="M86" s="329"/>
      <c r="O86" s="340"/>
      <c r="P86" s="332"/>
      <c r="Q86" s="342"/>
      <c r="R86" s="340"/>
      <c r="S86" s="343"/>
      <c r="T86" s="344"/>
      <c r="U86" s="344"/>
      <c r="V86" s="345"/>
      <c r="W86" s="340"/>
      <c r="X86" s="345"/>
      <c r="Y86" s="338"/>
      <c r="Z86" s="346"/>
      <c r="AA86" s="346"/>
      <c r="AB86" s="346"/>
      <c r="AC86" s="336"/>
      <c r="AD86" s="337"/>
      <c r="AE86" s="308"/>
      <c r="AF86" s="337"/>
      <c r="AG86" s="338"/>
      <c r="AH86" s="339"/>
      <c r="AI86" s="340"/>
      <c r="AJ86" s="34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8361-D510-6841-A1D4-8161F597F617}">
  <sheetPr filterMode="1"/>
  <dimension ref="A1:AU26"/>
  <sheetViews>
    <sheetView zoomScale="82" zoomScaleNormal="100" workbookViewId="0">
      <pane xSplit="2" ySplit="2" topLeftCell="S3" activePane="bottomRight" state="frozen"/>
      <selection pane="topRight" activeCell="C1" sqref="C1"/>
      <selection pane="bottomLeft" activeCell="A2" sqref="A2"/>
      <selection pane="bottomRight" activeCell="AF15" activeCellId="2" sqref="T12:T15 Z4:Z15 AF15"/>
    </sheetView>
  </sheetViews>
  <sheetFormatPr baseColWidth="10" defaultRowHeight="16" x14ac:dyDescent="0.2"/>
  <cols>
    <col min="1" max="1" width="17" customWidth="1"/>
    <col min="2" max="2" width="16.1640625" customWidth="1"/>
    <col min="3" max="3" width="10.83203125" style="132" customWidth="1"/>
    <col min="4" max="4" width="10.83203125" customWidth="1"/>
    <col min="5" max="5" width="10.83203125" style="132" customWidth="1"/>
    <col min="6" max="6" width="10.83203125" customWidth="1"/>
    <col min="7" max="7" width="10.83203125" style="132" customWidth="1"/>
    <col min="8" max="8" width="10.83203125" customWidth="1"/>
    <col min="9" max="9" width="10.83203125" style="132" customWidth="1"/>
    <col min="10" max="10" width="10.83203125" customWidth="1"/>
    <col min="11" max="11" width="10.83203125" style="132" customWidth="1"/>
    <col min="12" max="12" width="10.83203125" customWidth="1"/>
    <col min="13" max="13" width="10.83203125" style="132" customWidth="1"/>
    <col min="14" max="15" width="10.83203125" customWidth="1"/>
    <col min="16" max="16" width="10.83203125" style="133" customWidth="1"/>
    <col min="17" max="19" width="10.83203125" customWidth="1"/>
    <col min="20" max="20" width="10.83203125" style="187" customWidth="1"/>
    <col min="21" max="24" width="10.83203125" style="188" customWidth="1"/>
    <col min="25" max="25" width="10.83203125" style="198" customWidth="1"/>
    <col min="26" max="26" width="10.83203125" style="187" customWidth="1"/>
    <col min="27" max="29" width="10.83203125" style="188" customWidth="1"/>
    <col min="30" max="30" width="10.83203125" style="189" customWidth="1"/>
    <col min="31" max="31" width="10.83203125" style="198" customWidth="1"/>
    <col min="32" max="32" width="10.83203125" style="187" customWidth="1"/>
    <col min="33" max="36" width="10.83203125" style="188" customWidth="1"/>
    <col min="37" max="37" width="10.83203125" style="198" customWidth="1"/>
    <col min="38" max="38" width="10.83203125" style="197" customWidth="1"/>
    <col min="39" max="39" width="10.83203125" style="192" customWidth="1"/>
    <col min="40" max="40" width="10.83203125" style="193" customWidth="1"/>
    <col min="41" max="41" width="10.83203125" style="192" customWidth="1"/>
    <col min="42" max="42" width="10.83203125" style="193" customWidth="1"/>
    <col min="43" max="43" width="10.83203125" style="192" customWidth="1"/>
    <col min="44" max="45" width="10.83203125" customWidth="1"/>
    <col min="46" max="47" width="11.33203125" customWidth="1"/>
    <col min="48" max="48" width="6" customWidth="1"/>
    <col min="49" max="49" width="4.6640625" customWidth="1"/>
    <col min="50" max="50" width="8.6640625" customWidth="1"/>
    <col min="52" max="52" width="25.5" customWidth="1"/>
  </cols>
  <sheetData>
    <row r="1" spans="1:47" x14ac:dyDescent="0.2">
      <c r="D1" s="373" t="s">
        <v>48</v>
      </c>
      <c r="E1" s="374"/>
      <c r="F1" s="374"/>
      <c r="G1" s="375"/>
      <c r="H1" s="373" t="s">
        <v>49</v>
      </c>
      <c r="I1" s="374"/>
      <c r="J1" s="374"/>
      <c r="K1" s="375"/>
      <c r="L1" s="376" t="s">
        <v>50</v>
      </c>
      <c r="M1" s="377"/>
      <c r="N1" s="377"/>
      <c r="O1" s="378"/>
      <c r="T1" s="379" t="s">
        <v>51</v>
      </c>
      <c r="U1" s="380"/>
      <c r="V1" s="380"/>
      <c r="W1" s="380"/>
      <c r="X1" s="380"/>
      <c r="Y1" s="381"/>
      <c r="Z1" s="379" t="s">
        <v>52</v>
      </c>
      <c r="AA1" s="380"/>
      <c r="AB1" s="380"/>
      <c r="AC1" s="380"/>
      <c r="AD1" s="380"/>
      <c r="AE1" s="381"/>
      <c r="AF1" s="382" t="s">
        <v>53</v>
      </c>
      <c r="AG1" s="383"/>
      <c r="AH1" s="383"/>
      <c r="AI1" s="383"/>
      <c r="AJ1" s="383"/>
      <c r="AK1" s="384"/>
      <c r="AL1" s="371" t="s">
        <v>54</v>
      </c>
      <c r="AM1" s="372"/>
      <c r="AN1" s="371" t="s">
        <v>55</v>
      </c>
      <c r="AO1" s="372"/>
      <c r="AP1" s="371" t="s">
        <v>56</v>
      </c>
      <c r="AQ1" s="372"/>
    </row>
    <row r="2" spans="1:47" s="134" customFormat="1" ht="51" x14ac:dyDescent="0.2">
      <c r="A2" s="134" t="s">
        <v>57</v>
      </c>
      <c r="C2" s="135" t="s">
        <v>58</v>
      </c>
      <c r="D2" s="136" t="s">
        <v>59</v>
      </c>
      <c r="E2" s="135" t="s">
        <v>60</v>
      </c>
      <c r="F2" s="136" t="s">
        <v>61</v>
      </c>
      <c r="G2" s="135" t="s">
        <v>62</v>
      </c>
      <c r="H2" s="136" t="s">
        <v>63</v>
      </c>
      <c r="I2" s="135" t="s">
        <v>64</v>
      </c>
      <c r="J2" s="136" t="s">
        <v>65</v>
      </c>
      <c r="K2" s="135" t="s">
        <v>66</v>
      </c>
      <c r="L2" s="136" t="s">
        <v>67</v>
      </c>
      <c r="M2" s="135" t="s">
        <v>68</v>
      </c>
      <c r="N2" s="136" t="s">
        <v>69</v>
      </c>
      <c r="O2" s="136" t="s">
        <v>70</v>
      </c>
      <c r="P2" s="137" t="s">
        <v>71</v>
      </c>
      <c r="Q2" s="138" t="s">
        <v>72</v>
      </c>
      <c r="R2" s="136" t="s">
        <v>73</v>
      </c>
      <c r="S2" s="136" t="s">
        <v>74</v>
      </c>
      <c r="T2" s="139" t="s">
        <v>75</v>
      </c>
      <c r="U2" s="140" t="s">
        <v>76</v>
      </c>
      <c r="V2" s="140" t="s">
        <v>77</v>
      </c>
      <c r="W2" s="140" t="s">
        <v>78</v>
      </c>
      <c r="X2" s="140" t="s">
        <v>79</v>
      </c>
      <c r="Y2" s="141" t="s">
        <v>80</v>
      </c>
      <c r="Z2" s="139" t="s">
        <v>75</v>
      </c>
      <c r="AA2" s="142" t="s">
        <v>81</v>
      </c>
      <c r="AB2" s="140" t="s">
        <v>82</v>
      </c>
      <c r="AC2" s="140" t="s">
        <v>83</v>
      </c>
      <c r="AD2" s="140" t="s">
        <v>84</v>
      </c>
      <c r="AE2" s="141" t="s">
        <v>85</v>
      </c>
      <c r="AF2" s="139" t="s">
        <v>75</v>
      </c>
      <c r="AG2" s="140" t="s">
        <v>86</v>
      </c>
      <c r="AH2" s="140" t="s">
        <v>82</v>
      </c>
      <c r="AI2" s="140" t="s">
        <v>83</v>
      </c>
      <c r="AJ2" s="140" t="s">
        <v>87</v>
      </c>
      <c r="AK2" s="143" t="s">
        <v>88</v>
      </c>
      <c r="AL2" s="144" t="s">
        <v>89</v>
      </c>
      <c r="AM2" s="145" t="s">
        <v>90</v>
      </c>
      <c r="AN2" s="144" t="s">
        <v>89</v>
      </c>
      <c r="AO2" s="146" t="s">
        <v>90</v>
      </c>
      <c r="AP2" s="144" t="s">
        <v>89</v>
      </c>
      <c r="AQ2" s="146" t="s">
        <v>91</v>
      </c>
      <c r="AR2" s="136" t="s">
        <v>92</v>
      </c>
      <c r="AS2" s="147" t="s">
        <v>8</v>
      </c>
    </row>
    <row r="3" spans="1:47" s="148" customFormat="1" ht="19" x14ac:dyDescent="0.2">
      <c r="C3" s="149"/>
      <c r="D3" s="150"/>
      <c r="E3" s="149"/>
      <c r="F3" s="150"/>
      <c r="G3" s="149"/>
      <c r="H3" s="150"/>
      <c r="I3" s="149"/>
      <c r="J3" s="150"/>
      <c r="K3" s="149"/>
      <c r="L3" s="150"/>
      <c r="M3" s="149"/>
      <c r="N3" s="150"/>
      <c r="O3" s="150"/>
      <c r="P3" s="151"/>
      <c r="Q3" s="152"/>
      <c r="R3" s="150"/>
      <c r="S3" s="150"/>
      <c r="T3" s="153" t="s">
        <v>93</v>
      </c>
      <c r="U3" s="154" t="s">
        <v>93</v>
      </c>
      <c r="V3" s="154" t="s">
        <v>94</v>
      </c>
      <c r="W3" s="154" t="s">
        <v>94</v>
      </c>
      <c r="X3" s="155" t="s">
        <v>43</v>
      </c>
      <c r="Y3" s="155" t="s">
        <v>43</v>
      </c>
      <c r="Z3" s="153" t="s">
        <v>93</v>
      </c>
      <c r="AA3" s="154" t="s">
        <v>93</v>
      </c>
      <c r="AB3" s="154" t="s">
        <v>94</v>
      </c>
      <c r="AC3" s="154" t="s">
        <v>94</v>
      </c>
      <c r="AD3" s="155" t="s">
        <v>43</v>
      </c>
      <c r="AE3" s="155" t="s">
        <v>43</v>
      </c>
      <c r="AF3" s="153" t="s">
        <v>93</v>
      </c>
      <c r="AG3" s="154" t="s">
        <v>93</v>
      </c>
      <c r="AH3" s="154" t="s">
        <v>94</v>
      </c>
      <c r="AI3" s="154" t="s">
        <v>94</v>
      </c>
      <c r="AJ3" s="155" t="s">
        <v>43</v>
      </c>
      <c r="AK3" s="156" t="s">
        <v>43</v>
      </c>
      <c r="AL3" s="157" t="s">
        <v>95</v>
      </c>
      <c r="AM3" s="158" t="s">
        <v>95</v>
      </c>
      <c r="AN3" s="157" t="s">
        <v>95</v>
      </c>
      <c r="AO3" s="158" t="s">
        <v>95</v>
      </c>
      <c r="AP3" s="157" t="s">
        <v>95</v>
      </c>
      <c r="AQ3" s="158" t="s">
        <v>95</v>
      </c>
      <c r="AR3" s="150" t="s">
        <v>95</v>
      </c>
      <c r="AS3" s="159" t="s">
        <v>19</v>
      </c>
    </row>
    <row r="4" spans="1:47" x14ac:dyDescent="0.2">
      <c r="A4" s="160" t="s">
        <v>22</v>
      </c>
      <c r="B4" s="161" t="s">
        <v>96</v>
      </c>
      <c r="C4" s="162">
        <v>5</v>
      </c>
      <c r="D4" s="163">
        <v>-2.84</v>
      </c>
      <c r="E4" s="164">
        <v>0.64</v>
      </c>
      <c r="F4" s="163">
        <v>41.74</v>
      </c>
      <c r="G4" s="164">
        <v>13.029</v>
      </c>
      <c r="H4" s="163">
        <v>-2.6</v>
      </c>
      <c r="I4" s="164">
        <v>0.22900000000000001</v>
      </c>
      <c r="J4" s="163">
        <v>20.91</v>
      </c>
      <c r="K4" s="164">
        <v>3.07</v>
      </c>
      <c r="L4" s="165"/>
      <c r="M4" s="164"/>
      <c r="N4" s="163"/>
      <c r="O4" s="163"/>
      <c r="P4" s="166"/>
      <c r="Q4" s="163"/>
      <c r="R4" s="163"/>
      <c r="S4" s="163"/>
      <c r="T4" s="167">
        <f t="shared" ref="T4:T11" si="0">(EXP(F4))</f>
        <v>1.3410707018077901E+18</v>
      </c>
      <c r="U4" s="168">
        <f>G4*T4</f>
        <v>1.7472810173853696E+19</v>
      </c>
      <c r="V4" s="168">
        <f>T4*(AR4/10000)^2</f>
        <v>56648283888517.867</v>
      </c>
      <c r="W4" s="168">
        <f>V4*SQRT((U4/T4)^2+(2*1/AR4)^2)</f>
        <v>738072549374076.62</v>
      </c>
      <c r="X4" s="169">
        <f>E4*$B$21*10^4</f>
        <v>53.212557439999998</v>
      </c>
      <c r="Y4" s="170">
        <f>-D4*$B$21*10^4</f>
        <v>236.13072363999996</v>
      </c>
      <c r="Z4" s="167">
        <f t="shared" ref="Z4:Z12" si="1">(EXP(J4))</f>
        <v>1205306827.37059</v>
      </c>
      <c r="AA4" s="168">
        <f>K4*Z4</f>
        <v>3700291960.0277109</v>
      </c>
      <c r="AB4" s="168">
        <f>Z4*(AR4/10000)^2</f>
        <v>50913.470287298878</v>
      </c>
      <c r="AC4" s="168">
        <f>AB4*SQRT((AA4/Z4)^2+(2*1/AR4)^2)</f>
        <v>156312.2057465273</v>
      </c>
      <c r="AD4" s="169">
        <f>I4*$B$21*10^4</f>
        <v>19.040118208999999</v>
      </c>
      <c r="AE4" s="170">
        <f t="shared" ref="AE4:AE12" si="2">-H4*$B$21*10^4</f>
        <v>216.1760146</v>
      </c>
      <c r="AF4" s="167"/>
      <c r="AG4" s="168"/>
      <c r="AH4" s="168"/>
      <c r="AI4" s="168"/>
      <c r="AJ4" s="169"/>
      <c r="AK4" s="171"/>
      <c r="AL4" s="172">
        <f>SQRT(ABS([1]Ea_vs_shock_forplotting!J$7/EXP(J4+K4)))*1000000</f>
        <v>4.209088698986066E-2</v>
      </c>
      <c r="AM4" s="173">
        <f>SQRT(ABS([1]Ea_vs_shock_forplotting!J$7/EXP(F4)))*1000000</f>
        <v>5.8567013479584458E-6</v>
      </c>
      <c r="AN4" s="174">
        <f>SQRT(ABS([1]Ea_vs_shock_forplotting!J$7/EXP(J4+K4)))*1000000</f>
        <v>4.209088698986066E-2</v>
      </c>
      <c r="AO4" s="175">
        <f>SQRT(ABS([1]Ea_vs_shock_forplotting!J$7/EXP(J4)))*1000000</f>
        <v>0.19535750836444737</v>
      </c>
      <c r="AP4" s="174"/>
      <c r="AQ4" s="175"/>
      <c r="AR4" s="165">
        <v>64.993143312602442</v>
      </c>
      <c r="AS4" s="176">
        <v>221.54033333333334</v>
      </c>
      <c r="AT4" s="177"/>
      <c r="AU4" s="177"/>
    </row>
    <row r="5" spans="1:47" hidden="1" x14ac:dyDescent="0.2">
      <c r="A5" s="160" t="s">
        <v>23</v>
      </c>
      <c r="B5" s="161" t="s">
        <v>97</v>
      </c>
      <c r="C5" s="162">
        <v>4</v>
      </c>
      <c r="D5" s="165">
        <v>-3.43</v>
      </c>
      <c r="E5" s="178">
        <v>0.44800000000000001</v>
      </c>
      <c r="F5" s="165">
        <v>37.76</v>
      </c>
      <c r="G5" s="178">
        <v>7.69</v>
      </c>
      <c r="H5" s="165">
        <v>-2.78817</v>
      </c>
      <c r="I5" s="178">
        <v>0.1855</v>
      </c>
      <c r="J5" s="165">
        <v>16.023</v>
      </c>
      <c r="K5" s="178">
        <v>2.2316600000000002</v>
      </c>
      <c r="L5" s="165"/>
      <c r="M5" s="178"/>
      <c r="N5" s="165"/>
      <c r="O5" s="165"/>
      <c r="P5" s="166"/>
      <c r="Q5" s="165"/>
      <c r="R5" s="165"/>
      <c r="S5" s="165"/>
      <c r="T5" s="167">
        <f t="shared" si="0"/>
        <v>2.5058763460380436E+16</v>
      </c>
      <c r="U5" s="168">
        <f t="shared" ref="U5:U18" si="3">G5*T5</f>
        <v>1.9270189101032557E+17</v>
      </c>
      <c r="V5" s="168">
        <f t="shared" ref="V5:V18" si="4">T5*(AR5/10000)^2</f>
        <v>1104131212644.4517</v>
      </c>
      <c r="W5" s="168">
        <f t="shared" ref="W5:W18" si="5">V5*SQRT((U5/T5)^2+(2*1/AR5)^2)</f>
        <v>8490834197322.4121</v>
      </c>
      <c r="X5" s="169">
        <f t="shared" ref="X5:X18" si="6">E5*$B$21*10^4</f>
        <v>37.248790207999996</v>
      </c>
      <c r="Y5" s="170">
        <f t="shared" ref="Y5:Y11" si="7">-D5*$B$21*10^4</f>
        <v>285.18605002999999</v>
      </c>
      <c r="Z5" s="167">
        <f t="shared" si="1"/>
        <v>9092859.5623542108</v>
      </c>
      <c r="AA5" s="168">
        <f t="shared" ref="AA5:AA18" si="8">K5*Z5</f>
        <v>20292170.970923401</v>
      </c>
      <c r="AB5" s="168">
        <f t="shared" ref="AB5:AB18" si="9">Z5*(AR5/10000)^2</f>
        <v>400.64666681822911</v>
      </c>
      <c r="AC5" s="168">
        <f>AB5*SQRT((AA5/Z5)^2+(2*1/AR5)^2)</f>
        <v>894.18862640791099</v>
      </c>
      <c r="AD5" s="169">
        <f t="shared" ref="AD5:AD18" si="10">I5*$B$21*10^4</f>
        <v>15.423327195499999</v>
      </c>
      <c r="AE5" s="170">
        <f t="shared" si="2"/>
        <v>231.82133793356999</v>
      </c>
      <c r="AF5" s="167"/>
      <c r="AG5" s="168"/>
      <c r="AH5" s="168"/>
      <c r="AI5" s="168"/>
      <c r="AJ5" s="169"/>
      <c r="AK5" s="171"/>
      <c r="AL5" s="172">
        <f>SQRT(ABS([1]Ea_vs_shock_forplotting!J$7/EXP(J5+K5)))*1000000</f>
        <v>0.73693615204816487</v>
      </c>
      <c r="AM5" s="173">
        <f>SQRT(ABS([1]Ea_vs_shock_forplotting!J$7/EXP(F5)))*1000000</f>
        <v>4.2844896446754046E-5</v>
      </c>
      <c r="AN5" s="174">
        <f>SQRT(ABS([1]Ea_vs_shock_forplotting!J$7/EXP(J5+K5)))*1000000</f>
        <v>0.73693615204816487</v>
      </c>
      <c r="AO5" s="175">
        <f>SQRT(ABS([1]Ea_vs_shock_forplotting!J$7/EXP(J5)))*1000000</f>
        <v>2.2492031034275524</v>
      </c>
      <c r="AP5" s="174"/>
      <c r="AQ5" s="175"/>
      <c r="AR5" s="165">
        <v>66.378972449630183</v>
      </c>
      <c r="AS5" s="179">
        <v>113.28988888888888</v>
      </c>
      <c r="AT5" s="177"/>
      <c r="AU5" s="177"/>
    </row>
    <row r="6" spans="1:47" hidden="1" x14ac:dyDescent="0.2">
      <c r="A6" s="160" t="s">
        <v>24</v>
      </c>
      <c r="B6" s="161" t="s">
        <v>98</v>
      </c>
      <c r="C6" s="162">
        <v>1</v>
      </c>
      <c r="D6" s="165">
        <v>-2.113728833725419</v>
      </c>
      <c r="E6" s="178">
        <v>2.4114879552865918E-2</v>
      </c>
      <c r="F6" s="165">
        <v>12.123833186486371</v>
      </c>
      <c r="G6" s="178">
        <v>0.34183648585086518</v>
      </c>
      <c r="H6" s="165">
        <v>-2.3723173831751598</v>
      </c>
      <c r="I6" s="178">
        <v>0.1333828777032989</v>
      </c>
      <c r="J6" s="165">
        <v>14.322463558890879</v>
      </c>
      <c r="K6" s="178">
        <v>1.609204640652059</v>
      </c>
      <c r="L6" s="165">
        <v>-1.9818606673292649</v>
      </c>
      <c r="M6" s="178">
        <v>2.0939385426063259E-2</v>
      </c>
      <c r="N6" s="165">
        <v>8.7530994856933049</v>
      </c>
      <c r="O6" s="165">
        <v>0.25117346656959971</v>
      </c>
      <c r="P6" s="166"/>
      <c r="Q6" s="165"/>
      <c r="R6" s="165"/>
      <c r="S6" s="165"/>
      <c r="T6" s="167">
        <f t="shared" si="0"/>
        <v>184210.27564101748</v>
      </c>
      <c r="U6" s="168">
        <f t="shared" si="3"/>
        <v>62969.793282744642</v>
      </c>
      <c r="V6" s="168">
        <f t="shared" si="4"/>
        <v>4.1824620582848082</v>
      </c>
      <c r="W6" s="168">
        <f t="shared" si="5"/>
        <v>1.4404554964006335</v>
      </c>
      <c r="X6" s="169">
        <f t="shared" si="6"/>
        <v>2.0050225208836863</v>
      </c>
      <c r="Y6" s="170">
        <f t="shared" si="7"/>
        <v>175.74518277687196</v>
      </c>
      <c r="Z6" s="167">
        <f t="shared" si="1"/>
        <v>1660224.7768234201</v>
      </c>
      <c r="AA6" s="168">
        <f t="shared" si="8"/>
        <v>2671641.4153897767</v>
      </c>
      <c r="AB6" s="168">
        <f t="shared" si="9"/>
        <v>37.69511289815452</v>
      </c>
      <c r="AC6" s="168">
        <f t="shared" ref="AC6:AC18" si="11">AB6*SQRT((AA6/Z6)^2+(2*1/AR6)^2)</f>
        <v>60.679781201075969</v>
      </c>
      <c r="AD6" s="169">
        <f t="shared" si="10"/>
        <v>11.090068814530136</v>
      </c>
      <c r="AE6" s="170">
        <f t="shared" si="2"/>
        <v>197.24542971581042</v>
      </c>
      <c r="AF6" s="167">
        <f>(EXP(N6))</f>
        <v>6330.2783397330068</v>
      </c>
      <c r="AG6" s="168">
        <f t="shared" ref="AG6:AG18" si="12">O6*AF6</f>
        <v>1589.9979549411896</v>
      </c>
      <c r="AH6" s="168">
        <f>AF6*(AR6/10000)^2</f>
        <v>0.14372786144629218</v>
      </c>
      <c r="AI6" s="168">
        <f>AH6*SQRT((AG6/AF6)^2+(2*1/AR6)^2)</f>
        <v>3.6601210836633612E-2</v>
      </c>
      <c r="AJ6" s="169">
        <f t="shared" ref="AJ6:AJ18" si="13">M6*$B$21*10^4</f>
        <v>1.7409972652229531</v>
      </c>
      <c r="AK6" s="171">
        <f>-L6*$B$21*10^4</f>
        <v>164.78105405989879</v>
      </c>
      <c r="AL6" s="172">
        <f>SQRT(ABS([1]Ea_vs_shock_forplotting!J$7/EXP(J6+K6)))*1000000</f>
        <v>2.3542963133726102</v>
      </c>
      <c r="AM6" s="175">
        <f>SQRT(ABS([1]Ea_vs_shock_forplotting!J$7/EXP(F6)))*1000000</f>
        <v>15.802361390862529</v>
      </c>
      <c r="AN6" s="174">
        <f>SQRT(ABS([1]Ea_vs_shock_forplotting!J$7/EXP(J6+K6)))*1000000</f>
        <v>2.3542963133726102</v>
      </c>
      <c r="AO6" s="175">
        <f>SQRT(ABS([1]Ea_vs_shock_forplotting!J$7/EXP(J6)))*1000000</f>
        <v>5.263752617596384</v>
      </c>
      <c r="AP6" s="174">
        <f>SQRT(ABS([1]Ea_vs_shock_forplotting!J$7/EXP(N6+O6)))*1000000</f>
        <v>75.184079599957244</v>
      </c>
      <c r="AQ6" s="175">
        <f>SQRT(ABS([1]Ea_vs_shock_forplotting!J$7/EXP(N6)))*1000000</f>
        <v>85.24472474117151</v>
      </c>
      <c r="AR6" s="165">
        <v>47.649580194949039</v>
      </c>
      <c r="AS6" s="179">
        <v>877.24150000000009</v>
      </c>
      <c r="AT6" s="177"/>
      <c r="AU6" s="177"/>
    </row>
    <row r="7" spans="1:47" hidden="1" x14ac:dyDescent="0.2">
      <c r="A7" s="160" t="s">
        <v>25</v>
      </c>
      <c r="B7" s="161" t="s">
        <v>99</v>
      </c>
      <c r="C7" s="162">
        <v>2</v>
      </c>
      <c r="D7" s="165">
        <v>-1.979620950558125</v>
      </c>
      <c r="E7" s="178">
        <v>3.6529997408527283E-2</v>
      </c>
      <c r="F7" s="165">
        <v>13.167941003024181</v>
      </c>
      <c r="G7" s="178">
        <v>0.58765742318919734</v>
      </c>
      <c r="H7" s="165">
        <v>-1.5075907962640349</v>
      </c>
      <c r="I7" s="178">
        <v>3.6655189841288967E-2</v>
      </c>
      <c r="J7" s="165">
        <v>6.1275009448493218</v>
      </c>
      <c r="K7" s="178">
        <v>0.51162262581541995</v>
      </c>
      <c r="L7" s="165">
        <v>-2.4813820370600279</v>
      </c>
      <c r="M7" s="178">
        <v>0.1139377898797721</v>
      </c>
      <c r="N7" s="165">
        <v>16.13246634605807</v>
      </c>
      <c r="O7" s="165">
        <v>1.3661936612655869</v>
      </c>
      <c r="P7" s="166"/>
      <c r="Q7" s="165"/>
      <c r="R7" s="165"/>
      <c r="S7" s="165"/>
      <c r="T7" s="167">
        <f t="shared" si="0"/>
        <v>523316.12346879538</v>
      </c>
      <c r="U7" s="168">
        <f t="shared" si="3"/>
        <v>307530.60463103215</v>
      </c>
      <c r="V7" s="168">
        <f t="shared" si="4"/>
        <v>18.116925952226783</v>
      </c>
      <c r="W7" s="168">
        <f t="shared" si="5"/>
        <v>10.664341393624106</v>
      </c>
      <c r="X7" s="169">
        <f t="shared" si="6"/>
        <v>3.0372727896629832</v>
      </c>
      <c r="Y7" s="170">
        <f t="shared" si="7"/>
        <v>164.59483365781503</v>
      </c>
      <c r="Z7" s="167">
        <f t="shared" si="1"/>
        <v>458.28943783479559</v>
      </c>
      <c r="AA7" s="168">
        <f t="shared" si="8"/>
        <v>234.4712455685108</v>
      </c>
      <c r="AB7" s="168">
        <f t="shared" si="9"/>
        <v>1.5865736669655118E-2</v>
      </c>
      <c r="AC7" s="168">
        <f t="shared" si="11"/>
        <v>8.1351652649074915E-3</v>
      </c>
      <c r="AD7" s="169">
        <f t="shared" si="10"/>
        <v>3.0476818670370212</v>
      </c>
      <c r="AE7" s="170">
        <f t="shared" si="2"/>
        <v>125.3480653784614</v>
      </c>
      <c r="AF7" s="167">
        <f>(EXP(N7))</f>
        <v>10144744.499525929</v>
      </c>
      <c r="AG7" s="168">
        <f t="shared" si="12"/>
        <v>13859685.630411252</v>
      </c>
      <c r="AH7" s="168">
        <f t="shared" ref="AH7:AH18" si="14">AF7*(AR7/10000)^2</f>
        <v>351.20566070831268</v>
      </c>
      <c r="AI7" s="168">
        <f t="shared" ref="AI7:AI18" si="15">AH7*SQRT((AG7/AF7)^2+(2*1/AR7)^2)</f>
        <v>479.9634355595299</v>
      </c>
      <c r="AJ7" s="169">
        <f t="shared" si="13"/>
        <v>9.4733143571312866</v>
      </c>
      <c r="AK7" s="170">
        <f>-L7*$B$21*10^4</f>
        <v>206.31356902756397</v>
      </c>
      <c r="AL7" s="180">
        <f>SQRT(ABS([1]Ea_vs_shock_forplotting!J$7/EXP(J7+K7)))*1000000</f>
        <v>245.30790875399805</v>
      </c>
      <c r="AM7" s="175">
        <f>SQRT(ABS([1]Ea_vs_shock_forplotting!J$7/EXP(F7)))*1000000</f>
        <v>9.3755522399342439</v>
      </c>
      <c r="AN7" s="174">
        <f>SQRT(ABS([1]Ea_vs_shock_forplotting!J$7/EXP(J7+K7)))*1000000</f>
        <v>245.30790875399805</v>
      </c>
      <c r="AO7" s="175">
        <f>SQRT(ABS([1]Ea_vs_shock_forplotting!J$7/EXP(J7)))*1000000</f>
        <v>316.81737532867271</v>
      </c>
      <c r="AP7" s="174">
        <f>SQRT(ABS([1]Ea_vs_shock_forplotting!J$7/EXP(N7+O7)))*1000000</f>
        <v>1.0754573076264355</v>
      </c>
      <c r="AQ7" s="175">
        <f>SQRT(ABS([1]Ea_vs_shock_forplotting!J$7/EXP(N7)))*1000000</f>
        <v>2.1294054391318351</v>
      </c>
      <c r="AR7" s="165">
        <v>58.838310911685298</v>
      </c>
      <c r="AS7" s="181">
        <v>2173.1043749999999</v>
      </c>
      <c r="AT7" s="177"/>
      <c r="AU7" s="177"/>
    </row>
    <row r="8" spans="1:47" hidden="1" x14ac:dyDescent="0.2">
      <c r="A8" s="160" t="s">
        <v>26</v>
      </c>
      <c r="B8" s="161" t="s">
        <v>100</v>
      </c>
      <c r="C8" s="162">
        <v>3</v>
      </c>
      <c r="D8" s="165">
        <v>-2.4007370500331988</v>
      </c>
      <c r="E8" s="178">
        <v>5.539645453560809E-2</v>
      </c>
      <c r="F8" s="165">
        <v>16.33622033853592</v>
      </c>
      <c r="G8" s="178">
        <v>0.89275379982355085</v>
      </c>
      <c r="H8" s="165">
        <v>-1.967021144780041</v>
      </c>
      <c r="I8" s="178">
        <v>5.6533112784167068E-2</v>
      </c>
      <c r="J8" s="165">
        <v>5.0841641186079656</v>
      </c>
      <c r="K8" s="178">
        <v>0.72424343853799478</v>
      </c>
      <c r="L8" s="165"/>
      <c r="M8" s="178"/>
      <c r="N8" s="165"/>
      <c r="O8" s="165"/>
      <c r="P8" s="166"/>
      <c r="Q8" s="165"/>
      <c r="R8" s="165"/>
      <c r="S8" s="165"/>
      <c r="T8" s="167">
        <f t="shared" si="0"/>
        <v>12437421.371454794</v>
      </c>
      <c r="U8" s="168">
        <f t="shared" si="3"/>
        <v>11103555.189372906</v>
      </c>
      <c r="V8" s="168">
        <f t="shared" si="4"/>
        <v>328.63869757085854</v>
      </c>
      <c r="W8" s="168">
        <f t="shared" si="5"/>
        <v>293.67194433434207</v>
      </c>
      <c r="X8" s="169">
        <f t="shared" si="6"/>
        <v>4.6059172171068656</v>
      </c>
      <c r="Y8" s="170">
        <f t="shared" si="7"/>
        <v>199.60837214566834</v>
      </c>
      <c r="Z8" s="167">
        <f t="shared" si="1"/>
        <v>161.44493400510669</v>
      </c>
      <c r="AA8" s="168">
        <f t="shared" si="8"/>
        <v>116.9254341383981</v>
      </c>
      <c r="AB8" s="168">
        <f t="shared" si="9"/>
        <v>4.2659206644411881E-3</v>
      </c>
      <c r="AC8" s="168">
        <f t="shared" si="11"/>
        <v>3.094020144206542E-3</v>
      </c>
      <c r="AD8" s="169">
        <f t="shared" si="10"/>
        <v>4.7004242363898259</v>
      </c>
      <c r="AE8" s="170">
        <f t="shared" si="2"/>
        <v>163.54722758172264</v>
      </c>
      <c r="AF8" s="167"/>
      <c r="AG8" s="168"/>
      <c r="AH8" s="168"/>
      <c r="AI8" s="168"/>
      <c r="AJ8" s="169"/>
      <c r="AK8" s="170"/>
      <c r="AL8" s="180">
        <f>SQRT(ABS([1]Ea_vs_shock_forplotting!J$7/EXP(J8+K8)))*1000000</f>
        <v>371.62013818658664</v>
      </c>
      <c r="AM8" s="175">
        <f>SQRT(ABS([1]Ea_vs_shock_forplotting!J$7/EXP(F8)))*1000000</f>
        <v>1.9231525794729041</v>
      </c>
      <c r="AN8" s="174">
        <f>SQRT(ABS([1]Ea_vs_shock_forplotting!J$7/EXP(J8+K8)))*1000000</f>
        <v>371.62013818658664</v>
      </c>
      <c r="AO8" s="175">
        <f>SQRT(ABS([1]Ea_vs_shock_forplotting!J$7/EXP(J8)))*1000000</f>
        <v>533.78541729151971</v>
      </c>
      <c r="AP8" s="174"/>
      <c r="AQ8" s="175"/>
      <c r="AR8" s="165">
        <v>51.403675851800699</v>
      </c>
      <c r="AS8" s="179">
        <v>551.77666666666664</v>
      </c>
      <c r="AT8" s="177"/>
      <c r="AU8" s="177"/>
    </row>
    <row r="9" spans="1:47" hidden="1" x14ac:dyDescent="0.2">
      <c r="A9" s="160" t="s">
        <v>27</v>
      </c>
      <c r="B9" s="161" t="s">
        <v>101</v>
      </c>
      <c r="C9" s="162">
        <v>2</v>
      </c>
      <c r="D9" s="165">
        <v>-1.619780117839565</v>
      </c>
      <c r="E9" s="178">
        <v>0.224744745968529</v>
      </c>
      <c r="F9" s="165">
        <v>6.2789362285427686</v>
      </c>
      <c r="G9" s="178">
        <v>4.1419398617515144</v>
      </c>
      <c r="H9" s="165">
        <v>-1.91219446880962</v>
      </c>
      <c r="I9" s="178">
        <v>3.0947277954786859E-2</v>
      </c>
      <c r="J9" s="165">
        <v>10.41771538972093</v>
      </c>
      <c r="K9" s="178">
        <v>0.44634509469801981</v>
      </c>
      <c r="L9" s="165">
        <v>-1.65589023189466</v>
      </c>
      <c r="M9" s="178">
        <v>6.0570983308067552E-2</v>
      </c>
      <c r="N9" s="165">
        <v>5.8262238281185006</v>
      </c>
      <c r="O9" s="165">
        <v>0.8363887339512539</v>
      </c>
      <c r="P9" s="166"/>
      <c r="Q9" s="165"/>
      <c r="R9" s="165"/>
      <c r="S9" s="165"/>
      <c r="T9" s="167">
        <f t="shared" si="0"/>
        <v>533.22113659394324</v>
      </c>
      <c r="U9" s="168">
        <f t="shared" si="3"/>
        <v>2208.5698807869026</v>
      </c>
      <c r="V9" s="168">
        <f t="shared" si="4"/>
        <v>7.7463060781807784E-3</v>
      </c>
      <c r="W9" s="168">
        <f t="shared" si="5"/>
        <v>3.2087308564328745E-2</v>
      </c>
      <c r="X9" s="169">
        <f t="shared" si="6"/>
        <v>18.686316725294621</v>
      </c>
      <c r="Y9" s="170">
        <f t="shared" si="7"/>
        <v>134.67600400110595</v>
      </c>
      <c r="Z9" s="167">
        <f t="shared" si="1"/>
        <v>33446.933583864673</v>
      </c>
      <c r="AA9" s="168">
        <f t="shared" si="8"/>
        <v>14928.874737848457</v>
      </c>
      <c r="AB9" s="168">
        <f t="shared" si="9"/>
        <v>0.48589631418624951</v>
      </c>
      <c r="AC9" s="168">
        <f t="shared" si="11"/>
        <v>0.21837099641643579</v>
      </c>
      <c r="AD9" s="169">
        <f t="shared" si="10"/>
        <v>2.5730996965324082</v>
      </c>
      <c r="AE9" s="170">
        <f t="shared" si="2"/>
        <v>158.98868438747215</v>
      </c>
      <c r="AF9" s="167">
        <f>(EXP(N9))</f>
        <v>339.07584981447093</v>
      </c>
      <c r="AG9" s="168">
        <f t="shared" si="12"/>
        <v>283.59922073977083</v>
      </c>
      <c r="AH9" s="168"/>
      <c r="AI9" s="168">
        <f t="shared" si="15"/>
        <v>0</v>
      </c>
      <c r="AJ9" s="169">
        <f t="shared" si="13"/>
        <v>5.036151450746603</v>
      </c>
      <c r="AK9" s="170">
        <f>-L9*$B$21*10^4</f>
        <v>137.6783657484836</v>
      </c>
      <c r="AL9" s="180">
        <f>SQRT(ABS([1]Ea_vs_shock_forplotting!J$7/EXP(J9+K9)))*1000000</f>
        <v>29.667309074232968</v>
      </c>
      <c r="AM9" s="175">
        <f>SQRT(ABS([1]Ea_vs_shock_forplotting!J$7/EXP(F9)))*1000000</f>
        <v>293.71439892223708</v>
      </c>
      <c r="AN9" s="174">
        <f>SQRT(ABS([1]Ea_vs_shock_forplotting!J$7/EXP(J9+K9)))*1000000</f>
        <v>29.667309074232968</v>
      </c>
      <c r="AO9" s="175">
        <f>SQRT(ABS([1]Ea_vs_shock_forplotting!J$7/EXP(J9)))*1000000</f>
        <v>37.085211651288894</v>
      </c>
      <c r="AP9" s="174">
        <f>SQRT(ABS([1]Ea_vs_shock_forplotting!J$7/EXP(N9+O9)))*1000000</f>
        <v>242.44374308641366</v>
      </c>
      <c r="AQ9" s="175">
        <f>SQRT(ABS([1]Ea_vs_shock_forplotting!J$7/EXP(N9)))*1000000</f>
        <v>368.32439689556833</v>
      </c>
      <c r="AR9" s="165">
        <v>38.114800281967057</v>
      </c>
      <c r="AS9" s="181">
        <v>2072.3583333333331</v>
      </c>
      <c r="AT9" s="177"/>
      <c r="AU9" s="177"/>
    </row>
    <row r="10" spans="1:47" hidden="1" x14ac:dyDescent="0.2">
      <c r="A10" s="160" t="s">
        <v>28</v>
      </c>
      <c r="B10" s="161" t="s">
        <v>97</v>
      </c>
      <c r="C10" s="162">
        <v>4</v>
      </c>
      <c r="D10" s="163">
        <v>-2.1091405815034601</v>
      </c>
      <c r="E10" s="164">
        <v>4.4106162065303503E-2</v>
      </c>
      <c r="F10" s="163">
        <v>14.839800188040901</v>
      </c>
      <c r="G10" s="164">
        <v>0.72220324420113402</v>
      </c>
      <c r="H10" s="163">
        <v>-2.2604082001346599</v>
      </c>
      <c r="I10" s="164">
        <v>0.80442191964061005</v>
      </c>
      <c r="J10" s="163">
        <v>14.9993859660635</v>
      </c>
      <c r="K10" s="164">
        <v>11.415333869243399</v>
      </c>
      <c r="L10" s="163">
        <v>-2.4496976749642898</v>
      </c>
      <c r="M10" s="164">
        <v>0.15597529994141601</v>
      </c>
      <c r="N10" s="163">
        <v>13.962819543250401</v>
      </c>
      <c r="O10" s="163">
        <v>2.03475510403511</v>
      </c>
      <c r="P10" s="182"/>
      <c r="Q10" s="163"/>
      <c r="R10" s="163"/>
      <c r="S10" s="163"/>
      <c r="T10" s="167">
        <f t="shared" si="0"/>
        <v>2785116.2948302277</v>
      </c>
      <c r="U10" s="168">
        <f t="shared" si="3"/>
        <v>2011420.0236038326</v>
      </c>
      <c r="V10" s="168">
        <f t="shared" si="4"/>
        <v>64.490725668767638</v>
      </c>
      <c r="W10" s="168">
        <f t="shared" si="5"/>
        <v>46.652475866730434</v>
      </c>
      <c r="X10" s="169">
        <f t="shared" si="6"/>
        <v>3.6671901286842368</v>
      </c>
      <c r="Y10" s="170">
        <f t="shared" si="7"/>
        <v>175.36369428482479</v>
      </c>
      <c r="Z10" s="167">
        <f t="shared" si="1"/>
        <v>3267010.701011641</v>
      </c>
      <c r="AA10" s="168">
        <f t="shared" si="8"/>
        <v>37294017.906438805</v>
      </c>
      <c r="AB10" s="168">
        <f t="shared" si="9"/>
        <v>75.649225587800146</v>
      </c>
      <c r="AC10" s="168">
        <f t="shared" si="11"/>
        <v>863.56689091412079</v>
      </c>
      <c r="AD10" s="169">
        <f t="shared" si="10"/>
        <v>66.883355632610971</v>
      </c>
      <c r="AE10" s="170">
        <f t="shared" si="2"/>
        <v>187.94078310548844</v>
      </c>
      <c r="AF10" s="167">
        <f>(EXP(N10))</f>
        <v>1158711.9326613846</v>
      </c>
      <c r="AG10" s="168">
        <f t="shared" si="12"/>
        <v>2357695.0190891391</v>
      </c>
      <c r="AH10" s="168">
        <f t="shared" si="14"/>
        <v>26.830539721842385</v>
      </c>
      <c r="AI10" s="168">
        <f t="shared" si="15"/>
        <v>54.604965658148423</v>
      </c>
      <c r="AJ10" s="169">
        <f t="shared" si="13"/>
        <v>12.968507198990356</v>
      </c>
      <c r="AK10" s="170">
        <f>-L10*$B$21*10^4</f>
        <v>203.67918474948704</v>
      </c>
      <c r="AL10" s="180">
        <f>SQRT(ABS([1]Ea_vs_shock_forplotting!J$7/EXP(J10+K10)))*1000000</f>
        <v>1.2459349918902057E-2</v>
      </c>
      <c r="AM10" s="175">
        <f>SQRT(ABS([1]Ea_vs_shock_forplotting!J$7/EXP(F10)))*1000000</f>
        <v>4.0640332149234695</v>
      </c>
      <c r="AN10" s="174">
        <f>SQRT(ABS([1]Ea_vs_shock_forplotting!J$7/EXP(J10+K10)))*1000000</f>
        <v>1.2459349918902057E-2</v>
      </c>
      <c r="AO10" s="175">
        <f>SQRT(ABS([1]Ea_vs_shock_forplotting!J$7/EXP(J10)))*1000000</f>
        <v>3.7523525659310146</v>
      </c>
      <c r="AP10" s="174">
        <f>SQRT(ABS([1]Ea_vs_shock_forplotting!J$7/EXP(N10+O10)))*1000000</f>
        <v>2.2779790164339073</v>
      </c>
      <c r="AQ10" s="175">
        <f>SQRT(ABS([1]Ea_vs_shock_forplotting!J$7/EXP(N10)))*1000000</f>
        <v>6.3007344476924434</v>
      </c>
      <c r="AR10" s="165">
        <v>48.120149150110777</v>
      </c>
      <c r="AS10" s="181">
        <v>1358.061625</v>
      </c>
      <c r="AT10" s="177"/>
      <c r="AU10" s="177"/>
    </row>
    <row r="11" spans="1:47" x14ac:dyDescent="0.2">
      <c r="A11" s="160" t="s">
        <v>29</v>
      </c>
      <c r="B11" s="161" t="s">
        <v>96</v>
      </c>
      <c r="C11" s="162">
        <v>5</v>
      </c>
      <c r="D11" s="165">
        <v>-1.107642</v>
      </c>
      <c r="E11" s="178">
        <v>3.5999999999999997E-2</v>
      </c>
      <c r="F11" s="165">
        <v>0.63</v>
      </c>
      <c r="G11" s="178">
        <v>0.66900000000000004</v>
      </c>
      <c r="H11" s="165">
        <v>-2.2799999999999998</v>
      </c>
      <c r="I11" s="178">
        <v>0.154</v>
      </c>
      <c r="J11" s="165">
        <v>10.82</v>
      </c>
      <c r="K11" s="178">
        <v>2.13</v>
      </c>
      <c r="L11" s="165"/>
      <c r="M11" s="178"/>
      <c r="N11" s="165"/>
      <c r="O11" s="165"/>
      <c r="P11" s="166"/>
      <c r="Q11" s="165"/>
      <c r="R11" s="165"/>
      <c r="S11" s="165"/>
      <c r="T11" s="167">
        <f t="shared" si="0"/>
        <v>1.8776105792643432</v>
      </c>
      <c r="U11" s="168">
        <f t="shared" si="3"/>
        <v>1.2561214775278458</v>
      </c>
      <c r="V11" s="168">
        <f t="shared" si="4"/>
        <v>6.8494725813948127E-5</v>
      </c>
      <c r="W11" s="168">
        <f t="shared" si="5"/>
        <v>4.5879069087488659E-5</v>
      </c>
      <c r="X11" s="169">
        <f t="shared" si="6"/>
        <v>2.9932063559999995</v>
      </c>
      <c r="Y11" s="170">
        <f t="shared" si="7"/>
        <v>92.094474293681998</v>
      </c>
      <c r="Z11" s="167">
        <f t="shared" si="1"/>
        <v>50011.087008521754</v>
      </c>
      <c r="AA11" s="168">
        <f t="shared" si="8"/>
        <v>106523.61532815133</v>
      </c>
      <c r="AB11" s="168">
        <f t="shared" si="9"/>
        <v>1.8243909201067274</v>
      </c>
      <c r="AC11" s="168">
        <f t="shared" si="11"/>
        <v>3.8864222191291589</v>
      </c>
      <c r="AD11" s="169">
        <f t="shared" si="10"/>
        <v>12.804271633999999</v>
      </c>
      <c r="AE11" s="170">
        <f t="shared" si="2"/>
        <v>189.56973587999997</v>
      </c>
      <c r="AF11" s="167"/>
      <c r="AG11" s="168"/>
      <c r="AH11" s="168"/>
      <c r="AI11" s="168"/>
      <c r="AJ11" s="169"/>
      <c r="AK11" s="170"/>
      <c r="AL11" s="180">
        <f>SQRT(ABS([1]Ea_vs_shock_forplotting!J$7/EXP(J11+K11)))*1000000</f>
        <v>10.454954461737524</v>
      </c>
      <c r="AM11" s="175"/>
      <c r="AN11" s="174">
        <f>SQRT(ABS([1]Ea_vs_shock_forplotting!J$7/EXP(J11+K11)))*1000000</f>
        <v>10.454954461737524</v>
      </c>
      <c r="AO11" s="175">
        <f>SQRT(ABS([1]Ea_vs_shock_forplotting!J$7/EXP(J11)))*1000000</f>
        <v>30.328139479176404</v>
      </c>
      <c r="AP11" s="174"/>
      <c r="AQ11" s="175"/>
      <c r="AR11" s="165">
        <v>60.398451454258527</v>
      </c>
      <c r="AS11" s="176">
        <v>815.92236363636357</v>
      </c>
      <c r="AT11" s="177"/>
      <c r="AU11" s="177"/>
    </row>
    <row r="12" spans="1:47" x14ac:dyDescent="0.2">
      <c r="A12" s="160" t="s">
        <v>30</v>
      </c>
      <c r="B12" s="161" t="s">
        <v>96</v>
      </c>
      <c r="C12" s="162">
        <v>5</v>
      </c>
      <c r="D12" s="165">
        <v>-1.2774000000000001</v>
      </c>
      <c r="E12" s="178">
        <v>0.17626</v>
      </c>
      <c r="F12" s="165">
        <v>1.56</v>
      </c>
      <c r="G12" s="178">
        <v>3.2496900000000002</v>
      </c>
      <c r="H12" s="163">
        <v>-2.91</v>
      </c>
      <c r="I12" s="164">
        <v>0.315</v>
      </c>
      <c r="J12" s="163">
        <v>18.239999999999998</v>
      </c>
      <c r="K12" s="164">
        <v>4.2699999999999996</v>
      </c>
      <c r="L12" s="165"/>
      <c r="M12" s="178"/>
      <c r="N12" s="165"/>
      <c r="O12" s="165"/>
      <c r="P12" s="166"/>
      <c r="Q12" s="165"/>
      <c r="R12" s="165"/>
      <c r="S12" s="165"/>
      <c r="T12" s="167">
        <f>(EXP(J12))</f>
        <v>83470179.97596094</v>
      </c>
      <c r="U12" s="168">
        <f t="shared" si="3"/>
        <v>271252209.16608053</v>
      </c>
      <c r="V12" s="168">
        <f t="shared" si="4"/>
        <v>333.55516354908195</v>
      </c>
      <c r="W12" s="168">
        <f t="shared" si="5"/>
        <v>1084.4644694072174</v>
      </c>
      <c r="X12" s="169">
        <f t="shared" si="6"/>
        <v>14.65507089746</v>
      </c>
      <c r="Y12" s="170">
        <f>-H12*$B$21*10^4</f>
        <v>241.95084711000001</v>
      </c>
      <c r="Z12" s="167">
        <f t="shared" si="1"/>
        <v>83470179.97596094</v>
      </c>
      <c r="AA12" s="168">
        <f t="shared" si="8"/>
        <v>356417668.4973532</v>
      </c>
      <c r="AB12" s="168">
        <f t="shared" si="9"/>
        <v>333.55516354908195</v>
      </c>
      <c r="AC12" s="168">
        <f t="shared" si="11"/>
        <v>1424.6714557407811</v>
      </c>
      <c r="AD12" s="169">
        <f t="shared" si="10"/>
        <v>26.190555615000001</v>
      </c>
      <c r="AE12" s="170">
        <f t="shared" si="2"/>
        <v>241.95084711000001</v>
      </c>
      <c r="AF12" s="167"/>
      <c r="AG12" s="168"/>
      <c r="AH12" s="168"/>
      <c r="AI12" s="168"/>
      <c r="AJ12" s="169"/>
      <c r="AK12" s="170"/>
      <c r="AL12" s="180">
        <f>SQRT(ABS([1]Ea_vs_shock_forplotting!J$7/EXP(J12+K12)))*1000000</f>
        <v>8.7779786865918683E-2</v>
      </c>
      <c r="AM12" s="175"/>
      <c r="AN12" s="174">
        <f>SQRT(ABS([1]Ea_vs_shock_forplotting!J$7/EXP(J12+K12)))*1000000</f>
        <v>8.7779786865918683E-2</v>
      </c>
      <c r="AO12" s="175">
        <f>SQRT(ABS([1]Ea_vs_shock_forplotting!J$7/EXP(J12)))*1000000</f>
        <v>0.74235773988746911</v>
      </c>
      <c r="AP12" s="174"/>
      <c r="AQ12" s="175"/>
      <c r="AR12" s="165">
        <v>19.9902469434757</v>
      </c>
      <c r="AS12" s="176">
        <v>554.63499999999999</v>
      </c>
      <c r="AT12" s="177"/>
      <c r="AU12" s="177"/>
    </row>
    <row r="13" spans="1:47" hidden="1" x14ac:dyDescent="0.2">
      <c r="A13" t="s">
        <v>31</v>
      </c>
      <c r="B13" s="161" t="s">
        <v>102</v>
      </c>
      <c r="C13" s="162">
        <v>1</v>
      </c>
      <c r="D13" s="165">
        <v>-1.726559744914637</v>
      </c>
      <c r="E13" s="178">
        <v>0.30499566302376341</v>
      </c>
      <c r="F13" s="165">
        <v>13.22078386147191</v>
      </c>
      <c r="G13" s="178">
        <v>4.9782546416355569</v>
      </c>
      <c r="H13" s="165"/>
      <c r="I13" s="178"/>
      <c r="J13" s="165"/>
      <c r="K13" s="178"/>
      <c r="L13" s="165"/>
      <c r="M13" s="178"/>
      <c r="N13" s="165"/>
      <c r="O13" s="165"/>
      <c r="P13" s="166"/>
      <c r="Q13" s="165"/>
      <c r="R13" s="165"/>
      <c r="S13" s="165"/>
      <c r="T13" s="167">
        <f t="shared" ref="T13:T18" si="16">(EXP(F13))</f>
        <v>551713.33045306848</v>
      </c>
      <c r="U13" s="168">
        <f t="shared" si="3"/>
        <v>2746569.4481802001</v>
      </c>
      <c r="V13" s="168">
        <f t="shared" si="4"/>
        <v>13.109006080642843</v>
      </c>
      <c r="W13" s="168">
        <f t="shared" si="5"/>
        <v>65.26218682355848</v>
      </c>
      <c r="X13" s="169">
        <f t="shared" si="6"/>
        <v>25.35874880875452</v>
      </c>
      <c r="Y13" s="170">
        <f>-D13*$B$21*10^4</f>
        <v>143.55415562478416</v>
      </c>
      <c r="Z13" s="167"/>
      <c r="AA13" s="168"/>
      <c r="AB13" s="168"/>
      <c r="AC13" s="168"/>
      <c r="AD13" s="169"/>
      <c r="AE13" s="170"/>
      <c r="AF13" s="167"/>
      <c r="AG13" s="168"/>
      <c r="AH13" s="168"/>
      <c r="AI13" s="168"/>
      <c r="AJ13" s="169"/>
      <c r="AK13" s="170"/>
      <c r="AL13" s="180">
        <f>SQRT(ABS([1]Ea_vs_shock_forplotting!J$7/EXP(F13+G13)))*1000000</f>
        <v>0.75771854547830331</v>
      </c>
      <c r="AM13" s="175">
        <f>SQRT(ABS([1]Ea_vs_shock_forplotting!J$7/EXP(F13)))*1000000</f>
        <v>9.1310806166448213</v>
      </c>
      <c r="AN13" s="174"/>
      <c r="AO13" s="175"/>
      <c r="AP13" s="174"/>
      <c r="AQ13" s="175"/>
      <c r="AR13" s="165">
        <v>48.744783265249133</v>
      </c>
      <c r="AS13" s="183">
        <v>517.74900000000002</v>
      </c>
      <c r="AT13" s="177"/>
      <c r="AU13" s="177"/>
    </row>
    <row r="14" spans="1:47" x14ac:dyDescent="0.2">
      <c r="A14" s="160" t="s">
        <v>32</v>
      </c>
      <c r="B14" s="161" t="s">
        <v>101</v>
      </c>
      <c r="C14" s="162">
        <v>5</v>
      </c>
      <c r="D14" s="165">
        <v>-1.34</v>
      </c>
      <c r="E14" s="164">
        <v>5.7631668325509998E-2</v>
      </c>
      <c r="F14" s="165">
        <v>6.22</v>
      </c>
      <c r="G14" s="164">
        <v>1.0621522999999999</v>
      </c>
      <c r="H14" s="165">
        <v>-2.84</v>
      </c>
      <c r="I14" s="178">
        <v>0.126</v>
      </c>
      <c r="J14" s="165">
        <v>21.866</v>
      </c>
      <c r="K14" s="178">
        <v>1.3889</v>
      </c>
      <c r="L14" s="165"/>
      <c r="M14" s="178"/>
      <c r="N14" s="165"/>
      <c r="O14" s="165"/>
      <c r="P14" s="166"/>
      <c r="Q14" s="165"/>
      <c r="R14" s="165"/>
      <c r="S14" s="165"/>
      <c r="T14" s="167">
        <f t="shared" si="16"/>
        <v>502.70323202023889</v>
      </c>
      <c r="U14" s="168">
        <f t="shared" si="3"/>
        <v>533.94739410773036</v>
      </c>
      <c r="V14" s="168">
        <f t="shared" si="4"/>
        <v>1.0565203199989786E-2</v>
      </c>
      <c r="W14" s="168">
        <f t="shared" si="5"/>
        <v>1.1231316636685576E-2</v>
      </c>
      <c r="X14" s="169">
        <f t="shared" si="6"/>
        <v>4.7917632205222329</v>
      </c>
      <c r="Y14" s="170">
        <f>-D14*$B$21*10^4</f>
        <v>111.41379214</v>
      </c>
      <c r="Z14" s="167">
        <f>(EXP(J14))</f>
        <v>3135329157.6955495</v>
      </c>
      <c r="AA14" s="168">
        <f t="shared" si="8"/>
        <v>4354658667.1233492</v>
      </c>
      <c r="AB14" s="168">
        <f t="shared" si="9"/>
        <v>65894.522931121057</v>
      </c>
      <c r="AC14" s="168">
        <f t="shared" si="11"/>
        <v>91566.040147084859</v>
      </c>
      <c r="AD14" s="169">
        <f t="shared" si="10"/>
        <v>10.476222245999999</v>
      </c>
      <c r="AE14" s="170">
        <f>-H14*$B$21*10^4</f>
        <v>236.13072363999996</v>
      </c>
      <c r="AF14" s="167"/>
      <c r="AG14" s="168"/>
      <c r="AH14" s="168"/>
      <c r="AI14" s="168"/>
      <c r="AJ14" s="169"/>
      <c r="AK14" s="170"/>
      <c r="AL14" s="180">
        <f>SQRT(ABS([1]Ea_vs_shock_forplotting!J$7/EXP(J14+K14)))*1000000</f>
        <v>6.0484144493932419E-2</v>
      </c>
      <c r="AM14" s="175">
        <f>SQRT(ABS([1]Ea_vs_shock_forplotting!J$7/EXP(F14)))*1000000</f>
        <v>302.49839668037504</v>
      </c>
      <c r="AN14" s="174">
        <f>SQRT(ABS([1]Ea_vs_shock_forplotting!J$7/EXP(J14+K14)))*1000000</f>
        <v>6.0484144493932419E-2</v>
      </c>
      <c r="AO14" s="175">
        <f>SQRT(ABS([1]Ea_vs_shock_forplotting!J$7/EXP(J14)))*1000000</f>
        <v>0.12112599153305294</v>
      </c>
      <c r="AP14" s="174"/>
      <c r="AQ14" s="175"/>
      <c r="AR14" s="165">
        <v>45.84406170379571</v>
      </c>
      <c r="AS14" s="176">
        <v>691.63800000000003</v>
      </c>
      <c r="AT14" s="177"/>
      <c r="AU14" s="177"/>
    </row>
    <row r="15" spans="1:47" x14ac:dyDescent="0.2">
      <c r="A15" s="160" t="s">
        <v>33</v>
      </c>
      <c r="B15" s="161" t="s">
        <v>96</v>
      </c>
      <c r="C15" s="162">
        <v>5</v>
      </c>
      <c r="D15" s="163">
        <v>-1.5056507413787501</v>
      </c>
      <c r="E15" s="164">
        <v>4.2625700500000002E-2</v>
      </c>
      <c r="F15" s="163">
        <v>10.321611878400001</v>
      </c>
      <c r="G15" s="164">
        <v>0.72092129000000005</v>
      </c>
      <c r="H15" s="163">
        <v>-2.3611953023111298</v>
      </c>
      <c r="I15" s="164">
        <v>0.128</v>
      </c>
      <c r="J15" s="163">
        <v>20.0321698396776</v>
      </c>
      <c r="K15" s="164">
        <v>1.889</v>
      </c>
      <c r="L15" s="163">
        <v>-1.90299</v>
      </c>
      <c r="M15" s="164">
        <v>0.15448329999999999</v>
      </c>
      <c r="N15" s="163">
        <v>10.451000000000001</v>
      </c>
      <c r="O15" s="163">
        <v>1.9892000000000001</v>
      </c>
      <c r="P15" s="182"/>
      <c r="Q15" s="163"/>
      <c r="R15" s="163"/>
      <c r="S15" s="163"/>
      <c r="T15" s="167">
        <f t="shared" si="16"/>
        <v>30382.190545332869</v>
      </c>
      <c r="U15" s="168">
        <f t="shared" si="3"/>
        <v>21903.168000967176</v>
      </c>
      <c r="V15" s="168">
        <f t="shared" si="4"/>
        <v>0.19526913758463152</v>
      </c>
      <c r="W15" s="168">
        <f t="shared" si="5"/>
        <v>0.14161404147352852</v>
      </c>
      <c r="X15" s="169">
        <f t="shared" si="6"/>
        <v>3.5440977129320106</v>
      </c>
      <c r="Y15" s="170">
        <f>-D15*$B$21*10^4</f>
        <v>125.18676025030518</v>
      </c>
      <c r="Z15" s="167">
        <f>(EXP(J15))</f>
        <v>501026644.20333046</v>
      </c>
      <c r="AA15" s="168">
        <f t="shared" si="8"/>
        <v>946439330.90009129</v>
      </c>
      <c r="AB15" s="168">
        <f t="shared" si="9"/>
        <v>3220.1443992172972</v>
      </c>
      <c r="AC15" s="168">
        <f t="shared" si="11"/>
        <v>6088.1551350685941</v>
      </c>
      <c r="AD15" s="169">
        <f t="shared" si="10"/>
        <v>10.642511487999998</v>
      </c>
      <c r="AE15" s="170">
        <f>-H15*$B$21*10^4</f>
        <v>196.3206885176393</v>
      </c>
      <c r="AF15" s="167">
        <f>(EXP(N15))</f>
        <v>34578.936361933258</v>
      </c>
      <c r="AG15" s="168">
        <f t="shared" si="12"/>
        <v>68784.420211157645</v>
      </c>
      <c r="AH15" s="168">
        <f t="shared" si="14"/>
        <v>0.22224200957181461</v>
      </c>
      <c r="AI15" s="168">
        <f t="shared" si="15"/>
        <v>0.44243133560449055</v>
      </c>
      <c r="AJ15" s="169">
        <f t="shared" si="13"/>
        <v>12.844455429329299</v>
      </c>
      <c r="AK15" s="170">
        <f>-L15*$B$21*10^4</f>
        <v>158.22338231678998</v>
      </c>
      <c r="AL15" s="180">
        <f>SQRT(ABS([1]Ea_vs_shock_forplotting!J$7/EXP(J15+K15)))*1000000</f>
        <v>0.11783040399790613</v>
      </c>
      <c r="AM15" s="175">
        <f>SQRT(ABS([1]Ea_vs_shock_forplotting!J$7/EXP(F15)))*1000000</f>
        <v>38.910729609426383</v>
      </c>
      <c r="AN15" s="174">
        <f>SQRT(ABS([1]Ea_vs_shock_forplotting!J$7/EXP(J15+K15)))*1000000</f>
        <v>0.11783040399790613</v>
      </c>
      <c r="AO15" s="175">
        <f>SQRT(ABS([1]Ea_vs_shock_forplotting!J$7/EXP(J15)))*1000000</f>
        <v>0.30300409987851507</v>
      </c>
      <c r="AP15" s="174">
        <f>SQRT(ABS([1]Ea_vs_shock_forplotting!J$7/EXP(N15+O15)))*1000000</f>
        <v>13.490368376554303</v>
      </c>
      <c r="AQ15" s="175">
        <f>SQRT(ABS([1]Ea_vs_shock_forplotting!J$7/EXP(N15)))*1000000</f>
        <v>36.473135548433689</v>
      </c>
      <c r="AR15" s="165">
        <v>25.3517102474102</v>
      </c>
      <c r="AS15" s="181">
        <v>2072.3583333333331</v>
      </c>
      <c r="AT15" s="177"/>
      <c r="AU15" s="177"/>
    </row>
    <row r="16" spans="1:47" hidden="1" x14ac:dyDescent="0.2">
      <c r="A16" s="184" t="s">
        <v>34</v>
      </c>
      <c r="B16" s="185" t="s">
        <v>103</v>
      </c>
      <c r="C16" s="186">
        <v>1</v>
      </c>
      <c r="D16" s="163">
        <v>-1.8151933701657459</v>
      </c>
      <c r="E16" s="164">
        <v>6.5503561766464588E-2</v>
      </c>
      <c r="F16" s="163">
        <v>6.1996740331491829</v>
      </c>
      <c r="G16" s="164">
        <v>1.2464382906143541</v>
      </c>
      <c r="H16" s="163">
        <v>-1.8505562422744151</v>
      </c>
      <c r="I16" s="164">
        <v>0.1069357722594973</v>
      </c>
      <c r="J16" s="163">
        <v>6.636501854140942</v>
      </c>
      <c r="K16" s="164">
        <v>1.7313195451077721</v>
      </c>
      <c r="L16" s="163">
        <v>-2.161433714432043</v>
      </c>
      <c r="M16" s="164">
        <v>2.866009839681424E-2</v>
      </c>
      <c r="N16" s="163">
        <v>13.72113471010891</v>
      </c>
      <c r="O16" s="163">
        <v>0.38198845935704728</v>
      </c>
      <c r="P16" s="182"/>
      <c r="Q16" s="163"/>
      <c r="R16" s="163"/>
      <c r="S16" s="163"/>
      <c r="T16" s="167">
        <f t="shared" si="16"/>
        <v>492.58844741561757</v>
      </c>
      <c r="U16" s="168">
        <f t="shared" si="3"/>
        <v>613.98110237310095</v>
      </c>
      <c r="V16" s="168">
        <f t="shared" si="4"/>
        <v>6.3568342103606457E-2</v>
      </c>
      <c r="W16" s="168">
        <f t="shared" si="5"/>
        <v>7.9241919210999226E-2</v>
      </c>
      <c r="X16" s="169">
        <f t="shared" si="6"/>
        <v>5.446268817222788</v>
      </c>
      <c r="Y16" s="170">
        <f>-D16*$B$21*10^4</f>
        <v>150.92356480414364</v>
      </c>
      <c r="Z16" s="167">
        <f>(EXP(J16))</f>
        <v>762.42325492770078</v>
      </c>
      <c r="AA16" s="168">
        <f t="shared" si="8"/>
        <v>1319.9982829010139</v>
      </c>
      <c r="AB16" s="168">
        <f t="shared" si="9"/>
        <v>9.839041607911779E-2</v>
      </c>
      <c r="AC16" s="168">
        <f t="shared" si="11"/>
        <v>0.17035405760526365</v>
      </c>
      <c r="AD16" s="169">
        <f t="shared" si="10"/>
        <v>8.8911342558582156</v>
      </c>
      <c r="AE16" s="170">
        <f>-H16*$B$21*10^4</f>
        <v>153.86379740309039</v>
      </c>
      <c r="AF16" s="167">
        <f>(EXP(N16))</f>
        <v>909940.69870275375</v>
      </c>
      <c r="AG16" s="168">
        <f t="shared" si="12"/>
        <v>347586.84560374008</v>
      </c>
      <c r="AH16" s="168">
        <f t="shared" si="14"/>
        <v>117.42748319131086</v>
      </c>
      <c r="AI16" s="168">
        <f t="shared" si="15"/>
        <v>44.90356042998193</v>
      </c>
      <c r="AJ16" s="169">
        <f t="shared" si="13"/>
        <v>2.3829330190258271</v>
      </c>
      <c r="AK16" s="170">
        <f>-L16*$B$21*10^4</f>
        <v>179.71158700307444</v>
      </c>
      <c r="AL16" s="180">
        <f>SQRT(ABS([1]Ea_vs_shock_forplotting!J$7/EXP(J16+K16)))*1000000</f>
        <v>103.3545466189003</v>
      </c>
      <c r="AM16" s="175">
        <f>SQRT(ABS([1]Ea_vs_shock_forplotting!J$7/EXP(F16)))*1000000</f>
        <v>305.58835788849689</v>
      </c>
      <c r="AN16" s="174">
        <f>SQRT(ABS([1]Ea_vs_shock_forplotting!J$7/EXP(J16+K16)))*1000000</f>
        <v>103.3545466189003</v>
      </c>
      <c r="AO16" s="175">
        <f>SQRT(ABS([1]Ea_vs_shock_forplotting!J$7/EXP(J16)))*1000000</f>
        <v>245.62968350736776</v>
      </c>
      <c r="AP16" s="174">
        <f>SQRT(ABS([1]Ea_vs_shock_forplotting!J$7/EXP(N16+O16)))*1000000</f>
        <v>5.8738740611293796</v>
      </c>
      <c r="AQ16" s="175">
        <f>SQRT(ABS([1]Ea_vs_shock_forplotting!J$7/EXP(N16)))*1000000</f>
        <v>7.1100453502634702</v>
      </c>
      <c r="AR16" s="165">
        <v>113.6</v>
      </c>
      <c r="AS16" s="165"/>
    </row>
    <row r="17" spans="1:47" hidden="1" x14ac:dyDescent="0.2">
      <c r="A17" s="184" t="s">
        <v>35</v>
      </c>
      <c r="B17" s="185" t="s">
        <v>104</v>
      </c>
      <c r="C17" s="186">
        <v>3</v>
      </c>
      <c r="D17" s="163">
        <v>-1.7202999999999999</v>
      </c>
      <c r="E17" s="164">
        <v>3.0599999999999999E-2</v>
      </c>
      <c r="F17" s="163">
        <v>10.11</v>
      </c>
      <c r="G17" s="164">
        <v>0.50860000000000005</v>
      </c>
      <c r="H17" s="163">
        <v>-2.7610982412178302</v>
      </c>
      <c r="I17" s="164">
        <v>0.51278699999999999</v>
      </c>
      <c r="J17" s="163">
        <v>20.702251619318499</v>
      </c>
      <c r="K17" s="164">
        <v>6.8492199999999999</v>
      </c>
      <c r="L17" s="163">
        <v>-2.0624615999999998</v>
      </c>
      <c r="M17" s="164">
        <v>0.13155</v>
      </c>
      <c r="N17" s="163">
        <v>14.608000000000001</v>
      </c>
      <c r="O17" s="163">
        <v>2.0242499999999999</v>
      </c>
      <c r="P17" s="182"/>
      <c r="Q17" s="163"/>
      <c r="R17" s="163"/>
      <c r="S17" s="163"/>
      <c r="T17" s="167">
        <f t="shared" si="16"/>
        <v>24587.660736455156</v>
      </c>
      <c r="U17" s="168">
        <f t="shared" si="3"/>
        <v>12505.284250561093</v>
      </c>
      <c r="V17" s="168">
        <f t="shared" si="4"/>
        <v>0.7106565307626671</v>
      </c>
      <c r="W17" s="168">
        <f t="shared" si="5"/>
        <v>0.36240549792386451</v>
      </c>
      <c r="X17" s="169">
        <f t="shared" si="6"/>
        <v>2.5442254025999995</v>
      </c>
      <c r="Y17" s="170">
        <f>-D17*$B$21*10^4</f>
        <v>143.03369150629999</v>
      </c>
      <c r="Z17" s="167">
        <f>(EXP(J17))</f>
        <v>979205042.49754655</v>
      </c>
      <c r="AA17" s="168">
        <f t="shared" si="8"/>
        <v>6706790761.175046</v>
      </c>
      <c r="AB17" s="168">
        <f t="shared" si="9"/>
        <v>28301.938352958681</v>
      </c>
      <c r="AC17" s="168">
        <f t="shared" si="11"/>
        <v>193849.06150317527</v>
      </c>
      <c r="AD17" s="169">
        <f t="shared" si="10"/>
        <v>42.635480768727</v>
      </c>
      <c r="AE17" s="170">
        <f>-H17*$B$21*10^4</f>
        <v>229.57046680982307</v>
      </c>
      <c r="AF17" s="167">
        <f>(EXP(N17))</f>
        <v>2208888.4871881627</v>
      </c>
      <c r="AG17" s="168">
        <f t="shared" si="12"/>
        <v>4471342.5201906385</v>
      </c>
      <c r="AH17" s="168">
        <f t="shared" si="14"/>
        <v>63.843447572030023</v>
      </c>
      <c r="AI17" s="168">
        <f t="shared" si="15"/>
        <v>129.25692117088366</v>
      </c>
      <c r="AJ17" s="169">
        <f t="shared" si="13"/>
        <v>10.937674892549998</v>
      </c>
      <c r="AK17" s="170">
        <f>-L17*$B$21*10^4</f>
        <v>171.48258805905357</v>
      </c>
      <c r="AL17" s="180">
        <f>SQRT(ABS([1]Ea_vs_shock_forplotting!J$7/EXP(J17+K17)))*1000000</f>
        <v>7.0575322204127393E-3</v>
      </c>
      <c r="AM17" s="175">
        <f>SQRT(ABS([1]Ea_vs_shock_forplotting!J$7/EXP(F17)))*1000000</f>
        <v>43.253405805551807</v>
      </c>
      <c r="AN17" s="174">
        <f>SQRT(ABS([1]Ea_vs_shock_forplotting!J$7/EXP(J17+K17)))*1000000</f>
        <v>7.0575322204127393E-3</v>
      </c>
      <c r="AO17" s="175">
        <f>SQRT(ABS([1]Ea_vs_shock_forplotting!J$7/EXP(J17)))*1000000</f>
        <v>0.21674151026144242</v>
      </c>
      <c r="AP17" s="174">
        <f>SQRT(ABS([1]Ea_vs_shock_forplotting!J$7/EXP(N17+O17)))*1000000</f>
        <v>1.6585620254471154</v>
      </c>
      <c r="AQ17" s="175">
        <f>SQRT(ABS([1]Ea_vs_shock_forplotting!J$7/EXP(N17)))*1000000</f>
        <v>4.5634365871940812</v>
      </c>
      <c r="AR17" s="165">
        <v>53.761486660008572</v>
      </c>
      <c r="AS17" s="165"/>
      <c r="AT17" s="177"/>
      <c r="AU17" s="177"/>
    </row>
    <row r="18" spans="1:47" hidden="1" x14ac:dyDescent="0.2">
      <c r="A18" s="184" t="s">
        <v>36</v>
      </c>
      <c r="B18" s="185" t="s">
        <v>105</v>
      </c>
      <c r="C18" s="186">
        <v>2</v>
      </c>
      <c r="D18" s="163">
        <v>-1.6354</v>
      </c>
      <c r="E18" s="164">
        <v>3.0587476239113402E-2</v>
      </c>
      <c r="F18" s="163">
        <v>10.583281924736699</v>
      </c>
      <c r="G18" s="164">
        <v>0.52282314315187195</v>
      </c>
      <c r="H18" s="163">
        <v>-2.1522765264995898</v>
      </c>
      <c r="I18" s="164">
        <v>9.2329805104386001E-2</v>
      </c>
      <c r="J18" s="163">
        <v>17.706307353587899</v>
      </c>
      <c r="K18" s="164">
        <v>1.43224333237736</v>
      </c>
      <c r="L18" s="163">
        <v>-2.6632907947767999</v>
      </c>
      <c r="M18" s="164">
        <v>0.18378289</v>
      </c>
      <c r="N18" s="163">
        <v>22.9843599373493</v>
      </c>
      <c r="O18" s="163">
        <v>2.58859745</v>
      </c>
      <c r="P18" s="182">
        <v>-2.5865815777408998</v>
      </c>
      <c r="Q18" s="163">
        <v>0.25693653500000002</v>
      </c>
      <c r="R18" s="163">
        <v>20.359057</v>
      </c>
      <c r="S18" s="163">
        <v>3.4673896110000002</v>
      </c>
      <c r="T18" s="167">
        <f t="shared" si="16"/>
        <v>39469.437796473954</v>
      </c>
      <c r="U18" s="168">
        <f t="shared" si="3"/>
        <v>20635.535527189808</v>
      </c>
      <c r="V18" s="168">
        <f t="shared" si="4"/>
        <v>0.86762921395389658</v>
      </c>
      <c r="W18" s="168">
        <f t="shared" si="5"/>
        <v>0.45512398638251533</v>
      </c>
      <c r="X18" s="169">
        <f t="shared" si="6"/>
        <v>2.5431841192475892</v>
      </c>
      <c r="Y18" s="170">
        <f>-D18*Regression_Ea_Do!$B$21*10^4</f>
        <v>135.97471318339998</v>
      </c>
      <c r="Z18" s="167">
        <f>(EXP(J18))</f>
        <v>48949874.034537904</v>
      </c>
      <c r="AA18" s="168">
        <f t="shared" si="8"/>
        <v>70108130.706678569</v>
      </c>
      <c r="AB18" s="168">
        <f t="shared" si="9"/>
        <v>1076.0310534629025</v>
      </c>
      <c r="AC18" s="168">
        <f t="shared" si="11"/>
        <v>1541.8216915427658</v>
      </c>
      <c r="AD18" s="169">
        <f t="shared" si="10"/>
        <v>7.6767266524080391</v>
      </c>
      <c r="AE18" s="170">
        <f>-H18*$B$21*10^4</f>
        <v>178.95021608300485</v>
      </c>
      <c r="AF18" s="167">
        <f>(EXP(N18))</f>
        <v>9593579766.3207684</v>
      </c>
      <c r="AG18" s="168">
        <f t="shared" si="12"/>
        <v>24833916119.469536</v>
      </c>
      <c r="AH18" s="168">
        <f t="shared" si="14"/>
        <v>210888.99503910591</v>
      </c>
      <c r="AI18" s="168">
        <f t="shared" si="15"/>
        <v>545980.83159580897</v>
      </c>
      <c r="AJ18" s="169">
        <f t="shared" si="13"/>
        <v>15.28055873533469</v>
      </c>
      <c r="AK18" s="170">
        <f>-L18*$B$21*10^4</f>
        <v>221.43830374450579</v>
      </c>
      <c r="AL18" s="180">
        <f>SQRT(ABS([1]Ea_vs_shock_forplotting!J$7/EXP(J18+K18)))*1000000</f>
        <v>0.47369133293083482</v>
      </c>
      <c r="AM18" s="175">
        <f>SQRT(ABS([1]Ea_vs_shock_forplotting!J$7/EXP(F18)))*1000000</f>
        <v>34.138815276934814</v>
      </c>
      <c r="AN18" s="174">
        <f>SQRT(ABS([1]Ea_vs_shock_forplotting!J$7/EXP(J18+K18)))*1000000</f>
        <v>0.47369133293083482</v>
      </c>
      <c r="AO18" s="175">
        <f>SQRT(ABS([1]Ea_vs_shock_forplotting!J$7/EXP(J18)))*1000000</f>
        <v>0.96940024816991799</v>
      </c>
      <c r="AP18" s="174">
        <f>SQRT(ABS([1]Ea_vs_shock_forplotting!J$7/EXP(N18+O18)))*1000000</f>
        <v>1.8979369292787839E-2</v>
      </c>
      <c r="AQ18" s="175">
        <f>SQRT(ABS([1]Ea_vs_shock_forplotting!J$7/EXP(N18)))*1000000</f>
        <v>6.9245024044602713E-2</v>
      </c>
      <c r="AR18" s="165">
        <v>46.885290711864407</v>
      </c>
      <c r="AS18" s="165"/>
    </row>
    <row r="19" spans="1:47" x14ac:dyDescent="0.2">
      <c r="X19" s="189"/>
      <c r="Y19" s="189"/>
      <c r="AE19" s="189"/>
      <c r="AJ19" s="190"/>
      <c r="AK19" s="189"/>
      <c r="AL19" s="191"/>
      <c r="AO19" s="194"/>
    </row>
    <row r="20" spans="1:47" x14ac:dyDescent="0.2">
      <c r="A20" s="195" t="s">
        <v>106</v>
      </c>
      <c r="B20" s="196">
        <v>1.9872040999999998E-3</v>
      </c>
      <c r="C20" s="132" t="s">
        <v>107</v>
      </c>
      <c r="J20" s="177"/>
      <c r="X20" s="189"/>
      <c r="Y20" s="189"/>
      <c r="AE20" s="189"/>
      <c r="AJ20" s="189"/>
      <c r="AK20" s="189"/>
    </row>
    <row r="21" spans="1:47" x14ac:dyDescent="0.2">
      <c r="A21" s="195"/>
      <c r="B21" s="196">
        <v>8.3144620999999995E-3</v>
      </c>
      <c r="C21" s="132" t="s">
        <v>43</v>
      </c>
      <c r="T21" s="188"/>
      <c r="X21" s="189"/>
      <c r="Y21" s="189"/>
      <c r="Z21" s="188"/>
      <c r="AE21" s="189"/>
      <c r="AF21" s="188"/>
      <c r="AJ21" s="189"/>
      <c r="AK21" s="189"/>
    </row>
    <row r="23" spans="1:47" x14ac:dyDescent="0.2">
      <c r="Z23" s="199"/>
      <c r="AA23" s="198"/>
      <c r="AB23" s="198"/>
      <c r="AC23" s="198"/>
    </row>
    <row r="24" spans="1:47" x14ac:dyDescent="0.2">
      <c r="AE24" s="188"/>
    </row>
    <row r="25" spans="1:47" x14ac:dyDescent="0.2">
      <c r="U25" s="200"/>
      <c r="V25" s="200"/>
      <c r="W25" s="200"/>
      <c r="X25" s="200"/>
      <c r="AE25" s="188"/>
    </row>
    <row r="26" spans="1:47" x14ac:dyDescent="0.2">
      <c r="U26" s="201"/>
      <c r="V26" s="201"/>
      <c r="W26" s="201"/>
      <c r="X26" s="201"/>
      <c r="AE26" s="189"/>
    </row>
  </sheetData>
  <autoFilter ref="A3:AS18" xr:uid="{00000000-0001-0000-0000-000000000000}">
    <filterColumn colId="2">
      <filters>
        <filter val="5"/>
      </filters>
    </filterColumn>
  </autoFilter>
  <mergeCells count="9">
    <mergeCell ref="AL1:AM1"/>
    <mergeCell ref="AN1:AO1"/>
    <mergeCell ref="AP1:AQ1"/>
    <mergeCell ref="D1:G1"/>
    <mergeCell ref="H1:K1"/>
    <mergeCell ref="L1:O1"/>
    <mergeCell ref="T1:Y1"/>
    <mergeCell ref="Z1:AE1"/>
    <mergeCell ref="AF1:AK1"/>
  </mergeCells>
  <conditionalFormatting sqref="E2:E3 M2:M3 I2:I3">
    <cfRule type="aboveAverage" dxfId="2" priority="1" stdDev="1"/>
  </conditionalFormatting>
  <conditionalFormatting sqref="E20:E1048576">
    <cfRule type="top10" dxfId="1" priority="2" percent="1" rank="10"/>
  </conditionalFormatting>
  <conditionalFormatting sqref="G2:G3 O2:P3 R2:S3 K2:K3">
    <cfRule type="aboveAverage" dxfId="0" priority="3" stdDev="1"/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817-BA75-5748-A746-5945352E5A69}">
  <dimension ref="A1:AD70"/>
  <sheetViews>
    <sheetView zoomScale="68" zoomScaleNormal="100" workbookViewId="0">
      <selection activeCell="C13" sqref="C12:N13"/>
    </sheetView>
  </sheetViews>
  <sheetFormatPr baseColWidth="10" defaultColWidth="8.83203125" defaultRowHeight="15" x14ac:dyDescent="0.2"/>
  <cols>
    <col min="1" max="1" width="8.83203125" style="1"/>
    <col min="2" max="2" width="9.1640625" style="1" bestFit="1" customWidth="1"/>
    <col min="3" max="3" width="17.83203125" style="1" customWidth="1"/>
    <col min="4" max="4" width="9.1640625" style="1" bestFit="1" customWidth="1"/>
    <col min="5" max="5" width="9" style="1" customWidth="1"/>
    <col min="6" max="6" width="12.1640625" style="1" bestFit="1" customWidth="1"/>
    <col min="7" max="7" width="11" style="1" customWidth="1"/>
    <col min="8" max="8" width="9" style="1" customWidth="1"/>
    <col min="9" max="9" width="10.1640625" style="1" bestFit="1" customWidth="1"/>
    <col min="10" max="10" width="12.1640625" style="1" customWidth="1"/>
    <col min="11" max="11" width="0" style="1" hidden="1" customWidth="1"/>
    <col min="12" max="12" width="8.83203125" style="101"/>
    <col min="13" max="15" width="8.83203125" style="1"/>
    <col min="16" max="16" width="9" style="101" bestFit="1" customWidth="1"/>
    <col min="17" max="17" width="9" style="1" bestFit="1" customWidth="1"/>
    <col min="18" max="18" width="10.6640625" style="1" customWidth="1"/>
    <col min="19" max="19" width="9.33203125" style="1" bestFit="1" customWidth="1"/>
    <col min="20" max="20" width="9.1640625" style="101" bestFit="1" customWidth="1"/>
    <col min="21" max="21" width="10.33203125" style="1" bestFit="1" customWidth="1"/>
    <col min="22" max="22" width="9.83203125" style="1" bestFit="1" customWidth="1"/>
    <col min="23" max="25" width="8.83203125" style="1"/>
    <col min="26" max="28" width="9" style="1" bestFit="1" customWidth="1"/>
    <col min="29" max="30" width="8.83203125" style="1"/>
    <col min="31" max="31" width="12.33203125" style="1" customWidth="1"/>
    <col min="32" max="16384" width="8.83203125" style="1"/>
  </cols>
  <sheetData>
    <row r="1" spans="1:24" ht="28" x14ac:dyDescent="0.35">
      <c r="C1" s="2" t="s">
        <v>0</v>
      </c>
      <c r="D1" s="2"/>
      <c r="E1" s="3"/>
      <c r="F1" s="3"/>
      <c r="G1" s="3"/>
      <c r="L1" s="386" t="s">
        <v>1</v>
      </c>
      <c r="M1" s="387"/>
      <c r="N1" s="387"/>
      <c r="O1" s="387"/>
      <c r="P1" s="386" t="s">
        <v>2</v>
      </c>
      <c r="Q1" s="387"/>
      <c r="R1" s="387"/>
      <c r="S1" s="387"/>
      <c r="T1" s="386" t="s">
        <v>3</v>
      </c>
      <c r="U1" s="387"/>
      <c r="V1" s="387"/>
      <c r="W1" s="387"/>
    </row>
    <row r="2" spans="1:24" ht="22" thickBot="1" x14ac:dyDescent="0.3">
      <c r="C2" s="4"/>
      <c r="D2" s="5"/>
      <c r="E2" s="5"/>
      <c r="F2" s="5"/>
      <c r="G2" s="5"/>
      <c r="H2" s="5"/>
      <c r="I2" s="5"/>
      <c r="J2" s="5"/>
      <c r="K2" s="5"/>
      <c r="L2" s="386"/>
      <c r="M2" s="387"/>
      <c r="N2" s="387"/>
      <c r="O2" s="387"/>
      <c r="P2" s="386"/>
      <c r="Q2" s="387"/>
      <c r="R2" s="387"/>
      <c r="S2" s="387"/>
      <c r="T2" s="386"/>
      <c r="U2" s="387"/>
      <c r="V2" s="387"/>
      <c r="W2" s="387"/>
    </row>
    <row r="3" spans="1:24" ht="66" x14ac:dyDescent="0.25">
      <c r="C3" s="6"/>
      <c r="D3" s="6" t="s">
        <v>4</v>
      </c>
      <c r="E3" s="7" t="s">
        <v>5</v>
      </c>
      <c r="F3" s="7" t="s">
        <v>6</v>
      </c>
      <c r="G3" s="6" t="s">
        <v>7</v>
      </c>
      <c r="H3" s="7" t="s">
        <v>5</v>
      </c>
      <c r="I3" s="7" t="s">
        <v>6</v>
      </c>
      <c r="J3" s="8" t="s">
        <v>8</v>
      </c>
      <c r="K3" s="5"/>
      <c r="L3" s="9" t="s">
        <v>9</v>
      </c>
      <c r="M3" s="10" t="s">
        <v>10</v>
      </c>
      <c r="N3" s="10" t="s">
        <v>11</v>
      </c>
      <c r="O3" s="11" t="s">
        <v>12</v>
      </c>
      <c r="P3" s="10" t="s">
        <v>9</v>
      </c>
      <c r="Q3" s="10" t="s">
        <v>10</v>
      </c>
      <c r="R3" s="10" t="s">
        <v>11</v>
      </c>
      <c r="S3" s="12" t="s">
        <v>13</v>
      </c>
      <c r="T3" s="10" t="s">
        <v>9</v>
      </c>
      <c r="U3" s="10" t="s">
        <v>10</v>
      </c>
      <c r="V3" s="10" t="s">
        <v>11</v>
      </c>
      <c r="W3" s="12" t="s">
        <v>14</v>
      </c>
    </row>
    <row r="4" spans="1:24" ht="44" x14ac:dyDescent="0.25">
      <c r="B4" s="13" t="s">
        <v>15</v>
      </c>
      <c r="C4" s="10"/>
      <c r="D4" s="10" t="s">
        <v>16</v>
      </c>
      <c r="E4" s="14" t="s">
        <v>16</v>
      </c>
      <c r="F4" s="14" t="s">
        <v>16</v>
      </c>
      <c r="G4" s="10" t="s">
        <v>17</v>
      </c>
      <c r="H4" s="14" t="s">
        <v>18</v>
      </c>
      <c r="I4" s="14" t="s">
        <v>18</v>
      </c>
      <c r="J4" s="8" t="s">
        <v>19</v>
      </c>
      <c r="K4" s="5"/>
      <c r="L4" s="9" t="s">
        <v>20</v>
      </c>
      <c r="M4" s="10" t="s">
        <v>20</v>
      </c>
      <c r="N4" s="10" t="s">
        <v>20</v>
      </c>
      <c r="O4" s="15" t="s">
        <v>20</v>
      </c>
      <c r="P4" s="10" t="s">
        <v>20</v>
      </c>
      <c r="Q4" s="10" t="s">
        <v>20</v>
      </c>
      <c r="R4" s="10" t="s">
        <v>20</v>
      </c>
      <c r="S4" s="15" t="s">
        <v>20</v>
      </c>
      <c r="T4" s="10" t="s">
        <v>20</v>
      </c>
      <c r="U4" s="10" t="s">
        <v>20</v>
      </c>
      <c r="V4" s="10" t="s">
        <v>20</v>
      </c>
      <c r="W4" s="15" t="s">
        <v>20</v>
      </c>
    </row>
    <row r="5" spans="1:24" ht="19" x14ac:dyDescent="0.25">
      <c r="A5" s="388" t="s">
        <v>21</v>
      </c>
      <c r="B5" s="16">
        <v>5</v>
      </c>
      <c r="C5" s="17" t="s">
        <v>22</v>
      </c>
      <c r="D5" s="18">
        <f>[1]Regression_Ea_Do!Y4</f>
        <v>236.13072363999996</v>
      </c>
      <c r="E5" s="18">
        <f>[1]Regression_Ea_Do!$X4</f>
        <v>53.212557439999998</v>
      </c>
      <c r="F5" s="19">
        <f t="shared" ref="F5:F19" si="0">E5/D5</f>
        <v>0.22535211267605637</v>
      </c>
      <c r="G5" s="20">
        <f>[1]Regression_Ea_Do!V4</f>
        <v>56648283888517.867</v>
      </c>
      <c r="H5" s="20">
        <f>[1]Regression_Ea_Do!W4</f>
        <v>738072549374076.62</v>
      </c>
      <c r="I5" s="19">
        <f t="shared" ref="I5:I49" si="1">H5/G5</f>
        <v>13.029036339857733</v>
      </c>
      <c r="J5" s="19">
        <v>221.54033333333334</v>
      </c>
      <c r="K5" s="17" t="s">
        <v>22</v>
      </c>
      <c r="L5" s="16">
        <v>180</v>
      </c>
      <c r="M5" s="21">
        <f t="shared" ref="M5:M19" si="2">((D5/$B$56)/LN(C56*$B$56*(L5+273.15)^2*G5/G56^2/D5/E56))-273.15</f>
        <v>97.255088699606063</v>
      </c>
      <c r="N5" s="21">
        <f t="shared" ref="N5:N19" si="3">((D5/$B$56)/LN(C56*$B$56*(M5+273.15)^2*G5/G56^2/D5/E56))-273.15</f>
        <v>99.21349145782267</v>
      </c>
      <c r="O5" s="22">
        <f t="shared" ref="O5:O19" si="4">((D5/$B$56)/LN(C56*$B$56*(N5+273.15)^2*G5/G56^2/D5/E56))-273.15</f>
        <v>99.162008301707544</v>
      </c>
      <c r="P5" s="17">
        <v>180</v>
      </c>
      <c r="Q5" s="23">
        <f t="shared" ref="Q5:R19" si="5">((($D5+$E5)/$B$56)/LN($C56*$B$56*(P5+273.15)^2*(ABS($G5-$H5)/$G56^2/($D5+$E5)/$E56))-273.15)</f>
        <v>167.59674654293673</v>
      </c>
      <c r="R5" s="23">
        <f t="shared" si="5"/>
        <v>167.90680273069808</v>
      </c>
      <c r="S5" s="22">
        <f t="shared" ref="S5:S28" si="6">R5-O5</f>
        <v>68.744794428990531</v>
      </c>
      <c r="T5" s="21">
        <v>180</v>
      </c>
      <c r="U5" s="23">
        <f t="shared" ref="U5:V19" si="7">((($D5-$E5)/$B$56)/LN($C56*$B$56*(T5+273.15)^2*($G5+$H5)/$G56^2/($D5-$E5)/$E56))-273.15</f>
        <v>3.3385875064005859</v>
      </c>
      <c r="V5" s="23">
        <f t="shared" si="7"/>
        <v>6.815250926529643</v>
      </c>
      <c r="W5" s="22">
        <f t="shared" ref="W5:W34" si="8">O5-V5</f>
        <v>92.346757375177901</v>
      </c>
      <c r="X5" s="24"/>
    </row>
    <row r="6" spans="1:24" ht="19" x14ac:dyDescent="0.25">
      <c r="A6" s="388"/>
      <c r="B6" s="25">
        <v>4</v>
      </c>
      <c r="C6" s="26" t="s">
        <v>23</v>
      </c>
      <c r="D6" s="27">
        <f>[1]Regression_Ea_Do!Y5</f>
        <v>285.18605002999999</v>
      </c>
      <c r="E6" s="27">
        <f>[1]Regression_Ea_Do!$X5</f>
        <v>37.248790207999996</v>
      </c>
      <c r="F6" s="28">
        <f t="shared" si="0"/>
        <v>0.13061224489795917</v>
      </c>
      <c r="G6" s="29">
        <f>[1]Regression_Ea_Do!V5</f>
        <v>1104131212644.4517</v>
      </c>
      <c r="H6" s="29">
        <f>[1]Regression_Ea_Do!W5</f>
        <v>8490834197322.4121</v>
      </c>
      <c r="I6" s="28">
        <f t="shared" si="1"/>
        <v>7.6900590256717978</v>
      </c>
      <c r="J6" s="28">
        <v>113.28988888888888</v>
      </c>
      <c r="K6" s="26" t="s">
        <v>23</v>
      </c>
      <c r="L6" s="25">
        <v>180</v>
      </c>
      <c r="M6" s="30">
        <f t="shared" si="2"/>
        <v>199.78934668813008</v>
      </c>
      <c r="N6" s="30">
        <f t="shared" si="3"/>
        <v>199.23253324274123</v>
      </c>
      <c r="O6" s="31">
        <f t="shared" si="4"/>
        <v>199.2478616686484</v>
      </c>
      <c r="P6" s="26">
        <v>180</v>
      </c>
      <c r="Q6" s="32">
        <f t="shared" si="5"/>
        <v>248.76688111092926</v>
      </c>
      <c r="R6" s="32">
        <f t="shared" si="5"/>
        <v>246.78958003760965</v>
      </c>
      <c r="S6" s="31">
        <f t="shared" si="6"/>
        <v>47.541718368961256</v>
      </c>
      <c r="T6" s="30">
        <v>180</v>
      </c>
      <c r="U6" s="32">
        <f t="shared" si="7"/>
        <v>125.36764608810199</v>
      </c>
      <c r="V6" s="32">
        <f t="shared" si="7"/>
        <v>126.74079525581573</v>
      </c>
      <c r="W6" s="31">
        <f t="shared" si="8"/>
        <v>72.507066412832671</v>
      </c>
      <c r="X6" s="24"/>
    </row>
    <row r="7" spans="1:24" ht="19" x14ac:dyDescent="0.25">
      <c r="A7" s="388"/>
      <c r="B7" s="25">
        <v>1</v>
      </c>
      <c r="C7" s="26" t="s">
        <v>24</v>
      </c>
      <c r="D7" s="27">
        <f>[1]Regression_Ea_Do!Y6</f>
        <v>175.74518277687196</v>
      </c>
      <c r="E7" s="27">
        <f>[1]Regression_Ea_Do!$X6</f>
        <v>2.0050225208836863</v>
      </c>
      <c r="F7" s="28">
        <f t="shared" si="0"/>
        <v>1.1408691203953426E-2</v>
      </c>
      <c r="G7" s="29">
        <f>[1]Regression_Ea_Do!V6</f>
        <v>4.1824620582848082</v>
      </c>
      <c r="H7" s="29">
        <f>[1]Regression_Ea_Do!W6</f>
        <v>1.4404554964006335</v>
      </c>
      <c r="I7" s="28">
        <f t="shared" si="1"/>
        <v>0.34440372114011525</v>
      </c>
      <c r="J7" s="28">
        <v>877.24150000000009</v>
      </c>
      <c r="K7" s="26" t="s">
        <v>24</v>
      </c>
      <c r="L7" s="25">
        <v>180</v>
      </c>
      <c r="M7" s="30">
        <f t="shared" si="2"/>
        <v>176.18186508738739</v>
      </c>
      <c r="N7" s="30">
        <f t="shared" si="3"/>
        <v>176.3435675658119</v>
      </c>
      <c r="O7" s="31">
        <f t="shared" si="4"/>
        <v>176.33668908952325</v>
      </c>
      <c r="P7" s="26">
        <v>180</v>
      </c>
      <c r="Q7" s="32">
        <f t="shared" si="5"/>
        <v>185.53558260859086</v>
      </c>
      <c r="R7" s="32">
        <f t="shared" si="5"/>
        <v>185.29672448415801</v>
      </c>
      <c r="S7" s="31">
        <f t="shared" si="6"/>
        <v>8.9600353946347582</v>
      </c>
      <c r="T7" s="30">
        <v>180</v>
      </c>
      <c r="U7" s="32">
        <f t="shared" si="7"/>
        <v>168.17146636088307</v>
      </c>
      <c r="V7" s="32">
        <f t="shared" si="7"/>
        <v>168.66507087866029</v>
      </c>
      <c r="W7" s="31">
        <f t="shared" si="8"/>
        <v>7.6716182108629596</v>
      </c>
      <c r="X7" s="24"/>
    </row>
    <row r="8" spans="1:24" ht="19" x14ac:dyDescent="0.25">
      <c r="A8" s="388"/>
      <c r="B8" s="25">
        <v>2</v>
      </c>
      <c r="C8" s="26" t="s">
        <v>25</v>
      </c>
      <c r="D8" s="27">
        <f>[1]Regression_Ea_Do!Y7</f>
        <v>164.59483365781503</v>
      </c>
      <c r="E8" s="27">
        <f>[1]Regression_Ea_Do!$X7</f>
        <v>3.0372727896629832</v>
      </c>
      <c r="F8" s="28">
        <f t="shared" si="0"/>
        <v>1.8453026271634573E-2</v>
      </c>
      <c r="G8" s="29">
        <f>[1]Regression_Ea_Do!V7</f>
        <v>18.116925952226783</v>
      </c>
      <c r="H8" s="29">
        <f>[1]Regression_Ea_Do!W7</f>
        <v>10.664341393624106</v>
      </c>
      <c r="I8" s="28">
        <f t="shared" si="1"/>
        <v>0.58863967439869858</v>
      </c>
      <c r="J8" s="28">
        <v>2173.1043749999999</v>
      </c>
      <c r="K8" s="26" t="s">
        <v>25</v>
      </c>
      <c r="L8" s="25">
        <v>180</v>
      </c>
      <c r="M8" s="30">
        <f t="shared" si="2"/>
        <v>136.1825182432089</v>
      </c>
      <c r="N8" s="30">
        <f t="shared" si="3"/>
        <v>137.91126671309956</v>
      </c>
      <c r="O8" s="31">
        <f t="shared" si="4"/>
        <v>137.83933423413026</v>
      </c>
      <c r="P8" s="26">
        <v>180</v>
      </c>
      <c r="Q8" s="32">
        <f t="shared" si="5"/>
        <v>151.69994230176093</v>
      </c>
      <c r="R8" s="32">
        <f t="shared" si="5"/>
        <v>152.85774133663182</v>
      </c>
      <c r="S8" s="31">
        <f t="shared" si="6"/>
        <v>15.018407102501556</v>
      </c>
      <c r="T8" s="30">
        <v>180</v>
      </c>
      <c r="U8" s="32">
        <f t="shared" si="7"/>
        <v>124.66833626755295</v>
      </c>
      <c r="V8" s="32">
        <f t="shared" si="7"/>
        <v>126.80104660390538</v>
      </c>
      <c r="W8" s="31">
        <f t="shared" si="8"/>
        <v>11.038287630224886</v>
      </c>
      <c r="X8" s="24"/>
    </row>
    <row r="9" spans="1:24" ht="19" x14ac:dyDescent="0.25">
      <c r="A9" s="388"/>
      <c r="B9" s="25">
        <v>3</v>
      </c>
      <c r="C9" s="26" t="s">
        <v>26</v>
      </c>
      <c r="D9" s="27">
        <f>[1]Regression_Ea_Do!Y8</f>
        <v>199.60837214566834</v>
      </c>
      <c r="E9" s="27">
        <f>[1]Regression_Ea_Do!$X8</f>
        <v>4.6059172171068656</v>
      </c>
      <c r="F9" s="28">
        <f t="shared" si="0"/>
        <v>2.3074769698264972E-2</v>
      </c>
      <c r="G9" s="29">
        <f>[1]Regression_Ea_Do!V8</f>
        <v>328.63869757085854</v>
      </c>
      <c r="H9" s="29">
        <f>[1]Regression_Ea_Do!W8</f>
        <v>293.67194433434207</v>
      </c>
      <c r="I9" s="28">
        <f t="shared" si="1"/>
        <v>0.89360122987653579</v>
      </c>
      <c r="J9" s="28">
        <v>551.77666666666664</v>
      </c>
      <c r="K9" s="26" t="s">
        <v>26</v>
      </c>
      <c r="L9" s="25">
        <v>180</v>
      </c>
      <c r="M9" s="30">
        <f t="shared" si="2"/>
        <v>195.72109505913625</v>
      </c>
      <c r="N9" s="30">
        <f t="shared" si="3"/>
        <v>195.09731991494527</v>
      </c>
      <c r="O9" s="31">
        <f t="shared" si="4"/>
        <v>195.12163759207721</v>
      </c>
      <c r="P9" s="26">
        <v>180</v>
      </c>
      <c r="Q9" s="32">
        <f t="shared" si="5"/>
        <v>228.72525856955855</v>
      </c>
      <c r="R9" s="32">
        <f t="shared" si="5"/>
        <v>226.63929277418924</v>
      </c>
      <c r="S9" s="31">
        <f t="shared" si="6"/>
        <v>31.517655182112037</v>
      </c>
      <c r="T9" s="30">
        <v>180</v>
      </c>
      <c r="U9" s="32">
        <f t="shared" si="7"/>
        <v>179.05693519279498</v>
      </c>
      <c r="V9" s="32">
        <f t="shared" si="7"/>
        <v>179.09326684442897</v>
      </c>
      <c r="W9" s="31">
        <f t="shared" si="8"/>
        <v>16.028370747648239</v>
      </c>
      <c r="X9" s="24"/>
    </row>
    <row r="10" spans="1:24" ht="19" x14ac:dyDescent="0.25">
      <c r="A10" s="388"/>
      <c r="B10" s="25">
        <v>2</v>
      </c>
      <c r="C10" s="26" t="s">
        <v>27</v>
      </c>
      <c r="D10" s="27">
        <f>[1]Regression_Ea_Do!Y9</f>
        <v>134.67600400110595</v>
      </c>
      <c r="E10" s="27">
        <f>[1]Regression_Ea_Do!$X9</f>
        <v>18.686316725294621</v>
      </c>
      <c r="F10" s="28">
        <f t="shared" si="0"/>
        <v>0.13875015719311934</v>
      </c>
      <c r="G10" s="29">
        <f>[1]Regression_Ea_Do!V9</f>
        <v>7.7463060781807784E-3</v>
      </c>
      <c r="H10" s="29">
        <f>[1]Regression_Ea_Do!W9</f>
        <v>3.2087308564328745E-2</v>
      </c>
      <c r="I10" s="28">
        <f t="shared" si="1"/>
        <v>4.1422722314975262</v>
      </c>
      <c r="J10" s="28">
        <v>2072.3583333333331</v>
      </c>
      <c r="K10" s="26" t="s">
        <v>27</v>
      </c>
      <c r="L10" s="25">
        <v>180</v>
      </c>
      <c r="M10" s="30">
        <f t="shared" si="2"/>
        <v>119.62305826589335</v>
      </c>
      <c r="N10" s="30">
        <f t="shared" si="3"/>
        <v>122.36582397255069</v>
      </c>
      <c r="O10" s="31">
        <f t="shared" si="4"/>
        <v>122.23145808306231</v>
      </c>
      <c r="P10" s="26">
        <v>180</v>
      </c>
      <c r="Q10" s="32">
        <f t="shared" si="5"/>
        <v>163.37632370929128</v>
      </c>
      <c r="R10" s="32">
        <f t="shared" si="5"/>
        <v>164.14991358407781</v>
      </c>
      <c r="S10" s="31">
        <f t="shared" si="6"/>
        <v>41.918455501015501</v>
      </c>
      <c r="T10" s="30">
        <v>180</v>
      </c>
      <c r="U10" s="32">
        <f t="shared" si="7"/>
        <v>51.077329176074386</v>
      </c>
      <c r="V10" s="32">
        <f t="shared" si="7"/>
        <v>56.202550171670111</v>
      </c>
      <c r="W10" s="31">
        <f t="shared" si="8"/>
        <v>66.028907911392196</v>
      </c>
      <c r="X10" s="24"/>
    </row>
    <row r="11" spans="1:24" ht="18" customHeight="1" x14ac:dyDescent="0.25">
      <c r="A11" s="388"/>
      <c r="B11" s="25">
        <v>4</v>
      </c>
      <c r="C11" s="26" t="s">
        <v>28</v>
      </c>
      <c r="D11" s="27">
        <f>[1]Regression_Ea_Do!Y10</f>
        <v>175.36369428482479</v>
      </c>
      <c r="E11" s="27">
        <f>[1]Regression_Ea_Do!$X10</f>
        <v>3.6671901286842368</v>
      </c>
      <c r="F11" s="28">
        <f t="shared" si="0"/>
        <v>2.0911911919054383E-2</v>
      </c>
      <c r="G11" s="29">
        <f>[1]Regression_Ea_Do!V10</f>
        <v>64.490725668767638</v>
      </c>
      <c r="H11" s="29">
        <f>[1]Regression_Ea_Do!W10</f>
        <v>46.652475866730434</v>
      </c>
      <c r="I11" s="28">
        <f t="shared" si="1"/>
        <v>0.72339821552549022</v>
      </c>
      <c r="J11" s="28">
        <v>1358.061625</v>
      </c>
      <c r="K11" s="26" t="s">
        <v>28</v>
      </c>
      <c r="L11" s="25">
        <v>180</v>
      </c>
      <c r="M11" s="30">
        <f t="shared" si="2"/>
        <v>150.63121314645781</v>
      </c>
      <c r="N11" s="30">
        <f t="shared" si="3"/>
        <v>151.77538602211575</v>
      </c>
      <c r="O11" s="31">
        <f t="shared" si="4"/>
        <v>151.72922591052679</v>
      </c>
      <c r="P11" s="26">
        <v>180</v>
      </c>
      <c r="Q11" s="32">
        <f t="shared" si="5"/>
        <v>171.15102406397534</v>
      </c>
      <c r="R11" s="32">
        <f t="shared" si="5"/>
        <v>171.5129090978624</v>
      </c>
      <c r="S11" s="31">
        <f t="shared" si="6"/>
        <v>19.783683187335612</v>
      </c>
      <c r="T11" s="30">
        <v>180</v>
      </c>
      <c r="U11" s="32">
        <f t="shared" si="7"/>
        <v>137.10819807487474</v>
      </c>
      <c r="V11" s="32">
        <f t="shared" si="7"/>
        <v>138.73555256148296</v>
      </c>
      <c r="W11" s="31">
        <f t="shared" si="8"/>
        <v>12.993673349043831</v>
      </c>
      <c r="X11" s="24"/>
    </row>
    <row r="12" spans="1:24" ht="19" x14ac:dyDescent="0.25">
      <c r="A12" s="388"/>
      <c r="B12" s="25">
        <v>5</v>
      </c>
      <c r="C12" s="26" t="s">
        <v>29</v>
      </c>
      <c r="D12" s="27">
        <f>[1]Regression_Ea_Do!Y11</f>
        <v>92.094474293681998</v>
      </c>
      <c r="E12" s="27">
        <f>[1]Regression_Ea_Do!$X11</f>
        <v>2.9932063559999995</v>
      </c>
      <c r="F12" s="28">
        <f t="shared" si="0"/>
        <v>3.2501476108706601E-2</v>
      </c>
      <c r="G12" s="29">
        <f>[1]Regression_Ea_Do!V11</f>
        <v>6.8494725813948127E-5</v>
      </c>
      <c r="H12" s="29">
        <f>[1]Regression_Ea_Do!W11</f>
        <v>4.5879069087488659E-5</v>
      </c>
      <c r="I12" s="28">
        <f t="shared" si="1"/>
        <v>0.66981900492761648</v>
      </c>
      <c r="J12" s="28">
        <v>815.92236363636357</v>
      </c>
      <c r="K12" s="26" t="s">
        <v>29</v>
      </c>
      <c r="L12" s="25">
        <v>180</v>
      </c>
      <c r="M12" s="30">
        <f t="shared" si="2"/>
        <v>30.887683314754213</v>
      </c>
      <c r="N12" s="30">
        <f t="shared" si="3"/>
        <v>37.697830167932921</v>
      </c>
      <c r="O12" s="31">
        <f t="shared" si="4"/>
        <v>37.311822019412148</v>
      </c>
      <c r="P12" s="26">
        <v>180</v>
      </c>
      <c r="Q12" s="32">
        <f t="shared" si="5"/>
        <v>50.910730053229258</v>
      </c>
      <c r="R12" s="32">
        <f t="shared" si="5"/>
        <v>57.187667653401093</v>
      </c>
      <c r="S12" s="31">
        <f t="shared" si="6"/>
        <v>19.875845633988945</v>
      </c>
      <c r="T12" s="30">
        <v>180</v>
      </c>
      <c r="U12" s="32">
        <f t="shared" si="7"/>
        <v>16.664438787120048</v>
      </c>
      <c r="V12" s="32">
        <f t="shared" si="7"/>
        <v>23.844682929038186</v>
      </c>
      <c r="W12" s="31">
        <f t="shared" si="8"/>
        <v>13.467139090373962</v>
      </c>
      <c r="X12" s="24"/>
    </row>
    <row r="13" spans="1:24" ht="19" x14ac:dyDescent="0.25">
      <c r="A13" s="388"/>
      <c r="B13" s="25">
        <v>5</v>
      </c>
      <c r="C13" s="26" t="s">
        <v>30</v>
      </c>
      <c r="D13" s="27">
        <f>[1]Regression_Ea_Do!Y12</f>
        <v>241.95084711000001</v>
      </c>
      <c r="E13" s="27">
        <f>[1]Regression_Ea_Do!$X12</f>
        <v>14.65507089746</v>
      </c>
      <c r="F13" s="28">
        <f t="shared" si="0"/>
        <v>6.0570446735395182E-2</v>
      </c>
      <c r="G13" s="29">
        <f>[1]Regression_Ea_Do!V12</f>
        <v>333.55516354908195</v>
      </c>
      <c r="H13" s="29">
        <f>[1]Regression_Ea_Do!W12</f>
        <v>1084.4644694072174</v>
      </c>
      <c r="I13" s="28">
        <f t="shared" si="1"/>
        <v>3.2512297452341512</v>
      </c>
      <c r="J13" s="28">
        <v>554.63499999999999</v>
      </c>
      <c r="K13" s="26" t="s">
        <v>30</v>
      </c>
      <c r="L13" s="25">
        <v>180</v>
      </c>
      <c r="M13" s="30">
        <f t="shared" si="2"/>
        <v>286.79453229501166</v>
      </c>
      <c r="N13" s="30">
        <f t="shared" si="3"/>
        <v>282.27128942657623</v>
      </c>
      <c r="O13" s="31">
        <f t="shared" si="4"/>
        <v>282.44331038707935</v>
      </c>
      <c r="P13" s="26">
        <v>180</v>
      </c>
      <c r="Q13" s="32">
        <f t="shared" si="5"/>
        <v>312.23256992346478</v>
      </c>
      <c r="R13" s="32">
        <f t="shared" si="5"/>
        <v>306.60149990990863</v>
      </c>
      <c r="S13" s="31">
        <f t="shared" si="6"/>
        <v>24.158189522829275</v>
      </c>
      <c r="T13" s="30">
        <v>180</v>
      </c>
      <c r="U13" s="32">
        <f t="shared" si="7"/>
        <v>238.02890813488551</v>
      </c>
      <c r="V13" s="32">
        <f t="shared" si="7"/>
        <v>235.73571784114756</v>
      </c>
      <c r="W13" s="31">
        <f t="shared" si="8"/>
        <v>46.707592545931789</v>
      </c>
      <c r="X13" s="24"/>
    </row>
    <row r="14" spans="1:24" ht="17.25" customHeight="1" x14ac:dyDescent="0.25">
      <c r="A14" s="388"/>
      <c r="B14" s="25">
        <v>1</v>
      </c>
      <c r="C14" s="26" t="s">
        <v>31</v>
      </c>
      <c r="D14" s="27">
        <f>[1]Regression_Ea_Do!Y13</f>
        <v>143.55415562478416</v>
      </c>
      <c r="E14" s="27">
        <f>[1]Regression_Ea_Do!$X13</f>
        <v>25.35874880875452</v>
      </c>
      <c r="F14" s="28">
        <f t="shared" si="0"/>
        <v>0.17664935367692283</v>
      </c>
      <c r="G14" s="29">
        <f>[1]Regression_Ea_Do!V13</f>
        <v>13.109006080642843</v>
      </c>
      <c r="H14" s="29">
        <f>[1]Regression_Ea_Do!W13</f>
        <v>65.26218682355848</v>
      </c>
      <c r="I14" s="28">
        <f t="shared" si="1"/>
        <v>4.9784237204624242</v>
      </c>
      <c r="J14" s="33">
        <v>517.74900000000002</v>
      </c>
      <c r="K14" s="26" t="s">
        <v>31</v>
      </c>
      <c r="L14" s="25">
        <v>180</v>
      </c>
      <c r="M14" s="30">
        <f t="shared" si="2"/>
        <v>83.845748408625468</v>
      </c>
      <c r="N14" s="30">
        <f t="shared" si="3"/>
        <v>87.401784087942531</v>
      </c>
      <c r="O14" s="31">
        <f t="shared" si="4"/>
        <v>87.252589591888864</v>
      </c>
      <c r="P14" s="26">
        <v>180</v>
      </c>
      <c r="Q14" s="32">
        <f t="shared" si="5"/>
        <v>136.5880608879703</v>
      </c>
      <c r="R14" s="32">
        <f t="shared" si="5"/>
        <v>138.25927899353286</v>
      </c>
      <c r="S14" s="31">
        <f t="shared" si="6"/>
        <v>51.006689401643996</v>
      </c>
      <c r="T14" s="30">
        <v>180</v>
      </c>
      <c r="U14" s="32">
        <f t="shared" si="7"/>
        <v>9.2081999796023979</v>
      </c>
      <c r="V14" s="32">
        <f t="shared" si="7"/>
        <v>14.615831599351338</v>
      </c>
      <c r="W14" s="31">
        <f t="shared" si="8"/>
        <v>72.636757992537525</v>
      </c>
      <c r="X14" s="24"/>
    </row>
    <row r="15" spans="1:24" ht="19" x14ac:dyDescent="0.25">
      <c r="A15" s="388"/>
      <c r="B15" s="25">
        <v>4</v>
      </c>
      <c r="C15" s="26" t="s">
        <v>32</v>
      </c>
      <c r="D15" s="27">
        <f>[1]Regression_Ea_Do!Y14</f>
        <v>111.41379214</v>
      </c>
      <c r="E15" s="27">
        <f>[1]Regression_Ea_Do!$X14</f>
        <v>4.7917632205222329</v>
      </c>
      <c r="F15" s="28">
        <f t="shared" si="0"/>
        <v>4.3008707705604471E-2</v>
      </c>
      <c r="G15" s="29">
        <f>[1]Regression_Ea_Do!V14</f>
        <v>1.0565203199989786E-2</v>
      </c>
      <c r="H15" s="29">
        <f>[1]Regression_Ea_Do!W14</f>
        <v>1.1231316636685576E-2</v>
      </c>
      <c r="I15" s="28">
        <f t="shared" si="1"/>
        <v>1.0630478585302017</v>
      </c>
      <c r="J15" s="28">
        <v>691.63800000000003</v>
      </c>
      <c r="K15" s="26" t="s">
        <v>32</v>
      </c>
      <c r="L15" s="25">
        <v>180</v>
      </c>
      <c r="M15" s="30">
        <f t="shared" si="2"/>
        <v>49.314818808603491</v>
      </c>
      <c r="N15" s="30">
        <f t="shared" si="3"/>
        <v>54.683055863969798</v>
      </c>
      <c r="O15" s="31">
        <f t="shared" si="4"/>
        <v>54.418425871274053</v>
      </c>
      <c r="P15" s="26">
        <v>180</v>
      </c>
      <c r="Q15" s="32">
        <f t="shared" si="5"/>
        <v>87.538905807390734</v>
      </c>
      <c r="R15" s="32">
        <f t="shared" si="5"/>
        <v>91.838012140438082</v>
      </c>
      <c r="S15" s="31">
        <f t="shared" si="6"/>
        <v>37.419586269164029</v>
      </c>
      <c r="T15" s="30">
        <v>180</v>
      </c>
      <c r="U15" s="32">
        <f t="shared" si="7"/>
        <v>29.845140304966151</v>
      </c>
      <c r="V15" s="32">
        <f t="shared" si="7"/>
        <v>35.720052473009162</v>
      </c>
      <c r="W15" s="31">
        <f t="shared" si="8"/>
        <v>18.698373398264891</v>
      </c>
      <c r="X15" s="24"/>
    </row>
    <row r="16" spans="1:24" ht="19" x14ac:dyDescent="0.25">
      <c r="A16" s="388"/>
      <c r="B16" s="25">
        <v>5</v>
      </c>
      <c r="C16" s="26" t="s">
        <v>33</v>
      </c>
      <c r="D16" s="27">
        <f>[1]Regression_Ea_Do!Y15</f>
        <v>125.18676025030518</v>
      </c>
      <c r="E16" s="27">
        <f>[1]Regression_Ea_Do!$X15</f>
        <v>3.5440977129320106</v>
      </c>
      <c r="F16" s="28">
        <f t="shared" si="0"/>
        <v>2.8310483519549109E-2</v>
      </c>
      <c r="G16" s="29">
        <f>[1]Regression_Ea_Do!V15</f>
        <v>0.19526913758463152</v>
      </c>
      <c r="H16" s="29">
        <f>[1]Regression_Ea_Do!W15</f>
        <v>0.14161404147352852</v>
      </c>
      <c r="I16" s="28">
        <f t="shared" si="1"/>
        <v>0.72522490356240565</v>
      </c>
      <c r="J16" s="28">
        <v>2072.3583333333331</v>
      </c>
      <c r="K16" s="26" t="s">
        <v>33</v>
      </c>
      <c r="L16" s="25">
        <v>180</v>
      </c>
      <c r="M16" s="30">
        <f t="shared" si="2"/>
        <v>61.829292146174964</v>
      </c>
      <c r="N16" s="30">
        <f t="shared" si="3"/>
        <v>66.394380424963686</v>
      </c>
      <c r="O16" s="31">
        <f t="shared" si="4"/>
        <v>66.187212612906308</v>
      </c>
      <c r="P16" s="26">
        <v>180</v>
      </c>
      <c r="Q16" s="32">
        <f t="shared" si="5"/>
        <v>81.73252907313065</v>
      </c>
      <c r="R16" s="32">
        <f t="shared" si="5"/>
        <v>85.754235741883747</v>
      </c>
      <c r="S16" s="31">
        <f t="shared" si="6"/>
        <v>19.567023128977439</v>
      </c>
      <c r="T16" s="30">
        <v>180</v>
      </c>
      <c r="U16" s="32">
        <f t="shared" si="7"/>
        <v>48.241019091894316</v>
      </c>
      <c r="V16" s="32">
        <f t="shared" si="7"/>
        <v>53.166623966596831</v>
      </c>
      <c r="W16" s="31">
        <f t="shared" si="8"/>
        <v>13.020588646309477</v>
      </c>
      <c r="X16" s="24"/>
    </row>
    <row r="17" spans="1:24" ht="19" x14ac:dyDescent="0.25">
      <c r="A17" s="388"/>
      <c r="B17" s="25">
        <v>1</v>
      </c>
      <c r="C17" s="26" t="s">
        <v>34</v>
      </c>
      <c r="D17" s="27">
        <f>[1]Regression_Ea_Do!Y16</f>
        <v>150.92356480414364</v>
      </c>
      <c r="E17" s="27">
        <f>[1]Regression_Ea_Do!$X16</f>
        <v>5.446268817222788</v>
      </c>
      <c r="F17" s="28">
        <f t="shared" si="0"/>
        <v>3.6086272043007427E-2</v>
      </c>
      <c r="G17" s="29">
        <f>[1]Regression_Ea_Do!V16</f>
        <v>6.3568342103606457E-2</v>
      </c>
      <c r="H17" s="29">
        <f>[1]Regression_Ea_Do!W16</f>
        <v>7.9241919210999226E-2</v>
      </c>
      <c r="I17" s="28">
        <f t="shared" si="1"/>
        <v>1.246562622033579</v>
      </c>
      <c r="J17" s="34"/>
      <c r="K17" s="26" t="s">
        <v>34</v>
      </c>
      <c r="L17" s="25">
        <v>180</v>
      </c>
      <c r="M17" s="30">
        <f t="shared" si="2"/>
        <v>157.61828441513268</v>
      </c>
      <c r="N17" s="30">
        <f t="shared" si="3"/>
        <v>158.65639558261773</v>
      </c>
      <c r="O17" s="31">
        <f t="shared" si="4"/>
        <v>158.60695167904322</v>
      </c>
      <c r="P17" s="26">
        <v>180</v>
      </c>
      <c r="Q17" s="32">
        <f t="shared" si="5"/>
        <v>188.9045392645761</v>
      </c>
      <c r="R17" s="32">
        <f t="shared" si="5"/>
        <v>188.46315234072028</v>
      </c>
      <c r="S17" s="31">
        <f t="shared" si="6"/>
        <v>29.856200661677065</v>
      </c>
      <c r="T17" s="30">
        <v>180</v>
      </c>
      <c r="U17" s="32">
        <f t="shared" si="7"/>
        <v>133.89977505503208</v>
      </c>
      <c r="V17" s="32">
        <f t="shared" si="7"/>
        <v>135.94192326610096</v>
      </c>
      <c r="W17" s="31">
        <f t="shared" si="8"/>
        <v>22.665028412942263</v>
      </c>
      <c r="X17" s="24"/>
    </row>
    <row r="18" spans="1:24" ht="19" x14ac:dyDescent="0.25">
      <c r="A18" s="388"/>
      <c r="B18" s="25">
        <v>3</v>
      </c>
      <c r="C18" s="26" t="s">
        <v>35</v>
      </c>
      <c r="D18" s="27">
        <f>[1]Regression_Ea_Do!Y17</f>
        <v>143.03369150629999</v>
      </c>
      <c r="E18" s="27">
        <f>[1]Regression_Ea_Do!$X17</f>
        <v>2.5442254025999995</v>
      </c>
      <c r="F18" s="28">
        <f t="shared" si="0"/>
        <v>1.7787595186886006E-2</v>
      </c>
      <c r="G18" s="29">
        <f>[1]Regression_Ea_Do!V17</f>
        <v>0.7106565307626671</v>
      </c>
      <c r="H18" s="29">
        <f>[1]Regression_Ea_Do!W17</f>
        <v>0.36240549792386451</v>
      </c>
      <c r="I18" s="28">
        <f t="shared" si="1"/>
        <v>0.50995872441351631</v>
      </c>
      <c r="J18" s="34"/>
      <c r="K18" s="26" t="s">
        <v>35</v>
      </c>
      <c r="L18" s="25">
        <v>180</v>
      </c>
      <c r="M18" s="30">
        <f t="shared" si="2"/>
        <v>106.151658021522</v>
      </c>
      <c r="N18" s="30">
        <f t="shared" si="3"/>
        <v>109.15061558526554</v>
      </c>
      <c r="O18" s="31">
        <f t="shared" si="4"/>
        <v>109.01684580297245</v>
      </c>
      <c r="P18" s="26">
        <v>180</v>
      </c>
      <c r="Q18" s="32">
        <f t="shared" si="5"/>
        <v>119.22168293834528</v>
      </c>
      <c r="R18" s="32">
        <f t="shared" si="5"/>
        <v>121.77074110881216</v>
      </c>
      <c r="S18" s="31">
        <f t="shared" si="6"/>
        <v>12.753895305839706</v>
      </c>
      <c r="T18" s="30">
        <v>180</v>
      </c>
      <c r="U18" s="32">
        <f t="shared" si="7"/>
        <v>95.905575925100607</v>
      </c>
      <c r="V18" s="32">
        <f t="shared" si="7"/>
        <v>99.244863323448044</v>
      </c>
      <c r="W18" s="31">
        <f t="shared" si="8"/>
        <v>9.7719824795244108</v>
      </c>
      <c r="X18" s="24"/>
    </row>
    <row r="19" spans="1:24" ht="19" x14ac:dyDescent="0.25">
      <c r="A19" s="388"/>
      <c r="B19" s="35">
        <v>2</v>
      </c>
      <c r="C19" s="36" t="s">
        <v>36</v>
      </c>
      <c r="D19" s="37">
        <f>[1]Regression_Ea_Do!Y18</f>
        <v>135.97471318339998</v>
      </c>
      <c r="E19" s="37">
        <f>[1]Regression_Ea_Do!$X18</f>
        <v>2.5431841192475892</v>
      </c>
      <c r="F19" s="38">
        <f t="shared" si="0"/>
        <v>1.8703360791924549E-2</v>
      </c>
      <c r="G19" s="39">
        <f>[1]Regression_Ea_Do!V18</f>
        <v>0.86762921395389658</v>
      </c>
      <c r="H19" s="39">
        <f>[1]Regression_Ea_Do!W18</f>
        <v>0.45512398638251533</v>
      </c>
      <c r="I19" s="38">
        <f t="shared" si="1"/>
        <v>0.52456046783908705</v>
      </c>
      <c r="J19" s="40"/>
      <c r="K19" s="36" t="s">
        <v>36</v>
      </c>
      <c r="L19" s="35">
        <v>180</v>
      </c>
      <c r="M19" s="41">
        <f t="shared" si="2"/>
        <v>84.381360269578579</v>
      </c>
      <c r="N19" s="41">
        <f t="shared" si="3"/>
        <v>88.125108410797054</v>
      </c>
      <c r="O19" s="42">
        <f t="shared" si="4"/>
        <v>87.958916185165322</v>
      </c>
      <c r="P19" s="36">
        <v>180</v>
      </c>
      <c r="Q19" s="43">
        <f t="shared" si="5"/>
        <v>97.239027179559571</v>
      </c>
      <c r="R19" s="43">
        <f t="shared" si="5"/>
        <v>100.59042638666642</v>
      </c>
      <c r="S19" s="42">
        <f t="shared" si="6"/>
        <v>12.631510201501101</v>
      </c>
      <c r="T19" s="41">
        <v>180</v>
      </c>
      <c r="U19" s="43">
        <f t="shared" si="7"/>
        <v>74.347191767381162</v>
      </c>
      <c r="V19" s="43">
        <f t="shared" si="7"/>
        <v>78.388666607750281</v>
      </c>
      <c r="W19" s="42">
        <f t="shared" si="8"/>
        <v>9.5702495774150407</v>
      </c>
      <c r="X19" s="24"/>
    </row>
    <row r="20" spans="1:24" ht="19" x14ac:dyDescent="0.25">
      <c r="A20" s="389" t="s">
        <v>37</v>
      </c>
      <c r="B20" s="44"/>
      <c r="C20" s="45" t="s">
        <v>22</v>
      </c>
      <c r="D20" s="46">
        <f>[1]Regression_Ea_Do!AE4</f>
        <v>216.1760146</v>
      </c>
      <c r="E20" s="46">
        <f>[1]Regression_Ea_Do!$AD4</f>
        <v>19.040118208999999</v>
      </c>
      <c r="F20" s="47">
        <f>E20/D20</f>
        <v>8.8076923076923067E-2</v>
      </c>
      <c r="G20" s="48">
        <f>[1]Regression_Ea_Do!AB4</f>
        <v>50913.470287298878</v>
      </c>
      <c r="H20" s="48">
        <f>[1]Regression_Ea_Do!AC4</f>
        <v>156312.2057465273</v>
      </c>
      <c r="I20" s="47">
        <f t="shared" si="1"/>
        <v>3.070154221750657</v>
      </c>
      <c r="J20" s="49"/>
      <c r="K20" s="45" t="s">
        <v>22</v>
      </c>
      <c r="L20" s="44">
        <v>180</v>
      </c>
      <c r="M20" s="50">
        <f t="shared" ref="M20:M28" si="9">((D20/$B$56)/LN(C56*$B$56*(L20+273.15)^2*G20/G56^2/D20/E56))-273.15</f>
        <v>191.70756317867091</v>
      </c>
      <c r="N20" s="50">
        <f t="shared" ref="N20:N28" si="10">((D20/$B$56)/LN(C56*$B$56*(M20+273.15)^2*G20/G56^2/D20/E56))-273.15</f>
        <v>191.28394540152794</v>
      </c>
      <c r="O20" s="51">
        <f t="shared" ref="O20:O28" si="11">((D20/$B$56)/LN(C56*$B$56*(N20+273.15)^2*G20/G56^2/D20/E56))-273.15</f>
        <v>191.29907302884357</v>
      </c>
      <c r="P20" s="52">
        <v>180</v>
      </c>
      <c r="Q20" s="53">
        <f t="shared" ref="Q20:R28" si="12">((($D20+$E20)/$B$56)/LN($C56*$B$56*(P20+273.15)^2*(ABS($G20-$H20))/$G56^2/($D20+$E20)/$E56))-273.15</f>
        <v>226.90018038813275</v>
      </c>
      <c r="R20" s="53">
        <f t="shared" si="12"/>
        <v>225.16523460954619</v>
      </c>
      <c r="S20" s="54">
        <f t="shared" si="6"/>
        <v>33.866161580702624</v>
      </c>
      <c r="T20" s="50">
        <v>180</v>
      </c>
      <c r="U20" s="55">
        <f t="shared" ref="U20:V28" si="13">((($D20-$E20)/$B$56)/LN($C56*$B$56*(T20+273.15)^2*($G20+$H20)/$G56^2/($D20-$E20)/$E56))-273.15</f>
        <v>139.72205735101664</v>
      </c>
      <c r="V20" s="55">
        <f t="shared" si="13"/>
        <v>141.06488808827243</v>
      </c>
      <c r="W20" s="51">
        <f t="shared" si="8"/>
        <v>50.23418494057114</v>
      </c>
      <c r="X20" s="56"/>
    </row>
    <row r="21" spans="1:24" ht="19" x14ac:dyDescent="0.25">
      <c r="A21" s="389"/>
      <c r="B21" s="57"/>
      <c r="C21" s="52" t="s">
        <v>23</v>
      </c>
      <c r="D21" s="58">
        <f>[1]Regression_Ea_Do!AE5</f>
        <v>231.82133793356999</v>
      </c>
      <c r="E21" s="58">
        <f>[1]Regression_Ea_Do!$AD5</f>
        <v>15.423327195499999</v>
      </c>
      <c r="F21" s="59">
        <f t="shared" ref="F21:F49" si="14">E21/D21</f>
        <v>6.6531093871607536E-2</v>
      </c>
      <c r="G21" s="60">
        <f>[1]Regression_Ea_Do!AB5</f>
        <v>400.64666681822911</v>
      </c>
      <c r="H21" s="60">
        <f>[1]Regression_Ea_Do!AC5</f>
        <v>894.18862640791099</v>
      </c>
      <c r="I21" s="59">
        <f t="shared" si="1"/>
        <v>2.231863386033357</v>
      </c>
      <c r="J21" s="61"/>
      <c r="K21" s="52" t="s">
        <v>23</v>
      </c>
      <c r="L21" s="57">
        <v>180</v>
      </c>
      <c r="M21" s="62">
        <f t="shared" si="9"/>
        <v>273.59999044690448</v>
      </c>
      <c r="N21" s="62">
        <f t="shared" si="10"/>
        <v>269.60308091722425</v>
      </c>
      <c r="O21" s="54">
        <f t="shared" si="11"/>
        <v>269.75816495481888</v>
      </c>
      <c r="P21" s="52">
        <v>180</v>
      </c>
      <c r="Q21" s="53">
        <f t="shared" si="12"/>
        <v>308.33255355302242</v>
      </c>
      <c r="R21" s="53">
        <f t="shared" si="12"/>
        <v>302.71666293130954</v>
      </c>
      <c r="S21" s="54">
        <f t="shared" si="6"/>
        <v>32.958497976490662</v>
      </c>
      <c r="T21" s="62">
        <v>180</v>
      </c>
      <c r="U21" s="53">
        <f t="shared" si="13"/>
        <v>225.09030605971503</v>
      </c>
      <c r="V21" s="53">
        <f t="shared" si="13"/>
        <v>223.28731327595671</v>
      </c>
      <c r="W21" s="54">
        <f t="shared" si="8"/>
        <v>46.470851678862175</v>
      </c>
      <c r="X21" s="56"/>
    </row>
    <row r="22" spans="1:24" ht="19" x14ac:dyDescent="0.25">
      <c r="A22" s="389"/>
      <c r="B22" s="57"/>
      <c r="C22" s="52" t="s">
        <v>24</v>
      </c>
      <c r="D22" s="58">
        <f>[1]Regression_Ea_Do!AE6</f>
        <v>197.24542971581042</v>
      </c>
      <c r="E22" s="58">
        <f>[1]Regression_Ea_Do!$AD6</f>
        <v>11.090068814530136</v>
      </c>
      <c r="F22" s="59">
        <f t="shared" si="14"/>
        <v>5.622471877046082E-2</v>
      </c>
      <c r="G22" s="60">
        <f>[1]Regression_Ea_Do!AB6</f>
        <v>37.69511289815452</v>
      </c>
      <c r="H22" s="60">
        <f>[1]Regression_Ea_Do!AC6</f>
        <v>60.679781201075969</v>
      </c>
      <c r="I22" s="59">
        <f t="shared" si="1"/>
        <v>1.6097519422483739</v>
      </c>
      <c r="J22" s="61"/>
      <c r="K22" s="52" t="s">
        <v>24</v>
      </c>
      <c r="L22" s="57">
        <v>180</v>
      </c>
      <c r="M22" s="62">
        <f t="shared" si="9"/>
        <v>209.76632098523766</v>
      </c>
      <c r="N22" s="62">
        <f t="shared" si="10"/>
        <v>208.51872948621781</v>
      </c>
      <c r="O22" s="54">
        <f t="shared" si="11"/>
        <v>208.56933079256714</v>
      </c>
      <c r="P22" s="52">
        <v>180</v>
      </c>
      <c r="Q22" s="53">
        <f t="shared" si="12"/>
        <v>242.68719411420579</v>
      </c>
      <c r="R22" s="53">
        <f t="shared" si="12"/>
        <v>239.94995237776243</v>
      </c>
      <c r="S22" s="54">
        <f t="shared" si="6"/>
        <v>31.380621585195286</v>
      </c>
      <c r="T22" s="62">
        <v>180</v>
      </c>
      <c r="U22" s="53">
        <f t="shared" si="13"/>
        <v>173.3693682336704</v>
      </c>
      <c r="V22" s="53">
        <f t="shared" si="13"/>
        <v>173.6320526697624</v>
      </c>
      <c r="W22" s="54">
        <f t="shared" si="8"/>
        <v>34.937278122804742</v>
      </c>
      <c r="X22" s="56"/>
    </row>
    <row r="23" spans="1:24" ht="19" x14ac:dyDescent="0.25">
      <c r="A23" s="389"/>
      <c r="B23" s="57"/>
      <c r="C23" s="52" t="s">
        <v>25</v>
      </c>
      <c r="D23" s="58">
        <f>[1]Regression_Ea_Do!AE7</f>
        <v>125.3480653784614</v>
      </c>
      <c r="E23" s="58">
        <f>[1]Regression_Ea_Do!$AD7</f>
        <v>3.0476818670370212</v>
      </c>
      <c r="F23" s="59">
        <f t="shared" si="14"/>
        <v>2.4313752731924536E-2</v>
      </c>
      <c r="G23" s="60">
        <f>[1]Regression_Ea_Do!AB7</f>
        <v>1.5865736669655118E-2</v>
      </c>
      <c r="H23" s="60">
        <f>[1]Regression_Ea_Do!AC7</f>
        <v>8.1351652649074915E-3</v>
      </c>
      <c r="I23" s="59">
        <f t="shared" si="1"/>
        <v>0.51275055386913404</v>
      </c>
      <c r="J23" s="61"/>
      <c r="K23" s="52" t="s">
        <v>25</v>
      </c>
      <c r="L23" s="57">
        <v>180</v>
      </c>
      <c r="M23" s="62">
        <f t="shared" si="9"/>
        <v>89.302813056828199</v>
      </c>
      <c r="N23" s="62">
        <f t="shared" si="10"/>
        <v>93.237255178653072</v>
      </c>
      <c r="O23" s="54">
        <f t="shared" si="11"/>
        <v>93.045085703818586</v>
      </c>
      <c r="P23" s="52">
        <v>180</v>
      </c>
      <c r="Q23" s="53">
        <f t="shared" si="12"/>
        <v>104.86798990965656</v>
      </c>
      <c r="R23" s="53">
        <f t="shared" si="12"/>
        <v>108.25302571237722</v>
      </c>
      <c r="S23" s="54">
        <f t="shared" si="6"/>
        <v>15.207940008558637</v>
      </c>
      <c r="T23" s="62">
        <v>180</v>
      </c>
      <c r="U23" s="53">
        <f t="shared" si="13"/>
        <v>76.800555156910207</v>
      </c>
      <c r="V23" s="53">
        <f t="shared" si="13"/>
        <v>81.157361213857655</v>
      </c>
      <c r="W23" s="54">
        <f t="shared" si="8"/>
        <v>11.887724489960931</v>
      </c>
      <c r="X23" s="56"/>
    </row>
    <row r="24" spans="1:24" ht="19" x14ac:dyDescent="0.25">
      <c r="A24" s="389"/>
      <c r="B24" s="57"/>
      <c r="C24" s="52" t="s">
        <v>26</v>
      </c>
      <c r="D24" s="58">
        <f>[1]Regression_Ea_Do!AE8</f>
        <v>163.54722758172264</v>
      </c>
      <c r="E24" s="58">
        <f>[1]Regression_Ea_Do!$AD8</f>
        <v>4.7004242363898259</v>
      </c>
      <c r="F24" s="59">
        <f t="shared" si="14"/>
        <v>2.8740470296514681E-2</v>
      </c>
      <c r="G24" s="60">
        <f>[1]Regression_Ea_Do!AB8</f>
        <v>4.2659206644411881E-3</v>
      </c>
      <c r="H24" s="60">
        <f>[1]Regression_Ea_Do!AC8</f>
        <v>3.094020144206542E-3</v>
      </c>
      <c r="I24" s="59">
        <f t="shared" si="1"/>
        <v>0.72528778371264935</v>
      </c>
      <c r="J24" s="61"/>
      <c r="K24" s="52" t="s">
        <v>26</v>
      </c>
      <c r="L24" s="57">
        <v>180</v>
      </c>
      <c r="M24" s="62">
        <f t="shared" si="9"/>
        <v>216.77177084116306</v>
      </c>
      <c r="N24" s="62">
        <f t="shared" si="10"/>
        <v>214.87502252251346</v>
      </c>
      <c r="O24" s="54">
        <f t="shared" si="11"/>
        <v>214.96897617105446</v>
      </c>
      <c r="P24" s="52">
        <v>180</v>
      </c>
      <c r="Q24" s="53">
        <f t="shared" si="12"/>
        <v>247.99062334345399</v>
      </c>
      <c r="R24" s="53">
        <f t="shared" si="12"/>
        <v>244.26494039238241</v>
      </c>
      <c r="S24" s="54">
        <f t="shared" si="6"/>
        <v>29.295964221327949</v>
      </c>
      <c r="T24" s="62">
        <v>180</v>
      </c>
      <c r="U24" s="53">
        <f t="shared" si="13"/>
        <v>195.97781676569605</v>
      </c>
      <c r="V24" s="53">
        <f t="shared" si="13"/>
        <v>195.18081625845247</v>
      </c>
      <c r="W24" s="54">
        <f t="shared" si="8"/>
        <v>19.788159912601998</v>
      </c>
      <c r="X24" s="56"/>
    </row>
    <row r="25" spans="1:24" ht="19" x14ac:dyDescent="0.25">
      <c r="A25" s="389"/>
      <c r="B25" s="57"/>
      <c r="C25" s="52" t="s">
        <v>27</v>
      </c>
      <c r="D25" s="58">
        <f>[1]Regression_Ea_Do!AE9</f>
        <v>158.98868438747215</v>
      </c>
      <c r="E25" s="58">
        <f>[1]Regression_Ea_Do!$AD9</f>
        <v>2.5730996965324082</v>
      </c>
      <c r="F25" s="59">
        <f t="shared" si="14"/>
        <v>1.6184168744119511E-2</v>
      </c>
      <c r="G25" s="60">
        <f>[1]Regression_Ea_Do!AB9</f>
        <v>0.48589631418624951</v>
      </c>
      <c r="H25" s="60">
        <f>[1]Regression_Ea_Do!AC9</f>
        <v>0.21837099641643579</v>
      </c>
      <c r="I25" s="59">
        <f t="shared" si="1"/>
        <v>0.44941891930617062</v>
      </c>
      <c r="J25" s="61"/>
      <c r="K25" s="52" t="s">
        <v>27</v>
      </c>
      <c r="L25" s="57">
        <v>180</v>
      </c>
      <c r="M25" s="62">
        <f t="shared" si="9"/>
        <v>149.78575115527701</v>
      </c>
      <c r="N25" s="62">
        <f t="shared" si="10"/>
        <v>151.08066755117818</v>
      </c>
      <c r="O25" s="54">
        <f t="shared" si="11"/>
        <v>151.02313066372301</v>
      </c>
      <c r="P25" s="52">
        <v>180</v>
      </c>
      <c r="Q25" s="53">
        <f t="shared" si="12"/>
        <v>162.53616002182895</v>
      </c>
      <c r="R25" s="53">
        <f t="shared" si="12"/>
        <v>163.30536646724755</v>
      </c>
      <c r="S25" s="54">
        <f t="shared" si="6"/>
        <v>12.282235803524543</v>
      </c>
      <c r="T25" s="62">
        <v>180</v>
      </c>
      <c r="U25" s="53">
        <f t="shared" si="13"/>
        <v>139.40520887266149</v>
      </c>
      <c r="V25" s="53">
        <f t="shared" si="13"/>
        <v>141.11046048648097</v>
      </c>
      <c r="W25" s="54">
        <f t="shared" si="8"/>
        <v>9.9126701772420347</v>
      </c>
      <c r="X25" s="56"/>
    </row>
    <row r="26" spans="1:24" ht="19" x14ac:dyDescent="0.25">
      <c r="A26" s="389"/>
      <c r="B26" s="57"/>
      <c r="C26" s="52" t="s">
        <v>28</v>
      </c>
      <c r="D26" s="58">
        <f>[1]Regression_Ea_Do!AE10</f>
        <v>187.94078310548844</v>
      </c>
      <c r="E26" s="58">
        <f>[1]Regression_Ea_Do!$AD10</f>
        <v>66.883355632610971</v>
      </c>
      <c r="F26" s="59">
        <f t="shared" si="14"/>
        <v>0.3558746245889074</v>
      </c>
      <c r="G26" s="60">
        <f>[1]Regression_Ea_Do!AB10</f>
        <v>75.649225587800146</v>
      </c>
      <c r="H26" s="60">
        <f>[1]Regression_Ea_Do!AC10</f>
        <v>863.56689091412079</v>
      </c>
      <c r="I26" s="59">
        <f t="shared" si="1"/>
        <v>11.415409532670578</v>
      </c>
      <c r="J26" s="61"/>
      <c r="K26" s="52" t="s">
        <v>28</v>
      </c>
      <c r="L26" s="57">
        <v>180</v>
      </c>
      <c r="M26" s="62">
        <f t="shared" si="9"/>
        <v>180.20207796266413</v>
      </c>
      <c r="N26" s="62">
        <f t="shared" si="10"/>
        <v>180.1939704691556</v>
      </c>
      <c r="O26" s="54">
        <f t="shared" si="11"/>
        <v>180.19429567166122</v>
      </c>
      <c r="P26" s="52">
        <v>180</v>
      </c>
      <c r="Q26" s="53">
        <f t="shared" si="12"/>
        <v>317.39056411786294</v>
      </c>
      <c r="R26" s="53">
        <f t="shared" si="12"/>
        <v>311.42493581681629</v>
      </c>
      <c r="S26" s="54">
        <f t="shared" si="6"/>
        <v>131.23064014515506</v>
      </c>
      <c r="T26" s="62">
        <v>180</v>
      </c>
      <c r="U26" s="53">
        <f t="shared" si="13"/>
        <v>2.5074351537938355</v>
      </c>
      <c r="V26" s="53">
        <f t="shared" si="13"/>
        <v>7.7952538661882613</v>
      </c>
      <c r="W26" s="54">
        <f t="shared" si="8"/>
        <v>172.39904180547296</v>
      </c>
      <c r="X26" s="56"/>
    </row>
    <row r="27" spans="1:24" ht="19" x14ac:dyDescent="0.25">
      <c r="A27" s="389"/>
      <c r="B27" s="57"/>
      <c r="C27" s="52" t="s">
        <v>29</v>
      </c>
      <c r="D27" s="58">
        <f>[1]Regression_Ea_Do!AE11</f>
        <v>189.56973587999997</v>
      </c>
      <c r="E27" s="58">
        <f>[1]Regression_Ea_Do!$AD11</f>
        <v>12.804271633999999</v>
      </c>
      <c r="F27" s="59">
        <f t="shared" si="14"/>
        <v>6.7543859649122809E-2</v>
      </c>
      <c r="G27" s="60">
        <f>[1]Regression_Ea_Do!AB11</f>
        <v>1.8243909201067274</v>
      </c>
      <c r="H27" s="60">
        <f>[1]Regression_Ea_Do!AC11</f>
        <v>3.8864222191291589</v>
      </c>
      <c r="I27" s="59">
        <f t="shared" si="1"/>
        <v>2.1302573786663013</v>
      </c>
      <c r="J27" s="61"/>
      <c r="K27" s="52" t="s">
        <v>29</v>
      </c>
      <c r="L27" s="57">
        <v>180</v>
      </c>
      <c r="M27" s="62">
        <f t="shared" si="9"/>
        <v>223.59142482328565</v>
      </c>
      <c r="N27" s="62">
        <f t="shared" si="10"/>
        <v>221.61134175862429</v>
      </c>
      <c r="O27" s="54">
        <f t="shared" si="11"/>
        <v>221.69712093797006</v>
      </c>
      <c r="P27" s="52">
        <v>180</v>
      </c>
      <c r="Q27" s="53">
        <f t="shared" si="12"/>
        <v>256.484550740754</v>
      </c>
      <c r="R27" s="53">
        <f t="shared" si="12"/>
        <v>252.91388996013632</v>
      </c>
      <c r="S27" s="54">
        <f t="shared" si="6"/>
        <v>31.216769022166261</v>
      </c>
      <c r="T27" s="62">
        <v>180</v>
      </c>
      <c r="U27" s="53">
        <f t="shared" si="13"/>
        <v>178.13250795135212</v>
      </c>
      <c r="V27" s="53">
        <f t="shared" si="13"/>
        <v>178.21164010270314</v>
      </c>
      <c r="W27" s="54">
        <f t="shared" si="8"/>
        <v>43.485480835266912</v>
      </c>
      <c r="X27" s="56"/>
    </row>
    <row r="28" spans="1:24" ht="19" x14ac:dyDescent="0.25">
      <c r="A28" s="389"/>
      <c r="B28" s="57"/>
      <c r="C28" s="52" t="s">
        <v>30</v>
      </c>
      <c r="D28" s="58">
        <f>[1]Regression_Ea_Do!AE12</f>
        <v>241.95084711000001</v>
      </c>
      <c r="E28" s="58">
        <f>[1]Regression_Ea_Do!$AD12</f>
        <v>26.190555615000001</v>
      </c>
      <c r="F28" s="59">
        <f t="shared" si="14"/>
        <v>0.10824742268041238</v>
      </c>
      <c r="G28" s="60">
        <f>[1]Regression_Ea_Do!AB12</f>
        <v>333.55516354908195</v>
      </c>
      <c r="H28" s="60">
        <f>[1]Regression_Ea_Do!AC12</f>
        <v>1424.6714557407811</v>
      </c>
      <c r="I28" s="59">
        <f t="shared" si="1"/>
        <v>4.2711719422420025</v>
      </c>
      <c r="J28" s="61"/>
      <c r="K28" s="52" t="s">
        <v>30</v>
      </c>
      <c r="L28" s="57">
        <v>180</v>
      </c>
      <c r="M28" s="62">
        <f t="shared" si="9"/>
        <v>286.79453229501166</v>
      </c>
      <c r="N28" s="62">
        <f t="shared" si="10"/>
        <v>282.27128942657623</v>
      </c>
      <c r="O28" s="54">
        <f t="shared" si="11"/>
        <v>282.44331038707935</v>
      </c>
      <c r="P28" s="52">
        <v>180</v>
      </c>
      <c r="Q28" s="53">
        <f t="shared" si="12"/>
        <v>334.74641721381272</v>
      </c>
      <c r="R28" s="53">
        <f t="shared" si="12"/>
        <v>328.08755550311776</v>
      </c>
      <c r="S28" s="54">
        <f t="shared" si="6"/>
        <v>45.644245116038405</v>
      </c>
      <c r="T28" s="62">
        <v>180</v>
      </c>
      <c r="U28" s="53">
        <f t="shared" si="13"/>
        <v>209.67436467974858</v>
      </c>
      <c r="V28" s="53">
        <f t="shared" si="13"/>
        <v>208.53741815127194</v>
      </c>
      <c r="W28" s="54">
        <f t="shared" si="8"/>
        <v>73.905892235807414</v>
      </c>
      <c r="X28" s="56"/>
    </row>
    <row r="29" spans="1:24" ht="19" x14ac:dyDescent="0.25">
      <c r="A29" s="389"/>
      <c r="B29" s="57"/>
      <c r="C29" s="52" t="s">
        <v>31</v>
      </c>
      <c r="D29" s="58"/>
      <c r="E29" s="58"/>
      <c r="F29" s="59"/>
      <c r="G29" s="60"/>
      <c r="H29" s="60"/>
      <c r="I29" s="59"/>
      <c r="J29" s="61"/>
      <c r="K29" s="52" t="s">
        <v>31</v>
      </c>
      <c r="L29" s="57">
        <v>180</v>
      </c>
      <c r="M29" s="62"/>
      <c r="N29" s="62"/>
      <c r="O29" s="54"/>
      <c r="P29" s="52">
        <v>180</v>
      </c>
      <c r="Q29" s="53"/>
      <c r="R29" s="53"/>
      <c r="S29" s="54"/>
      <c r="T29" s="62">
        <v>180</v>
      </c>
      <c r="U29" s="53"/>
      <c r="V29" s="53"/>
      <c r="W29" s="54">
        <f t="shared" si="8"/>
        <v>0</v>
      </c>
      <c r="X29" s="56"/>
    </row>
    <row r="30" spans="1:24" ht="19" x14ac:dyDescent="0.25">
      <c r="A30" s="389"/>
      <c r="B30" s="57"/>
      <c r="C30" s="52" t="s">
        <v>32</v>
      </c>
      <c r="D30" s="58">
        <f>[1]Regression_Ea_Do!AE14</f>
        <v>236.13072363999996</v>
      </c>
      <c r="E30" s="58">
        <f>[1]Regression_Ea_Do!$AD14</f>
        <v>10.476222245999999</v>
      </c>
      <c r="F30" s="59">
        <f t="shared" si="14"/>
        <v>4.4366197183098595E-2</v>
      </c>
      <c r="G30" s="60">
        <f>[1]Regression_Ea_Do!AB14</f>
        <v>65894.522931121057</v>
      </c>
      <c r="H30" s="60">
        <f>[1]Regression_Ea_Do!AC14</f>
        <v>91566.040147084859</v>
      </c>
      <c r="I30" s="59">
        <f t="shared" si="1"/>
        <v>1.3895849924097334</v>
      </c>
      <c r="J30" s="61"/>
      <c r="K30" s="52" t="s">
        <v>32</v>
      </c>
      <c r="L30" s="57">
        <v>180</v>
      </c>
      <c r="M30" s="62">
        <f>((D30/$B$56)/LN(C66*$B$56*(L30+273.15)^2*G30/G66^2/D30/E66))-273.15</f>
        <v>229.95202948991812</v>
      </c>
      <c r="N30" s="62">
        <f>((D30/$B$56)/LN(C66*$B$56*(M30+273.15)^2*G30/G66^2/D30/E66))-273.15</f>
        <v>228.09497821237971</v>
      </c>
      <c r="O30" s="54">
        <f>((D30/$B$56)/LN(C66*$B$56*(N30+273.15)^2*G30/G66^2/D30/E66))-273.15</f>
        <v>228.160417550207</v>
      </c>
      <c r="P30" s="52">
        <v>180</v>
      </c>
      <c r="Q30" s="53">
        <f t="shared" ref="Q30:R34" si="15">((($D30+$E30)/$B$56)/LN($C66*$B$56*(P30+273.15)^2*(ABS($G30-$H30))/$G66^2/($D30+$E30)/$E66))-273.15</f>
        <v>261.61418801742036</v>
      </c>
      <c r="R30" s="53">
        <f t="shared" si="15"/>
        <v>258.43976336583194</v>
      </c>
      <c r="S30" s="54">
        <f>R30-O30</f>
        <v>30.279345815624936</v>
      </c>
      <c r="T30" s="62">
        <v>180</v>
      </c>
      <c r="U30" s="53">
        <f t="shared" ref="U30:V34" si="16">((($D30-$E30)/$B$56)/LN($C66*$B$56*(T30+273.15)^2*($G30+$H30)/$G66^2/($D30-$E30)/$E66))-273.15</f>
        <v>199.9502075618451</v>
      </c>
      <c r="V30" s="53">
        <f t="shared" si="16"/>
        <v>199.2406449444544</v>
      </c>
      <c r="W30" s="54">
        <f t="shared" si="8"/>
        <v>28.919772605752598</v>
      </c>
      <c r="X30" s="56"/>
    </row>
    <row r="31" spans="1:24" ht="19" x14ac:dyDescent="0.25">
      <c r="A31" s="389"/>
      <c r="B31" s="57"/>
      <c r="C31" s="52" t="s">
        <v>33</v>
      </c>
      <c r="D31" s="58">
        <f>[1]Regression_Ea_Do!AE15</f>
        <v>196.3206885176393</v>
      </c>
      <c r="E31" s="58">
        <f>[1]Regression_Ea_Do!$AD15</f>
        <v>10.642511487999998</v>
      </c>
      <c r="F31" s="59">
        <f t="shared" si="14"/>
        <v>5.4209831721549688E-2</v>
      </c>
      <c r="G31" s="60">
        <f>[1]Regression_Ea_Do!AB15</f>
        <v>3220.1443992172972</v>
      </c>
      <c r="H31" s="60">
        <f>[1]Regression_Ea_Do!AC15</f>
        <v>6088.1551350685941</v>
      </c>
      <c r="I31" s="59">
        <f t="shared" si="1"/>
        <v>1.8906466233465831</v>
      </c>
      <c r="J31" s="52"/>
      <c r="K31" s="52" t="s">
        <v>33</v>
      </c>
      <c r="L31" s="57">
        <v>180</v>
      </c>
      <c r="M31" s="62">
        <f>((D31/$B$56)/LN(C67*$B$56*(L31+273.15)^2*G31/G67^2/D31/E67))-273.15</f>
        <v>162.42907648061924</v>
      </c>
      <c r="N31" s="62">
        <f>((D31/$B$56)/LN(C67*$B$56*(M31+273.15)^2*G31/G67^2/D31/E67))-273.15</f>
        <v>163.06554643273819</v>
      </c>
      <c r="O31" s="54">
        <f>((D31/$B$56)/LN(C67*$B$56*(N31+273.15)^2*G31/G67^2/D31/E67))-273.15</f>
        <v>163.04201379515348</v>
      </c>
      <c r="P31" s="52">
        <v>180</v>
      </c>
      <c r="Q31" s="53">
        <f t="shared" si="15"/>
        <v>187.47438475696032</v>
      </c>
      <c r="R31" s="53">
        <f t="shared" si="15"/>
        <v>187.19565840423331</v>
      </c>
      <c r="S31" s="54">
        <f>R31-O31</f>
        <v>24.153644609079834</v>
      </c>
      <c r="T31" s="62">
        <v>180</v>
      </c>
      <c r="U31" s="53">
        <f t="shared" si="16"/>
        <v>130.49735755563142</v>
      </c>
      <c r="V31" s="53">
        <f t="shared" si="16"/>
        <v>132.19244288368651</v>
      </c>
      <c r="W31" s="54">
        <f t="shared" si="8"/>
        <v>30.849570911466969</v>
      </c>
      <c r="X31" s="56"/>
    </row>
    <row r="32" spans="1:24" ht="19" x14ac:dyDescent="0.25">
      <c r="A32" s="389"/>
      <c r="B32" s="57"/>
      <c r="C32" s="52" t="s">
        <v>34</v>
      </c>
      <c r="D32" s="58">
        <f>[1]Regression_Ea_Do!AE16</f>
        <v>153.86379740309039</v>
      </c>
      <c r="E32" s="58">
        <f>[1]Regression_Ea_Do!$AD16</f>
        <v>8.8911342558582156</v>
      </c>
      <c r="F32" s="59">
        <f t="shared" si="14"/>
        <v>5.7785745613474868E-2</v>
      </c>
      <c r="G32" s="60">
        <f>[1]Regression_Ea_Do!AB16</f>
        <v>9.839041607911779E-2</v>
      </c>
      <c r="H32" s="60">
        <f>[1]Regression_Ea_Do!AC16</f>
        <v>0.17035405760526365</v>
      </c>
      <c r="I32" s="59">
        <f t="shared" si="1"/>
        <v>1.731409057852529</v>
      </c>
      <c r="J32" s="52"/>
      <c r="K32" s="52" t="s">
        <v>34</v>
      </c>
      <c r="L32" s="57">
        <v>180</v>
      </c>
      <c r="M32" s="62">
        <f>((D32/$B$56)/LN(C68*$B$56*(L32+273.15)^2*G32/G68^2/D32/E68))-273.15</f>
        <v>161.70157181854307</v>
      </c>
      <c r="N32" s="62">
        <f>((D32/$B$56)/LN(C68*$B$56*(M32+273.15)^2*G32/G68^2/D32/E68))-273.15</f>
        <v>162.54557349051811</v>
      </c>
      <c r="O32" s="54">
        <f>((D32/$B$56)/LN(C68*$B$56*(N32+273.15)^2*G32/G68^2/D32/E68))-273.15</f>
        <v>162.50579618381954</v>
      </c>
      <c r="P32" s="52">
        <v>180</v>
      </c>
      <c r="Q32" s="53">
        <f t="shared" si="15"/>
        <v>190.85268864535038</v>
      </c>
      <c r="R32" s="53">
        <f t="shared" si="15"/>
        <v>190.33265693291514</v>
      </c>
      <c r="S32" s="54">
        <f>R32-O32</f>
        <v>27.826860749095601</v>
      </c>
      <c r="T32" s="62">
        <v>180</v>
      </c>
      <c r="U32" s="53">
        <f t="shared" si="16"/>
        <v>126.57607584815332</v>
      </c>
      <c r="V32" s="53">
        <f t="shared" si="16"/>
        <v>128.88844312467683</v>
      </c>
      <c r="W32" s="54">
        <f t="shared" si="8"/>
        <v>33.617353059142715</v>
      </c>
      <c r="X32" s="56"/>
    </row>
    <row r="33" spans="1:24" ht="19" x14ac:dyDescent="0.25">
      <c r="A33" s="389"/>
      <c r="B33" s="57"/>
      <c r="C33" s="52" t="s">
        <v>35</v>
      </c>
      <c r="D33" s="58">
        <f>[1]Regression_Ea_Do!AE17</f>
        <v>229.57046680982307</v>
      </c>
      <c r="E33" s="58">
        <f>[1]Regression_Ea_Do!$AD17</f>
        <v>42.635480768727</v>
      </c>
      <c r="F33" s="59">
        <f t="shared" si="14"/>
        <v>0.18571849141225283</v>
      </c>
      <c r="G33" s="60">
        <f>[1]Regression_Ea_Do!AB17</f>
        <v>28301.938352958681</v>
      </c>
      <c r="H33" s="60">
        <f>[1]Regression_Ea_Do!AC17</f>
        <v>193849.06150317527</v>
      </c>
      <c r="I33" s="59">
        <f t="shared" si="1"/>
        <v>6.8493210283213806</v>
      </c>
      <c r="J33" s="52"/>
      <c r="K33" s="52" t="s">
        <v>35</v>
      </c>
      <c r="L33" s="57">
        <v>180</v>
      </c>
      <c r="M33" s="62">
        <f>((D33/$B$56)/LN(C69*$B$56*(L33+273.15)^2*G33/G69^2/D33/E69))-273.15</f>
        <v>224.58264348724936</v>
      </c>
      <c r="N33" s="62">
        <f>((D33/$B$56)/LN(C69*$B$56*(M33+273.15)^2*G33/G69^2/D33/E69))-273.15</f>
        <v>222.9043772725712</v>
      </c>
      <c r="O33" s="54">
        <f>((D33/$B$56)/LN(C69*$B$56*(N33+273.15)^2*G33/G69^2/D33/E69))-273.15</f>
        <v>222.96458569358902</v>
      </c>
      <c r="P33" s="52">
        <v>180</v>
      </c>
      <c r="Q33" s="53">
        <f t="shared" si="15"/>
        <v>300.51638592313168</v>
      </c>
      <c r="R33" s="53">
        <f t="shared" si="15"/>
        <v>295.81419479180204</v>
      </c>
      <c r="S33" s="54">
        <f>R33-O33</f>
        <v>72.849609098213023</v>
      </c>
      <c r="T33" s="62">
        <v>180</v>
      </c>
      <c r="U33" s="53">
        <f t="shared" si="16"/>
        <v>116.23945729405301</v>
      </c>
      <c r="V33" s="53">
        <f t="shared" si="16"/>
        <v>118.29559368269815</v>
      </c>
      <c r="W33" s="54">
        <f t="shared" si="8"/>
        <v>104.66899201089086</v>
      </c>
      <c r="X33" s="56"/>
    </row>
    <row r="34" spans="1:24" ht="19" x14ac:dyDescent="0.25">
      <c r="A34" s="389"/>
      <c r="B34" s="63"/>
      <c r="C34" s="64" t="s">
        <v>36</v>
      </c>
      <c r="D34" s="65">
        <f>[1]Regression_Ea_Do!AE18</f>
        <v>178.95021608300485</v>
      </c>
      <c r="E34" s="65">
        <f>[1]Regression_Ea_Do!$AD18</f>
        <v>7.6767266524080391</v>
      </c>
      <c r="F34" s="66">
        <f t="shared" si="14"/>
        <v>4.2898672158335038E-2</v>
      </c>
      <c r="G34" s="67">
        <f>[1]Regression_Ea_Do!AB18</f>
        <v>1076.0310534629025</v>
      </c>
      <c r="H34" s="67">
        <f>[1]Regression_Ea_Do!AC18</f>
        <v>1541.8216915427658</v>
      </c>
      <c r="I34" s="66">
        <f t="shared" si="1"/>
        <v>1.4328784346704935</v>
      </c>
      <c r="J34" s="64"/>
      <c r="K34" s="64" t="s">
        <v>36</v>
      </c>
      <c r="L34" s="63">
        <v>180</v>
      </c>
      <c r="M34" s="68">
        <f>((D34/$B$56)/LN(C70*$B$56*(L34+273.15)^2*G34/G70^2/D34/E70))-273.15</f>
        <v>136.10719934867302</v>
      </c>
      <c r="N34" s="68">
        <f>((D34/$B$56)/LN(C70*$B$56*(M34+273.15)^2*G34/G70^2/D34/E70))-273.15</f>
        <v>137.69902951554883</v>
      </c>
      <c r="O34" s="69">
        <f>((D34/$B$56)/LN(C70*$B$56*(N34+273.15)^2*G34/G70^2/D34/E70))-273.15</f>
        <v>137.63814748375097</v>
      </c>
      <c r="P34" s="64">
        <v>180</v>
      </c>
      <c r="Q34" s="70">
        <f t="shared" si="15"/>
        <v>160.92146645673671</v>
      </c>
      <c r="R34" s="70">
        <f t="shared" si="15"/>
        <v>161.64481095279859</v>
      </c>
      <c r="S34" s="69">
        <f>R34-O34</f>
        <v>24.006663469047623</v>
      </c>
      <c r="T34" s="68">
        <v>180</v>
      </c>
      <c r="U34" s="70">
        <f t="shared" si="16"/>
        <v>111.72312563746783</v>
      </c>
      <c r="V34" s="70">
        <f t="shared" si="16"/>
        <v>114.08620755137935</v>
      </c>
      <c r="W34" s="69">
        <f t="shared" si="8"/>
        <v>23.551939932371624</v>
      </c>
      <c r="X34" s="56"/>
    </row>
    <row r="35" spans="1:24" ht="19" x14ac:dyDescent="0.25">
      <c r="A35" s="385" t="s">
        <v>38</v>
      </c>
      <c r="B35" s="71"/>
      <c r="C35" s="72" t="s">
        <v>22</v>
      </c>
      <c r="D35" s="73"/>
      <c r="E35" s="74"/>
      <c r="F35" s="75"/>
      <c r="G35" s="76"/>
      <c r="H35" s="76"/>
      <c r="I35" s="75"/>
      <c r="J35" s="72"/>
      <c r="K35" s="72" t="s">
        <v>22</v>
      </c>
      <c r="L35" s="71">
        <v>180</v>
      </c>
      <c r="M35" s="77"/>
      <c r="N35" s="77"/>
      <c r="O35" s="78"/>
      <c r="P35" s="79">
        <v>180</v>
      </c>
      <c r="Q35" s="80"/>
      <c r="R35" s="80"/>
      <c r="S35" s="78"/>
      <c r="T35" s="77"/>
      <c r="U35" s="81"/>
      <c r="V35" s="81"/>
      <c r="W35" s="78"/>
      <c r="X35" s="82"/>
    </row>
    <row r="36" spans="1:24" ht="19" x14ac:dyDescent="0.25">
      <c r="A36" s="385"/>
      <c r="B36" s="83"/>
      <c r="C36" s="79" t="s">
        <v>23</v>
      </c>
      <c r="D36" s="84"/>
      <c r="E36" s="79"/>
      <c r="F36" s="85"/>
      <c r="G36" s="86"/>
      <c r="H36" s="86"/>
      <c r="I36" s="85"/>
      <c r="J36" s="79"/>
      <c r="K36" s="79" t="s">
        <v>23</v>
      </c>
      <c r="L36" s="83">
        <v>180</v>
      </c>
      <c r="M36" s="87"/>
      <c r="N36" s="87"/>
      <c r="O36" s="88"/>
      <c r="P36" s="79">
        <v>180</v>
      </c>
      <c r="Q36" s="80"/>
      <c r="R36" s="80"/>
      <c r="S36" s="88"/>
      <c r="T36" s="87"/>
      <c r="U36" s="80"/>
      <c r="V36" s="80"/>
      <c r="W36" s="88"/>
      <c r="X36" s="82"/>
    </row>
    <row r="37" spans="1:24" ht="19" x14ac:dyDescent="0.25">
      <c r="A37" s="385"/>
      <c r="B37" s="83"/>
      <c r="C37" s="79" t="s">
        <v>24</v>
      </c>
      <c r="D37" s="84">
        <f>[1]Regression_Ea_Do!AK6</f>
        <v>164.78105405989879</v>
      </c>
      <c r="E37" s="89">
        <f>[1]Regression_Ea_Do!$AJ6</f>
        <v>1.7409972652229531</v>
      </c>
      <c r="F37" s="85">
        <f t="shared" si="14"/>
        <v>1.0565518439942077E-2</v>
      </c>
      <c r="G37" s="86">
        <f>[1]Regression_Ea_Do!AH6</f>
        <v>0.14372786144629218</v>
      </c>
      <c r="H37" s="86">
        <f>[1]Regression_Ea_Do!AI6</f>
        <v>3.6601210836633612E-2</v>
      </c>
      <c r="I37" s="85">
        <f t="shared" si="1"/>
        <v>0.25465633780622726</v>
      </c>
      <c r="J37" s="79"/>
      <c r="K37" s="79" t="s">
        <v>24</v>
      </c>
      <c r="L37" s="83">
        <v>180</v>
      </c>
      <c r="M37" s="87">
        <f>((D37/$B$56)/LN(C58*$B$56*(L37+273.15)^2*G37/G58^2/D37/E58))-273.15</f>
        <v>179.99917590122095</v>
      </c>
      <c r="N37" s="87">
        <f>((D37/$B$56)/LN(C58*$B$56*(M37+273.15)^2*G37/G58^2/D37/E58))-273.15</f>
        <v>179.99921358694496</v>
      </c>
      <c r="O37" s="88">
        <f>((D37/$B$56)/LN(C58*$B$56*(N37+273.15)^2*G37/G58^2/D37/E58))-273.15</f>
        <v>179.99921186358949</v>
      </c>
      <c r="P37" s="79">
        <v>180</v>
      </c>
      <c r="Q37" s="80">
        <f t="shared" ref="Q37:R38" si="17">((($D37+$E37)/$B$56)/LN($C58*$B$56*(P37+273.15)^2*ABS($G37-$H37)/$G58^2/($D37+$E37)/$E58))-273.15</f>
        <v>187.99674866135166</v>
      </c>
      <c r="R37" s="80">
        <f t="shared" si="17"/>
        <v>187.62556554435531</v>
      </c>
      <c r="S37" s="88">
        <f>R37-O37</f>
        <v>7.626353680765817</v>
      </c>
      <c r="T37" s="87">
        <v>180</v>
      </c>
      <c r="U37" s="80">
        <f t="shared" ref="U37:V38" si="18">((($D37-$E37)/$B$56)/LN($C58*$B$56*(T37+273.15)^2*($G37+$H37)/$G58^2/($D37-$E37)/$E58))-273.15</f>
        <v>172.78995792708463</v>
      </c>
      <c r="V37" s="80">
        <f t="shared" si="18"/>
        <v>173.11550468889828</v>
      </c>
      <c r="W37" s="88">
        <f>O37-V37</f>
        <v>6.8837071746912102</v>
      </c>
      <c r="X37" s="82"/>
    </row>
    <row r="38" spans="1:24" ht="19" x14ac:dyDescent="0.25">
      <c r="A38" s="385"/>
      <c r="B38" s="83"/>
      <c r="C38" s="79" t="s">
        <v>25</v>
      </c>
      <c r="D38" s="84">
        <f>[1]Regression_Ea_Do!AK7</f>
        <v>206.31356902756397</v>
      </c>
      <c r="E38" s="89">
        <f>[1]Regression_Ea_Do!$AJ7</f>
        <v>9.4733143571312866</v>
      </c>
      <c r="F38" s="85">
        <f t="shared" si="14"/>
        <v>4.5917068866496269E-2</v>
      </c>
      <c r="G38" s="86">
        <f>[1]Regression_Ea_Do!AH7</f>
        <v>351.20566070831268</v>
      </c>
      <c r="H38" s="86">
        <f>[1]Regression_Ea_Do!AI7</f>
        <v>479.9634355595299</v>
      </c>
      <c r="I38" s="85">
        <f t="shared" si="1"/>
        <v>1.3666164565557917</v>
      </c>
      <c r="J38" s="79"/>
      <c r="K38" s="79" t="s">
        <v>25</v>
      </c>
      <c r="L38" s="83">
        <v>180</v>
      </c>
      <c r="M38" s="87">
        <f>((D38/$B$56)/LN(C59*$B$56*(L38+273.15)^2*G38/G59^2/D38/E59))-273.15</f>
        <v>212.43588515099589</v>
      </c>
      <c r="N38" s="87">
        <f>((D38/$B$56)/LN(C59*$B$56*(M38+273.15)^2*G38/G59^2/D38/E59))-273.15</f>
        <v>211.12555692103507</v>
      </c>
      <c r="O38" s="88">
        <f>((D38/$B$56)/LN(C59*$B$56*(N38+273.15)^2*G38/G59^2/D38/E59))-273.15</f>
        <v>211.17663891144991</v>
      </c>
      <c r="P38" s="79">
        <v>180</v>
      </c>
      <c r="Q38" s="80">
        <f t="shared" si="17"/>
        <v>245.37000583068902</v>
      </c>
      <c r="R38" s="80">
        <f t="shared" si="17"/>
        <v>242.59295367972607</v>
      </c>
      <c r="S38" s="88">
        <f>R38-O38</f>
        <v>31.416314768276152</v>
      </c>
      <c r="T38" s="87">
        <v>180</v>
      </c>
      <c r="U38" s="80">
        <f t="shared" si="18"/>
        <v>182.04675293762568</v>
      </c>
      <c r="V38" s="80">
        <f t="shared" si="18"/>
        <v>181.96788188168671</v>
      </c>
      <c r="W38" s="88">
        <f>O38-V38</f>
        <v>29.208757029763206</v>
      </c>
      <c r="X38" s="82"/>
    </row>
    <row r="39" spans="1:24" ht="19" x14ac:dyDescent="0.25">
      <c r="A39" s="385"/>
      <c r="B39" s="83"/>
      <c r="C39" s="79" t="s">
        <v>26</v>
      </c>
      <c r="D39" s="84"/>
      <c r="E39" s="89"/>
      <c r="F39" s="85"/>
      <c r="G39" s="86"/>
      <c r="H39" s="86"/>
      <c r="I39" s="85"/>
      <c r="J39" s="79"/>
      <c r="K39" s="79" t="s">
        <v>25</v>
      </c>
      <c r="L39" s="83">
        <v>181</v>
      </c>
      <c r="M39" s="87"/>
      <c r="N39" s="87"/>
      <c r="O39" s="88"/>
      <c r="P39" s="79"/>
      <c r="Q39" s="80"/>
      <c r="R39" s="80"/>
      <c r="S39" s="88"/>
      <c r="T39" s="87"/>
      <c r="U39" s="80"/>
      <c r="V39" s="80"/>
      <c r="W39" s="88"/>
      <c r="X39" s="82"/>
    </row>
    <row r="40" spans="1:24" ht="19" x14ac:dyDescent="0.25">
      <c r="A40" s="385"/>
      <c r="B40" s="83"/>
      <c r="C40" s="79" t="s">
        <v>27</v>
      </c>
      <c r="D40" s="84">
        <f>[1]Regression_Ea_Do!AK9</f>
        <v>137.6783657484836</v>
      </c>
      <c r="E40" s="89">
        <f>[1]Regression_Ea_Do!$AJ9</f>
        <v>5.036151450746603</v>
      </c>
      <c r="F40" s="85">
        <f t="shared" si="14"/>
        <v>3.6579105390797909E-2</v>
      </c>
      <c r="G40" s="86"/>
      <c r="H40" s="86"/>
      <c r="I40" s="85"/>
      <c r="J40" s="79"/>
      <c r="K40" s="79" t="s">
        <v>27</v>
      </c>
      <c r="L40" s="83">
        <v>180</v>
      </c>
      <c r="M40" s="87"/>
      <c r="N40" s="87"/>
      <c r="O40" s="88"/>
      <c r="P40" s="79">
        <v>180</v>
      </c>
      <c r="Q40" s="80"/>
      <c r="R40" s="80"/>
      <c r="S40" s="88"/>
      <c r="T40" s="87"/>
      <c r="U40" s="80"/>
      <c r="V40" s="80"/>
      <c r="W40" s="88"/>
      <c r="X40" s="82"/>
    </row>
    <row r="41" spans="1:24" ht="19" x14ac:dyDescent="0.25">
      <c r="A41" s="385"/>
      <c r="B41" s="83"/>
      <c r="C41" s="79" t="s">
        <v>28</v>
      </c>
      <c r="D41" s="84">
        <f>[1]Regression_Ea_Do!AK10</f>
        <v>203.67918474948704</v>
      </c>
      <c r="E41" s="89">
        <f>[1]Regression_Ea_Do!$AJ10</f>
        <v>12.968507198990356</v>
      </c>
      <c r="F41" s="85">
        <f t="shared" si="14"/>
        <v>6.3671244633764751E-2</v>
      </c>
      <c r="G41" s="86">
        <f>[1]Regression_Ea_Do!AH10</f>
        <v>26.830539721842385</v>
      </c>
      <c r="H41" s="86">
        <f>[1]Regression_Ea_Do!AI10</f>
        <v>54.604965658148423</v>
      </c>
      <c r="I41" s="85">
        <f t="shared" si="1"/>
        <v>2.0351795463024267</v>
      </c>
      <c r="J41" s="79"/>
      <c r="K41" s="79" t="s">
        <v>28</v>
      </c>
      <c r="L41" s="83">
        <v>180</v>
      </c>
      <c r="M41" s="87">
        <f>((D41/$B$56)/LN(C62*$B$56*(L41+273.15)^2*G41/G62^2/D41/E62))-273.15</f>
        <v>229.4252967110732</v>
      </c>
      <c r="N41" s="87">
        <f>((D41/$B$56)/LN(C62*$B$56*(M41+273.15)^2*G41/G62^2/D41/E62))-273.15</f>
        <v>227.29954452218323</v>
      </c>
      <c r="O41" s="88">
        <f>((D41/$B$56)/LN(C62*$B$56*(N41+273.15)^2*G41/G62^2/D41/E62))-273.15</f>
        <v>227.38622968986272</v>
      </c>
      <c r="P41" s="79">
        <v>180</v>
      </c>
      <c r="Q41" s="80">
        <f>((($D41+$E41)/$B$56)/LN($C62*$B$56*(P41+273.15)^2*ABS($G41-$H41)/$G62^2/($D41+$E41)/$E62))-273.15</f>
        <v>261.72283391437713</v>
      </c>
      <c r="R41" s="80">
        <f>((($D41+$E41)/$B$56)/LN($C62*$B$56*(Q41+273.15)^2*ABS($G41-$H41)/$G62^2/($D41+$E41)/$E62))-273.15</f>
        <v>258.10653280774852</v>
      </c>
      <c r="S41" s="88">
        <f>R41-O41</f>
        <v>30.720303117885805</v>
      </c>
      <c r="T41" s="87">
        <v>180</v>
      </c>
      <c r="U41" s="80">
        <f>((($D41-$E41)/$B$56)/LN($C62*$B$56*(T41+273.15)^2*($G41+$H41)/$G62^2/($D41-$E41)/$E62))-273.15</f>
        <v>186.33923784196583</v>
      </c>
      <c r="V41" s="80">
        <f>((($D41-$E41)/$B$56)/LN($C62*$B$56*(U41+273.15)^2*($G41+$H41)/$G62^2/($D41-$E41)/$E62))-273.15</f>
        <v>186.08363072429393</v>
      </c>
      <c r="W41" s="88">
        <f>O41-V41</f>
        <v>41.302598965568791</v>
      </c>
      <c r="X41" s="82"/>
    </row>
    <row r="42" spans="1:24" ht="19" x14ac:dyDescent="0.25">
      <c r="A42" s="385"/>
      <c r="B42" s="83"/>
      <c r="C42" s="79" t="s">
        <v>29</v>
      </c>
      <c r="D42" s="84"/>
      <c r="E42" s="89"/>
      <c r="F42" s="85"/>
      <c r="G42" s="86"/>
      <c r="H42" s="86"/>
      <c r="I42" s="85"/>
      <c r="J42" s="79"/>
      <c r="K42" s="79" t="s">
        <v>29</v>
      </c>
      <c r="L42" s="83">
        <v>180</v>
      </c>
      <c r="M42" s="87"/>
      <c r="N42" s="87"/>
      <c r="O42" s="88"/>
      <c r="P42" s="79">
        <v>180</v>
      </c>
      <c r="Q42" s="80"/>
      <c r="R42" s="80"/>
      <c r="S42" s="88"/>
      <c r="T42" s="87"/>
      <c r="U42" s="80"/>
      <c r="V42" s="80"/>
      <c r="W42" s="88"/>
      <c r="X42" s="82"/>
    </row>
    <row r="43" spans="1:24" ht="19" x14ac:dyDescent="0.25">
      <c r="A43" s="385"/>
      <c r="B43" s="83"/>
      <c r="C43" s="79" t="s">
        <v>30</v>
      </c>
      <c r="D43" s="84"/>
      <c r="E43" s="89"/>
      <c r="F43" s="85"/>
      <c r="G43" s="86"/>
      <c r="H43" s="86"/>
      <c r="I43" s="85"/>
      <c r="J43" s="79"/>
      <c r="K43" s="79" t="s">
        <v>30</v>
      </c>
      <c r="L43" s="83">
        <v>180</v>
      </c>
      <c r="M43" s="87"/>
      <c r="N43" s="87"/>
      <c r="O43" s="88"/>
      <c r="P43" s="79">
        <v>180</v>
      </c>
      <c r="Q43" s="80"/>
      <c r="R43" s="80"/>
      <c r="S43" s="88"/>
      <c r="T43" s="87"/>
      <c r="U43" s="80"/>
      <c r="V43" s="80"/>
      <c r="W43" s="88"/>
      <c r="X43" s="82"/>
    </row>
    <row r="44" spans="1:24" ht="19" x14ac:dyDescent="0.25">
      <c r="A44" s="385"/>
      <c r="B44" s="83"/>
      <c r="C44" s="79" t="s">
        <v>31</v>
      </c>
      <c r="D44" s="84"/>
      <c r="E44" s="89"/>
      <c r="F44" s="85"/>
      <c r="G44" s="86"/>
      <c r="H44" s="86"/>
      <c r="I44" s="85"/>
      <c r="J44" s="79"/>
      <c r="K44" s="79" t="s">
        <v>31</v>
      </c>
      <c r="L44" s="83">
        <v>180</v>
      </c>
      <c r="M44" s="87"/>
      <c r="N44" s="87"/>
      <c r="O44" s="88"/>
      <c r="P44" s="79">
        <v>180</v>
      </c>
      <c r="Q44" s="80"/>
      <c r="R44" s="80"/>
      <c r="S44" s="88"/>
      <c r="T44" s="87"/>
      <c r="U44" s="80"/>
      <c r="V44" s="80"/>
      <c r="W44" s="88"/>
      <c r="X44" s="82"/>
    </row>
    <row r="45" spans="1:24" ht="19" x14ac:dyDescent="0.25">
      <c r="A45" s="385"/>
      <c r="B45" s="83"/>
      <c r="C45" s="79" t="s">
        <v>32</v>
      </c>
      <c r="D45" s="84"/>
      <c r="E45" s="89"/>
      <c r="F45" s="85"/>
      <c r="G45" s="86"/>
      <c r="H45" s="86"/>
      <c r="I45" s="85"/>
      <c r="J45" s="79"/>
      <c r="K45" s="79" t="s">
        <v>32</v>
      </c>
      <c r="L45" s="83">
        <v>180</v>
      </c>
      <c r="M45" s="87"/>
      <c r="N45" s="87"/>
      <c r="O45" s="88"/>
      <c r="P45" s="79">
        <v>180</v>
      </c>
      <c r="Q45" s="80"/>
      <c r="R45" s="80"/>
      <c r="S45" s="88"/>
      <c r="T45" s="87"/>
      <c r="U45" s="80"/>
      <c r="V45" s="80"/>
      <c r="W45" s="88"/>
      <c r="X45" s="82"/>
    </row>
    <row r="46" spans="1:24" ht="19" x14ac:dyDescent="0.25">
      <c r="A46" s="385"/>
      <c r="B46" s="83"/>
      <c r="C46" s="79" t="s">
        <v>33</v>
      </c>
      <c r="D46" s="84">
        <f>[1]Regression_Ea_Do!AK15</f>
        <v>158.22338231678998</v>
      </c>
      <c r="E46" s="89">
        <f>[1]Regression_Ea_Do!$AJ15</f>
        <v>12.844455429329299</v>
      </c>
      <c r="F46" s="85">
        <f t="shared" si="14"/>
        <v>8.1179249496844449E-2</v>
      </c>
      <c r="G46" s="86">
        <f>[1]Regression_Ea_Do!AH15</f>
        <v>0.22224200957181461</v>
      </c>
      <c r="H46" s="86">
        <f>[1]Regression_Ea_Do!AI15</f>
        <v>0.44243133560449055</v>
      </c>
      <c r="I46" s="85">
        <f t="shared" si="1"/>
        <v>1.9907637464982724</v>
      </c>
      <c r="J46" s="79"/>
      <c r="K46" s="79" t="s">
        <v>33</v>
      </c>
      <c r="L46" s="83">
        <v>180</v>
      </c>
      <c r="M46" s="87">
        <f>((D46/$B$56)/LN(C67*$B$56*(L46+273.15)^2*G46/G67^2/D46/E67))-273.15</f>
        <v>151.21947330293125</v>
      </c>
      <c r="N46" s="87">
        <f>((D46/$B$56)/LN(C67*$B$56*(M46+273.15)^2*G46/G67^2/D46/E67))-273.15</f>
        <v>152.46508385890542</v>
      </c>
      <c r="O46" s="88">
        <f>((D46/$B$56)/LN(C67*$B$56*(N46+273.15)^2*G46/G67^2/D46/E67))-273.15</f>
        <v>152.40929184873949</v>
      </c>
      <c r="P46" s="79">
        <v>180</v>
      </c>
      <c r="Q46" s="80">
        <f t="shared" ref="Q46:R49" si="19">((($D46+$E46)/$B$56)/LN($C67*$B$56*(P46+273.15)^2*ABS($G46-$H46)/$G67^2/($D46+$E46)/$E67))-273.15</f>
        <v>186.56476530197807</v>
      </c>
      <c r="R46" s="80">
        <f t="shared" si="19"/>
        <v>186.26947868306024</v>
      </c>
      <c r="S46" s="88">
        <f>R46-O46</f>
        <v>33.860186834320757</v>
      </c>
      <c r="T46" s="87">
        <v>180</v>
      </c>
      <c r="U46" s="80">
        <f t="shared" ref="U46:V49" si="20">((($D46-$E46)/$B$56)/LN($C67*$B$56*(T46+273.15)^2*($G46+$H46)/$G67^2/($D46-$E46)/$E67))-273.15</f>
        <v>106.77055236146714</v>
      </c>
      <c r="V46" s="80">
        <f t="shared" si="20"/>
        <v>109.70309169234559</v>
      </c>
      <c r="W46" s="88">
        <f>O46-V46</f>
        <v>42.706200156393891</v>
      </c>
      <c r="X46" s="82"/>
    </row>
    <row r="47" spans="1:24" ht="19" x14ac:dyDescent="0.25">
      <c r="A47" s="385"/>
      <c r="B47" s="83"/>
      <c r="C47" s="79" t="s">
        <v>34</v>
      </c>
      <c r="D47" s="84">
        <f>[1]Regression_Ea_Do!AK16</f>
        <v>179.71158700307444</v>
      </c>
      <c r="E47" s="89">
        <f>[1]Regression_Ea_Do!$AJ16</f>
        <v>2.3829330190258271</v>
      </c>
      <c r="F47" s="85">
        <f t="shared" si="14"/>
        <v>1.325976281643465E-2</v>
      </c>
      <c r="G47" s="86">
        <f>[1]Regression_Ea_Do!AH16</f>
        <v>117.42748319131086</v>
      </c>
      <c r="H47" s="86">
        <f>[1]Regression_Ea_Do!AI16</f>
        <v>44.90356042998193</v>
      </c>
      <c r="I47" s="85">
        <f t="shared" si="1"/>
        <v>0.38239396101869794</v>
      </c>
      <c r="J47" s="79"/>
      <c r="K47" s="79" t="s">
        <v>34</v>
      </c>
      <c r="L47" s="83">
        <v>180</v>
      </c>
      <c r="M47" s="87">
        <f>((D47/$B$56)/LN(C68*$B$56*(L47+273.15)^2*G47/G68^2/D47/E68))-273.15</f>
        <v>163.63220153622012</v>
      </c>
      <c r="N47" s="87">
        <f>((D47/$B$56)/LN(C68*$B$56*(M47+273.15)^2*G47/G68^2/D47/E68))-273.15</f>
        <v>164.2825952701827</v>
      </c>
      <c r="O47" s="88">
        <f>((D47/$B$56)/LN(C68*$B$56*(N47+273.15)^2*G47/G68^2/D47/E68))-273.15</f>
        <v>164.25625183823979</v>
      </c>
      <c r="P47" s="79">
        <v>180</v>
      </c>
      <c r="Q47" s="80">
        <f t="shared" si="19"/>
        <v>173.89630845282204</v>
      </c>
      <c r="R47" s="80">
        <f t="shared" si="19"/>
        <v>174.14393926704361</v>
      </c>
      <c r="S47" s="88">
        <f>R47-O47</f>
        <v>9.8876874288038152</v>
      </c>
      <c r="T47" s="87">
        <v>180</v>
      </c>
      <c r="U47" s="80">
        <f t="shared" si="20"/>
        <v>154.9239224580034</v>
      </c>
      <c r="V47" s="80">
        <f t="shared" si="20"/>
        <v>155.90439814989639</v>
      </c>
      <c r="W47" s="88">
        <f>O47-V47</f>
        <v>8.3518536883433967</v>
      </c>
      <c r="X47" s="82"/>
    </row>
    <row r="48" spans="1:24" ht="19" x14ac:dyDescent="0.25">
      <c r="A48" s="385"/>
      <c r="B48" s="83"/>
      <c r="C48" s="79" t="s">
        <v>35</v>
      </c>
      <c r="D48" s="84">
        <f>[1]Regression_Ea_Do!AK17</f>
        <v>171.48258805905357</v>
      </c>
      <c r="E48" s="89">
        <f>[1]Regression_Ea_Do!$AJ17</f>
        <v>10.937674892549998</v>
      </c>
      <c r="F48" s="85">
        <f t="shared" si="14"/>
        <v>6.3783005705415313E-2</v>
      </c>
      <c r="G48" s="86">
        <f>[1]Regression_Ea_Do!AH17</f>
        <v>63.843447572030023</v>
      </c>
      <c r="H48" s="86">
        <f>[1]Regression_Ea_Do!AI17</f>
        <v>129.25692117088366</v>
      </c>
      <c r="I48" s="85">
        <f t="shared" si="1"/>
        <v>2.0245918114784178</v>
      </c>
      <c r="J48" s="79"/>
      <c r="K48" s="79" t="s">
        <v>35</v>
      </c>
      <c r="L48" s="83">
        <v>180</v>
      </c>
      <c r="M48" s="87">
        <f>((D48/$B$56)/LN(C69*$B$56*(L48+273.15)^2*G48/G69^2/D48/E69))-273.15</f>
        <v>142.0745005095394</v>
      </c>
      <c r="N48" s="87">
        <f>((D48/$B$56)/LN(C69*$B$56*(M48+273.15)^2*G48/G69^2/D48/E69))-273.15</f>
        <v>143.54096536654544</v>
      </c>
      <c r="O48" s="88">
        <f>((D48/$B$56)/LN(C69*$B$56*(N48+273.15)^2*G48/G69^2/D48/E69))-273.15</f>
        <v>143.48161365924864</v>
      </c>
      <c r="P48" s="79">
        <v>180</v>
      </c>
      <c r="Q48" s="80">
        <f t="shared" si="19"/>
        <v>168.8928255679765</v>
      </c>
      <c r="R48" s="80">
        <f t="shared" si="19"/>
        <v>169.33530535640017</v>
      </c>
      <c r="S48" s="88">
        <f>R48-O48</f>
        <v>25.853691697151532</v>
      </c>
      <c r="T48" s="87">
        <v>180</v>
      </c>
      <c r="U48" s="80">
        <f t="shared" si="20"/>
        <v>106.62413713866658</v>
      </c>
      <c r="V48" s="80">
        <f t="shared" si="20"/>
        <v>109.28150427365057</v>
      </c>
      <c r="W48" s="88">
        <f>O48-V48</f>
        <v>34.200109385598068</v>
      </c>
      <c r="X48" s="82"/>
    </row>
    <row r="49" spans="1:30" ht="20" thickBot="1" x14ac:dyDescent="0.3">
      <c r="A49" s="385"/>
      <c r="B49" s="90"/>
      <c r="C49" s="91" t="s">
        <v>36</v>
      </c>
      <c r="D49" s="92">
        <f>[1]Regression_Ea_Do!AK18</f>
        <v>221.43830374450579</v>
      </c>
      <c r="E49" s="93">
        <f>[1]Regression_Ea_Do!$AJ18</f>
        <v>15.28055873533469</v>
      </c>
      <c r="F49" s="94">
        <f t="shared" si="14"/>
        <v>6.9005941957382896E-2</v>
      </c>
      <c r="G49" s="95">
        <f>[1]Regression_Ea_Do!AH18</f>
        <v>210888.99503910591</v>
      </c>
      <c r="H49" s="95">
        <f>[1]Regression_Ea_Do!AI18</f>
        <v>545980.83159580897</v>
      </c>
      <c r="I49" s="94">
        <f t="shared" si="1"/>
        <v>2.5889488993703336</v>
      </c>
      <c r="J49" s="91"/>
      <c r="K49" s="91" t="s">
        <v>36</v>
      </c>
      <c r="L49" s="90">
        <v>180</v>
      </c>
      <c r="M49" s="96">
        <f>((D49/$B$56)/LN(C70*$B$56*(L49+273.15)^2*G49/G70^2/D49/E70))-273.15</f>
        <v>188.7870578889179</v>
      </c>
      <c r="N49" s="96">
        <f>((D49/$B$56)/LN(C70*$B$56*(M49+273.15)^2*G49/G70^2/D49/E70))-273.15</f>
        <v>188.47951047861761</v>
      </c>
      <c r="O49" s="97">
        <f>((D49/$B$56)/LN(C70*$B$56*(N49+273.15)^2*G49/G70^2/D49/E70))-273.15</f>
        <v>188.49016864081091</v>
      </c>
      <c r="P49" s="91">
        <v>180</v>
      </c>
      <c r="Q49" s="98">
        <f t="shared" si="19"/>
        <v>217.29195713152706</v>
      </c>
      <c r="R49" s="98">
        <f t="shared" si="19"/>
        <v>215.95931993564994</v>
      </c>
      <c r="S49" s="97">
        <f>R49-O49</f>
        <v>27.469151294839037</v>
      </c>
      <c r="T49" s="96">
        <v>180</v>
      </c>
      <c r="U49" s="98">
        <f t="shared" si="20"/>
        <v>147.07564074503887</v>
      </c>
      <c r="V49" s="98">
        <f t="shared" si="20"/>
        <v>148.15283347796668</v>
      </c>
      <c r="W49" s="97">
        <f>O49-V49</f>
        <v>40.337335162844226</v>
      </c>
      <c r="X49" s="99"/>
    </row>
    <row r="50" spans="1:30" ht="28" customHeight="1" x14ac:dyDescent="0.2">
      <c r="G50" s="100"/>
      <c r="H50" s="100"/>
    </row>
    <row r="52" spans="1:30" ht="16" x14ac:dyDescent="0.2">
      <c r="P52" s="102"/>
      <c r="Q52" s="103"/>
      <c r="R52" s="103"/>
      <c r="S52" s="366"/>
      <c r="T52" s="105"/>
      <c r="U52" s="104"/>
      <c r="V52" s="104"/>
      <c r="W52" s="104"/>
      <c r="Y52" s="104"/>
      <c r="AC52"/>
      <c r="AD52"/>
    </row>
    <row r="53" spans="1:30" ht="16" thickBot="1" x14ac:dyDescent="0.25">
      <c r="P53" s="106"/>
      <c r="Q53" s="107"/>
      <c r="R53" s="107"/>
      <c r="S53" s="108"/>
      <c r="T53" s="109"/>
      <c r="U53" s="110"/>
      <c r="V53" s="111"/>
      <c r="W53" s="111"/>
      <c r="Y53" s="104"/>
    </row>
    <row r="54" spans="1:30" ht="19" customHeight="1" x14ac:dyDescent="0.2">
      <c r="B54" s="112" t="s">
        <v>39</v>
      </c>
      <c r="C54" s="113" t="s">
        <v>40</v>
      </c>
      <c r="D54" s="113" t="s">
        <v>41</v>
      </c>
      <c r="E54" s="113" t="s">
        <v>41</v>
      </c>
      <c r="F54" s="114" t="s">
        <v>42</v>
      </c>
      <c r="G54" s="115" t="s">
        <v>42</v>
      </c>
      <c r="P54" s="106"/>
      <c r="Q54" s="107"/>
      <c r="R54" s="107"/>
      <c r="S54" s="108"/>
      <c r="T54" s="109"/>
      <c r="U54" s="110"/>
      <c r="V54" s="111"/>
      <c r="W54" s="111"/>
      <c r="Y54" s="104"/>
    </row>
    <row r="55" spans="1:30" x14ac:dyDescent="0.2">
      <c r="B55" s="116" t="s">
        <v>43</v>
      </c>
      <c r="C55" s="117"/>
      <c r="D55" s="117" t="s">
        <v>44</v>
      </c>
      <c r="E55" s="117" t="s">
        <v>45</v>
      </c>
      <c r="F55" s="117" t="s">
        <v>46</v>
      </c>
      <c r="G55" s="118" t="s">
        <v>47</v>
      </c>
      <c r="P55" s="106"/>
      <c r="Q55" s="107"/>
      <c r="R55" s="107"/>
      <c r="S55" s="108"/>
      <c r="T55" s="109"/>
      <c r="U55" s="110"/>
      <c r="V55" s="111"/>
      <c r="W55" s="111"/>
      <c r="Y55" s="104"/>
    </row>
    <row r="56" spans="1:30" x14ac:dyDescent="0.2">
      <c r="B56" s="119">
        <v>8.3144598E-3</v>
      </c>
      <c r="C56" s="120">
        <v>64.993143312602442</v>
      </c>
      <c r="D56" s="121">
        <v>10</v>
      </c>
      <c r="E56" s="122">
        <f>D56/CONVERT(1000000,"yr","sec")</f>
        <v>3.1688087814028952E-13</v>
      </c>
      <c r="F56" s="120">
        <v>64.993143312602442</v>
      </c>
      <c r="G56" s="123">
        <f>F56/10000</f>
        <v>6.499314331260244E-3</v>
      </c>
      <c r="P56" s="124"/>
      <c r="Q56" s="124"/>
      <c r="R56" s="124"/>
      <c r="S56" s="124"/>
      <c r="T56" s="124"/>
      <c r="U56" s="124"/>
      <c r="V56" s="124"/>
      <c r="W56" s="124"/>
      <c r="X56" s="124"/>
      <c r="Y56" s="124"/>
    </row>
    <row r="57" spans="1:30" ht="16" x14ac:dyDescent="0.25">
      <c r="B57" s="125"/>
      <c r="C57" s="126">
        <v>66.378972449630183</v>
      </c>
      <c r="D57" s="121">
        <v>10</v>
      </c>
      <c r="E57" s="122">
        <f t="shared" ref="E57:E70" si="21">D57/CONVERT(1000000,"yr","sec")</f>
        <v>3.1688087814028952E-13</v>
      </c>
      <c r="F57" s="126">
        <v>66.378972449630183</v>
      </c>
      <c r="G57" s="123">
        <f t="shared" ref="G57:G70" si="22">F57/10000</f>
        <v>6.637897244963018E-3</v>
      </c>
      <c r="P57" s="124"/>
      <c r="Q57" s="124"/>
      <c r="R57" s="124"/>
      <c r="S57" s="124"/>
      <c r="T57" s="124"/>
      <c r="U57" s="124"/>
      <c r="V57" s="124"/>
      <c r="W57" s="124"/>
      <c r="X57" s="124"/>
      <c r="Y57" s="124"/>
    </row>
    <row r="58" spans="1:30" ht="16" x14ac:dyDescent="0.25">
      <c r="B58" s="125"/>
      <c r="C58" s="126">
        <v>47.649580194949039</v>
      </c>
      <c r="D58" s="121">
        <v>10</v>
      </c>
      <c r="E58" s="122">
        <f t="shared" si="21"/>
        <v>3.1688087814028952E-13</v>
      </c>
      <c r="F58" s="126">
        <v>47.649580194949039</v>
      </c>
      <c r="G58" s="123">
        <f t="shared" si="22"/>
        <v>4.7649580194949036E-3</v>
      </c>
      <c r="P58" s="124"/>
      <c r="Q58" s="124"/>
      <c r="R58" s="124"/>
      <c r="S58" s="124"/>
      <c r="T58" s="124"/>
      <c r="U58" s="124"/>
      <c r="V58" s="124"/>
      <c r="W58" s="124"/>
      <c r="X58" s="124"/>
      <c r="Y58" s="124"/>
    </row>
    <row r="59" spans="1:30" ht="16" x14ac:dyDescent="0.25">
      <c r="B59" s="125"/>
      <c r="C59" s="126">
        <v>58.838310911685298</v>
      </c>
      <c r="D59" s="121">
        <v>10</v>
      </c>
      <c r="E59" s="122">
        <f t="shared" si="21"/>
        <v>3.1688087814028952E-13</v>
      </c>
      <c r="F59" s="126">
        <v>58.838310911685298</v>
      </c>
      <c r="G59" s="123">
        <f t="shared" si="22"/>
        <v>5.8838310911685301E-3</v>
      </c>
      <c r="P59" s="124"/>
      <c r="Q59" s="124"/>
      <c r="R59" s="124"/>
      <c r="S59" s="124"/>
      <c r="T59" s="124"/>
      <c r="U59" s="124"/>
      <c r="V59" s="124"/>
      <c r="W59" s="124"/>
      <c r="X59" s="124"/>
      <c r="Y59" s="124"/>
    </row>
    <row r="60" spans="1:30" x14ac:dyDescent="0.2">
      <c r="B60" s="125"/>
      <c r="C60" s="120">
        <v>51.403675851800699</v>
      </c>
      <c r="D60" s="121">
        <v>10</v>
      </c>
      <c r="E60" s="122">
        <f t="shared" si="21"/>
        <v>3.1688087814028952E-13</v>
      </c>
      <c r="F60" s="120">
        <v>51.403675851800699</v>
      </c>
      <c r="G60" s="123">
        <f t="shared" si="22"/>
        <v>5.1403675851800701E-3</v>
      </c>
      <c r="P60" s="124"/>
      <c r="Q60" s="124"/>
      <c r="R60" s="124"/>
      <c r="S60" s="124"/>
      <c r="T60" s="124"/>
      <c r="U60" s="124"/>
      <c r="V60" s="124"/>
      <c r="W60" s="124"/>
      <c r="X60" s="124"/>
      <c r="Y60" s="124"/>
    </row>
    <row r="61" spans="1:30" x14ac:dyDescent="0.2">
      <c r="B61" s="125"/>
      <c r="C61" s="120">
        <v>38.114800281967057</v>
      </c>
      <c r="D61" s="121">
        <v>10</v>
      </c>
      <c r="E61" s="122">
        <f t="shared" si="21"/>
        <v>3.1688087814028952E-13</v>
      </c>
      <c r="F61" s="120">
        <v>38.114800281967057</v>
      </c>
      <c r="G61" s="123">
        <f t="shared" si="22"/>
        <v>3.8114800281967057E-3</v>
      </c>
      <c r="P61" s="124"/>
      <c r="Q61" s="124"/>
      <c r="R61" s="124"/>
      <c r="S61" s="124"/>
      <c r="T61" s="124"/>
      <c r="U61" s="124"/>
      <c r="V61" s="124"/>
      <c r="W61" s="124"/>
      <c r="X61" s="124"/>
      <c r="Y61" s="124"/>
    </row>
    <row r="62" spans="1:30" x14ac:dyDescent="0.2">
      <c r="B62" s="125"/>
      <c r="C62" s="120">
        <v>48.120149150110777</v>
      </c>
      <c r="D62" s="121">
        <v>10</v>
      </c>
      <c r="E62" s="122">
        <f t="shared" si="21"/>
        <v>3.1688087814028952E-13</v>
      </c>
      <c r="F62" s="120">
        <v>48.120149150110777</v>
      </c>
      <c r="G62" s="123">
        <f t="shared" si="22"/>
        <v>4.8120149150110781E-3</v>
      </c>
    </row>
    <row r="63" spans="1:30" x14ac:dyDescent="0.2">
      <c r="B63" s="125"/>
      <c r="C63" s="120">
        <v>60.398451454258527</v>
      </c>
      <c r="D63" s="121">
        <v>10</v>
      </c>
      <c r="E63" s="122">
        <f t="shared" si="21"/>
        <v>3.1688087814028952E-13</v>
      </c>
      <c r="F63" s="120">
        <v>60.398451454258527</v>
      </c>
      <c r="G63" s="123">
        <f t="shared" si="22"/>
        <v>6.0398451454258531E-3</v>
      </c>
    </row>
    <row r="64" spans="1:30" x14ac:dyDescent="0.2">
      <c r="B64" s="125"/>
      <c r="C64" s="120">
        <v>19.990246943475679</v>
      </c>
      <c r="D64" s="121">
        <v>10</v>
      </c>
      <c r="E64" s="122">
        <f t="shared" si="21"/>
        <v>3.1688087814028952E-13</v>
      </c>
      <c r="F64" s="120">
        <v>19.990246943475679</v>
      </c>
      <c r="G64" s="123">
        <f t="shared" si="22"/>
        <v>1.999024694347568E-3</v>
      </c>
    </row>
    <row r="65" spans="2:7" x14ac:dyDescent="0.2">
      <c r="B65" s="125"/>
      <c r="C65" s="120">
        <v>48.744783265249133</v>
      </c>
      <c r="D65" s="121">
        <v>10</v>
      </c>
      <c r="E65" s="122">
        <f t="shared" si="21"/>
        <v>3.1688087814028952E-13</v>
      </c>
      <c r="F65" s="120">
        <v>48.744783265249133</v>
      </c>
      <c r="G65" s="123">
        <f t="shared" si="22"/>
        <v>4.8744783265249137E-3</v>
      </c>
    </row>
    <row r="66" spans="2:7" x14ac:dyDescent="0.2">
      <c r="B66" s="125"/>
      <c r="C66" s="120">
        <v>45.84406170379571</v>
      </c>
      <c r="D66" s="121">
        <v>10</v>
      </c>
      <c r="E66" s="122">
        <f t="shared" si="21"/>
        <v>3.1688087814028952E-13</v>
      </c>
      <c r="F66" s="120">
        <v>45.84406170379571</v>
      </c>
      <c r="G66" s="123">
        <f t="shared" si="22"/>
        <v>4.5844061703795708E-3</v>
      </c>
    </row>
    <row r="67" spans="2:7" x14ac:dyDescent="0.2">
      <c r="B67" s="125"/>
      <c r="C67" s="120">
        <v>25.351710247410178</v>
      </c>
      <c r="D67" s="121">
        <v>10</v>
      </c>
      <c r="E67" s="122">
        <f t="shared" si="21"/>
        <v>3.1688087814028952E-13</v>
      </c>
      <c r="F67" s="120">
        <v>25.351710247410178</v>
      </c>
      <c r="G67" s="123">
        <f t="shared" si="22"/>
        <v>2.535171024741018E-3</v>
      </c>
    </row>
    <row r="68" spans="2:7" x14ac:dyDescent="0.2">
      <c r="B68" s="125"/>
      <c r="C68" s="1">
        <v>113.6</v>
      </c>
      <c r="D68" s="121">
        <v>10</v>
      </c>
      <c r="E68" s="122">
        <f t="shared" si="21"/>
        <v>3.1688087814028952E-13</v>
      </c>
      <c r="F68" s="1">
        <v>113.6</v>
      </c>
      <c r="G68" s="123">
        <f t="shared" si="22"/>
        <v>1.1359999999999999E-2</v>
      </c>
    </row>
    <row r="69" spans="2:7" ht="19" customHeight="1" x14ac:dyDescent="0.2">
      <c r="B69" s="125"/>
      <c r="C69" s="120">
        <v>53.761486660008572</v>
      </c>
      <c r="D69" s="121">
        <v>10</v>
      </c>
      <c r="E69" s="122">
        <f t="shared" si="21"/>
        <v>3.1688087814028952E-13</v>
      </c>
      <c r="F69" s="120">
        <v>53.761486660008572</v>
      </c>
      <c r="G69" s="123">
        <f t="shared" si="22"/>
        <v>5.3761486660008568E-3</v>
      </c>
    </row>
    <row r="70" spans="2:7" ht="16" thickBot="1" x14ac:dyDescent="0.25">
      <c r="B70" s="127"/>
      <c r="C70" s="128">
        <v>46.885290711864407</v>
      </c>
      <c r="D70" s="129">
        <v>10</v>
      </c>
      <c r="E70" s="130">
        <f t="shared" si="21"/>
        <v>3.1688087814028952E-13</v>
      </c>
      <c r="F70" s="128">
        <v>46.885290711864407</v>
      </c>
      <c r="G70" s="131">
        <f t="shared" si="22"/>
        <v>4.6885290711864407E-3</v>
      </c>
    </row>
  </sheetData>
  <mergeCells count="6">
    <mergeCell ref="A35:A49"/>
    <mergeCell ref="L1:O2"/>
    <mergeCell ref="P1:S2"/>
    <mergeCell ref="T1:W2"/>
    <mergeCell ref="A5:A19"/>
    <mergeCell ref="A20:A3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B79-BCFA-CE45-B060-C4592938A018}">
  <dimension ref="A1:AM48"/>
  <sheetViews>
    <sheetView topLeftCell="A4" zoomScale="63" zoomScaleNormal="100" workbookViewId="0">
      <selection activeCell="AC4" sqref="AC1:AJ1048576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hidden="1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623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1</v>
      </c>
      <c r="C8" s="1">
        <v>249.98</v>
      </c>
      <c r="D8" s="1">
        <v>0.94</v>
      </c>
      <c r="E8" s="326">
        <f>10000/(C8+273.15)</f>
        <v>19.115707376751477</v>
      </c>
      <c r="F8" s="327">
        <f t="shared" ref="F8:F25" si="0">SQRT((((-1)*10^4/(C9+273.15)^2)*D8)^2)</f>
        <v>3.1863119023604884E-2</v>
      </c>
      <c r="G8" s="309">
        <f>H8/60/60</f>
        <v>1</v>
      </c>
      <c r="H8" s="1">
        <v>3600</v>
      </c>
      <c r="I8" s="324">
        <v>30</v>
      </c>
      <c r="J8" s="1">
        <v>8.6899999999999998E-3</v>
      </c>
      <c r="K8" s="122">
        <v>9.0000000000000006E-5</v>
      </c>
      <c r="L8" s="328">
        <f>100*(K8/J8)</f>
        <v>1.0356731875719218</v>
      </c>
      <c r="M8" s="329">
        <f t="shared" ref="M8:M26" si="1">J8/$J$27</f>
        <v>2.1307218709160141E-3</v>
      </c>
      <c r="N8" s="330">
        <f>(1/$J$27)*SQRT(((1-J9/$J$27)*K8)^2+(J9/$J$27)^2*SUMSQ(K9:K$26))</f>
        <v>6.5761699623184997E-5</v>
      </c>
      <c r="O8" s="331">
        <f>100*(N8/M8)</f>
        <v>3.0863577513715352</v>
      </c>
      <c r="P8" s="332">
        <f>M8+P7</f>
        <v>2.1307218709160141E-3</v>
      </c>
      <c r="Q8" s="330">
        <f>SQRT(((1-P8)/$J$27)^2*SUMSQ(K$8:K8)+(P8/$J$27)^2*SUMSQ(K9:K$26))</f>
        <v>6.5560915773382394E-5</v>
      </c>
      <c r="R8" s="331">
        <f>100*(Q8/P8)</f>
        <v>3.0769344731603683</v>
      </c>
      <c r="S8" s="333">
        <f>IF(P8&lt;=0.85, ((2*PI()-PI()^2*P8/3-2*PI()*SQRT(1-PI()*P8/3))/PI()^2/H8), ((-1)*LN((1-P8)*PI()^2/6)/PI()^2/H8 ))</f>
        <v>1.1017506676336943E-10</v>
      </c>
      <c r="T8" s="333">
        <f>IF(P8&lt;=0.85, ABS((2/PI()-P8/3-2*SQRT(1-PI()*P8/3)/PI())*(-1)*I8/H8^2), ABS((-1)*LN((1-P8)*PI()^2/6)*(-1)*I8/PI()^2/H8^2))</f>
        <v>9.1812555629165883E-13</v>
      </c>
      <c r="U8" s="333">
        <f>IF(P8&lt;=0.85, ((1/(3*H8*$J$27))*((1/SQRT(1-PI()*P8/3))-1)*SQRT(((1-P8)*K8)^2+(-P8)^2*SUMSQ(K9:K$26))),  (1/(PI()^2*H8*$J$27))*SQRT(K8^2+(P8/(1-P8))^2*SUMSQ(K9:K$26)))</f>
        <v>6.7838176077039998E-12</v>
      </c>
      <c r="V8" s="334">
        <f>SQRT(T8^2+U8^2)</f>
        <v>6.845665480558533E-12</v>
      </c>
      <c r="W8" s="331">
        <f>100*(V8/S8)</f>
        <v>6.2134434601809136</v>
      </c>
      <c r="X8" s="334">
        <f>V8*2</f>
        <v>1.3691330961117066E-11</v>
      </c>
      <c r="Y8" s="335">
        <f>LN(S8)</f>
        <v>-22.92895049922501</v>
      </c>
      <c r="Z8" s="335">
        <f>V8/S8</f>
        <v>6.2134434601809133E-2</v>
      </c>
      <c r="AA8" s="335">
        <f>ABS(100*(Z8/Y8))</f>
        <v>0.27098682342181013</v>
      </c>
      <c r="AB8" s="335">
        <f>2*Z8</f>
        <v>0.12426886920361827</v>
      </c>
      <c r="AC8" s="336">
        <f t="shared" ref="AC8:AC25" si="2">S8*($AC$3^2)*10^(-8)</f>
        <v>1.4218048295786119E-14</v>
      </c>
      <c r="AD8" s="337">
        <f t="shared" ref="AD8:AD25" si="3">AC8*SQRT((V8/S8)^2+(2*$AD$3/$AC$3)^2)</f>
        <v>1.0154236380675605E-15</v>
      </c>
      <c r="AE8" s="308">
        <f>100*AD8/AC8</f>
        <v>7.1417934230010118</v>
      </c>
      <c r="AF8" s="337">
        <f>2*AD8</f>
        <v>2.0308472761351211E-15</v>
      </c>
      <c r="AG8" s="338">
        <f>LN(AC8)</f>
        <v>-31.884264230603275</v>
      </c>
      <c r="AH8" s="339">
        <f>AD8/AC8</f>
        <v>7.1417934230010124E-2</v>
      </c>
      <c r="AI8" s="340">
        <f>ABS(100*(AH8/AG8))</f>
        <v>0.22399116289301568</v>
      </c>
      <c r="AJ8" s="341">
        <f>2*AH8</f>
        <v>0.14283586846002025</v>
      </c>
    </row>
    <row r="9" spans="1:39" x14ac:dyDescent="0.2">
      <c r="A9" s="309">
        <v>2</v>
      </c>
      <c r="B9" s="309">
        <f>G9+B8</f>
        <v>2</v>
      </c>
      <c r="C9" s="1">
        <v>270</v>
      </c>
      <c r="D9" s="1">
        <v>0.92</v>
      </c>
      <c r="E9" s="326">
        <f t="shared" ref="E9:E25" si="4">10000/(C9+273.15)</f>
        <v>18.411120316671269</v>
      </c>
      <c r="F9" s="327">
        <f t="shared" si="0"/>
        <v>2.9011521010760485E-2</v>
      </c>
      <c r="G9" s="309">
        <f t="shared" ref="G9:G25" si="5">H9/60/60</f>
        <v>1</v>
      </c>
      <c r="H9" s="1">
        <v>3600</v>
      </c>
      <c r="I9" s="324">
        <v>30</v>
      </c>
      <c r="J9" s="1">
        <v>8.7200000000000003E-3</v>
      </c>
      <c r="K9" s="122">
        <v>8.0000000000000007E-5</v>
      </c>
      <c r="L9" s="328">
        <f t="shared" ref="L9:L27" si="6">100*(K9/J9)</f>
        <v>0.91743119266055051</v>
      </c>
      <c r="M9" s="329">
        <f t="shared" si="1"/>
        <v>2.1380776426222835E-3</v>
      </c>
      <c r="N9" s="342">
        <f>(1/$J$27)*SQRT(((1-J10/$J$27)*K9)^2+(J10/$J$27)^2*(SUMSQ(K$8:K8)+SUMSQ(K10:K$26)))</f>
        <v>7.0697026822078878E-5</v>
      </c>
      <c r="O9" s="340">
        <f>100*(N9/M9)</f>
        <v>3.306569668600587</v>
      </c>
      <c r="P9" s="332">
        <f t="shared" ref="P9:P25" si="7">M9+P8</f>
        <v>4.2687995135382972E-3</v>
      </c>
      <c r="Q9" s="342">
        <f>SQRT(((1-P9)/$J$27)^2*SUMSQ(K$8:K9)+(P9/$J$27)^2*SUMSQ(K10:K$26))</f>
        <v>1.2716273483625283E-4</v>
      </c>
      <c r="R9" s="340">
        <f>100*(Q9/P9)</f>
        <v>2.9788874936141223</v>
      </c>
      <c r="S9" s="343">
        <f>IF(P9&lt;=0.85, (((-1)*PI()^2*(P9-P8)/3-2*PI()*(SQRT(1-PI()*P9/3)-SQRT(1-PI()*P8/3)))/PI()^2/H9), ((-1)*LN((1-P9)/(1-P8))/PI()^2/H9 ))</f>
        <v>3.325445108672387E-10</v>
      </c>
      <c r="T9" s="344">
        <f>IF(P9&lt;=0.85, ABS(((-1)*(P9-P8)/3-2*(SQRT(1-PI()*P9/3)-SQRT(1-PI()*P8/3))/PI())*(-1)*I9/H9^2), ABS((-1)*LN((1-P9)/(1-P8))*(-1)*I9/PI()^2/H9^2))</f>
        <v>2.7712042572270449E-12</v>
      </c>
      <c r="U9" s="344">
        <f>IF(P9&lt;=0.85, (1/(3*H9*$J$27))*SQRT( ((1-P9)*(1/SQRT(1-PI()*P9/3)-1) + (1-P8)*(1-1/SQRT(1-PI()*P8/3)))^2*SUMSQ(K$8:K8) + ( (1-P9)*(1/SQRT(1-PI()*P9/3)-1) -P8*(1-1/SQRT(1-PI()*P8/3)) )^2*K9^2 + ( P9*(1-1/SQRT(1-PI()*P9/3)) - P8*(1-1/SQRT(1-PI()*P8/3)) )^2*SUMSQ(K10:K$26) ), (1/(PI()^2*H9*$J$27))*SQRT((1+P8/(1-P8))^2*K9^2+(P8/(1-P8)-P9/(1-P9))^2*SUMSQ(K10:K$26)) )</f>
        <v>1.9854976253815144E-11</v>
      </c>
      <c r="V9" s="345">
        <f>SQRT(T9^2+U9^2)</f>
        <v>2.0047435124594781E-11</v>
      </c>
      <c r="W9" s="340">
        <f>100*(V9/S9)</f>
        <v>6.0284967784653327</v>
      </c>
      <c r="X9" s="345">
        <f>V9*2</f>
        <v>4.0094870249189563E-11</v>
      </c>
      <c r="Y9" s="338">
        <f t="shared" ref="Y9:Y25" si="8">LN(S9)</f>
        <v>-21.824247397522171</v>
      </c>
      <c r="Z9" s="346">
        <f>V9/S9</f>
        <v>6.0284967784653323E-2</v>
      </c>
      <c r="AA9" s="346">
        <f>ABS(100*(Z9/Y9))</f>
        <v>0.27622930901845355</v>
      </c>
      <c r="AB9" s="346">
        <f t="shared" ref="AB9:AB25" si="9">2*Z9</f>
        <v>0.12056993556930665</v>
      </c>
      <c r="AC9" s="336">
        <f t="shared" si="2"/>
        <v>4.29147361096128E-14</v>
      </c>
      <c r="AD9" s="337">
        <f t="shared" si="3"/>
        <v>2.9960850733773769E-15</v>
      </c>
      <c r="AE9" s="308">
        <f t="shared" ref="AE9:AE25" si="10">100*AD9/AC9</f>
        <v>6.9814831570320681</v>
      </c>
      <c r="AF9" s="337">
        <f t="shared" ref="AF9:AF25" si="11">2*AD9</f>
        <v>5.9921701467547537E-15</v>
      </c>
      <c r="AG9" s="338">
        <f>LN(AC9)</f>
        <v>-30.779561128900436</v>
      </c>
      <c r="AH9" s="339">
        <f>AD9/AC9</f>
        <v>6.9814831570320687E-2</v>
      </c>
      <c r="AI9" s="340">
        <f>ABS(100*(AH9/AG9))</f>
        <v>0.22682205011938303</v>
      </c>
      <c r="AJ9" s="341">
        <f t="shared" ref="AJ9:AJ25" si="12">2*AH9</f>
        <v>0.13962966314064137</v>
      </c>
    </row>
    <row r="10" spans="1:39" x14ac:dyDescent="0.2">
      <c r="A10" s="309">
        <v>3</v>
      </c>
      <c r="B10" s="309">
        <f t="shared" ref="B10:B25" si="13">G10+B9</f>
        <v>3</v>
      </c>
      <c r="C10" s="1">
        <v>289.98</v>
      </c>
      <c r="D10" s="1">
        <v>0.97</v>
      </c>
      <c r="E10" s="326">
        <f t="shared" si="4"/>
        <v>17.757888942162555</v>
      </c>
      <c r="F10" s="327">
        <f t="shared" si="0"/>
        <v>2.8533834299214661E-2</v>
      </c>
      <c r="G10" s="309">
        <f t="shared" si="5"/>
        <v>1</v>
      </c>
      <c r="H10" s="1">
        <v>3600</v>
      </c>
      <c r="I10" s="324">
        <v>30</v>
      </c>
      <c r="J10" s="1">
        <v>9.5599999999999904E-3</v>
      </c>
      <c r="K10" s="122">
        <v>8.0000000000000007E-5</v>
      </c>
      <c r="L10" s="328">
        <f t="shared" si="6"/>
        <v>0.83682008368200933</v>
      </c>
      <c r="M10" s="329">
        <f t="shared" si="1"/>
        <v>2.3440392503978223E-3</v>
      </c>
      <c r="N10" s="342">
        <f>(1/$J$27)*SQRT(((1-J11/$J$27)*K10)^2+(J11/$J$27)^2*(SUMSQ(K$8:K9)+SUMSQ(K11:K$26)))</f>
        <v>7.8099360420717833E-5</v>
      </c>
      <c r="O10" s="340">
        <f t="shared" ref="O10:O25" si="14">100*(N10/M10)</f>
        <v>3.3318281853626419</v>
      </c>
      <c r="P10" s="332">
        <f t="shared" si="7"/>
        <v>6.6128387639361194E-3</v>
      </c>
      <c r="Q10" s="342">
        <f>SQRT(((1-P10)/$J$27)^2*SUMSQ(K$8:K10)+(P10/$J$27)^2*SUMSQ(K11:K$26))</f>
        <v>1.9486017106003947E-4</v>
      </c>
      <c r="R10" s="340">
        <f t="shared" ref="R10:R25" si="15">100*(Q10/P10)</f>
        <v>2.9466947254593889</v>
      </c>
      <c r="S10" s="343">
        <f t="shared" ref="S10:S25" si="16">IF(P10&lt;=0.85, (((-1)*PI()^2*(P10-P9)/3-2*PI()*(SQRT(1-PI()*P10/3)-SQRT(1-PI()*P9/3)))/PI()^2/H10), ((-1)*LN((1-P10)/(1-P9))/PI()^2/H10 ))</f>
        <v>6.2100303652625008E-10</v>
      </c>
      <c r="T10" s="344">
        <f t="shared" ref="T10:T25" si="17">IF(P10&lt;=0.85, ABS(((-1)*(P10-P9)/3-2*(SQRT(1-PI()*P10/3)-SQRT(1-PI()*P9/3))/PI())*(-1)*I10/H10^2), ABS((-1)*LN((1-P10)/(1-P9))*(-1)*I10/PI()^2/H10^2))</f>
        <v>5.1750253043858612E-12</v>
      </c>
      <c r="U10" s="344">
        <f>IF(P10&lt;=0.85, (1/(3*H10*$J$27))*SQRT( ((1-P10)*(1/SQRT(1-PI()*P10/3)-1) + (1-P9)*(1-1/SQRT(1-PI()*P9/3)))^2*SUMSQ(K$8:K9) + ( (1-P10)*(1/SQRT(1-PI()*P10/3)-1) -P9*(1-1/SQRT(1-PI()*P9/3)) )^2*K10^2 + ( P10*(1-1/SQRT(1-PI()*P10/3)) - P9*(1-1/SQRT(1-PI()*P9/3)) )^2*SUMSQ(K11:K$26) ), (1/(PI()^2*H10*$J$27))*SQRT((1+P9/(1-P9))^2*K10^2+(P9/(1-P9)-P10/(1-P10))^2*SUMSQ(K11:K$26)) )</f>
        <v>3.6772302868921862E-11</v>
      </c>
      <c r="V10" s="345">
        <f t="shared" ref="V10:V25" si="18">SQRT(T10^2+U10^2)</f>
        <v>3.7134662314133853E-11</v>
      </c>
      <c r="W10" s="340">
        <f t="shared" ref="W10:W25" si="19">100*(V10/S10)</f>
        <v>5.9797875581827613</v>
      </c>
      <c r="X10" s="345">
        <f t="shared" ref="X10:X25" si="20">V10*2</f>
        <v>7.4269324628267705E-11</v>
      </c>
      <c r="Y10" s="338">
        <f t="shared" si="8"/>
        <v>-21.199685144270713</v>
      </c>
      <c r="Z10" s="346">
        <f t="shared" ref="Z10:Z25" si="21">V10/S10</f>
        <v>5.9797875581827614E-2</v>
      </c>
      <c r="AA10" s="346">
        <f t="shared" ref="AA10:AA25" si="22">ABS(100*(Z10/Y10))</f>
        <v>0.28206964006721669</v>
      </c>
      <c r="AB10" s="346">
        <f t="shared" si="9"/>
        <v>0.11959575116365523</v>
      </c>
      <c r="AC10" s="336">
        <f t="shared" si="2"/>
        <v>8.0140193462497962E-14</v>
      </c>
      <c r="AD10" s="337">
        <f t="shared" si="3"/>
        <v>5.5613017398027354E-15</v>
      </c>
      <c r="AE10" s="308">
        <f t="shared" si="10"/>
        <v>6.9394663270998675</v>
      </c>
      <c r="AF10" s="337">
        <f t="shared" si="11"/>
        <v>1.1122603479605471E-14</v>
      </c>
      <c r="AG10" s="338">
        <f t="shared" ref="AG10:AG25" si="23">LN(AC10)</f>
        <v>-30.154998875648975</v>
      </c>
      <c r="AH10" s="339">
        <f t="shared" ref="AH10:AH25" si="24">AD10/AC10</f>
        <v>6.9394663270998677E-2</v>
      </c>
      <c r="AI10" s="340">
        <f t="shared" ref="AI10:AI25" si="25">ABS(100*(AH10/AG10))</f>
        <v>0.23012656560580028</v>
      </c>
      <c r="AJ10" s="341">
        <f t="shared" si="12"/>
        <v>0.13878932654199735</v>
      </c>
    </row>
    <row r="11" spans="1:39" x14ac:dyDescent="0.2">
      <c r="A11" s="309">
        <v>4</v>
      </c>
      <c r="B11" s="309">
        <f t="shared" si="13"/>
        <v>4</v>
      </c>
      <c r="C11" s="1">
        <v>309.89999999999998</v>
      </c>
      <c r="D11" s="1">
        <v>1.42</v>
      </c>
      <c r="E11" s="326">
        <f t="shared" si="4"/>
        <v>17.151187719749593</v>
      </c>
      <c r="F11" s="327">
        <f t="shared" si="0"/>
        <v>3.903610543105461E-2</v>
      </c>
      <c r="G11" s="309">
        <f t="shared" si="5"/>
        <v>1</v>
      </c>
      <c r="H11" s="1">
        <v>3600</v>
      </c>
      <c r="I11" s="324">
        <v>30</v>
      </c>
      <c r="J11" s="1">
        <v>1.064E-2</v>
      </c>
      <c r="K11" s="122">
        <v>5.99999999999999E-5</v>
      </c>
      <c r="L11" s="328">
        <f t="shared" si="6"/>
        <v>0.56390977443608925</v>
      </c>
      <c r="M11" s="329">
        <f t="shared" si="1"/>
        <v>2.6088470318235205E-3</v>
      </c>
      <c r="N11" s="342">
        <f>(1/$J$27)*SQRT(((1-J12/$J$27)*K11)^2+(J12/$J$27)^2*(SUMSQ(K$8:K10)+SUMSQ(K12:K$26)))</f>
        <v>8.5685725613827938E-5</v>
      </c>
      <c r="O11" s="340">
        <f t="shared" si="14"/>
        <v>3.2844288901804917</v>
      </c>
      <c r="P11" s="332">
        <f t="shared" si="7"/>
        <v>9.221685795759639E-3</v>
      </c>
      <c r="Q11" s="342">
        <f>SQRT(((1-P11)/$J$27)^2*SUMSQ(K$8:K11)+(P11/$J$27)^2*SUMSQ(K12:K$26))</f>
        <v>2.699527486648994E-4</v>
      </c>
      <c r="R11" s="340">
        <f t="shared" si="15"/>
        <v>2.9273687549518375</v>
      </c>
      <c r="S11" s="343">
        <f t="shared" si="16"/>
        <v>1.0077067216160997E-9</v>
      </c>
      <c r="T11" s="344">
        <f t="shared" si="17"/>
        <v>8.3975560134674173E-12</v>
      </c>
      <c r="U11" s="344">
        <f>IF(P11&lt;=0.85, (1/(3*H11*$J$27))*SQRT( ((1-P11)*(1/SQRT(1-PI()*P11/3)-1) + (1-P10)*(1-1/SQRT(1-PI()*P10/3)))^2*SUMSQ(K$8:K10) + ( (1-P11)*(1/SQRT(1-PI()*P11/3)-1) -P10*(1-1/SQRT(1-PI()*P10/3)) )^2*K11^2 + ( P11*(1-1/SQRT(1-PI()*P11/3)) - P10*(1-1/SQRT(1-PI()*P10/3)) )^2*SUMSQ(K12:K$26) ), (1/(PI()^2*H11*$J$27))*SQRT((1+P10/(1-P10))^2*K11^2+(P10/(1-P10)-P11/(1-P11))^2*SUMSQ(K12:K$26)) )</f>
        <v>5.9134119901347035E-11</v>
      </c>
      <c r="V11" s="345">
        <f t="shared" si="18"/>
        <v>5.9727406468941962E-11</v>
      </c>
      <c r="W11" s="340">
        <f t="shared" si="19"/>
        <v>5.9270624267698375</v>
      </c>
      <c r="X11" s="345">
        <f t="shared" si="20"/>
        <v>1.1945481293788392E-10</v>
      </c>
      <c r="Y11" s="338">
        <f t="shared" si="8"/>
        <v>-20.715588660409303</v>
      </c>
      <c r="Z11" s="346">
        <f t="shared" si="21"/>
        <v>5.9270624267698371E-2</v>
      </c>
      <c r="AA11" s="346">
        <f t="shared" si="22"/>
        <v>0.2861160512468261</v>
      </c>
      <c r="AB11" s="346">
        <f t="shared" si="9"/>
        <v>0.11854124853539674</v>
      </c>
      <c r="AC11" s="336">
        <f t="shared" si="2"/>
        <v>1.3004414934186901E-13</v>
      </c>
      <c r="AD11" s="337">
        <f t="shared" si="3"/>
        <v>8.9653536921083986E-15</v>
      </c>
      <c r="AE11" s="308">
        <f t="shared" si="10"/>
        <v>6.8940846147100858</v>
      </c>
      <c r="AF11" s="337">
        <f t="shared" si="11"/>
        <v>1.7930707384216797E-14</v>
      </c>
      <c r="AG11" s="338">
        <f t="shared" si="23"/>
        <v>-29.670902391787568</v>
      </c>
      <c r="AH11" s="339">
        <f t="shared" si="24"/>
        <v>6.8940846147100859E-2</v>
      </c>
      <c r="AI11" s="340">
        <f t="shared" si="25"/>
        <v>0.23235170011607933</v>
      </c>
      <c r="AJ11" s="341">
        <f t="shared" si="12"/>
        <v>0.13788169229420172</v>
      </c>
    </row>
    <row r="12" spans="1:39" x14ac:dyDescent="0.2">
      <c r="A12" s="309">
        <v>5</v>
      </c>
      <c r="B12" s="309">
        <f t="shared" si="13"/>
        <v>5</v>
      </c>
      <c r="C12" s="1">
        <v>329.98</v>
      </c>
      <c r="D12" s="1">
        <v>1</v>
      </c>
      <c r="E12" s="326">
        <f t="shared" si="4"/>
        <v>16.580173428614064</v>
      </c>
      <c r="F12" s="327">
        <f t="shared" si="0"/>
        <v>2.5757187379386908E-2</v>
      </c>
      <c r="G12" s="309">
        <f t="shared" si="5"/>
        <v>1</v>
      </c>
      <c r="H12" s="1">
        <v>3600</v>
      </c>
      <c r="I12" s="324">
        <v>30</v>
      </c>
      <c r="J12" s="1">
        <v>1.188E-2</v>
      </c>
      <c r="K12" s="1">
        <v>1E-4</v>
      </c>
      <c r="L12" s="328">
        <f t="shared" si="6"/>
        <v>0.84175084175084169</v>
      </c>
      <c r="M12" s="329">
        <f t="shared" si="1"/>
        <v>2.9128855956826526E-3</v>
      </c>
      <c r="N12" s="342">
        <f>(1/$J$27)*SQRT(((1-J13/$J$27)*K12)^2+(J13/$J$27)^2*(SUMSQ(K$8:K11)+SUMSQ(K13:K$26)))</f>
        <v>7.6969076103715345E-5</v>
      </c>
      <c r="O12" s="340">
        <f t="shared" si="14"/>
        <v>2.6423652277245435</v>
      </c>
      <c r="P12" s="332">
        <f t="shared" si="7"/>
        <v>1.2134571391442292E-2</v>
      </c>
      <c r="Q12" s="342">
        <f>SQRT(((1-P12)/$J$27)^2*SUMSQ(K$8:K12)+(P12/$J$27)^2*SUMSQ(K13:K$26))</f>
        <v>3.5454796522415335E-4</v>
      </c>
      <c r="R12" s="340">
        <f t="shared" si="15"/>
        <v>2.9218004805195883</v>
      </c>
      <c r="S12" s="343">
        <f t="shared" si="16"/>
        <v>1.5208189785261326E-9</v>
      </c>
      <c r="T12" s="344">
        <f t="shared" si="17"/>
        <v>1.2673491487718396E-11</v>
      </c>
      <c r="U12" s="344">
        <f>IF(P12&lt;=0.85, (1/(3*H12*$J$27))*SQRT( ((1-P12)*(1/SQRT(1-PI()*P12/3)-1) + (1-P11)*(1-1/SQRT(1-PI()*P11/3)))^2*SUMSQ(K$8:K11) + ( (1-P12)*(1/SQRT(1-PI()*P12/3)-1) -P11*(1-1/SQRT(1-PI()*P11/3)) )^2*K12^2 + ( P12*(1-1/SQRT(1-PI()*P12/3)) - P11*(1-1/SQRT(1-PI()*P11/3)) )^2*SUMSQ(K13:K$26) ), (1/(PI()^2*H12*$J$27))*SQRT((1+P11/(1-P11))^2*K12^2+(P11/(1-P11)-P12/(1-P12))^2*SUMSQ(K13:K$26)) )</f>
        <v>8.9867926468318799E-11</v>
      </c>
      <c r="V12" s="345">
        <f t="shared" si="18"/>
        <v>9.075715726158695E-11</v>
      </c>
      <c r="W12" s="340">
        <f t="shared" si="19"/>
        <v>5.9676502294534881</v>
      </c>
      <c r="X12" s="345">
        <f t="shared" si="20"/>
        <v>1.815143145231739E-10</v>
      </c>
      <c r="Y12" s="338">
        <f t="shared" si="8"/>
        <v>-20.304016845527794</v>
      </c>
      <c r="Z12" s="346">
        <f t="shared" si="21"/>
        <v>5.9676502294534882E-2</v>
      </c>
      <c r="AA12" s="346">
        <f t="shared" si="22"/>
        <v>0.2939147595697516</v>
      </c>
      <c r="AB12" s="346">
        <f t="shared" si="9"/>
        <v>0.11935300458906976</v>
      </c>
      <c r="AC12" s="336">
        <f t="shared" si="2"/>
        <v>1.9626108085120598E-13</v>
      </c>
      <c r="AD12" s="337">
        <f t="shared" si="3"/>
        <v>1.3598950392009393E-14</v>
      </c>
      <c r="AE12" s="308">
        <f t="shared" si="10"/>
        <v>6.9290102413729935</v>
      </c>
      <c r="AF12" s="337">
        <f t="shared" si="11"/>
        <v>2.7197900784018785E-14</v>
      </c>
      <c r="AG12" s="338">
        <f t="shared" si="23"/>
        <v>-29.259330576906059</v>
      </c>
      <c r="AH12" s="339">
        <f t="shared" si="24"/>
        <v>6.9290102413729932E-2</v>
      </c>
      <c r="AI12" s="340">
        <f t="shared" si="25"/>
        <v>0.23681369685340492</v>
      </c>
      <c r="AJ12" s="341">
        <f t="shared" si="12"/>
        <v>0.13858020482745986</v>
      </c>
    </row>
    <row r="13" spans="1:39" x14ac:dyDescent="0.2">
      <c r="A13" s="309">
        <v>6</v>
      </c>
      <c r="B13" s="309">
        <f t="shared" si="13"/>
        <v>6</v>
      </c>
      <c r="C13" s="1">
        <v>349.94</v>
      </c>
      <c r="D13" s="1">
        <v>1.39</v>
      </c>
      <c r="E13" s="326">
        <f t="shared" si="4"/>
        <v>16.049045884222185</v>
      </c>
      <c r="F13" s="327">
        <f t="shared" si="0"/>
        <v>3.3607079159949829E-2</v>
      </c>
      <c r="G13" s="309">
        <f t="shared" si="5"/>
        <v>1</v>
      </c>
      <c r="H13" s="1">
        <v>3600</v>
      </c>
      <c r="I13" s="324">
        <v>30</v>
      </c>
      <c r="J13" s="1">
        <v>1.027E-2</v>
      </c>
      <c r="K13" s="1">
        <v>1E-4</v>
      </c>
      <c r="L13" s="328">
        <f t="shared" si="6"/>
        <v>0.97370983446932824</v>
      </c>
      <c r="M13" s="329">
        <f t="shared" si="1"/>
        <v>2.5181258474461987E-3</v>
      </c>
      <c r="N13" s="342">
        <f>(1/$J$27)*SQRT(((1-J14/$J$27)*K13)^2+(J14/$J$27)^2*(SUMSQ(K$8:K12)+SUMSQ(K14:K$26)))</f>
        <v>6.814320760437644E-5</v>
      </c>
      <c r="O13" s="340">
        <f t="shared" si="14"/>
        <v>2.7061081031150636</v>
      </c>
      <c r="P13" s="332">
        <f t="shared" si="7"/>
        <v>1.4652697238888492E-2</v>
      </c>
      <c r="Q13" s="342">
        <f>SQRT(((1-P13)/$J$27)^2*SUMSQ(K$8:K13)+(P13/$J$27)^2*SUMSQ(K14:K$26))</f>
        <v>4.2770899575012705E-4</v>
      </c>
      <c r="R13" s="340">
        <f t="shared" si="15"/>
        <v>2.9189779108721403</v>
      </c>
      <c r="S13" s="343">
        <f t="shared" si="16"/>
        <v>1.6525806048958929E-9</v>
      </c>
      <c r="T13" s="344">
        <f t="shared" si="17"/>
        <v>1.3771505040799311E-11</v>
      </c>
      <c r="U13" s="344">
        <f>IF(P13&lt;=0.85, (1/(3*H13*$J$27))*SQRT( ((1-P13)*(1/SQRT(1-PI()*P13/3)-1) + (1-P12)*(1-1/SQRT(1-PI()*P12/3)))^2*SUMSQ(K$8:K12) + ( (1-P13)*(1/SQRT(1-PI()*P13/3)-1) -P12*(1-1/SQRT(1-PI()*P12/3)) )^2*K13^2 + ( P13*(1-1/SQRT(1-PI()*P13/3)) - P12*(1-1/SQRT(1-PI()*P12/3)) )^2*SUMSQ(K14:K$26) ), (1/(PI()^2*H13*$J$27))*SQRT((1+P12/(1-P12))^2*K13^2+(P12/(1-P12)-P13/(1-P13))^2*SUMSQ(K14:K$26)) )</f>
        <v>9.804167404557061E-11</v>
      </c>
      <c r="V13" s="345">
        <f t="shared" si="18"/>
        <v>9.9004162542524815E-11</v>
      </c>
      <c r="W13" s="340">
        <f t="shared" si="19"/>
        <v>5.9908825172713289</v>
      </c>
      <c r="X13" s="345">
        <f t="shared" si="20"/>
        <v>1.9800832508504963E-10</v>
      </c>
      <c r="Y13" s="338">
        <f t="shared" si="8"/>
        <v>-20.220927767845609</v>
      </c>
      <c r="Z13" s="346">
        <f t="shared" si="21"/>
        <v>5.9908825172713287E-2</v>
      </c>
      <c r="AA13" s="346">
        <f t="shared" si="22"/>
        <v>0.2962713969434061</v>
      </c>
      <c r="AB13" s="346">
        <f t="shared" si="9"/>
        <v>0.11981765034542657</v>
      </c>
      <c r="AC13" s="336">
        <f t="shared" si="2"/>
        <v>2.1326486602957303E-13</v>
      </c>
      <c r="AD13" s="337">
        <f t="shared" si="3"/>
        <v>1.4819837840934845E-14</v>
      </c>
      <c r="AE13" s="308">
        <f t="shared" si="10"/>
        <v>6.9490292127535938</v>
      </c>
      <c r="AF13" s="337">
        <f t="shared" si="11"/>
        <v>2.9639675681869691E-14</v>
      </c>
      <c r="AG13" s="338">
        <f t="shared" si="23"/>
        <v>-29.176241499223874</v>
      </c>
      <c r="AH13" s="339">
        <f t="shared" si="24"/>
        <v>6.9490292127535935E-2</v>
      </c>
      <c r="AI13" s="340">
        <f t="shared" si="25"/>
        <v>0.2381742423176216</v>
      </c>
      <c r="AJ13" s="341">
        <f t="shared" si="12"/>
        <v>0.13898058425507187</v>
      </c>
    </row>
    <row r="14" spans="1:39" x14ac:dyDescent="0.2">
      <c r="A14" s="309">
        <v>7</v>
      </c>
      <c r="B14" s="309">
        <f t="shared" si="13"/>
        <v>7</v>
      </c>
      <c r="C14" s="1">
        <v>369.97</v>
      </c>
      <c r="D14" s="1">
        <v>1.2</v>
      </c>
      <c r="E14" s="326">
        <f t="shared" si="4"/>
        <v>15.549197661400672</v>
      </c>
      <c r="F14" s="327">
        <f t="shared" si="0"/>
        <v>2.7292058231369817E-2</v>
      </c>
      <c r="G14" s="309">
        <f t="shared" si="5"/>
        <v>1</v>
      </c>
      <c r="H14" s="1">
        <v>3600</v>
      </c>
      <c r="I14" s="324">
        <v>30</v>
      </c>
      <c r="J14" s="1">
        <v>8.9499999999999996E-3</v>
      </c>
      <c r="K14" s="122">
        <v>9.0000000000000006E-5</v>
      </c>
      <c r="L14" s="328">
        <f t="shared" si="6"/>
        <v>1.005586592178771</v>
      </c>
      <c r="M14" s="329">
        <f t="shared" si="1"/>
        <v>2.1944718923703481E-3</v>
      </c>
      <c r="N14" s="342">
        <f>(1/$J$27)*SQRT(((1-J15/$J$27)*K14)^2+(J15/$J$27)^2*(SUMSQ(K$8:K13)+SUMSQ(K15:K$26)))</f>
        <v>5.727464382022287E-5</v>
      </c>
      <c r="O14" s="340">
        <f t="shared" si="14"/>
        <v>2.6099511239744313</v>
      </c>
      <c r="P14" s="332">
        <f t="shared" si="7"/>
        <v>1.6847169131258839E-2</v>
      </c>
      <c r="Q14" s="342">
        <f>SQRT(((1-P14)/$J$27)^2*SUMSQ(K$8:K14)+(P14/$J$27)^2*SUMSQ(K15:K$26))</f>
        <v>4.9138139078250731E-4</v>
      </c>
      <c r="R14" s="340">
        <f t="shared" si="15"/>
        <v>2.91670005182521</v>
      </c>
      <c r="S14" s="343">
        <f t="shared" si="16"/>
        <v>1.696702908324522E-9</v>
      </c>
      <c r="T14" s="344">
        <f t="shared" si="17"/>
        <v>1.4139190902704338E-11</v>
      </c>
      <c r="U14" s="344">
        <f>IF(P14&lt;=0.85, (1/(3*H14*$J$27))*SQRT( ((1-P14)*(1/SQRT(1-PI()*P14/3)-1) + (1-P13)*(1-1/SQRT(1-PI()*P13/3)))^2*SUMSQ(K$8:K13) + ( (1-P14)*(1/SQRT(1-PI()*P14/3)-1) -P13*(1-1/SQRT(1-PI()*P13/3)) )^2*K14^2 + ( P14*(1-1/SQRT(1-PI()*P14/3)) - P13*(1-1/SQRT(1-PI()*P13/3)) )^2*SUMSQ(K15:K$26) ), (1/(PI()^2*H14*$J$27))*SQRT((1+P13/(1-P13))^2*K14^2+(P13/(1-P13)-P14/(1-P14))^2*SUMSQ(K15:K$26)) )</f>
        <v>1.0077188766091199E-10</v>
      </c>
      <c r="V14" s="345">
        <f t="shared" si="18"/>
        <v>1.0175898025298103E-10</v>
      </c>
      <c r="W14" s="340">
        <f t="shared" si="19"/>
        <v>5.9974542245269715</v>
      </c>
      <c r="X14" s="345">
        <f t="shared" si="20"/>
        <v>2.0351796050596205E-10</v>
      </c>
      <c r="Y14" s="338">
        <f t="shared" si="8"/>
        <v>-20.194578934774611</v>
      </c>
      <c r="Z14" s="346">
        <f t="shared" si="21"/>
        <v>5.9974542245269713E-2</v>
      </c>
      <c r="AA14" s="346">
        <f t="shared" si="22"/>
        <v>0.29698337578108597</v>
      </c>
      <c r="AB14" s="346">
        <f t="shared" si="9"/>
        <v>0.11994908449053943</v>
      </c>
      <c r="AC14" s="336">
        <f t="shared" si="2"/>
        <v>2.189588316381162E-13</v>
      </c>
      <c r="AD14" s="337">
        <f t="shared" si="3"/>
        <v>1.5227920221969865E-14</v>
      </c>
      <c r="AE14" s="308">
        <f t="shared" si="10"/>
        <v>6.9546955964479125</v>
      </c>
      <c r="AF14" s="337">
        <f t="shared" si="11"/>
        <v>3.0455840443939731E-14</v>
      </c>
      <c r="AG14" s="338">
        <f t="shared" si="23"/>
        <v>-29.149892666152873</v>
      </c>
      <c r="AH14" s="339">
        <f t="shared" si="24"/>
        <v>6.9546955964479129E-2</v>
      </c>
      <c r="AI14" s="340">
        <f t="shared" si="25"/>
        <v>0.23858391782427701</v>
      </c>
      <c r="AJ14" s="341">
        <f t="shared" si="12"/>
        <v>0.13909391192895826</v>
      </c>
    </row>
    <row r="15" spans="1:39" x14ac:dyDescent="0.2">
      <c r="A15" s="309">
        <v>8</v>
      </c>
      <c r="B15" s="309">
        <f t="shared" si="13"/>
        <v>8</v>
      </c>
      <c r="C15" s="1">
        <v>389.94</v>
      </c>
      <c r="D15" s="1">
        <v>1.51</v>
      </c>
      <c r="E15" s="326">
        <f t="shared" si="4"/>
        <v>15.080909077199175</v>
      </c>
      <c r="F15" s="327">
        <f t="shared" si="0"/>
        <v>3.235998984282068E-2</v>
      </c>
      <c r="G15" s="309">
        <f t="shared" si="5"/>
        <v>1</v>
      </c>
      <c r="H15" s="1">
        <v>3600</v>
      </c>
      <c r="I15" s="324">
        <v>30</v>
      </c>
      <c r="J15" s="1">
        <v>7.4400000000000004E-3</v>
      </c>
      <c r="K15" s="122">
        <v>8.0000000000000007E-5</v>
      </c>
      <c r="L15" s="328">
        <f t="shared" si="6"/>
        <v>1.0752688172043012</v>
      </c>
      <c r="M15" s="329">
        <f t="shared" si="1"/>
        <v>1.8242313831547926E-3</v>
      </c>
      <c r="N15" s="342">
        <f>(1/$J$27)*SQRT(((1-J16/$J$27)*K15)^2+(J16/$J$27)^2*(SUMSQ(K$8:K14)+SUMSQ(K16:K$26)))</f>
        <v>6.1201325337403623E-5</v>
      </c>
      <c r="O15" s="340">
        <f t="shared" si="14"/>
        <v>3.354910232470794</v>
      </c>
      <c r="P15" s="332">
        <f t="shared" si="7"/>
        <v>1.8671400514413631E-2</v>
      </c>
      <c r="Q15" s="342">
        <f>SQRT(((1-P15)/$J$27)^2*SUMSQ(K$8:K15)+(P15/$J$27)^2*SUMSQ(K16:K$26))</f>
        <v>5.4427766824690184E-4</v>
      </c>
      <c r="R15" s="340">
        <f t="shared" si="15"/>
        <v>2.915033973090233</v>
      </c>
      <c r="S15" s="343">
        <f t="shared" si="16"/>
        <v>1.5929260216569317E-9</v>
      </c>
      <c r="T15" s="344">
        <f t="shared" si="17"/>
        <v>1.3274383513807782E-11</v>
      </c>
      <c r="U15" s="344">
        <f>IF(P15&lt;=0.85, (1/(3*H15*$J$27))*SQRT( ((1-P15)*(1/SQRT(1-PI()*P15/3)-1) + (1-P14)*(1-1/SQRT(1-PI()*P14/3)))^2*SUMSQ(K$8:K14) + ( (1-P15)*(1/SQRT(1-PI()*P15/3)-1) -P14*(1-1/SQRT(1-PI()*P14/3)) )^2*K15^2 + ( P15*(1-1/SQRT(1-PI()*P15/3)) - P14*(1-1/SQRT(1-PI()*P14/3)) )^2*SUMSQ(K16:K$26) ), (1/(PI()^2*H15*$J$27))*SQRT((1+P14/(1-P14))^2*K15^2+(P14/(1-P14)-P15/(1-P15))^2*SUMSQ(K16:K$26)) )</f>
        <v>9.4834058953584913E-11</v>
      </c>
      <c r="V15" s="345">
        <f t="shared" si="18"/>
        <v>9.5758592279145735E-11</v>
      </c>
      <c r="W15" s="340">
        <f t="shared" si="19"/>
        <v>6.0114902372892018</v>
      </c>
      <c r="X15" s="345">
        <f t="shared" si="20"/>
        <v>1.9151718455829147E-10</v>
      </c>
      <c r="Y15" s="338">
        <f t="shared" si="8"/>
        <v>-20.257693246734686</v>
      </c>
      <c r="Z15" s="346">
        <f t="shared" si="21"/>
        <v>6.0114902372892021E-2</v>
      </c>
      <c r="AA15" s="346">
        <f t="shared" si="22"/>
        <v>0.29675097574390347</v>
      </c>
      <c r="AB15" s="346">
        <f t="shared" si="9"/>
        <v>0.12022980474578404</v>
      </c>
      <c r="AC15" s="336">
        <f t="shared" si="2"/>
        <v>2.0556646592441839E-13</v>
      </c>
      <c r="AD15" s="337">
        <f t="shared" si="3"/>
        <v>1.4321411378349126E-14</v>
      </c>
      <c r="AE15" s="308">
        <f t="shared" si="10"/>
        <v>6.9668033226853012</v>
      </c>
      <c r="AF15" s="337">
        <f t="shared" si="11"/>
        <v>2.8642822756698252E-14</v>
      </c>
      <c r="AG15" s="338">
        <f t="shared" si="23"/>
        <v>-29.213006978112951</v>
      </c>
      <c r="AH15" s="339">
        <f t="shared" si="24"/>
        <v>6.9668033226852999E-2</v>
      </c>
      <c r="AI15" s="340">
        <f t="shared" si="25"/>
        <v>0.23848292399015913</v>
      </c>
      <c r="AJ15" s="341">
        <f t="shared" si="12"/>
        <v>0.139336066453706</v>
      </c>
    </row>
    <row r="16" spans="1:39" x14ac:dyDescent="0.2">
      <c r="A16" s="309">
        <v>9</v>
      </c>
      <c r="B16" s="309">
        <f t="shared" si="13"/>
        <v>9</v>
      </c>
      <c r="C16" s="1">
        <v>409.95</v>
      </c>
      <c r="D16" s="1">
        <v>1.57</v>
      </c>
      <c r="E16" s="326">
        <f t="shared" si="4"/>
        <v>14.639145073927684</v>
      </c>
      <c r="F16" s="327">
        <f t="shared" si="0"/>
        <v>3.175890034585039E-2</v>
      </c>
      <c r="G16" s="309">
        <f t="shared" si="5"/>
        <v>1</v>
      </c>
      <c r="H16" s="1">
        <v>3600</v>
      </c>
      <c r="I16" s="324">
        <v>30</v>
      </c>
      <c r="J16" s="1">
        <v>8.1599999999999902E-3</v>
      </c>
      <c r="K16" s="122">
        <v>8.0000000000000007E-5</v>
      </c>
      <c r="L16" s="328">
        <f t="shared" si="6"/>
        <v>0.98039215686274628</v>
      </c>
      <c r="M16" s="329">
        <f t="shared" si="1"/>
        <v>2.0007699041052537E-3</v>
      </c>
      <c r="N16" s="342">
        <f>(1/$J$27)*SQRT(((1-J17/$J$27)*K16)^2+(J17/$J$27)^2*(SUMSQ(K$8:K15)+SUMSQ(K17:K$26)))</f>
        <v>6.5389953054178105E-5</v>
      </c>
      <c r="O16" s="340">
        <f t="shared" si="14"/>
        <v>3.2682395371905879</v>
      </c>
      <c r="P16" s="332">
        <f t="shared" si="7"/>
        <v>2.0672170418518883E-2</v>
      </c>
      <c r="Q16" s="342">
        <f>SQRT(((1-P16)/$J$27)^2*SUMSQ(K$8:K16)+(P16/$J$27)^2*SUMSQ(K17:K$26))</f>
        <v>6.0225524021423902E-4</v>
      </c>
      <c r="R16" s="340">
        <f t="shared" si="15"/>
        <v>2.9133623998896452</v>
      </c>
      <c r="S16" s="343">
        <f t="shared" si="16"/>
        <v>1.9381880776541729E-9</v>
      </c>
      <c r="T16" s="344">
        <f t="shared" si="17"/>
        <v>1.6151567313784794E-11</v>
      </c>
      <c r="U16" s="344">
        <f>IF(P16&lt;=0.85, (1/(3*H16*$J$27))*SQRT( ((1-P16)*(1/SQRT(1-PI()*P16/3)-1) + (1-P15)*(1-1/SQRT(1-PI()*P15/3)))^2*SUMSQ(K$8:K15) + ( (1-P16)*(1/SQRT(1-PI()*P16/3)-1) -P15*(1-1/SQRT(1-PI()*P15/3)) )^2*K16^2 + ( P16*(1-1/SQRT(1-PI()*P16/3)) - P15*(1-1/SQRT(1-PI()*P15/3)) )^2*SUMSQ(K17:K$26) ), (1/(PI()^2*H16*$J$27))*SQRT((1+P15/(1-P15))^2*K16^2+(P15/(1-P15)-P16/(1-P16))^2*SUMSQ(K17:K$26)) )</f>
        <v>1.1510893408618034E-10</v>
      </c>
      <c r="V16" s="345">
        <f t="shared" si="18"/>
        <v>1.1623656839888354E-10</v>
      </c>
      <c r="W16" s="340">
        <f t="shared" si="19"/>
        <v>5.9971769375223349</v>
      </c>
      <c r="X16" s="345">
        <f t="shared" si="20"/>
        <v>2.3247313679776708E-10</v>
      </c>
      <c r="Y16" s="338">
        <f t="shared" si="8"/>
        <v>-20.061512280893446</v>
      </c>
      <c r="Z16" s="346">
        <f t="shared" si="21"/>
        <v>5.9971769375223347E-2</v>
      </c>
      <c r="AA16" s="346">
        <f t="shared" si="22"/>
        <v>0.29893942458336187</v>
      </c>
      <c r="AB16" s="346">
        <f t="shared" si="9"/>
        <v>0.11994353875044669</v>
      </c>
      <c r="AC16" s="336">
        <f t="shared" si="2"/>
        <v>2.5012239614603993E-13</v>
      </c>
      <c r="AD16" s="337">
        <f t="shared" si="3"/>
        <v>1.7394653178022254E-14</v>
      </c>
      <c r="AE16" s="308">
        <f t="shared" si="10"/>
        <v>6.9544564765267838</v>
      </c>
      <c r="AF16" s="337">
        <f t="shared" si="11"/>
        <v>3.4789306356044507E-14</v>
      </c>
      <c r="AG16" s="338">
        <f t="shared" si="23"/>
        <v>-29.016826012271711</v>
      </c>
      <c r="AH16" s="339">
        <f t="shared" si="24"/>
        <v>6.9544564765267838E-2</v>
      </c>
      <c r="AI16" s="340">
        <f t="shared" si="25"/>
        <v>0.23966978585409807</v>
      </c>
      <c r="AJ16" s="341">
        <f t="shared" si="12"/>
        <v>0.13908912953053568</v>
      </c>
    </row>
    <row r="17" spans="1:39" x14ac:dyDescent="0.2">
      <c r="A17" s="309">
        <v>10</v>
      </c>
      <c r="B17" s="309">
        <f t="shared" si="13"/>
        <v>10</v>
      </c>
      <c r="C17" s="1">
        <v>429.95</v>
      </c>
      <c r="D17" s="1">
        <v>1.76</v>
      </c>
      <c r="E17" s="326">
        <f t="shared" si="4"/>
        <v>14.222727919214908</v>
      </c>
      <c r="F17" s="327">
        <f t="shared" si="0"/>
        <v>3.3659211099070711E-2</v>
      </c>
      <c r="G17" s="309">
        <f t="shared" si="5"/>
        <v>1</v>
      </c>
      <c r="H17" s="1">
        <v>3600</v>
      </c>
      <c r="I17" s="324">
        <v>30</v>
      </c>
      <c r="J17" s="1">
        <v>8.7799999999999996E-3</v>
      </c>
      <c r="K17" s="1">
        <v>1E-4</v>
      </c>
      <c r="L17" s="328">
        <f t="shared" si="6"/>
        <v>1.1389521640091116</v>
      </c>
      <c r="M17" s="329">
        <f t="shared" si="1"/>
        <v>2.1527891860348221E-3</v>
      </c>
      <c r="N17" s="342">
        <f>(1/$J$27)*SQRT(((1-J18/$J$27)*K17)^2+(J18/$J$27)^2*(SUMSQ(K$8:K16)+SUMSQ(K18:K$26)))</f>
        <v>7.6969076103715345E-5</v>
      </c>
      <c r="O17" s="340">
        <f t="shared" si="14"/>
        <v>3.5753187819325261</v>
      </c>
      <c r="P17" s="332">
        <f t="shared" si="7"/>
        <v>2.2824959604553705E-2</v>
      </c>
      <c r="Q17" s="342">
        <f>SQRT(((1-P17)/$J$27)^2*SUMSQ(K$8:K17)+(P17/$J$27)^2*SUMSQ(K18:K$26))</f>
        <v>6.6477141224134196E-4</v>
      </c>
      <c r="R17" s="340">
        <f t="shared" si="15"/>
        <v>2.9124757447926277</v>
      </c>
      <c r="S17" s="343">
        <f t="shared" si="16"/>
        <v>2.3094585298030262E-9</v>
      </c>
      <c r="T17" s="344">
        <f t="shared" si="17"/>
        <v>1.9245487748358676E-11</v>
      </c>
      <c r="U17" s="344">
        <f>IF(P17&lt;=0.85, (1/(3*H17*$J$27))*SQRT( ((1-P17)*(1/SQRT(1-PI()*P17/3)-1) + (1-P16)*(1-1/SQRT(1-PI()*P16/3)))^2*SUMSQ(K$8:K16) + ( (1-P17)*(1/SQRT(1-PI()*P17/3)-1) -P16*(1-1/SQRT(1-PI()*P16/3)) )^2*K17^2 + ( P17*(1-1/SQRT(1-PI()*P17/3)) - P16*(1-1/SQRT(1-PI()*P16/3)) )^2*SUMSQ(K18:K$26) ), (1/(PI()^2*H17*$J$27))*SQRT((1+P16/(1-P16))^2*K17^2+(P16/(1-P16)-P17/(1-P17))^2*SUMSQ(K18:K$26)) )</f>
        <v>1.3796021177704073E-10</v>
      </c>
      <c r="V17" s="345">
        <f t="shared" si="18"/>
        <v>1.3929611922892235E-10</v>
      </c>
      <c r="W17" s="340">
        <f t="shared" si="19"/>
        <v>6.0315488427844999</v>
      </c>
      <c r="X17" s="345">
        <f t="shared" si="20"/>
        <v>2.7859223845784471E-10</v>
      </c>
      <c r="Y17" s="338">
        <f t="shared" si="8"/>
        <v>-19.886252742571983</v>
      </c>
      <c r="Z17" s="346">
        <f t="shared" si="21"/>
        <v>6.0315488427844996E-2</v>
      </c>
      <c r="AA17" s="346">
        <f t="shared" si="22"/>
        <v>0.30330243313624961</v>
      </c>
      <c r="AB17" s="346">
        <f t="shared" si="9"/>
        <v>0.12063097685568999</v>
      </c>
      <c r="AC17" s="336">
        <f t="shared" si="2"/>
        <v>2.9803469948766857E-13</v>
      </c>
      <c r="AD17" s="337">
        <f t="shared" si="3"/>
        <v>2.0815097412223708E-14</v>
      </c>
      <c r="AE17" s="308">
        <f t="shared" si="10"/>
        <v>6.9841187781172946</v>
      </c>
      <c r="AF17" s="337">
        <f t="shared" si="11"/>
        <v>4.1630194824447416E-14</v>
      </c>
      <c r="AG17" s="338">
        <f t="shared" si="23"/>
        <v>-28.841566473950248</v>
      </c>
      <c r="AH17" s="339">
        <f t="shared" si="24"/>
        <v>6.9841187781172945E-2</v>
      </c>
      <c r="AI17" s="340">
        <f t="shared" si="25"/>
        <v>0.24215462722613776</v>
      </c>
      <c r="AJ17" s="341">
        <f t="shared" si="12"/>
        <v>0.13968237556234589</v>
      </c>
      <c r="AM17" s="322"/>
    </row>
    <row r="18" spans="1:39" x14ac:dyDescent="0.2">
      <c r="A18" s="309">
        <v>11</v>
      </c>
      <c r="B18" s="309">
        <f t="shared" si="13"/>
        <v>11</v>
      </c>
      <c r="C18" s="1">
        <v>449.96</v>
      </c>
      <c r="D18" s="1">
        <v>2.96</v>
      </c>
      <c r="E18" s="326">
        <f t="shared" si="4"/>
        <v>13.82915462377785</v>
      </c>
      <c r="F18" s="327">
        <f t="shared" si="0"/>
        <v>5.3599670880202531E-2</v>
      </c>
      <c r="G18" s="309">
        <f t="shared" si="5"/>
        <v>1</v>
      </c>
      <c r="H18" s="1">
        <v>3600</v>
      </c>
      <c r="I18" s="324">
        <v>30</v>
      </c>
      <c r="J18" s="1">
        <v>1.027E-2</v>
      </c>
      <c r="K18" s="122">
        <v>6.9999999999999994E-5</v>
      </c>
      <c r="L18" s="328">
        <f t="shared" si="6"/>
        <v>0.6815968841285297</v>
      </c>
      <c r="M18" s="329">
        <f t="shared" si="1"/>
        <v>2.5181258474461987E-3</v>
      </c>
      <c r="N18" s="342">
        <f>(1/$J$27)*SQRT(((1-J19/$J$27)*K18)^2+(J19/$J$27)^2*(SUMSQ(K$8:K17)+SUMSQ(K19:K$26)))</f>
        <v>8.1894670044052102E-5</v>
      </c>
      <c r="O18" s="340">
        <f t="shared" si="14"/>
        <v>3.2522071971544637</v>
      </c>
      <c r="P18" s="332">
        <f t="shared" si="7"/>
        <v>2.5343085451999904E-2</v>
      </c>
      <c r="Q18" s="342">
        <f>SQRT(((1-P18)/$J$27)^2*SUMSQ(K$8:K18)+(P18/$J$27)^2*SUMSQ(K19:K$26))</f>
        <v>7.3760274321068675E-4</v>
      </c>
      <c r="R18" s="340">
        <f t="shared" si="15"/>
        <v>2.9104693846679202</v>
      </c>
      <c r="S18" s="343">
        <f t="shared" si="16"/>
        <v>2.9970954828683353E-9</v>
      </c>
      <c r="T18" s="344">
        <f t="shared" si="17"/>
        <v>2.4975795690569802E-11</v>
      </c>
      <c r="U18" s="344">
        <f>IF(P18&lt;=0.85, (1/(3*H18*$J$27))*SQRT( ((1-P18)*(1/SQRT(1-PI()*P18/3)-1) + (1-P17)*(1-1/SQRT(1-PI()*P17/3)))^2*SUMSQ(K$8:K17) + ( (1-P18)*(1/SQRT(1-PI()*P18/3)-1) -P17*(1-1/SQRT(1-PI()*P17/3)) )^2*K18^2 + ( P18*(1-1/SQRT(1-PI()*P18/3)) - P17*(1-1/SQRT(1-PI()*P17/3)) )^2*SUMSQ(K19:K$26) ), (1/(PI()^2*H18*$J$27))*SQRT((1+P17/(1-P17))^2*K18^2+(P17/(1-P17)-P18/(1-P18))^2*SUMSQ(K19:K$26)) )</f>
        <v>1.7689515973260203E-10</v>
      </c>
      <c r="V18" s="345">
        <f t="shared" si="18"/>
        <v>1.7864962330550791E-10</v>
      </c>
      <c r="W18" s="340">
        <f t="shared" si="19"/>
        <v>5.9607584852296194</v>
      </c>
      <c r="X18" s="345">
        <f t="shared" si="20"/>
        <v>3.5729924661101582E-10</v>
      </c>
      <c r="Y18" s="338">
        <f t="shared" si="8"/>
        <v>-19.625622189637127</v>
      </c>
      <c r="Z18" s="346">
        <f t="shared" si="21"/>
        <v>5.960758485229619E-2</v>
      </c>
      <c r="AA18" s="346">
        <f t="shared" si="22"/>
        <v>0.3037232872228155</v>
      </c>
      <c r="AB18" s="346">
        <f t="shared" si="9"/>
        <v>0.11921516970459238</v>
      </c>
      <c r="AC18" s="336">
        <f t="shared" si="2"/>
        <v>3.8677397322596552E-13</v>
      </c>
      <c r="AD18" s="337">
        <f t="shared" si="3"/>
        <v>2.6776654461375035E-14</v>
      </c>
      <c r="AE18" s="308">
        <f t="shared" si="10"/>
        <v>6.9230755725466748</v>
      </c>
      <c r="AF18" s="337">
        <f t="shared" si="11"/>
        <v>5.355330892275007E-14</v>
      </c>
      <c r="AG18" s="338">
        <f t="shared" si="23"/>
        <v>-28.580935921015389</v>
      </c>
      <c r="AH18" s="339">
        <f t="shared" si="24"/>
        <v>6.9230755725466747E-2</v>
      </c>
      <c r="AI18" s="340">
        <f t="shared" si="25"/>
        <v>0.24222704223818575</v>
      </c>
      <c r="AJ18" s="341">
        <f t="shared" si="12"/>
        <v>0.13846151145093349</v>
      </c>
    </row>
    <row r="19" spans="1:39" x14ac:dyDescent="0.2">
      <c r="A19" s="309">
        <v>12</v>
      </c>
      <c r="B19" s="309">
        <f t="shared" si="13"/>
        <v>12</v>
      </c>
      <c r="C19" s="1">
        <v>469.98</v>
      </c>
      <c r="D19" s="1">
        <v>5.59</v>
      </c>
      <c r="E19" s="326">
        <f t="shared" si="4"/>
        <v>13.456595750407063</v>
      </c>
      <c r="F19" s="327">
        <f t="shared" si="0"/>
        <v>9.5995063621286542E-2</v>
      </c>
      <c r="G19" s="309">
        <f t="shared" si="5"/>
        <v>1</v>
      </c>
      <c r="H19" s="1">
        <v>3600</v>
      </c>
      <c r="I19" s="324">
        <v>30</v>
      </c>
      <c r="J19" s="1">
        <v>1.1270000000000001E-2</v>
      </c>
      <c r="K19" s="122">
        <v>9.0000000000000006E-5</v>
      </c>
      <c r="L19" s="328">
        <f t="shared" si="6"/>
        <v>0.79858030168589189</v>
      </c>
      <c r="M19" s="329">
        <f t="shared" si="1"/>
        <v>2.7633182376551762E-3</v>
      </c>
      <c r="N19" s="342">
        <f>(1/$J$27)*SQRT(((1-J20/$J$27)*K19)^2+(J20/$J$27)^2*(SUMSQ(K$8:K18)+SUMSQ(K20:K$26)))</f>
        <v>7.8338375692990506E-5</v>
      </c>
      <c r="O19" s="340">
        <f t="shared" si="14"/>
        <v>2.8349386120458142</v>
      </c>
      <c r="P19" s="332">
        <f t="shared" si="7"/>
        <v>2.8106403689655082E-2</v>
      </c>
      <c r="Q19" s="342">
        <f>SQRT(((1-P19)/$J$27)^2*SUMSQ(K$8:K19)+(P19/$J$27)^2*SUMSQ(K20:K$26))</f>
        <v>8.1764862955852416E-4</v>
      </c>
      <c r="R19" s="340">
        <f t="shared" si="15"/>
        <v>2.9091186428076181</v>
      </c>
      <c r="S19" s="343">
        <f t="shared" si="16"/>
        <v>3.6573167308198961E-9</v>
      </c>
      <c r="T19" s="344">
        <f t="shared" si="17"/>
        <v>3.0477639423499318E-11</v>
      </c>
      <c r="U19" s="344">
        <f>IF(P19&lt;=0.85, (1/(3*H19*$J$27))*SQRT( ((1-P19)*(1/SQRT(1-PI()*P19/3)-1) + (1-P18)*(1-1/SQRT(1-PI()*P18/3)))^2*SUMSQ(K$8:K18) + ( (1-P19)*(1/SQRT(1-PI()*P19/3)-1) -P18*(1-1/SQRT(1-PI()*P18/3)) )^2*K19^2 + ( P19*(1-1/SQRT(1-PI()*P19/3)) - P18*(1-1/SQRT(1-PI()*P18/3)) )^2*SUMSQ(K20:K$26) ), (1/(PI()^2*H19*$J$27))*SQRT((1+P18/(1-P18))^2*K19^2+(P18/(1-P18)-P19/(1-P19))^2*SUMSQ(K20:K$26)) )</f>
        <v>2.166440752528066E-10</v>
      </c>
      <c r="V19" s="345">
        <f t="shared" si="18"/>
        <v>2.1877737965103378E-10</v>
      </c>
      <c r="W19" s="340">
        <f t="shared" si="19"/>
        <v>5.9819095734152707</v>
      </c>
      <c r="X19" s="345">
        <f t="shared" si="20"/>
        <v>4.3755475930206756E-10</v>
      </c>
      <c r="Y19" s="338">
        <f t="shared" si="8"/>
        <v>-19.426536092062804</v>
      </c>
      <c r="Z19" s="346">
        <f t="shared" si="21"/>
        <v>5.9819095734152707E-2</v>
      </c>
      <c r="AA19" s="346">
        <f t="shared" si="22"/>
        <v>0.30792466269163288</v>
      </c>
      <c r="AB19" s="346">
        <f t="shared" si="9"/>
        <v>0.11963819146830541</v>
      </c>
      <c r="AC19" s="336">
        <f t="shared" si="2"/>
        <v>4.7197526118561522E-13</v>
      </c>
      <c r="AD19" s="337">
        <f t="shared" si="3"/>
        <v>3.2761195046617385E-14</v>
      </c>
      <c r="AE19" s="308">
        <f t="shared" si="10"/>
        <v>6.9412949662489369</v>
      </c>
      <c r="AF19" s="337">
        <f t="shared" si="11"/>
        <v>6.552239009323477E-14</v>
      </c>
      <c r="AG19" s="338">
        <f t="shared" si="23"/>
        <v>-28.381849823441065</v>
      </c>
      <c r="AH19" s="339">
        <f t="shared" si="24"/>
        <v>6.941294966248937E-2</v>
      </c>
      <c r="AI19" s="340">
        <f t="shared" si="25"/>
        <v>0.24456809578761143</v>
      </c>
      <c r="AJ19" s="341">
        <f t="shared" si="12"/>
        <v>0.13882589932497874</v>
      </c>
    </row>
    <row r="20" spans="1:39" x14ac:dyDescent="0.2">
      <c r="A20" s="309">
        <v>13</v>
      </c>
      <c r="B20" s="309">
        <f t="shared" si="13"/>
        <v>13</v>
      </c>
      <c r="C20" s="1">
        <v>489.95</v>
      </c>
      <c r="D20" s="1">
        <v>5.61</v>
      </c>
      <c r="E20" s="326">
        <f t="shared" si="4"/>
        <v>13.104442405975627</v>
      </c>
      <c r="F20" s="327">
        <f t="shared" si="0"/>
        <v>9.3906092766299798E-2</v>
      </c>
      <c r="G20" s="309">
        <f t="shared" si="5"/>
        <v>1</v>
      </c>
      <c r="H20" s="1">
        <v>3600</v>
      </c>
      <c r="I20" s="324">
        <v>30</v>
      </c>
      <c r="J20" s="1">
        <v>1.05799999999999E-2</v>
      </c>
      <c r="K20" s="1">
        <v>1E-4</v>
      </c>
      <c r="L20" s="328">
        <f t="shared" si="6"/>
        <v>0.94517958412099201</v>
      </c>
      <c r="M20" s="329">
        <f t="shared" si="1"/>
        <v>2.5941354884109571E-3</v>
      </c>
      <c r="N20" s="342">
        <f>(1/$J$27)*SQRT(((1-J21/$J$27)*K20)^2+(J21/$J$27)^2*(SUMSQ(K$8:K19)+SUMSQ(K21:K$26)))</f>
        <v>6.4446217922595076E-5</v>
      </c>
      <c r="O20" s="340">
        <f t="shared" si="14"/>
        <v>2.4843042397169368</v>
      </c>
      <c r="P20" s="332">
        <f t="shared" si="7"/>
        <v>3.070053917806604E-2</v>
      </c>
      <c r="Q20" s="342">
        <f>SQRT(((1-P20)/$J$27)^2*SUMSQ(K$8:K20)+(P20/$J$27)^2*SUMSQ(K21:K$26))</f>
        <v>8.9287327689435117E-4</v>
      </c>
      <c r="R20" s="340">
        <f t="shared" si="15"/>
        <v>2.9083309309833338</v>
      </c>
      <c r="S20" s="343">
        <f t="shared" si="16"/>
        <v>3.7857046514910552E-9</v>
      </c>
      <c r="T20" s="344">
        <f t="shared" si="17"/>
        <v>3.1547538762425422E-11</v>
      </c>
      <c r="U20" s="344">
        <f>IF(P20&lt;=0.85, (1/(3*H20*$J$27))*SQRT( ((1-P20)*(1/SQRT(1-PI()*P20/3)-1) + (1-P19)*(1-1/SQRT(1-PI()*P19/3)))^2*SUMSQ(K$8:K19) + ( (1-P20)*(1/SQRT(1-PI()*P20/3)-1) -P19*(1-1/SQRT(1-PI()*P19/3)) )^2*K20^2 + ( P20*(1-1/SQRT(1-PI()*P20/3)) - P19*(1-1/SQRT(1-PI()*P19/3)) )^2*SUMSQ(K21:K$26) ), (1/(PI()^2*H20*$J$27))*SQRT((1+P19/(1-P19))^2*K20^2+(P19/(1-P19)-P20/(1-P20))^2*SUMSQ(K21:K$26)) )</f>
        <v>2.2532017795106285E-10</v>
      </c>
      <c r="V20" s="345">
        <f t="shared" si="18"/>
        <v>2.2751797685867673E-10</v>
      </c>
      <c r="W20" s="340">
        <f t="shared" si="19"/>
        <v>6.0099241172727362</v>
      </c>
      <c r="X20" s="345">
        <f t="shared" si="20"/>
        <v>4.5503595371735346E-10</v>
      </c>
      <c r="Y20" s="338">
        <f t="shared" si="8"/>
        <v>-19.392033797901941</v>
      </c>
      <c r="Z20" s="346">
        <f t="shared" si="21"/>
        <v>6.0099241172727365E-2</v>
      </c>
      <c r="AA20" s="346">
        <f t="shared" si="22"/>
        <v>0.30991716391928736</v>
      </c>
      <c r="AB20" s="346">
        <f t="shared" si="9"/>
        <v>0.12019848234545473</v>
      </c>
      <c r="AC20" s="336">
        <f t="shared" si="2"/>
        <v>4.8854367099306003E-13</v>
      </c>
      <c r="AD20" s="337">
        <f t="shared" si="3"/>
        <v>3.40292749003159E-14</v>
      </c>
      <c r="AE20" s="308">
        <f t="shared" si="10"/>
        <v>6.9654519996430988</v>
      </c>
      <c r="AF20" s="337">
        <f t="shared" si="11"/>
        <v>6.80585498006318E-14</v>
      </c>
      <c r="AG20" s="338">
        <f t="shared" si="23"/>
        <v>-28.347347529280206</v>
      </c>
      <c r="AH20" s="339">
        <f t="shared" si="24"/>
        <v>6.9654519996430991E-2</v>
      </c>
      <c r="AI20" s="340">
        <f t="shared" si="25"/>
        <v>0.24571794565429544</v>
      </c>
      <c r="AJ20" s="341">
        <f t="shared" si="12"/>
        <v>0.13930903999286198</v>
      </c>
    </row>
    <row r="21" spans="1:39" x14ac:dyDescent="0.2">
      <c r="A21" s="309">
        <v>14</v>
      </c>
      <c r="B21" s="309">
        <f t="shared" si="13"/>
        <v>14</v>
      </c>
      <c r="C21" s="1">
        <v>499.77</v>
      </c>
      <c r="D21" s="1">
        <v>8.73</v>
      </c>
      <c r="E21" s="326">
        <f t="shared" si="4"/>
        <v>12.937949593748383</v>
      </c>
      <c r="F21" s="327">
        <f t="shared" si="0"/>
        <v>0.15256057149417962</v>
      </c>
      <c r="G21" s="309">
        <f t="shared" si="5"/>
        <v>1</v>
      </c>
      <c r="H21" s="1">
        <v>3600</v>
      </c>
      <c r="I21" s="324">
        <v>30</v>
      </c>
      <c r="J21" s="1">
        <v>8.3899999999999999E-3</v>
      </c>
      <c r="K21" s="122">
        <v>9.0000000000000006E-5</v>
      </c>
      <c r="L21" s="328">
        <f t="shared" si="6"/>
        <v>1.0727056019070322</v>
      </c>
      <c r="M21" s="329">
        <f t="shared" si="1"/>
        <v>2.0571641538533209E-3</v>
      </c>
      <c r="N21" s="342">
        <f>(1/$J$27)*SQRT(((1-J22/$J$27)*K21)^2+(J22/$J$27)^2*(SUMSQ(K$8:K20)+SUMSQ(K22:K$26)))</f>
        <v>3.4041770032744614E-5</v>
      </c>
      <c r="O21" s="340">
        <f t="shared" si="14"/>
        <v>1.654791134143583</v>
      </c>
      <c r="P21" s="332">
        <f t="shared" si="7"/>
        <v>3.2757703331919359E-2</v>
      </c>
      <c r="Q21" s="342">
        <f>SQRT(((1-P21)/$J$27)^2*SUMSQ(K$8:K21)+(P21/$J$27)^2*SUMSQ(K22:K$26))</f>
        <v>9.5252484058502048E-4</v>
      </c>
      <c r="R21" s="340">
        <f t="shared" si="15"/>
        <v>2.9077888365173421</v>
      </c>
      <c r="S21" s="343">
        <f t="shared" si="16"/>
        <v>3.2456141272580211E-9</v>
      </c>
      <c r="T21" s="344">
        <f t="shared" si="17"/>
        <v>2.7046784393816636E-11</v>
      </c>
      <c r="U21" s="344">
        <f>IF(P21&lt;=0.85, (1/(3*H21*$J$27))*SQRT( ((1-P21)*(1/SQRT(1-PI()*P21/3)-1) + (1-P20)*(1-1/SQRT(1-PI()*P20/3)))^2*SUMSQ(K$8:K20) + ( (1-P21)*(1/SQRT(1-PI()*P21/3)-1) -P20*(1-1/SQRT(1-PI()*P20/3)) )^2*K21^2 + ( P21*(1-1/SQRT(1-PI()*P21/3)) - P20*(1-1/SQRT(1-PI()*P20/3)) )^2*SUMSQ(K22:K$26) ), (1/(PI()^2*H21*$J$27))*SQRT((1+P20/(1-P20))^2*K21^2+(P20/(1-P20)-P21/(1-P21))^2*SUMSQ(K22:K$26)) )</f>
        <v>1.9403260133041049E-10</v>
      </c>
      <c r="V21" s="345">
        <f t="shared" si="18"/>
        <v>1.9590859839499547E-10</v>
      </c>
      <c r="W21" s="340">
        <f t="shared" si="19"/>
        <v>6.0361025899435594</v>
      </c>
      <c r="X21" s="345">
        <f t="shared" si="20"/>
        <v>3.9181719678999094E-10</v>
      </c>
      <c r="Y21" s="338">
        <f t="shared" si="8"/>
        <v>-19.54596125130422</v>
      </c>
      <c r="Z21" s="346">
        <f t="shared" si="21"/>
        <v>6.0361025899435594E-2</v>
      </c>
      <c r="AA21" s="346">
        <f t="shared" si="22"/>
        <v>0.30881584754706276</v>
      </c>
      <c r="AB21" s="346">
        <f t="shared" si="9"/>
        <v>0.12072205179887119</v>
      </c>
      <c r="AC21" s="336">
        <f t="shared" si="2"/>
        <v>4.1884520487699669E-13</v>
      </c>
      <c r="AD21" s="337">
        <f t="shared" si="3"/>
        <v>2.9269119932802706E-14</v>
      </c>
      <c r="AE21" s="308">
        <f t="shared" si="10"/>
        <v>6.9880518129360567</v>
      </c>
      <c r="AF21" s="337">
        <f t="shared" si="11"/>
        <v>5.8538239865605413E-14</v>
      </c>
      <c r="AG21" s="338">
        <f t="shared" si="23"/>
        <v>-28.501274982682482</v>
      </c>
      <c r="AH21" s="339">
        <f t="shared" si="24"/>
        <v>6.9880518129360567E-2</v>
      </c>
      <c r="AI21" s="340">
        <f t="shared" si="25"/>
        <v>0.24518383185250597</v>
      </c>
      <c r="AJ21" s="341">
        <f t="shared" si="12"/>
        <v>0.13976103625872113</v>
      </c>
    </row>
    <row r="22" spans="1:39" x14ac:dyDescent="0.2">
      <c r="A22" s="309">
        <v>15</v>
      </c>
      <c r="B22" s="309">
        <f t="shared" si="13"/>
        <v>15</v>
      </c>
      <c r="C22" s="1">
        <v>483.31</v>
      </c>
      <c r="D22" s="1">
        <v>15.33</v>
      </c>
      <c r="E22" s="326">
        <f t="shared" si="4"/>
        <v>13.219469634878248</v>
      </c>
      <c r="F22" s="327">
        <f t="shared" si="0"/>
        <v>0.28525903749085735</v>
      </c>
      <c r="G22" s="309">
        <f t="shared" si="5"/>
        <v>1</v>
      </c>
      <c r="H22" s="1">
        <v>3600</v>
      </c>
      <c r="I22" s="324">
        <v>30</v>
      </c>
      <c r="J22" s="1">
        <v>3.65E-3</v>
      </c>
      <c r="K22" s="122">
        <v>2.9999999999999899E-5</v>
      </c>
      <c r="L22" s="328">
        <f t="shared" si="6"/>
        <v>0.82191780821917526</v>
      </c>
      <c r="M22" s="329">
        <f t="shared" si="1"/>
        <v>8.9495222426276783E-4</v>
      </c>
      <c r="N22" s="342">
        <f>(1/$J$27)*SQRT(((1-J23/$J$27)*K22)^2+(J23/$J$27)^2*(SUMSQ(K$8:K21)+SUMSQ(K23:K$26)))</f>
        <v>8.9998834068454136E-6</v>
      </c>
      <c r="O22" s="340">
        <f t="shared" si="14"/>
        <v>1.0056272461090559</v>
      </c>
      <c r="P22" s="332">
        <f t="shared" si="7"/>
        <v>3.3652655556182125E-2</v>
      </c>
      <c r="Q22" s="342">
        <f>SQRT(((1-P22)/$J$27)^2*SUMSQ(K$8:K22)+(P22/$J$27)^2*SUMSQ(K23:K$26))</f>
        <v>9.7839875092518391E-4</v>
      </c>
      <c r="R22" s="340">
        <f t="shared" si="15"/>
        <v>2.9073448580953021</v>
      </c>
      <c r="S22" s="343">
        <f t="shared" si="16"/>
        <v>1.479421670463659E-9</v>
      </c>
      <c r="T22" s="344">
        <f t="shared" si="17"/>
        <v>1.2328513920530648E-11</v>
      </c>
      <c r="U22" s="344">
        <f>IF(P22&lt;=0.85, (1/(3*H22*$J$27))*SQRT( ((1-P22)*(1/SQRT(1-PI()*P22/3)-1) + (1-P21)*(1-1/SQRT(1-PI()*P21/3)))^2*SUMSQ(K$8:K21) + ( (1-P22)*(1/SQRT(1-PI()*P22/3)-1) -P21*(1-1/SQRT(1-PI()*P21/3)) )^2*K22^2 + ( P22*(1-1/SQRT(1-PI()*P22/3)) - P21*(1-1/SQRT(1-PI()*P21/3)) )^2*SUMSQ(K23:K$26) ), (1/(PI()^2*H22*$J$27))*SQRT((1+P21/(1-P21))^2*K22^2+(P21/(1-P21)-P22/(1-P22))^2*SUMSQ(K23:K$26)) )</f>
        <v>8.7841120379011615E-11</v>
      </c>
      <c r="V22" s="345">
        <f t="shared" si="18"/>
        <v>8.8702055697310237E-11</v>
      </c>
      <c r="W22" s="340">
        <f t="shared" si="19"/>
        <v>5.9957250504185549</v>
      </c>
      <c r="X22" s="345">
        <f t="shared" si="20"/>
        <v>1.7740411139462047E-10</v>
      </c>
      <c r="Y22" s="338">
        <f t="shared" si="8"/>
        <v>-20.331614588738454</v>
      </c>
      <c r="Z22" s="346">
        <f t="shared" si="21"/>
        <v>5.9957250504185544E-2</v>
      </c>
      <c r="AA22" s="346">
        <f t="shared" si="22"/>
        <v>0.29489665093983963</v>
      </c>
      <c r="AB22" s="346">
        <f t="shared" si="9"/>
        <v>0.11991450100837109</v>
      </c>
      <c r="AC22" s="336">
        <f t="shared" si="2"/>
        <v>1.9091877480466699E-13</v>
      </c>
      <c r="AD22" s="337">
        <f t="shared" si="3"/>
        <v>1.327497280335699E-14</v>
      </c>
      <c r="AE22" s="308">
        <f t="shared" si="10"/>
        <v>6.9532044802502497</v>
      </c>
      <c r="AF22" s="337">
        <f t="shared" si="11"/>
        <v>2.6549945606713981E-14</v>
      </c>
      <c r="AG22" s="338">
        <f t="shared" si="23"/>
        <v>-29.286928320116715</v>
      </c>
      <c r="AH22" s="339">
        <f t="shared" si="24"/>
        <v>6.9532044802502496E-2</v>
      </c>
      <c r="AI22" s="340">
        <f t="shared" si="25"/>
        <v>0.23741665237983345</v>
      </c>
      <c r="AJ22" s="341">
        <f t="shared" si="12"/>
        <v>0.13906408960500499</v>
      </c>
    </row>
    <row r="23" spans="1:39" x14ac:dyDescent="0.2">
      <c r="A23" s="309">
        <v>16</v>
      </c>
      <c r="B23" s="309">
        <f t="shared" si="13"/>
        <v>16</v>
      </c>
      <c r="C23" s="1">
        <v>459.93</v>
      </c>
      <c r="D23" s="1">
        <v>4.7699999999999996</v>
      </c>
      <c r="E23" s="326">
        <f t="shared" si="4"/>
        <v>13.641076008075519</v>
      </c>
      <c r="F23" s="327">
        <f t="shared" si="0"/>
        <v>9.3803168033862599E-2</v>
      </c>
      <c r="G23" s="309">
        <f t="shared" si="5"/>
        <v>1</v>
      </c>
      <c r="H23" s="1">
        <v>3600</v>
      </c>
      <c r="I23" s="324">
        <v>30</v>
      </c>
      <c r="J23" s="1">
        <v>7.2999999999999996E-4</v>
      </c>
      <c r="K23" s="122">
        <v>2.0000000000000002E-5</v>
      </c>
      <c r="L23" s="328">
        <f t="shared" si="6"/>
        <v>2.7397260273972606</v>
      </c>
      <c r="M23" s="329">
        <f t="shared" si="1"/>
        <v>1.7899044485255355E-4</v>
      </c>
      <c r="N23" s="342">
        <f>(1/$J$27)*SQRT(((1-J24/$J$27)*K23)^2+(J24/$J$27)^2*(SUMSQ(K$8:K22)+SUMSQ(K24:K$26)))</f>
        <v>5.3189385931498678E-6</v>
      </c>
      <c r="O23" s="340">
        <f t="shared" si="14"/>
        <v>2.9716327022548241</v>
      </c>
      <c r="P23" s="332">
        <f t="shared" si="7"/>
        <v>3.3831646001034679E-2</v>
      </c>
      <c r="Q23" s="342">
        <f>SQRT(((1-P23)/$J$27)^2*SUMSQ(K$8:K23)+(P23/$J$27)^2*SUMSQ(K24:K$26))</f>
        <v>9.8358019094591117E-4</v>
      </c>
      <c r="R23" s="340">
        <f t="shared" si="15"/>
        <v>2.9072785607765885</v>
      </c>
      <c r="S23" s="343">
        <f t="shared" si="16"/>
        <v>3.0079973408919783E-10</v>
      </c>
      <c r="T23" s="344">
        <f t="shared" si="17"/>
        <v>2.5066644507433218E-12</v>
      </c>
      <c r="U23" s="344">
        <f>IF(P23&lt;=0.85, (1/(3*H23*$J$27))*SQRT( ((1-P23)*(1/SQRT(1-PI()*P23/3)-1) + (1-P22)*(1-1/SQRT(1-PI()*P22/3)))^2*SUMSQ(K$8:K22) + ( (1-P23)*(1/SQRT(1-PI()*P23/3)-1) -P22*(1-1/SQRT(1-PI()*P22/3)) )^2*K23^2 + ( P23*(1-1/SQRT(1-PI()*P23/3)) - P22*(1-1/SQRT(1-PI()*P22/3)) )^2*SUMSQ(K24:K$26) ), (1/(PI()^2*H23*$J$27))*SQRT((1+P22/(1-P22))^2*K23^2+(P22/(1-P22)-P23/(1-P23))^2*SUMSQ(K24:K$26)) )</f>
        <v>1.9521400098580175E-11</v>
      </c>
      <c r="V23" s="345">
        <f t="shared" si="18"/>
        <v>1.9681677481288692E-11</v>
      </c>
      <c r="W23" s="340">
        <f t="shared" si="19"/>
        <v>6.5431166489835979</v>
      </c>
      <c r="X23" s="345">
        <f t="shared" si="20"/>
        <v>3.9363354962577385E-11</v>
      </c>
      <c r="Y23" s="338">
        <f t="shared" si="8"/>
        <v>-21.924576407865228</v>
      </c>
      <c r="Z23" s="346">
        <f t="shared" si="21"/>
        <v>6.5431166489835976E-2</v>
      </c>
      <c r="AA23" s="346">
        <f t="shared" si="22"/>
        <v>0.29843754001269179</v>
      </c>
      <c r="AB23" s="346">
        <f t="shared" si="9"/>
        <v>0.13086233297967195</v>
      </c>
      <c r="AC23" s="336">
        <f t="shared" si="2"/>
        <v>3.8818085364317338E-14</v>
      </c>
      <c r="AD23" s="337">
        <f t="shared" si="3"/>
        <v>2.8843354881943809E-15</v>
      </c>
      <c r="AE23" s="308">
        <f t="shared" si="10"/>
        <v>7.4303909147609373</v>
      </c>
      <c r="AF23" s="337">
        <f t="shared" si="11"/>
        <v>5.7686709763887618E-15</v>
      </c>
      <c r="AG23" s="338">
        <f t="shared" si="23"/>
        <v>-30.879890139243493</v>
      </c>
      <c r="AH23" s="339">
        <f t="shared" si="24"/>
        <v>7.4303909147609384E-2</v>
      </c>
      <c r="AI23" s="340">
        <f t="shared" si="25"/>
        <v>0.24062232350101784</v>
      </c>
      <c r="AJ23" s="341">
        <f t="shared" si="12"/>
        <v>0.14860781829521877</v>
      </c>
    </row>
    <row r="24" spans="1:39" x14ac:dyDescent="0.2">
      <c r="A24" s="309">
        <v>17</v>
      </c>
      <c r="B24" s="309">
        <f t="shared" si="13"/>
        <v>17</v>
      </c>
      <c r="C24" s="1">
        <v>439.95</v>
      </c>
      <c r="D24" s="1">
        <v>2.37</v>
      </c>
      <c r="E24" s="326">
        <f t="shared" si="4"/>
        <v>14.023278642546629</v>
      </c>
      <c r="F24" s="327">
        <f t="shared" si="0"/>
        <v>4.9343703591518073E-2</v>
      </c>
      <c r="G24" s="309">
        <f t="shared" si="5"/>
        <v>1</v>
      </c>
      <c r="H24" s="1">
        <v>3600</v>
      </c>
      <c r="I24" s="324">
        <v>30</v>
      </c>
      <c r="J24" s="1">
        <v>2.9E-4</v>
      </c>
      <c r="K24" s="122">
        <v>1.0000000000000001E-5</v>
      </c>
      <c r="L24" s="328">
        <f t="shared" si="6"/>
        <v>3.4482758620689653</v>
      </c>
      <c r="M24" s="329">
        <f t="shared" si="1"/>
        <v>7.1105793160603471E-5</v>
      </c>
      <c r="N24" s="342">
        <f>(1/$J$27)*SQRT(((1-J25/$J$27)*K24)^2+(J25/$J$27)^2*(SUMSQ(K$8:K23)+SUMSQ(K25:K$26)))</f>
        <v>2.7026254524332237E-6</v>
      </c>
      <c r="O24" s="340">
        <f t="shared" si="14"/>
        <v>3.8008512841266313</v>
      </c>
      <c r="P24" s="332">
        <f t="shared" si="7"/>
        <v>3.3902751794195281E-2</v>
      </c>
      <c r="Q24" s="342">
        <f>SQRT(((1-P24)/$J$27)^2*SUMSQ(K$8:K24)+(P24/$J$27)^2*SUMSQ(K25:K$26))</f>
        <v>9.856369117937473E-4</v>
      </c>
      <c r="R24" s="340">
        <f t="shared" si="15"/>
        <v>2.9072475230830817</v>
      </c>
      <c r="S24" s="343">
        <f t="shared" si="16"/>
        <v>1.1995080415160417E-10</v>
      </c>
      <c r="T24" s="344">
        <f t="shared" si="17"/>
        <v>9.9959003459669945E-13</v>
      </c>
      <c r="U24" s="344">
        <f>IF(P24&lt;=0.85, (1/(3*H24*$J$27))*SQRT( ((1-P24)*(1/SQRT(1-PI()*P24/3)-1) + (1-P23)*(1-1/SQRT(1-PI()*P23/3)))^2*SUMSQ(K$8:K23) + ( (1-P24)*(1/SQRT(1-PI()*P24/3)-1) -P23*(1-1/SQRT(1-PI()*P23/3)) )^2*K24^2 + ( P24*(1-1/SQRT(1-PI()*P24/3)) - P23*(1-1/SQRT(1-PI()*P23/3)) )^2*SUMSQ(K25:K$26) ), (1/(PI()^2*H24*$J$27))*SQRT((1+P23/(1-P23))^2*K24^2+(P23/(1-P23)-P24/(1-P24))^2*SUMSQ(K25:K$26)) )</f>
        <v>8.1788974269196281E-12</v>
      </c>
      <c r="V24" s="345">
        <f t="shared" si="18"/>
        <v>8.2397538408217951E-12</v>
      </c>
      <c r="W24" s="340">
        <f t="shared" si="19"/>
        <v>6.8692777002209038</v>
      </c>
      <c r="X24" s="345">
        <f t="shared" si="20"/>
        <v>1.647950768164359E-11</v>
      </c>
      <c r="Y24" s="338">
        <f t="shared" si="8"/>
        <v>-22.843939422608592</v>
      </c>
      <c r="Z24" s="346">
        <f t="shared" si="21"/>
        <v>6.8692777002209035E-2</v>
      </c>
      <c r="AA24" s="346">
        <f t="shared" si="22"/>
        <v>0.30070460147615324</v>
      </c>
      <c r="AB24" s="346">
        <f t="shared" si="9"/>
        <v>0.13738555400441807</v>
      </c>
      <c r="AC24" s="336">
        <f t="shared" si="2"/>
        <v>1.5479603295442857E-14</v>
      </c>
      <c r="AD24" s="337">
        <f t="shared" si="3"/>
        <v>1.1948941293068013E-15</v>
      </c>
      <c r="AE24" s="308">
        <f t="shared" si="10"/>
        <v>7.7191521416997428</v>
      </c>
      <c r="AF24" s="337">
        <f t="shared" si="11"/>
        <v>2.3897882586136026E-15</v>
      </c>
      <c r="AG24" s="338">
        <f t="shared" si="23"/>
        <v>-31.799253153986854</v>
      </c>
      <c r="AH24" s="339">
        <f t="shared" si="24"/>
        <v>7.7191521416997436E-2</v>
      </c>
      <c r="AI24" s="340">
        <f t="shared" si="25"/>
        <v>0.24274633446012078</v>
      </c>
      <c r="AJ24" s="341">
        <f t="shared" si="12"/>
        <v>0.15438304283399487</v>
      </c>
    </row>
    <row r="25" spans="1:39" x14ac:dyDescent="0.2">
      <c r="A25" s="309">
        <v>18</v>
      </c>
      <c r="B25" s="309">
        <f t="shared" si="13"/>
        <v>18</v>
      </c>
      <c r="C25" s="1">
        <v>419.89</v>
      </c>
      <c r="D25" s="1">
        <v>7.79</v>
      </c>
      <c r="E25" s="326">
        <f t="shared" si="4"/>
        <v>14.429181576820964</v>
      </c>
      <c r="F25" s="327">
        <f t="shared" si="0"/>
        <v>1.0440830563380317</v>
      </c>
      <c r="G25" s="309">
        <f t="shared" si="5"/>
        <v>1</v>
      </c>
      <c r="H25" s="1">
        <v>3600</v>
      </c>
      <c r="I25" s="324">
        <v>30</v>
      </c>
      <c r="J25" s="1">
        <v>1.6000000000000001E-4</v>
      </c>
      <c r="K25" s="1">
        <v>0</v>
      </c>
      <c r="L25" s="328">
        <f t="shared" si="6"/>
        <v>0</v>
      </c>
      <c r="M25" s="329">
        <f t="shared" si="1"/>
        <v>3.9230782433436396E-5</v>
      </c>
      <c r="N25" s="342">
        <f>(1/$J$27)*SQRT(((1-J26/$J$27)*K25)^2+(J26/$J$27)^2*(SUMSQ(K$8:K24)+SUMSQ(K26:K$26)))</f>
        <v>2.7998150905186443E-2</v>
      </c>
      <c r="O25" s="340">
        <f t="shared" si="14"/>
        <v>71367.811622649708</v>
      </c>
      <c r="P25" s="332">
        <f t="shared" si="7"/>
        <v>3.3941982576628719E-2</v>
      </c>
      <c r="Q25" s="342">
        <f>SQRT(((1-P25)/$J$27)^2*SUMSQ(K$8:K25)+(P25/$J$27)^2*SUMSQ(K26:K$26))</f>
        <v>9.8677009460026695E-4</v>
      </c>
      <c r="R25" s="340">
        <f t="shared" si="15"/>
        <v>2.9072258592216791</v>
      </c>
      <c r="S25" s="343">
        <f t="shared" si="16"/>
        <v>6.6290526630074075E-11</v>
      </c>
      <c r="T25" s="344">
        <f t="shared" si="17"/>
        <v>5.5242105525062212E-13</v>
      </c>
      <c r="U25" s="344">
        <f>IF(P25&lt;=0.85, (1/(3*H25*$J$27))*SQRT( ((1-P25)*(1/SQRT(1-PI()*P25/3)-1) + (1-P24)*(1-1/SQRT(1-PI()*P24/3)))^2*SUMSQ(K$8:K24) + ( (1-P25)*(1/SQRT(1-PI()*P25/3)-1) -P24*(1-1/SQRT(1-PI()*P24/3)) )^2*K25^2 + ( P25*(1-1/SQRT(1-PI()*P25/3)) - P24*(1-1/SQRT(1-PI()*P24/3)) )^2*SUMSQ(K26:K$26) ), (1/(PI()^2*H25*$J$27))*SQRT((1+P24/(1-P24))^2*K25^2+(P24/(1-P24)-P25/(1-P25))^2*SUMSQ(K26:K$26)) )</f>
        <v>3.8982628876459094E-12</v>
      </c>
      <c r="V25" s="345">
        <f t="shared" si="18"/>
        <v>3.9372099973816017E-12</v>
      </c>
      <c r="W25" s="340">
        <f t="shared" si="19"/>
        <v>5.9393252664180896</v>
      </c>
      <c r="X25" s="345">
        <f t="shared" si="20"/>
        <v>7.8744199947632034E-12</v>
      </c>
      <c r="Y25" s="338">
        <f t="shared" si="8"/>
        <v>-23.436974115370191</v>
      </c>
      <c r="Z25" s="346">
        <f t="shared" si="21"/>
        <v>5.9393252664180898E-2</v>
      </c>
      <c r="AA25" s="346">
        <f t="shared" si="22"/>
        <v>0.25341689747069457</v>
      </c>
      <c r="AB25" s="346">
        <f t="shared" si="9"/>
        <v>0.1187865053283618</v>
      </c>
      <c r="AC25" s="336">
        <f t="shared" si="2"/>
        <v>8.5547659454004068E-15</v>
      </c>
      <c r="AD25" s="337">
        <f t="shared" si="3"/>
        <v>5.9067495353519819E-16</v>
      </c>
      <c r="AE25" s="308">
        <f t="shared" si="10"/>
        <v>6.9046302061926443</v>
      </c>
      <c r="AF25" s="337">
        <f t="shared" si="11"/>
        <v>1.1813499070703964E-15</v>
      </c>
      <c r="AG25" s="338">
        <f t="shared" si="23"/>
        <v>-32.392287846748452</v>
      </c>
      <c r="AH25" s="339">
        <f t="shared" si="24"/>
        <v>6.904630206192644E-2</v>
      </c>
      <c r="AI25" s="340">
        <f t="shared" si="25"/>
        <v>0.2131566081055844</v>
      </c>
      <c r="AJ25" s="341">
        <f t="shared" si="12"/>
        <v>0.13809260412385288</v>
      </c>
    </row>
    <row r="26" spans="1:39" x14ac:dyDescent="0.2">
      <c r="J26" s="338">
        <v>3.94</v>
      </c>
      <c r="K26" s="346">
        <f>IF(J26&lt;0.06,J26*0.1,IF(J26&lt;0.2,J26*0.06,J26*0.03))</f>
        <v>0.1182</v>
      </c>
      <c r="L26" s="328">
        <f t="shared" si="6"/>
        <v>3</v>
      </c>
      <c r="M26" s="329">
        <f t="shared" si="1"/>
        <v>0.96605801742337127</v>
      </c>
      <c r="N26" s="342"/>
      <c r="O26" s="340"/>
      <c r="P26" s="332"/>
      <c r="Q26" s="342"/>
      <c r="R26" s="340"/>
      <c r="S26" s="343"/>
      <c r="T26" s="344"/>
      <c r="U26" s="344"/>
      <c r="V26" s="345"/>
      <c r="W26" s="340"/>
      <c r="X26" s="345"/>
      <c r="Y26" s="338"/>
      <c r="Z26" s="346"/>
      <c r="AA26" s="346"/>
      <c r="AB26" s="346"/>
      <c r="AC26" s="336"/>
      <c r="AD26" s="337"/>
      <c r="AE26" s="308"/>
      <c r="AF26" s="337"/>
      <c r="AG26" s="338"/>
      <c r="AH26" s="339"/>
      <c r="AI26" s="340"/>
      <c r="AJ26" s="341"/>
    </row>
    <row r="27" spans="1:39" x14ac:dyDescent="0.2">
      <c r="J27" s="120">
        <f>SUM(J8:J26)</f>
        <v>4.07843</v>
      </c>
      <c r="K27" s="346">
        <f>SQRT(SUMSQ(K8:K26))</f>
        <v>0.11820045642889879</v>
      </c>
      <c r="L27" s="328">
        <f t="shared" si="6"/>
        <v>2.8981852435593791</v>
      </c>
      <c r="M27" s="329"/>
      <c r="N27" s="342"/>
      <c r="O27" s="340"/>
      <c r="P27" s="332"/>
      <c r="Q27" s="342"/>
      <c r="R27" s="340"/>
      <c r="S27" s="343"/>
      <c r="T27" s="344"/>
      <c r="U27" s="344"/>
      <c r="V27" s="345"/>
      <c r="W27" s="340"/>
      <c r="X27" s="345"/>
      <c r="Y27" s="338"/>
      <c r="Z27" s="346"/>
      <c r="AA27" s="346"/>
      <c r="AB27" s="346"/>
      <c r="AC27" s="336"/>
      <c r="AD27" s="337"/>
      <c r="AE27" s="308"/>
      <c r="AF27" s="337"/>
      <c r="AG27" s="338"/>
      <c r="AH27" s="339"/>
      <c r="AI27" s="340"/>
      <c r="AJ27" s="341"/>
    </row>
    <row r="28" spans="1:39" x14ac:dyDescent="0.2">
      <c r="K28" s="120"/>
      <c r="L28" s="328"/>
      <c r="M28" s="329"/>
      <c r="N28" s="342"/>
      <c r="O28" s="340"/>
      <c r="P28" s="332"/>
      <c r="Q28" s="342"/>
      <c r="R28" s="340"/>
      <c r="S28" s="343"/>
      <c r="T28" s="344"/>
      <c r="U28" s="344"/>
      <c r="V28" s="345"/>
      <c r="W28" s="340"/>
      <c r="X28" s="345"/>
      <c r="Y28" s="338"/>
      <c r="Z28" s="346"/>
      <c r="AA28" s="346"/>
      <c r="AB28" s="346"/>
      <c r="AC28" s="336"/>
      <c r="AD28" s="337"/>
      <c r="AE28" s="308"/>
      <c r="AF28" s="337"/>
      <c r="AG28" s="338"/>
      <c r="AH28" s="339"/>
      <c r="AI28" s="340"/>
      <c r="AJ28" s="341"/>
    </row>
    <row r="29" spans="1:39" x14ac:dyDescent="0.2">
      <c r="L29" s="328"/>
      <c r="M29" s="329"/>
      <c r="N29" s="342"/>
      <c r="O29" s="340"/>
      <c r="P29" s="332"/>
      <c r="Q29" s="342"/>
      <c r="R29" s="340"/>
      <c r="S29" s="343"/>
      <c r="T29" s="344"/>
      <c r="U29" s="344"/>
      <c r="V29" s="345"/>
      <c r="W29" s="340"/>
      <c r="X29" s="345"/>
      <c r="Y29" s="338"/>
      <c r="Z29" s="346"/>
      <c r="AA29" s="346"/>
      <c r="AB29" s="346"/>
      <c r="AC29" s="336"/>
      <c r="AD29" s="337"/>
      <c r="AE29" s="308"/>
      <c r="AF29" s="337"/>
      <c r="AG29" s="338"/>
      <c r="AH29" s="339"/>
      <c r="AI29" s="340"/>
      <c r="AJ29" s="341"/>
    </row>
    <row r="30" spans="1:39" x14ac:dyDescent="0.2">
      <c r="J30" s="120"/>
      <c r="K30" s="120"/>
      <c r="L30" s="328"/>
      <c r="M30" s="329"/>
      <c r="N30" s="342"/>
      <c r="O30" s="340"/>
      <c r="P30" s="332"/>
      <c r="Q30" s="342"/>
      <c r="R30" s="340"/>
      <c r="S30" s="343"/>
      <c r="T30" s="344"/>
      <c r="U30" s="344"/>
      <c r="V30" s="345"/>
      <c r="W30" s="340"/>
      <c r="X30" s="345"/>
      <c r="Y30" s="338"/>
      <c r="Z30" s="346"/>
      <c r="AA30" s="346"/>
      <c r="AB30" s="346"/>
      <c r="AC30" s="336"/>
      <c r="AD30" s="337"/>
      <c r="AE30" s="308"/>
      <c r="AF30" s="337"/>
      <c r="AG30" s="338"/>
      <c r="AH30" s="339"/>
      <c r="AI30" s="340"/>
      <c r="AJ30" s="341"/>
    </row>
    <row r="31" spans="1:39" x14ac:dyDescent="0.2">
      <c r="L31" s="328"/>
      <c r="M31" s="329"/>
      <c r="N31" s="342"/>
      <c r="O31" s="340"/>
      <c r="P31" s="332"/>
      <c r="Q31" s="342"/>
      <c r="R31" s="340"/>
      <c r="S31" s="343"/>
      <c r="T31" s="344"/>
      <c r="U31" s="344"/>
      <c r="V31" s="345"/>
      <c r="W31" s="340"/>
      <c r="X31" s="345"/>
      <c r="Y31" s="338"/>
      <c r="Z31" s="346"/>
      <c r="AA31" s="346"/>
      <c r="AB31" s="346"/>
      <c r="AC31" s="336"/>
      <c r="AD31" s="337"/>
      <c r="AE31" s="308"/>
      <c r="AF31" s="337"/>
      <c r="AG31" s="338"/>
      <c r="AH31" s="339"/>
      <c r="AI31" s="340"/>
      <c r="AJ31" s="341"/>
    </row>
    <row r="32" spans="1:39" x14ac:dyDescent="0.2">
      <c r="L32" s="328"/>
      <c r="M32" s="329"/>
      <c r="N32" s="342"/>
      <c r="O32" s="340"/>
      <c r="P32" s="332"/>
      <c r="Q32" s="342"/>
      <c r="R32" s="340"/>
      <c r="S32" s="343"/>
      <c r="T32" s="344"/>
      <c r="U32" s="344"/>
      <c r="V32" s="345"/>
      <c r="W32" s="340"/>
      <c r="X32" s="345"/>
      <c r="Y32" s="338"/>
      <c r="Z32" s="346"/>
      <c r="AA32" s="346"/>
      <c r="AB32" s="346"/>
      <c r="AC32" s="336"/>
      <c r="AD32" s="337"/>
      <c r="AE32" s="308"/>
      <c r="AF32" s="337"/>
      <c r="AG32" s="338"/>
      <c r="AH32" s="339"/>
      <c r="AI32" s="340"/>
      <c r="AJ32" s="341"/>
    </row>
    <row r="33" spans="12:36" x14ac:dyDescent="0.2">
      <c r="L33" s="328"/>
      <c r="M33" s="329"/>
      <c r="N33" s="342"/>
      <c r="O33" s="340"/>
      <c r="P33" s="332"/>
      <c r="Q33" s="342"/>
      <c r="R33" s="340"/>
      <c r="S33" s="343"/>
      <c r="T33" s="344"/>
      <c r="U33" s="344"/>
      <c r="V33" s="345"/>
      <c r="W33" s="340"/>
      <c r="X33" s="345"/>
      <c r="Y33" s="338"/>
      <c r="Z33" s="346"/>
      <c r="AA33" s="346"/>
      <c r="AB33" s="346"/>
      <c r="AC33" s="336"/>
      <c r="AD33" s="337"/>
      <c r="AE33" s="308"/>
      <c r="AF33" s="337"/>
      <c r="AG33" s="338"/>
      <c r="AH33" s="339"/>
      <c r="AI33" s="340"/>
      <c r="AJ33" s="341"/>
    </row>
    <row r="34" spans="12:36" x14ac:dyDescent="0.2">
      <c r="L34" s="328"/>
      <c r="M34" s="329"/>
      <c r="N34" s="342"/>
      <c r="O34" s="340"/>
      <c r="P34" s="332"/>
      <c r="Q34" s="342"/>
      <c r="R34" s="340"/>
      <c r="S34" s="343"/>
      <c r="T34" s="344"/>
      <c r="U34" s="344"/>
      <c r="V34" s="345"/>
      <c r="W34" s="340"/>
      <c r="X34" s="345"/>
      <c r="Y34" s="338"/>
      <c r="Z34" s="346"/>
      <c r="AA34" s="346"/>
      <c r="AB34" s="346"/>
      <c r="AC34" s="336"/>
      <c r="AD34" s="337"/>
      <c r="AE34" s="308"/>
      <c r="AF34" s="337"/>
      <c r="AG34" s="338"/>
      <c r="AH34" s="339"/>
      <c r="AI34" s="340"/>
      <c r="AJ34" s="341"/>
    </row>
    <row r="35" spans="12:36" x14ac:dyDescent="0.2">
      <c r="L35" s="328"/>
      <c r="M35" s="329"/>
      <c r="N35" s="342"/>
      <c r="O35" s="340"/>
      <c r="P35" s="332"/>
      <c r="Q35" s="342"/>
      <c r="R35" s="340"/>
      <c r="S35" s="343"/>
      <c r="T35" s="344"/>
      <c r="U35" s="344"/>
      <c r="V35" s="345"/>
      <c r="W35" s="340"/>
      <c r="X35" s="345"/>
      <c r="Y35" s="338"/>
      <c r="Z35" s="346"/>
      <c r="AA35" s="346"/>
      <c r="AB35" s="346"/>
      <c r="AC35" s="336"/>
      <c r="AD35" s="337"/>
      <c r="AE35" s="308"/>
      <c r="AF35" s="337"/>
      <c r="AG35" s="338"/>
      <c r="AH35" s="339"/>
      <c r="AI35" s="340"/>
      <c r="AJ35" s="341"/>
    </row>
    <row r="36" spans="12:36" x14ac:dyDescent="0.2">
      <c r="L36" s="328"/>
      <c r="M36" s="329"/>
      <c r="N36" s="342"/>
      <c r="O36" s="340"/>
      <c r="P36" s="332"/>
      <c r="Q36" s="342"/>
      <c r="R36" s="340"/>
      <c r="S36" s="343"/>
      <c r="T36" s="344"/>
      <c r="U36" s="344"/>
      <c r="V36" s="345"/>
      <c r="W36" s="340"/>
      <c r="X36" s="345"/>
      <c r="Y36" s="338"/>
      <c r="Z36" s="346"/>
      <c r="AA36" s="346"/>
      <c r="AB36" s="346"/>
      <c r="AC36" s="336"/>
      <c r="AD36" s="337"/>
      <c r="AE36" s="308"/>
      <c r="AF36" s="337"/>
      <c r="AG36" s="338"/>
      <c r="AH36" s="339"/>
      <c r="AI36" s="340"/>
      <c r="AJ36" s="341"/>
    </row>
    <row r="37" spans="12:36" x14ac:dyDescent="0.2">
      <c r="L37" s="328"/>
      <c r="M37" s="329"/>
      <c r="N37" s="342"/>
      <c r="O37" s="340"/>
      <c r="P37" s="332"/>
      <c r="Q37" s="342"/>
      <c r="R37" s="340"/>
      <c r="S37" s="343"/>
      <c r="T37" s="344"/>
      <c r="U37" s="344"/>
      <c r="V37" s="345"/>
      <c r="W37" s="340"/>
      <c r="X37" s="345"/>
      <c r="Y37" s="338"/>
      <c r="Z37" s="346"/>
      <c r="AA37" s="346"/>
      <c r="AB37" s="346"/>
      <c r="AC37" s="336"/>
      <c r="AD37" s="337"/>
      <c r="AE37" s="308"/>
      <c r="AF37" s="337"/>
      <c r="AG37" s="338"/>
      <c r="AH37" s="339"/>
      <c r="AI37" s="340"/>
      <c r="AJ37" s="341"/>
    </row>
    <row r="38" spans="12:36" x14ac:dyDescent="0.2">
      <c r="L38" s="328"/>
      <c r="M38" s="329"/>
      <c r="N38" s="342"/>
      <c r="O38" s="340"/>
      <c r="P38" s="332"/>
      <c r="Q38" s="342"/>
      <c r="R38" s="340"/>
      <c r="S38" s="343"/>
      <c r="T38" s="344"/>
      <c r="U38" s="344"/>
      <c r="V38" s="345"/>
      <c r="W38" s="340"/>
      <c r="X38" s="345"/>
      <c r="Y38" s="338"/>
      <c r="Z38" s="346"/>
      <c r="AA38" s="346"/>
      <c r="AB38" s="346"/>
      <c r="AC38" s="336"/>
      <c r="AD38" s="337"/>
      <c r="AE38" s="308"/>
      <c r="AF38" s="337"/>
      <c r="AG38" s="338"/>
      <c r="AH38" s="339"/>
      <c r="AI38" s="340"/>
      <c r="AJ38" s="341"/>
    </row>
    <row r="39" spans="12:36" x14ac:dyDescent="0.2">
      <c r="L39" s="328"/>
      <c r="M39" s="329"/>
      <c r="N39" s="342"/>
      <c r="O39" s="340"/>
      <c r="P39" s="332"/>
      <c r="Q39" s="342"/>
      <c r="R39" s="340"/>
      <c r="S39" s="343"/>
      <c r="T39" s="344"/>
      <c r="U39" s="344"/>
      <c r="V39" s="345"/>
      <c r="W39" s="340"/>
      <c r="X39" s="345"/>
      <c r="Y39" s="338"/>
      <c r="Z39" s="346"/>
      <c r="AA39" s="346"/>
      <c r="AB39" s="346"/>
      <c r="AC39" s="336"/>
      <c r="AD39" s="337"/>
      <c r="AE39" s="308"/>
      <c r="AF39" s="337"/>
      <c r="AG39" s="338"/>
      <c r="AH39" s="339"/>
      <c r="AI39" s="340"/>
      <c r="AJ39" s="341"/>
    </row>
    <row r="40" spans="12:36" x14ac:dyDescent="0.2">
      <c r="L40" s="328"/>
      <c r="M40" s="329"/>
      <c r="N40" s="342"/>
      <c r="O40" s="340"/>
      <c r="P40" s="332"/>
      <c r="Q40" s="342"/>
      <c r="R40" s="340"/>
      <c r="S40" s="343"/>
      <c r="T40" s="344"/>
      <c r="U40" s="344"/>
      <c r="V40" s="345"/>
      <c r="W40" s="340"/>
      <c r="X40" s="345"/>
      <c r="Y40" s="338"/>
      <c r="Z40" s="346"/>
      <c r="AA40" s="346"/>
      <c r="AB40" s="346"/>
      <c r="AC40" s="336"/>
      <c r="AD40" s="337"/>
      <c r="AE40" s="308"/>
      <c r="AF40" s="337"/>
      <c r="AG40" s="338"/>
      <c r="AH40" s="339"/>
      <c r="AI40" s="340"/>
      <c r="AJ40" s="341"/>
    </row>
    <row r="41" spans="12:36" x14ac:dyDescent="0.2">
      <c r="L41" s="328"/>
      <c r="M41" s="329"/>
      <c r="N41" s="342"/>
      <c r="O41" s="340"/>
      <c r="P41" s="332"/>
      <c r="Q41" s="342"/>
      <c r="R41" s="340"/>
      <c r="S41" s="343"/>
      <c r="T41" s="344"/>
      <c r="U41" s="344"/>
      <c r="V41" s="345"/>
      <c r="W41" s="340"/>
      <c r="X41" s="345"/>
      <c r="Y41" s="338"/>
      <c r="Z41" s="346"/>
      <c r="AA41" s="346"/>
      <c r="AB41" s="346"/>
      <c r="AC41" s="336"/>
      <c r="AD41" s="337"/>
      <c r="AE41" s="308"/>
      <c r="AF41" s="337"/>
      <c r="AG41" s="338"/>
      <c r="AH41" s="339"/>
      <c r="AI41" s="340"/>
      <c r="AJ41" s="341"/>
    </row>
    <row r="42" spans="12:36" x14ac:dyDescent="0.2">
      <c r="L42" s="328"/>
      <c r="M42" s="329"/>
      <c r="N42" s="342"/>
      <c r="O42" s="340"/>
      <c r="P42" s="332"/>
      <c r="Q42" s="342"/>
      <c r="R42" s="340"/>
      <c r="S42" s="343"/>
      <c r="T42" s="344"/>
      <c r="U42" s="344"/>
      <c r="V42" s="345"/>
      <c r="W42" s="340"/>
      <c r="X42" s="345"/>
      <c r="Y42" s="338"/>
      <c r="Z42" s="346"/>
      <c r="AA42" s="346"/>
      <c r="AB42" s="346"/>
      <c r="AC42" s="336"/>
      <c r="AD42" s="337"/>
      <c r="AE42" s="308"/>
      <c r="AF42" s="337"/>
      <c r="AG42" s="338"/>
      <c r="AH42" s="339"/>
      <c r="AI42" s="340"/>
      <c r="AJ42" s="341"/>
    </row>
    <row r="43" spans="12:36" x14ac:dyDescent="0.2">
      <c r="L43" s="328"/>
      <c r="M43" s="329"/>
      <c r="N43" s="342"/>
      <c r="O43" s="340"/>
      <c r="P43" s="332"/>
      <c r="Q43" s="342"/>
      <c r="R43" s="340"/>
      <c r="S43" s="343"/>
      <c r="T43" s="344"/>
      <c r="U43" s="344"/>
      <c r="V43" s="345"/>
      <c r="W43" s="340"/>
      <c r="X43" s="345"/>
      <c r="Y43" s="338"/>
      <c r="Z43" s="346"/>
      <c r="AA43" s="346"/>
      <c r="AB43" s="346"/>
      <c r="AC43" s="336"/>
      <c r="AD43" s="337"/>
      <c r="AE43" s="308"/>
      <c r="AF43" s="337"/>
      <c r="AG43" s="338"/>
      <c r="AH43" s="339"/>
      <c r="AI43" s="340"/>
      <c r="AJ43" s="341"/>
    </row>
    <row r="44" spans="12:36" x14ac:dyDescent="0.2">
      <c r="L44" s="328"/>
      <c r="M44" s="329"/>
      <c r="N44" s="342"/>
      <c r="O44" s="340"/>
      <c r="P44" s="332"/>
      <c r="Q44" s="342"/>
      <c r="R44" s="340"/>
      <c r="S44" s="343"/>
      <c r="T44" s="344"/>
      <c r="U44" s="344"/>
      <c r="V44" s="345"/>
      <c r="W44" s="340"/>
      <c r="X44" s="345"/>
      <c r="Y44" s="338"/>
      <c r="Z44" s="346"/>
      <c r="AA44" s="346"/>
      <c r="AB44" s="346"/>
      <c r="AC44" s="336"/>
      <c r="AD44" s="337"/>
      <c r="AE44" s="308"/>
      <c r="AF44" s="337"/>
      <c r="AG44" s="338"/>
      <c r="AH44" s="339"/>
      <c r="AI44" s="340"/>
      <c r="AJ44" s="341"/>
    </row>
    <row r="45" spans="12:36" x14ac:dyDescent="0.2">
      <c r="L45" s="328"/>
      <c r="M45" s="329"/>
      <c r="N45" s="342"/>
      <c r="O45" s="340"/>
      <c r="P45" s="332"/>
      <c r="Q45" s="342"/>
      <c r="R45" s="340"/>
      <c r="S45" s="343"/>
      <c r="T45" s="344"/>
      <c r="U45" s="344"/>
      <c r="V45" s="345"/>
      <c r="W45" s="340"/>
      <c r="X45" s="345"/>
      <c r="Y45" s="338"/>
      <c r="Z45" s="346"/>
      <c r="AA45" s="346"/>
      <c r="AB45" s="346"/>
      <c r="AC45" s="336"/>
      <c r="AD45" s="337"/>
      <c r="AE45" s="308"/>
      <c r="AF45" s="337"/>
      <c r="AG45" s="338"/>
      <c r="AH45" s="339"/>
      <c r="AI45" s="340"/>
      <c r="AJ45" s="341"/>
    </row>
    <row r="46" spans="12:36" x14ac:dyDescent="0.2">
      <c r="L46" s="328"/>
      <c r="M46" s="329"/>
      <c r="N46" s="342"/>
      <c r="O46" s="340"/>
      <c r="P46" s="332"/>
      <c r="Q46" s="342"/>
      <c r="R46" s="340"/>
      <c r="S46" s="343"/>
      <c r="T46" s="344"/>
      <c r="U46" s="344"/>
      <c r="V46" s="345"/>
      <c r="W46" s="340"/>
      <c r="X46" s="345"/>
      <c r="Y46" s="338"/>
      <c r="Z46" s="346"/>
      <c r="AA46" s="346"/>
      <c r="AB46" s="346"/>
      <c r="AC46" s="336"/>
      <c r="AD46" s="337"/>
      <c r="AE46" s="308"/>
      <c r="AF46" s="337"/>
      <c r="AG46" s="338"/>
      <c r="AH46" s="339"/>
      <c r="AI46" s="340"/>
      <c r="AJ46" s="341"/>
    </row>
    <row r="47" spans="12:36" x14ac:dyDescent="0.2">
      <c r="L47" s="328"/>
      <c r="M47" s="329"/>
      <c r="N47" s="342"/>
      <c r="O47" s="340"/>
      <c r="P47" s="332"/>
      <c r="Q47" s="342"/>
      <c r="R47" s="340"/>
      <c r="S47" s="343"/>
      <c r="T47" s="344"/>
      <c r="U47" s="344"/>
      <c r="V47" s="345"/>
      <c r="W47" s="340"/>
      <c r="X47" s="345"/>
      <c r="Y47" s="338"/>
      <c r="Z47" s="346"/>
      <c r="AA47" s="346"/>
      <c r="AB47" s="346"/>
      <c r="AC47" s="336"/>
      <c r="AD47" s="337"/>
      <c r="AE47" s="308"/>
      <c r="AF47" s="337"/>
      <c r="AG47" s="338"/>
      <c r="AH47" s="339"/>
      <c r="AI47" s="340"/>
      <c r="AJ47" s="341"/>
    </row>
    <row r="48" spans="12:36" x14ac:dyDescent="0.2">
      <c r="L48" s="328"/>
      <c r="M48" s="329"/>
      <c r="N48" s="342"/>
      <c r="O48" s="340"/>
      <c r="P48" s="332"/>
      <c r="Q48" s="342"/>
      <c r="R48" s="340"/>
      <c r="S48" s="343"/>
      <c r="T48" s="344"/>
      <c r="U48" s="344"/>
      <c r="V48" s="345"/>
      <c r="W48" s="340"/>
      <c r="X48" s="345"/>
      <c r="Y48" s="338"/>
      <c r="Z48" s="346"/>
      <c r="AA48" s="346"/>
      <c r="AB48" s="346"/>
      <c r="AC48" s="336"/>
      <c r="AD48" s="337"/>
      <c r="AE48" s="308"/>
      <c r="AF48" s="337"/>
      <c r="AG48" s="338"/>
      <c r="AH48" s="339"/>
      <c r="AI48" s="340"/>
      <c r="AJ48" s="3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3B7A-5E31-2C40-B852-E6D7C4D34B0C}">
  <dimension ref="A1:AM65"/>
  <sheetViews>
    <sheetView topLeftCell="A4" zoomScale="57" zoomScaleNormal="100" workbookViewId="0">
      <selection activeCell="AC4" sqref="AC1:AJ1048576"/>
    </sheetView>
  </sheetViews>
  <sheetFormatPr baseColWidth="10" defaultColWidth="8.83203125" defaultRowHeight="17" customHeight="1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7" hidden="1" customHeight="1" x14ac:dyDescent="0.2">
      <c r="A1" s="297" t="s">
        <v>566</v>
      </c>
      <c r="B1" s="298"/>
      <c r="C1" s="299"/>
      <c r="D1" s="299"/>
      <c r="AC1" s="300" t="s">
        <v>567</v>
      </c>
    </row>
    <row r="2" spans="1:39" ht="17" hidden="1" customHeight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ht="17" hidden="1" customHeight="1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customHeight="1" x14ac:dyDescent="0.2">
      <c r="C4" s="1" t="s">
        <v>572</v>
      </c>
      <c r="G4" s="1" t="s">
        <v>573</v>
      </c>
      <c r="J4" s="1" t="s">
        <v>620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7" customHeight="1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customHeight="1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7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ht="17" customHeight="1" x14ac:dyDescent="0.2">
      <c r="A8" s="309">
        <v>1</v>
      </c>
      <c r="B8" s="309">
        <f>G8</f>
        <v>1</v>
      </c>
      <c r="C8" s="1">
        <v>249.99</v>
      </c>
      <c r="D8" s="1">
        <v>0.78</v>
      </c>
      <c r="E8" s="326">
        <f>10000/(C8+273.15)</f>
        <v>19.115341973467906</v>
      </c>
      <c r="F8" s="327">
        <f t="shared" ref="F8:F50" si="0">SQRT((((-1)*10^4/(C9+273.15)^2)*D8)^2)</f>
        <v>2.7440737264360256E-2</v>
      </c>
      <c r="G8" s="309">
        <f>H8/60/60</f>
        <v>1</v>
      </c>
      <c r="H8" s="1">
        <v>3600</v>
      </c>
      <c r="I8" s="324">
        <v>30</v>
      </c>
      <c r="J8" s="1">
        <v>7.5979999999999895E-2</v>
      </c>
      <c r="K8" s="1">
        <v>2.2000000000000001E-4</v>
      </c>
      <c r="L8" s="328">
        <f>100*(K8/J8)</f>
        <v>0.28954988154777617</v>
      </c>
      <c r="M8" s="329">
        <f t="shared" ref="M8:M51" si="1">J8/$J$52</f>
        <v>6.9967935200004328E-3</v>
      </c>
      <c r="N8" s="330">
        <f>(1/$J$52)*SQRT(((1-J9/$J$52)*K8)^2+(J9/$J$52)^2*SUMSQ(K9:K$43))</f>
        <v>2.0179716598461926E-5</v>
      </c>
      <c r="O8" s="331">
        <f>100*(N8/M8)</f>
        <v>0.28841377898001308</v>
      </c>
      <c r="P8" s="332">
        <f>M8+P7</f>
        <v>6.9967935200004328E-3</v>
      </c>
      <c r="Q8" s="330">
        <f>SQRT(((1-P8)/$J$52)^2*SUMSQ(K$8:K8)+(P8/$J$52)^2*SUMSQ(K9:K$43))</f>
        <v>2.0127874255112954E-5</v>
      </c>
      <c r="R8" s="331">
        <f>100*(Q8/P8)</f>
        <v>0.287672834671727</v>
      </c>
      <c r="S8" s="333">
        <f>IF(P8&lt;=0.85, ((2*PI()-PI()^2*P8/3-2*PI()*SQRT(1-PI()*P8/3))/PI()^2/H8), ((-1)*LN((1-P8)*PI()^2/6)/PI()^2/H8 ))</f>
        <v>1.191073108598307E-9</v>
      </c>
      <c r="T8" s="333">
        <f>IF(P8&lt;=0.85, ABS((2/PI()-P8/3-2*SQRT(1-PI()*P8/3)/PI())*(-1)*I8/H8^2), ABS((-1)*LN((1-P8)*PI()^2/6)*(-1)*I8/PI()^2/H8^2))</f>
        <v>9.925609238321449E-12</v>
      </c>
      <c r="U8" s="333">
        <f>IF(P8&lt;=0.85, ((1/(3*H8*$J$52))*((1/SQRT(1-PI()*P8/3))-1)*SQRT(((1-P8)*K8)^2+(-P8)^2*SUMSQ(K9:K$43))),  (1/(PI()^2*H8*$J$52))*SQRT(K8^2+(P8/(1-P8))^2*SUMSQ(K9:K$43)))</f>
        <v>6.8654095894773903E-12</v>
      </c>
      <c r="V8" s="334">
        <f>SQRT(T8^2+U8^2)</f>
        <v>1.2068619124951297E-11</v>
      </c>
      <c r="W8" s="331">
        <f>100*(V8/S8)</f>
        <v>1.0132559485919412</v>
      </c>
      <c r="X8" s="334">
        <f>V8*2</f>
        <v>2.4137238249902593E-11</v>
      </c>
      <c r="Y8" s="335">
        <f>LN(S8)</f>
        <v>-20.548411164243657</v>
      </c>
      <c r="Z8" s="335">
        <f>V8/S8</f>
        <v>1.0132559485919412E-2</v>
      </c>
      <c r="AA8" s="335">
        <f>ABS(100*(Z8/Y8))</f>
        <v>4.931067129682077E-2</v>
      </c>
      <c r="AB8" s="335">
        <f>2*Z8</f>
        <v>2.0265118971838823E-2</v>
      </c>
      <c r="AC8" s="336">
        <f t="shared" ref="AC8:AC50" si="2">S8*($AC$3^2)*10^(-8)</f>
        <v>1.5370750823536808E-13</v>
      </c>
      <c r="AD8" s="337">
        <f t="shared" ref="AD8:AD50" si="3">AC8*SQRT((V8/S8)^2+(2*$AD$3/$AC$3)^2)</f>
        <v>5.6318693799008866E-15</v>
      </c>
      <c r="AE8" s="308">
        <f>100*AD8/AC8</f>
        <v>3.6640170962090934</v>
      </c>
      <c r="AF8" s="337">
        <f>2*AD8</f>
        <v>1.1263738759801773E-14</v>
      </c>
      <c r="AG8" s="338">
        <f>LN(AC8)</f>
        <v>-29.503724895621922</v>
      </c>
      <c r="AH8" s="339">
        <f>AD8/AC8</f>
        <v>3.6640170962090934E-2</v>
      </c>
      <c r="AI8" s="340">
        <f>ABS(100*(AH8/AG8))</f>
        <v>0.12418828839990978</v>
      </c>
      <c r="AJ8" s="341">
        <f>2*AH8</f>
        <v>7.3280341924181869E-2</v>
      </c>
    </row>
    <row r="9" spans="1:39" ht="17" customHeight="1" x14ac:dyDescent="0.2">
      <c r="A9" s="309">
        <v>2</v>
      </c>
      <c r="B9" s="309">
        <f>G9+B8</f>
        <v>2</v>
      </c>
      <c r="C9" s="1">
        <v>260</v>
      </c>
      <c r="D9" s="1">
        <v>0.8</v>
      </c>
      <c r="E9" s="326">
        <f t="shared" ref="E9:E50" si="4">10000/(C9+273.15)</f>
        <v>18.756447528838038</v>
      </c>
      <c r="F9" s="327">
        <f t="shared" si="0"/>
        <v>2.71185466616541E-2</v>
      </c>
      <c r="G9" s="309">
        <f t="shared" ref="G9:G50" si="5">H9/60/60</f>
        <v>1</v>
      </c>
      <c r="H9" s="1">
        <v>3600</v>
      </c>
      <c r="I9" s="324">
        <v>30</v>
      </c>
      <c r="J9" s="1">
        <v>4.4519999999999997E-2</v>
      </c>
      <c r="K9" s="1">
        <v>1.6999999999999901E-4</v>
      </c>
      <c r="L9" s="328">
        <f t="shared" ref="L9:L50" si="6">100*(K9/J9)</f>
        <v>0.38185085354896459</v>
      </c>
      <c r="M9" s="329">
        <f t="shared" si="1"/>
        <v>4.0997268690500088E-3</v>
      </c>
      <c r="N9" s="342">
        <f>(1/$J$52)*SQRT(((1-J10/$J$52)*K9)^2+(J10/$J$52)^2*(SUMSQ(K$8:K8)+SUMSQ(K10:K$43)))</f>
        <v>1.5596153826529532E-5</v>
      </c>
      <c r="O9" s="340">
        <f>100*(N9/M9)</f>
        <v>0.38041933828005187</v>
      </c>
      <c r="P9" s="332">
        <f t="shared" ref="P9:P50" si="7">M9+P8</f>
        <v>1.1096520389050442E-2</v>
      </c>
      <c r="Q9" s="342">
        <f>SQRT(((1-P9)/$J$52)^2*SUMSQ(K$8:K9)+(P9/$J$52)^2*SUMSQ(K10:K$43))</f>
        <v>2.5339036229482843E-5</v>
      </c>
      <c r="R9" s="340">
        <f>100*(Q9/P9)</f>
        <v>0.22835118885093283</v>
      </c>
      <c r="S9" s="343">
        <f>IF(P9&lt;=0.85, (((-1)*PI()^2*(P9-P8)/3-2*PI()*(SQRT(1-PI()*P9/3)-SQRT(1-PI()*P8/3)))/PI()^2/H9), ((-1)*LN((1-P9)/(1-P8))/PI()^2/H9 ))</f>
        <v>1.8112185123354703E-9</v>
      </c>
      <c r="T9" s="344">
        <f>IF(P9&lt;=0.85, ABS(((-1)*(P9-P8)/3-2*(SQRT(1-PI()*P9/3)-SQRT(1-PI()*P8/3))/PI())*(-1)*I9/H9^2), ABS((-1)*LN((1-P9)/(1-P8))*(-1)*I9/PI()^2/H9^2))</f>
        <v>1.5093487602795269E-11</v>
      </c>
      <c r="U9" s="344">
        <f>IF(P9&lt;=0.85, (1/(3*H9*$J$52))*SQRT( ((1-P9)*(1/SQRT(1-PI()*P9/3)-1) + (1-P8)*(1-1/SQRT(1-PI()*P8/3)))^2*SUMSQ(K$8:K8) + ( (1-P9)*(1/SQRT(1-PI()*P9/3)-1) -P8*(1-1/SQRT(1-PI()*P8/3)) )^2*K9^2 + ( P9*(1-1/SQRT(1-PI()*P9/3)) - P8*(1-1/SQRT(1-PI()*P8/3)) )^2*SUMSQ(K10:K$43) ), (1/(PI()^2*H9*$J$52))*SQRT((1+P8/(1-P8))^2*K9^2+(P8/(1-P8)-P9/(1-P9))^2*SUMSQ(K10:K$43)) )</f>
        <v>9.3496801639506029E-12</v>
      </c>
      <c r="V9" s="345">
        <f>SQRT(T9^2+U9^2)</f>
        <v>1.7754714505840578E-11</v>
      </c>
      <c r="W9" s="340">
        <f>100*(V9/S9)</f>
        <v>0.98026352894034929</v>
      </c>
      <c r="X9" s="345">
        <f>V9*2</f>
        <v>3.5509429011681156E-11</v>
      </c>
      <c r="Y9" s="338">
        <f t="shared" ref="Y9:Y50" si="8">LN(S9)</f>
        <v>-20.129266006938643</v>
      </c>
      <c r="Z9" s="346">
        <f>V9/S9</f>
        <v>9.802635289403493E-3</v>
      </c>
      <c r="AA9" s="346">
        <f>ABS(100*(Z9/Y9))</f>
        <v>4.8698423906885051E-2</v>
      </c>
      <c r="AB9" s="346">
        <f t="shared" ref="AB9:AB50" si="9">2*Z9</f>
        <v>1.9605270578806986E-2</v>
      </c>
      <c r="AC9" s="336">
        <f t="shared" si="2"/>
        <v>2.3373702452948748E-13</v>
      </c>
      <c r="AD9" s="337">
        <f t="shared" si="3"/>
        <v>8.5431602699075294E-15</v>
      </c>
      <c r="AE9" s="308">
        <f t="shared" ref="AE9:AE50" si="10">100*AD9/AC9</f>
        <v>3.6550308138408569</v>
      </c>
      <c r="AF9" s="337">
        <f t="shared" ref="AF9:AF50" si="11">2*AD9</f>
        <v>1.7086320539815059E-14</v>
      </c>
      <c r="AG9" s="338">
        <f>LN(AC9)</f>
        <v>-29.084579738316904</v>
      </c>
      <c r="AH9" s="339">
        <f>AD9/AC9</f>
        <v>3.6550308138408566E-2</v>
      </c>
      <c r="AI9" s="340">
        <f>ABS(100*(AH9/AG9))</f>
        <v>0.12566902622373491</v>
      </c>
      <c r="AJ9" s="341">
        <f t="shared" ref="AJ9:AJ50" si="12">2*AH9</f>
        <v>7.3100616276817132E-2</v>
      </c>
    </row>
    <row r="10" spans="1:39" ht="17" customHeight="1" x14ac:dyDescent="0.2">
      <c r="A10" s="309">
        <v>3</v>
      </c>
      <c r="B10" s="309">
        <f t="shared" ref="B10:B50" si="13">G10+B9</f>
        <v>3</v>
      </c>
      <c r="C10" s="1">
        <v>269.99</v>
      </c>
      <c r="D10" s="1">
        <v>0.74</v>
      </c>
      <c r="E10" s="326">
        <f t="shared" si="4"/>
        <v>18.411459292263505</v>
      </c>
      <c r="F10" s="327">
        <f t="shared" si="0"/>
        <v>2.4184988558988853E-2</v>
      </c>
      <c r="G10" s="309">
        <f t="shared" si="5"/>
        <v>1</v>
      </c>
      <c r="H10" s="1">
        <v>3600</v>
      </c>
      <c r="I10" s="324">
        <v>30</v>
      </c>
      <c r="J10" s="1">
        <v>4.3880000000000002E-2</v>
      </c>
      <c r="K10" s="1">
        <v>1.8999999999999901E-4</v>
      </c>
      <c r="L10" s="328">
        <f t="shared" si="6"/>
        <v>0.43299908842296941</v>
      </c>
      <c r="M10" s="329">
        <f t="shared" si="1"/>
        <v>4.0407909931247619E-3</v>
      </c>
      <c r="N10" s="342">
        <f>(1/$J$52)*SQRT(((1-J11/$J$52)*K10)^2+(J11/$J$52)^2*(SUMSQ(K$8:K9)+SUMSQ(K11:K$43)))</f>
        <v>1.7425294576634458E-5</v>
      </c>
      <c r="O10" s="340">
        <f t="shared" ref="O10:O50" si="14">100*(N10/M10)</f>
        <v>0.43123474107626136</v>
      </c>
      <c r="P10" s="332">
        <f t="shared" si="7"/>
        <v>1.5137311382175203E-2</v>
      </c>
      <c r="Q10" s="342">
        <f>SQRT(((1-P10)/$J$52)^2*SUMSQ(K$8:K10)+(P10/$J$52)^2*SUMSQ(K11:K$43))</f>
        <v>3.0570951301338769E-5</v>
      </c>
      <c r="R10" s="340">
        <f t="shared" ref="R10:R50" si="15">100*(Q10/P10)</f>
        <v>0.20195760349712633</v>
      </c>
      <c r="S10" s="343">
        <f t="shared" ref="S10:S50" si="16">IF(P10&lt;=0.85, (((-1)*PI()^2*(P10-P9)/3-2*PI()*(SQRT(1-PI()*P10/3)-SQRT(1-PI()*P9/3)))/PI()^2/H10), ((-1)*LN((1-P10)/(1-P9))/PI()^2/H10 ))</f>
        <v>2.5966400728504139E-9</v>
      </c>
      <c r="T10" s="344">
        <f t="shared" ref="T10:T50" si="17">IF(P10&lt;=0.85, ABS(((-1)*(P10-P9)/3-2*(SQRT(1-PI()*P10/3)-SQRT(1-PI()*P9/3))/PI())*(-1)*I10/H10^2), ABS((-1)*LN((1-P10)/(1-P9))*(-1)*I10/PI()^2/H10^2))</f>
        <v>2.16386672737539E-11</v>
      </c>
      <c r="U10" s="344">
        <f>IF(P10&lt;=0.85, (1/(3*H10*$J$52))*SQRT( ((1-P10)*(1/SQRT(1-PI()*P10/3)-1) + (1-P9)*(1-1/SQRT(1-PI()*P9/3)))^2*SUMSQ(K$8:K9) + ( (1-P10)*(1/SQRT(1-PI()*P10/3)-1) -P9*(1-1/SQRT(1-PI()*P9/3)) )^2*K10^2 + ( P10*(1-1/SQRT(1-PI()*P10/3)) - P9*(1-1/SQRT(1-PI()*P9/3)) )^2*SUMSQ(K11:K$43) ), (1/(PI()^2*H10*$J$52))*SQRT((1+P9/(1-P9))^2*K10^2+(P9/(1-P9)-P10/(1-P10))^2*SUMSQ(K11:K$43)) )</f>
        <v>1.3841828688859045E-11</v>
      </c>
      <c r="V10" s="345">
        <f t="shared" ref="V10:V50" si="18">SQRT(T10^2+U10^2)</f>
        <v>2.5687120174047333E-11</v>
      </c>
      <c r="W10" s="340">
        <f t="shared" ref="W10:W50" si="19">100*(V10/S10)</f>
        <v>0.98924454115235805</v>
      </c>
      <c r="X10" s="345">
        <f t="shared" ref="X10:X50" si="20">V10*2</f>
        <v>5.1374240348094667E-11</v>
      </c>
      <c r="Y10" s="338">
        <f t="shared" si="8"/>
        <v>-19.769047507305331</v>
      </c>
      <c r="Z10" s="346">
        <f t="shared" ref="Z10:Z50" si="21">V10/S10</f>
        <v>9.8924454115235805E-3</v>
      </c>
      <c r="AA10" s="346">
        <f t="shared" ref="AA10:AA50" si="22">ABS(100*(Z10/Y10))</f>
        <v>5.0040071014387462E-2</v>
      </c>
      <c r="AB10" s="346">
        <f t="shared" si="9"/>
        <v>1.9784890823047161E-2</v>
      </c>
      <c r="AC10" s="336">
        <f t="shared" si="2"/>
        <v>3.3509536274531671E-13</v>
      </c>
      <c r="AD10" s="337">
        <f t="shared" si="3"/>
        <v>1.2255944393555629E-14</v>
      </c>
      <c r="AE10" s="308">
        <f t="shared" si="10"/>
        <v>3.6574497161485766</v>
      </c>
      <c r="AF10" s="337">
        <f t="shared" si="11"/>
        <v>2.4511888787111258E-14</v>
      </c>
      <c r="AG10" s="338">
        <f t="shared" ref="AG10:AG50" si="23">LN(AC10)</f>
        <v>-28.724361238683596</v>
      </c>
      <c r="AH10" s="339">
        <f t="shared" ref="AH10:AH50" si="24">AD10/AC10</f>
        <v>3.6574497161485767E-2</v>
      </c>
      <c r="AI10" s="340">
        <f t="shared" ref="AI10:AI50" si="25">ABS(100*(AH10/AG10))</f>
        <v>0.12732919231022014</v>
      </c>
      <c r="AJ10" s="341">
        <f t="shared" si="12"/>
        <v>7.3148994322971533E-2</v>
      </c>
    </row>
    <row r="11" spans="1:39" ht="17" customHeight="1" x14ac:dyDescent="0.2">
      <c r="A11" s="309">
        <v>4</v>
      </c>
      <c r="B11" s="309">
        <f t="shared" si="13"/>
        <v>4</v>
      </c>
      <c r="C11" s="1">
        <v>280</v>
      </c>
      <c r="D11" s="1">
        <v>0.79</v>
      </c>
      <c r="E11" s="326">
        <f t="shared" si="4"/>
        <v>18.078278947844165</v>
      </c>
      <c r="F11" s="327">
        <f t="shared" si="0"/>
        <v>2.49111822070225E-2</v>
      </c>
      <c r="G11" s="309">
        <f t="shared" si="5"/>
        <v>1</v>
      </c>
      <c r="H11" s="1">
        <v>3600</v>
      </c>
      <c r="I11" s="324">
        <v>30</v>
      </c>
      <c r="J11" s="1">
        <v>4.7160000000000001E-2</v>
      </c>
      <c r="K11" s="1">
        <v>2.5999999999999998E-4</v>
      </c>
      <c r="L11" s="328">
        <f t="shared" si="6"/>
        <v>0.55131467345207796</v>
      </c>
      <c r="M11" s="329">
        <f t="shared" si="1"/>
        <v>4.3428373572416542E-3</v>
      </c>
      <c r="N11" s="342">
        <f>(1/$J$52)*SQRT(((1-J12/$J$52)*K11)^2+(J12/$J$52)^2*(SUMSQ(K$8:K10)+SUMSQ(K12:K$43)))</f>
        <v>2.3835619344529782E-5</v>
      </c>
      <c r="O11" s="340">
        <f t="shared" si="14"/>
        <v>0.54884899856505187</v>
      </c>
      <c r="P11" s="332">
        <f t="shared" si="7"/>
        <v>1.9480148739416857E-2</v>
      </c>
      <c r="Q11" s="342">
        <f>SQRT(((1-P11)/$J$52)^2*SUMSQ(K$8:K11)+(P11/$J$52)^2*SUMSQ(K12:K$43))</f>
        <v>3.8451247138653362E-5</v>
      </c>
      <c r="R11" s="340">
        <f t="shared" si="15"/>
        <v>0.19738682518809356</v>
      </c>
      <c r="S11" s="343">
        <f t="shared" si="16"/>
        <v>3.6948698221249245E-9</v>
      </c>
      <c r="T11" s="344">
        <f t="shared" si="17"/>
        <v>3.0790581851041494E-11</v>
      </c>
      <c r="U11" s="344">
        <f>IF(P11&lt;=0.85, (1/(3*H11*$J$52))*SQRT( ((1-P11)*(1/SQRT(1-PI()*P11/3)-1) + (1-P10)*(1-1/SQRT(1-PI()*P10/3)))^2*SUMSQ(K$8:K10) + ( (1-P11)*(1/SQRT(1-PI()*P11/3)-1) -P10*(1-1/SQRT(1-PI()*P10/3)) )^2*K11^2 + ( P11*(1-1/SQRT(1-PI()*P11/3)) - P10*(1-1/SQRT(1-PI()*P10/3)) )^2*SUMSQ(K12:K$43) ), (1/(PI()^2*H11*$J$52))*SQRT((1+P10/(1-P10))^2*K11^2+(P10/(1-P10)-P11/(1-P11))^2*SUMSQ(K12:K$43)) )</f>
        <v>2.3698049711884173E-11</v>
      </c>
      <c r="V11" s="345">
        <f t="shared" si="18"/>
        <v>3.8854311097645512E-11</v>
      </c>
      <c r="W11" s="340">
        <f t="shared" si="19"/>
        <v>1.0515745606241778</v>
      </c>
      <c r="X11" s="345">
        <f t="shared" si="20"/>
        <v>7.7708622195291024E-11</v>
      </c>
      <c r="Y11" s="338">
        <f t="shared" si="8"/>
        <v>-19.416320513985561</v>
      </c>
      <c r="Z11" s="346">
        <f t="shared" si="21"/>
        <v>1.0515745606241777E-2</v>
      </c>
      <c r="AA11" s="346">
        <f t="shared" si="22"/>
        <v>5.4159312000784561E-2</v>
      </c>
      <c r="AB11" s="346">
        <f t="shared" si="9"/>
        <v>2.1031491212483554E-2</v>
      </c>
      <c r="AC11" s="336">
        <f t="shared" si="2"/>
        <v>4.7682147259729258E-13</v>
      </c>
      <c r="AD11" s="337">
        <f t="shared" si="3"/>
        <v>1.7522227482461638E-14</v>
      </c>
      <c r="AE11" s="308">
        <f t="shared" si="10"/>
        <v>3.6747983237869666</v>
      </c>
      <c r="AF11" s="337">
        <f t="shared" si="11"/>
        <v>3.5044454964923275E-14</v>
      </c>
      <c r="AG11" s="338">
        <f t="shared" si="23"/>
        <v>-28.371634245363825</v>
      </c>
      <c r="AH11" s="339">
        <f t="shared" si="24"/>
        <v>3.6747983237869666E-2</v>
      </c>
      <c r="AI11" s="340">
        <f t="shared" si="25"/>
        <v>0.12952367466768189</v>
      </c>
      <c r="AJ11" s="341">
        <f t="shared" si="12"/>
        <v>7.3495966475739333E-2</v>
      </c>
    </row>
    <row r="12" spans="1:39" ht="17" customHeight="1" x14ac:dyDescent="0.2">
      <c r="A12" s="309">
        <v>5</v>
      </c>
      <c r="B12" s="309">
        <f t="shared" si="13"/>
        <v>5</v>
      </c>
      <c r="C12" s="1">
        <v>289.99</v>
      </c>
      <c r="D12" s="1">
        <v>0.79</v>
      </c>
      <c r="E12" s="326">
        <f t="shared" si="4"/>
        <v>17.757573605142593</v>
      </c>
      <c r="F12" s="327">
        <f t="shared" si="0"/>
        <v>2.4048638706638641E-2</v>
      </c>
      <c r="G12" s="309">
        <f t="shared" si="5"/>
        <v>1</v>
      </c>
      <c r="H12" s="1">
        <v>3600</v>
      </c>
      <c r="I12" s="324">
        <v>30</v>
      </c>
      <c r="J12" s="1">
        <v>5.0279999999999998E-2</v>
      </c>
      <c r="K12" s="1">
        <v>1.6000000000000001E-4</v>
      </c>
      <c r="L12" s="328">
        <f t="shared" si="6"/>
        <v>0.3182179793158314</v>
      </c>
      <c r="M12" s="329">
        <f t="shared" si="1"/>
        <v>4.6301497523772344E-3</v>
      </c>
      <c r="N12" s="342">
        <f>(1/$J$52)*SQRT(((1-J13/$J$52)*K12)^2+(J13/$J$52)^2*(SUMSQ(K$8:K11)+SUMSQ(K13:K$43)))</f>
        <v>1.4668908391069938E-5</v>
      </c>
      <c r="O12" s="340">
        <f t="shared" si="14"/>
        <v>0.31681282843040992</v>
      </c>
      <c r="P12" s="332">
        <f t="shared" si="7"/>
        <v>2.411029849179409E-2</v>
      </c>
      <c r="Q12" s="342">
        <f>SQRT(((1-P12)/$J$52)^2*SUMSQ(K$8:K12)+(P12/$J$52)^2*SUMSQ(K13:K$43))</f>
        <v>4.0898870698307772E-5</v>
      </c>
      <c r="R12" s="340">
        <f t="shared" si="15"/>
        <v>0.16963236980341678</v>
      </c>
      <c r="S12" s="343">
        <f t="shared" si="16"/>
        <v>4.9782131150256151E-9</v>
      </c>
      <c r="T12" s="344">
        <f t="shared" si="17"/>
        <v>4.1485109291880758E-11</v>
      </c>
      <c r="U12" s="344">
        <f>IF(P12&lt;=0.85, (1/(3*H12*$J$52))*SQRT( ((1-P12)*(1/SQRT(1-PI()*P12/3)-1) + (1-P11)*(1-1/SQRT(1-PI()*P11/3)))^2*SUMSQ(K$8:K11) + ( (1-P12)*(1/SQRT(1-PI()*P12/3)-1) -P11*(1-1/SQRT(1-PI()*P11/3)) )^2*K12^2 + ( P12*(1-1/SQRT(1-PI()*P12/3)) - P11*(1-1/SQRT(1-PI()*P11/3)) )^2*SUMSQ(K13:K$43) ), (1/(PI()^2*H12*$J$52))*SQRT((1+P11/(1-P11))^2*K12^2+(P11/(1-P11)-P12/(1-P12))^2*SUMSQ(K13:K$43)) )</f>
        <v>1.9484262070277551E-11</v>
      </c>
      <c r="V12" s="345">
        <f t="shared" si="18"/>
        <v>4.5832856788362512E-11</v>
      </c>
      <c r="W12" s="340">
        <f t="shared" si="19"/>
        <v>0.92066883697739577</v>
      </c>
      <c r="X12" s="345">
        <f t="shared" si="20"/>
        <v>9.1665713576725024E-11</v>
      </c>
      <c r="Y12" s="338">
        <f t="shared" si="8"/>
        <v>-19.118194822542218</v>
      </c>
      <c r="Z12" s="346">
        <f t="shared" si="21"/>
        <v>9.2066883697739573E-3</v>
      </c>
      <c r="AA12" s="346">
        <f t="shared" si="22"/>
        <v>4.8156682444298417E-2</v>
      </c>
      <c r="AB12" s="346">
        <f t="shared" si="9"/>
        <v>1.8413376739547915E-2</v>
      </c>
      <c r="AC12" s="336">
        <f t="shared" si="2"/>
        <v>6.4243641120880952E-13</v>
      </c>
      <c r="AD12" s="337">
        <f t="shared" si="3"/>
        <v>2.3381477176425715E-14</v>
      </c>
      <c r="AE12" s="308">
        <f t="shared" si="10"/>
        <v>3.6395006211480267</v>
      </c>
      <c r="AF12" s="337">
        <f t="shared" si="11"/>
        <v>4.676295435285143E-14</v>
      </c>
      <c r="AG12" s="338">
        <f t="shared" si="23"/>
        <v>-28.073508553920483</v>
      </c>
      <c r="AH12" s="339">
        <f t="shared" si="24"/>
        <v>3.6395006211480271E-2</v>
      </c>
      <c r="AI12" s="340">
        <f t="shared" si="25"/>
        <v>0.1296418156696616</v>
      </c>
      <c r="AJ12" s="341">
        <f t="shared" si="12"/>
        <v>7.2790012422960543E-2</v>
      </c>
    </row>
    <row r="13" spans="1:39" ht="17" customHeight="1" x14ac:dyDescent="0.2">
      <c r="A13" s="309">
        <v>6</v>
      </c>
      <c r="B13" s="309">
        <f t="shared" si="13"/>
        <v>6</v>
      </c>
      <c r="C13" s="1">
        <v>300</v>
      </c>
      <c r="D13" s="1">
        <v>0.78</v>
      </c>
      <c r="E13" s="326">
        <f t="shared" si="4"/>
        <v>17.447439588240428</v>
      </c>
      <c r="F13" s="327">
        <f t="shared" si="0"/>
        <v>2.2937650845711362E-2</v>
      </c>
      <c r="G13" s="309">
        <f t="shared" si="5"/>
        <v>1</v>
      </c>
      <c r="H13" s="1">
        <v>3600</v>
      </c>
      <c r="I13" s="324">
        <v>30</v>
      </c>
      <c r="J13" s="1">
        <v>5.3239999999999899E-2</v>
      </c>
      <c r="K13" s="1">
        <v>1.8000000000000001E-4</v>
      </c>
      <c r="L13" s="328">
        <f t="shared" si="6"/>
        <v>0.33809166040571065</v>
      </c>
      <c r="M13" s="329">
        <f t="shared" si="1"/>
        <v>4.9027281785314928E-3</v>
      </c>
      <c r="N13" s="342">
        <f>(1/$J$52)*SQRT(((1-J14/$J$52)*K13)^2+(J14/$J$52)^2*(SUMSQ(K$8:K12)+SUMSQ(K14:K$43)))</f>
        <v>1.6503720886092588E-5</v>
      </c>
      <c r="O13" s="340">
        <f t="shared" si="14"/>
        <v>0.33662320824475983</v>
      </c>
      <c r="P13" s="332">
        <f t="shared" si="7"/>
        <v>2.9013026670325584E-2</v>
      </c>
      <c r="Q13" s="342">
        <f>SQRT(((1-P13)/$J$52)^2*SUMSQ(K$8:K13)+(P13/$J$52)^2*SUMSQ(K14:K$43))</f>
        <v>4.3779986579669897E-5</v>
      </c>
      <c r="R13" s="340">
        <f t="shared" si="15"/>
        <v>0.15089768839749457</v>
      </c>
      <c r="S13" s="343">
        <f t="shared" si="16"/>
        <v>6.4487060055432153E-9</v>
      </c>
      <c r="T13" s="344">
        <f t="shared" si="17"/>
        <v>5.3739216712859851E-11</v>
      </c>
      <c r="U13" s="344">
        <f>IF(P13&lt;=0.85, (1/(3*H13*$J$52))*SQRT( ((1-P13)*(1/SQRT(1-PI()*P13/3)-1) + (1-P12)*(1-1/SQRT(1-PI()*P12/3)))^2*SUMSQ(K$8:K12) + ( (1-P13)*(1/SQRT(1-PI()*P13/3)-1) -P12*(1-1/SQRT(1-PI()*P12/3)) )^2*K13^2 + ( P13*(1-1/SQRT(1-PI()*P13/3)) - P12*(1-1/SQRT(1-PI()*P12/3)) )^2*SUMSQ(K14:K$43) ), (1/(PI()^2*H13*$J$52))*SQRT((1+P12/(1-P12))^2*K13^2+(P12/(1-P12)-P13/(1-P13))^2*SUMSQ(K14:K$43)) )</f>
        <v>2.5630599180074637E-11</v>
      </c>
      <c r="V13" s="345">
        <f t="shared" si="18"/>
        <v>5.9538483581977116E-11</v>
      </c>
      <c r="W13" s="340">
        <f t="shared" si="19"/>
        <v>0.92326248910709674</v>
      </c>
      <c r="X13" s="345">
        <f t="shared" si="20"/>
        <v>1.1907696716395423E-10</v>
      </c>
      <c r="Y13" s="338">
        <f t="shared" si="8"/>
        <v>-18.859386345561099</v>
      </c>
      <c r="Z13" s="346">
        <f t="shared" si="21"/>
        <v>9.2326248910709671E-3</v>
      </c>
      <c r="AA13" s="346">
        <f t="shared" si="22"/>
        <v>4.8955065249214932E-2</v>
      </c>
      <c r="AB13" s="346">
        <f t="shared" si="9"/>
        <v>1.8465249782141934E-2</v>
      </c>
      <c r="AC13" s="336">
        <f t="shared" si="2"/>
        <v>8.3220293053294962E-13</v>
      </c>
      <c r="AD13" s="337">
        <f t="shared" si="3"/>
        <v>3.0293498148814436E-14</v>
      </c>
      <c r="AE13" s="308">
        <f t="shared" si="10"/>
        <v>3.6401575910594586</v>
      </c>
      <c r="AF13" s="337">
        <f t="shared" si="11"/>
        <v>6.0586996297628872E-14</v>
      </c>
      <c r="AG13" s="338">
        <f t="shared" si="23"/>
        <v>-27.814700076939364</v>
      </c>
      <c r="AH13" s="339">
        <f t="shared" si="24"/>
        <v>3.6401575910594584E-2</v>
      </c>
      <c r="AI13" s="340">
        <f t="shared" si="25"/>
        <v>0.13087171822778143</v>
      </c>
      <c r="AJ13" s="341">
        <f t="shared" si="12"/>
        <v>7.2803151821189169E-2</v>
      </c>
    </row>
    <row r="14" spans="1:39" ht="17" customHeight="1" x14ac:dyDescent="0.2">
      <c r="A14" s="309">
        <v>7</v>
      </c>
      <c r="B14" s="309">
        <f t="shared" si="13"/>
        <v>7</v>
      </c>
      <c r="C14" s="1">
        <v>309.99</v>
      </c>
      <c r="D14" s="1">
        <v>0.78</v>
      </c>
      <c r="E14" s="326">
        <f t="shared" si="4"/>
        <v>17.148540659189905</v>
      </c>
      <c r="F14" s="327">
        <f t="shared" si="0"/>
        <v>2.2169991837392718E-2</v>
      </c>
      <c r="G14" s="309">
        <f t="shared" si="5"/>
        <v>1</v>
      </c>
      <c r="H14" s="1">
        <v>3600</v>
      </c>
      <c r="I14" s="324">
        <v>30</v>
      </c>
      <c r="J14" s="1">
        <v>5.0970000000000001E-2</v>
      </c>
      <c r="K14" s="1">
        <v>2.5999999999999998E-4</v>
      </c>
      <c r="L14" s="328">
        <f t="shared" si="6"/>
        <v>0.51010398273494206</v>
      </c>
      <c r="M14" s="329">
        <f t="shared" si="1"/>
        <v>4.6936899936091412E-3</v>
      </c>
      <c r="N14" s="342">
        <f>(1/$J$52)*SQRT(((1-J15/$J$52)*K14)^2+(J15/$J$52)^2*(SUMSQ(K$8:K13)+SUMSQ(K15:K$43)))</f>
        <v>2.3838559935288061E-5</v>
      </c>
      <c r="O14" s="340">
        <f t="shared" si="14"/>
        <v>0.50788526655459332</v>
      </c>
      <c r="P14" s="332">
        <f t="shared" si="7"/>
        <v>3.3706716663934724E-2</v>
      </c>
      <c r="Q14" s="342">
        <f>SQRT(((1-P14)/$J$52)^2*SUMSQ(K$8:K14)+(P14/$J$52)^2*SUMSQ(K15:K$43))</f>
        <v>4.9344818450585165E-5</v>
      </c>
      <c r="R14" s="340">
        <f t="shared" si="15"/>
        <v>0.14639461607182519</v>
      </c>
      <c r="S14" s="343">
        <f t="shared" si="16"/>
        <v>7.317215283963812E-9</v>
      </c>
      <c r="T14" s="344">
        <f t="shared" si="17"/>
        <v>6.0976794033031884E-11</v>
      </c>
      <c r="U14" s="344">
        <f>IF(P14&lt;=0.85, (1/(3*H14*$J$52))*SQRT( ((1-P14)*(1/SQRT(1-PI()*P14/3)-1) + (1-P13)*(1-1/SQRT(1-PI()*P13/3)))^2*SUMSQ(K$8:K13) + ( (1-P14)*(1/SQRT(1-PI()*P14/3)-1) -P13*(1-1/SQRT(1-PI()*P13/3)) )^2*K14^2 + ( P14*(1-1/SQRT(1-PI()*P14/3)) - P13*(1-1/SQRT(1-PI()*P13/3)) )^2*SUMSQ(K15:K$43) ), (1/(PI()^2*H14*$J$52))*SQRT((1+P13/(1-P13))^2*K14^2+(P13/(1-P13)-P14/(1-P14))^2*SUMSQ(K15:K$43)) )</f>
        <v>4.1116527689153121E-11</v>
      </c>
      <c r="V14" s="345">
        <f t="shared" si="18"/>
        <v>7.3544124576744316E-11</v>
      </c>
      <c r="W14" s="340">
        <f t="shared" si="19"/>
        <v>1.0050835150077024</v>
      </c>
      <c r="X14" s="345">
        <f t="shared" si="20"/>
        <v>1.4708824915348863E-10</v>
      </c>
      <c r="Y14" s="338">
        <f t="shared" si="8"/>
        <v>-18.733036007041406</v>
      </c>
      <c r="Z14" s="346">
        <f t="shared" si="21"/>
        <v>1.0050835150077025E-2</v>
      </c>
      <c r="AA14" s="346">
        <f t="shared" si="22"/>
        <v>5.3652996483320163E-2</v>
      </c>
      <c r="AB14" s="346">
        <f t="shared" si="9"/>
        <v>2.0101670300154049E-2</v>
      </c>
      <c r="AC14" s="336">
        <f t="shared" si="2"/>
        <v>9.4428370550941628E-13</v>
      </c>
      <c r="AD14" s="337">
        <f t="shared" si="3"/>
        <v>3.4577454897736799E-14</v>
      </c>
      <c r="AE14" s="308">
        <f t="shared" si="10"/>
        <v>3.6617654944160209</v>
      </c>
      <c r="AF14" s="337">
        <f t="shared" si="11"/>
        <v>6.9154909795473598E-14</v>
      </c>
      <c r="AG14" s="338">
        <f t="shared" si="23"/>
        <v>-27.688349738419667</v>
      </c>
      <c r="AH14" s="339">
        <f t="shared" si="24"/>
        <v>3.6617654944160208E-2</v>
      </c>
      <c r="AI14" s="340">
        <f t="shared" si="25"/>
        <v>0.1322493225132535</v>
      </c>
      <c r="AJ14" s="341">
        <f t="shared" si="12"/>
        <v>7.3235309888320416E-2</v>
      </c>
    </row>
    <row r="15" spans="1:39" ht="17" customHeight="1" x14ac:dyDescent="0.2">
      <c r="A15" s="309">
        <v>8</v>
      </c>
      <c r="B15" s="309">
        <f t="shared" si="13"/>
        <v>8</v>
      </c>
      <c r="C15" s="1">
        <v>320</v>
      </c>
      <c r="D15" s="1">
        <v>0.85</v>
      </c>
      <c r="E15" s="326">
        <f t="shared" si="4"/>
        <v>16.859141869678833</v>
      </c>
      <c r="F15" s="327">
        <f t="shared" si="0"/>
        <v>2.3365908000410919E-2</v>
      </c>
      <c r="G15" s="309">
        <f t="shared" si="5"/>
        <v>1</v>
      </c>
      <c r="H15" s="1">
        <v>3600</v>
      </c>
      <c r="I15" s="324">
        <v>30</v>
      </c>
      <c r="J15" s="1">
        <v>4.8849999999999998E-2</v>
      </c>
      <c r="K15" s="1">
        <v>1.8000000000000001E-4</v>
      </c>
      <c r="L15" s="328">
        <f t="shared" si="6"/>
        <v>0.36847492323439102</v>
      </c>
      <c r="M15" s="329">
        <f t="shared" si="1"/>
        <v>4.4984649046067599E-3</v>
      </c>
      <c r="N15" s="342">
        <f>(1/$J$52)*SQRT(((1-J16/$J$52)*K15)^2+(J16/$J$52)^2*(SUMSQ(K$8:K14)+SUMSQ(K16:K$43)))</f>
        <v>1.6512572130454999E-5</v>
      </c>
      <c r="O15" s="340">
        <f t="shared" si="14"/>
        <v>0.36707126721261973</v>
      </c>
      <c r="P15" s="332">
        <f t="shared" si="7"/>
        <v>3.8205181568541483E-2</v>
      </c>
      <c r="Q15" s="342">
        <f>SQRT(((1-P15)/$J$52)^2*SUMSQ(K$8:K15)+(P15/$J$52)^2*SUMSQ(K16:K$43))</f>
        <v>5.1654451259246764E-5</v>
      </c>
      <c r="R15" s="340">
        <f t="shared" si="15"/>
        <v>0.13520273726896651</v>
      </c>
      <c r="S15" s="343">
        <f t="shared" si="16"/>
        <v>8.0706460272195142E-9</v>
      </c>
      <c r="T15" s="344">
        <f t="shared" si="17"/>
        <v>6.7255383560162523E-11</v>
      </c>
      <c r="U15" s="344">
        <f>IF(P15&lt;=0.85, (1/(3*H15*$J$52))*SQRT( ((1-P15)*(1/SQRT(1-PI()*P15/3)-1) + (1-P14)*(1-1/SQRT(1-PI()*P14/3)))^2*SUMSQ(K$8:K14) + ( (1-P15)*(1/SQRT(1-PI()*P15/3)-1) -P14*(1-1/SQRT(1-PI()*P14/3)) )^2*K15^2 + ( P15*(1-1/SQRT(1-PI()*P15/3)) - P14*(1-1/SQRT(1-PI()*P14/3)) )^2*SUMSQ(K16:K$43) ), (1/(PI()^2*H15*$J$52))*SQRT((1+P14/(1-P14))^2*K15^2+(P14/(1-P14)-P15/(1-P15))^2*SUMSQ(K16:K$43)) )</f>
        <v>3.3262000623150014E-11</v>
      </c>
      <c r="V15" s="345">
        <f t="shared" si="18"/>
        <v>7.5030975625264338E-11</v>
      </c>
      <c r="W15" s="340">
        <f t="shared" si="19"/>
        <v>0.92967744307222311</v>
      </c>
      <c r="X15" s="345">
        <f t="shared" si="20"/>
        <v>1.5006195125052868E-10</v>
      </c>
      <c r="Y15" s="338">
        <f t="shared" si="8"/>
        <v>-18.6350323049294</v>
      </c>
      <c r="Z15" s="346">
        <f t="shared" si="21"/>
        <v>9.2967744307222312E-3</v>
      </c>
      <c r="AA15" s="346">
        <f t="shared" si="22"/>
        <v>4.9888695005175912E-2</v>
      </c>
      <c r="AB15" s="346">
        <f t="shared" si="9"/>
        <v>1.8593548861444462E-2</v>
      </c>
      <c r="AC15" s="336">
        <f t="shared" si="2"/>
        <v>1.0415136415542674E-12</v>
      </c>
      <c r="AD15" s="337">
        <f t="shared" si="3"/>
        <v>3.7929738800248679E-14</v>
      </c>
      <c r="AE15" s="308">
        <f t="shared" si="10"/>
        <v>3.6417899187230542</v>
      </c>
      <c r="AF15" s="337">
        <f t="shared" si="11"/>
        <v>7.5859477600497359E-14</v>
      </c>
      <c r="AG15" s="338">
        <f t="shared" si="23"/>
        <v>-27.590346036307661</v>
      </c>
      <c r="AH15" s="339">
        <f t="shared" si="24"/>
        <v>3.6417899187230547E-2</v>
      </c>
      <c r="AI15" s="340">
        <f t="shared" si="25"/>
        <v>0.13199507950826792</v>
      </c>
      <c r="AJ15" s="341">
        <f t="shared" si="12"/>
        <v>7.2835798374461094E-2</v>
      </c>
    </row>
    <row r="16" spans="1:39" ht="17" customHeight="1" x14ac:dyDescent="0.2">
      <c r="A16" s="309">
        <v>9</v>
      </c>
      <c r="B16" s="309">
        <f t="shared" si="13"/>
        <v>9</v>
      </c>
      <c r="C16" s="1">
        <v>329.99</v>
      </c>
      <c r="D16" s="1">
        <v>0.85</v>
      </c>
      <c r="E16" s="326">
        <f t="shared" si="4"/>
        <v>16.579898531020991</v>
      </c>
      <c r="F16" s="327">
        <f t="shared" si="0"/>
        <v>2.2609951286045999E-2</v>
      </c>
      <c r="G16" s="309">
        <f t="shared" si="5"/>
        <v>1</v>
      </c>
      <c r="H16" s="1">
        <v>3600</v>
      </c>
      <c r="I16" s="324">
        <v>30</v>
      </c>
      <c r="J16" s="1">
        <v>4.4229999999999998E-2</v>
      </c>
      <c r="K16" s="1">
        <v>1.8999999999999901E-4</v>
      </c>
      <c r="L16" s="328">
        <f t="shared" si="6"/>
        <v>0.42957268822066252</v>
      </c>
      <c r="M16" s="329">
        <f t="shared" si="1"/>
        <v>4.0730215502713819E-3</v>
      </c>
      <c r="N16" s="342">
        <f>(1/$J$52)*SQRT(((1-J17/$J$52)*K16)^2+(J17/$J$52)^2*(SUMSQ(K$8:K15)+SUMSQ(K17:K$43)))</f>
        <v>1.7435844248269498E-5</v>
      </c>
      <c r="O16" s="340">
        <f t="shared" si="14"/>
        <v>0.42808131587488807</v>
      </c>
      <c r="P16" s="332">
        <f t="shared" si="7"/>
        <v>4.2278203118812863E-2</v>
      </c>
      <c r="Q16" s="342">
        <f>SQRT(((1-P16)/$J$52)^2*SUMSQ(K$8:K16)+(P16/$J$52)^2*SUMSQ(K17:K$43))</f>
        <v>5.4110548715295202E-5</v>
      </c>
      <c r="R16" s="340">
        <f t="shared" si="15"/>
        <v>0.12798686964824482</v>
      </c>
      <c r="S16" s="343">
        <f t="shared" si="16"/>
        <v>8.2068992445643386E-9</v>
      </c>
      <c r="T16" s="344">
        <f t="shared" si="17"/>
        <v>6.8390827038036286E-11</v>
      </c>
      <c r="U16" s="344">
        <f>IF(P16&lt;=0.85, (1/(3*H16*$J$52))*SQRT( ((1-P16)*(1/SQRT(1-PI()*P16/3)-1) + (1-P15)*(1-1/SQRT(1-PI()*P15/3)))^2*SUMSQ(K$8:K15) + ( (1-P16)*(1/SQRT(1-PI()*P16/3)-1) -P15*(1-1/SQRT(1-PI()*P15/3)) )^2*K16^2 + ( P16*(1-1/SQRT(1-PI()*P16/3)) - P15*(1-1/SQRT(1-PI()*P15/3)) )^2*SUMSQ(K17:K$43) ), (1/(PI()^2*H16*$J$52))*SQRT((1+P15/(1-P15))^2*K16^2+(P15/(1-P15)-P16/(1-P16))^2*SUMSQ(K17:K$43)) )</f>
        <v>3.8269408097352368E-11</v>
      </c>
      <c r="V16" s="345">
        <f t="shared" si="18"/>
        <v>7.836997396368263E-11</v>
      </c>
      <c r="W16" s="340">
        <f t="shared" si="19"/>
        <v>0.95492794084914934</v>
      </c>
      <c r="X16" s="345">
        <f t="shared" si="20"/>
        <v>1.5673994792736526E-10</v>
      </c>
      <c r="Y16" s="338">
        <f t="shared" si="8"/>
        <v>-18.618290665142279</v>
      </c>
      <c r="Z16" s="346">
        <f t="shared" si="21"/>
        <v>9.5492794084914932E-3</v>
      </c>
      <c r="AA16" s="346">
        <f t="shared" si="22"/>
        <v>5.1289775093961446E-2</v>
      </c>
      <c r="AB16" s="346">
        <f t="shared" si="9"/>
        <v>1.9098558816982986E-2</v>
      </c>
      <c r="AC16" s="336">
        <f t="shared" si="2"/>
        <v>1.0590970647513301E-12</v>
      </c>
      <c r="AD16" s="337">
        <f t="shared" si="3"/>
        <v>3.8639224216263593E-14</v>
      </c>
      <c r="AE16" s="308">
        <f t="shared" si="10"/>
        <v>3.6483175624073572</v>
      </c>
      <c r="AF16" s="337">
        <f t="shared" si="11"/>
        <v>7.7278448432527185E-14</v>
      </c>
      <c r="AG16" s="338">
        <f t="shared" si="23"/>
        <v>-27.573604396520544</v>
      </c>
      <c r="AH16" s="339">
        <f t="shared" si="24"/>
        <v>3.648317562407357E-2</v>
      </c>
      <c r="AI16" s="340">
        <f t="shared" si="25"/>
        <v>0.13231195711459945</v>
      </c>
      <c r="AJ16" s="341">
        <f t="shared" si="12"/>
        <v>7.296635124814714E-2</v>
      </c>
    </row>
    <row r="17" spans="1:39" ht="17" customHeight="1" x14ac:dyDescent="0.2">
      <c r="A17" s="309">
        <v>10</v>
      </c>
      <c r="B17" s="309">
        <f t="shared" si="13"/>
        <v>10</v>
      </c>
      <c r="C17" s="1">
        <v>339.99</v>
      </c>
      <c r="D17" s="1">
        <v>0.81</v>
      </c>
      <c r="E17" s="326">
        <f t="shared" si="4"/>
        <v>16.309488860619108</v>
      </c>
      <c r="F17" s="327">
        <f t="shared" si="0"/>
        <v>2.0860643343955938E-2</v>
      </c>
      <c r="G17" s="309">
        <f t="shared" si="5"/>
        <v>1</v>
      </c>
      <c r="H17" s="1">
        <v>3600</v>
      </c>
      <c r="I17" s="324">
        <v>30</v>
      </c>
      <c r="J17" s="1">
        <v>3.977E-2</v>
      </c>
      <c r="K17" s="1">
        <v>1.6999999999999901E-4</v>
      </c>
      <c r="L17" s="328">
        <f t="shared" si="6"/>
        <v>0.42745788282624847</v>
      </c>
      <c r="M17" s="329">
        <f t="shared" si="1"/>
        <v>3.6623121649173151E-3</v>
      </c>
      <c r="N17" s="342">
        <f>(1/$J$52)*SQRT(((1-J18/$J$52)*K17)^2+(J18/$J$52)^2*(SUMSQ(K$8:K16)+SUMSQ(K18:K$43)))</f>
        <v>1.560591610818362E-5</v>
      </c>
      <c r="O17" s="340">
        <f t="shared" si="14"/>
        <v>0.42612195261994984</v>
      </c>
      <c r="P17" s="332">
        <f t="shared" si="7"/>
        <v>4.5940515283730179E-2</v>
      </c>
      <c r="Q17" s="342">
        <f>SQRT(((1-P17)/$J$52)^2*SUMSQ(K$8:K17)+(P17/$J$52)^2*SUMSQ(K18:K$43))</f>
        <v>5.5947371906107003E-5</v>
      </c>
      <c r="R17" s="340">
        <f t="shared" si="15"/>
        <v>0.12178220370532228</v>
      </c>
      <c r="S17" s="343">
        <f t="shared" si="16"/>
        <v>8.1141685025195175E-9</v>
      </c>
      <c r="T17" s="344">
        <f t="shared" si="17"/>
        <v>6.7618070854329138E-11</v>
      </c>
      <c r="U17" s="344">
        <f>IF(P17&lt;=0.85, (1/(3*H17*$J$52))*SQRT( ((1-P17)*(1/SQRT(1-PI()*P17/3)-1) + (1-P16)*(1-1/SQRT(1-PI()*P16/3)))^2*SUMSQ(K$8:K16) + ( (1-P17)*(1/SQRT(1-PI()*P17/3)-1) -P16*(1-1/SQRT(1-PI()*P16/3)) )^2*K17^2 + ( P17*(1-1/SQRT(1-PI()*P17/3)) - P16*(1-1/SQRT(1-PI()*P16/3)) )^2*SUMSQ(K18:K$43) ), (1/(PI()^2*H17*$J$52))*SQRT((1+P16/(1-P16))^2*K17^2+(P16/(1-P16)-P17/(1-P17))^2*SUMSQ(K18:K$43)) )</f>
        <v>3.7257493212238457E-11</v>
      </c>
      <c r="V17" s="345">
        <f t="shared" si="18"/>
        <v>7.7203136636545211E-11</v>
      </c>
      <c r="W17" s="340">
        <f t="shared" si="19"/>
        <v>0.95146085039487394</v>
      </c>
      <c r="X17" s="345">
        <f t="shared" si="20"/>
        <v>1.5440627327309042E-10</v>
      </c>
      <c r="Y17" s="338">
        <f t="shared" si="8"/>
        <v>-18.629654105490982</v>
      </c>
      <c r="Z17" s="346">
        <f t="shared" si="21"/>
        <v>9.5146085039487394E-3</v>
      </c>
      <c r="AA17" s="346">
        <f t="shared" si="22"/>
        <v>5.1072384114444529E-2</v>
      </c>
      <c r="AB17" s="346">
        <f t="shared" si="9"/>
        <v>1.9029217007897479E-2</v>
      </c>
      <c r="AC17" s="336">
        <f t="shared" si="2"/>
        <v>1.0471301995827426E-12</v>
      </c>
      <c r="AD17" s="337">
        <f t="shared" si="3"/>
        <v>3.8193148415453476E-14</v>
      </c>
      <c r="AE17" s="308">
        <f t="shared" si="10"/>
        <v>3.6474116046574316</v>
      </c>
      <c r="AF17" s="337">
        <f t="shared" si="11"/>
        <v>7.6386296830906953E-14</v>
      </c>
      <c r="AG17" s="338">
        <f t="shared" si="23"/>
        <v>-27.584967836869247</v>
      </c>
      <c r="AH17" s="339">
        <f t="shared" si="24"/>
        <v>3.6474116046574315E-2</v>
      </c>
      <c r="AI17" s="340">
        <f t="shared" si="25"/>
        <v>0.13222460965796051</v>
      </c>
      <c r="AJ17" s="341">
        <f t="shared" si="12"/>
        <v>7.2948232093148629E-2</v>
      </c>
      <c r="AM17" s="322"/>
    </row>
    <row r="18" spans="1:39" ht="17" customHeight="1" x14ac:dyDescent="0.2">
      <c r="A18" s="309">
        <v>11</v>
      </c>
      <c r="B18" s="309">
        <f t="shared" si="13"/>
        <v>11</v>
      </c>
      <c r="C18" s="1">
        <v>349.98</v>
      </c>
      <c r="D18" s="1">
        <v>0.84</v>
      </c>
      <c r="E18" s="326">
        <f t="shared" si="4"/>
        <v>16.048015662863286</v>
      </c>
      <c r="F18" s="327">
        <f t="shared" si="0"/>
        <v>2.0957929675467876E-2</v>
      </c>
      <c r="G18" s="309">
        <f t="shared" si="5"/>
        <v>1</v>
      </c>
      <c r="H18" s="1">
        <v>3600</v>
      </c>
      <c r="I18" s="324">
        <v>30</v>
      </c>
      <c r="J18" s="1">
        <v>3.6080000000000001E-2</v>
      </c>
      <c r="K18" s="1">
        <v>1.3999999999999999E-4</v>
      </c>
      <c r="L18" s="328">
        <f t="shared" si="6"/>
        <v>0.38802660753880258</v>
      </c>
      <c r="M18" s="329">
        <f t="shared" si="1"/>
        <v>3.3225100052858116E-3</v>
      </c>
      <c r="N18" s="342">
        <f>(1/$J$52)*SQRT(((1-J19/$J$52)*K18)^2+(J19/$J$52)^2*(SUMSQ(K$8:K17)+SUMSQ(K19:K$43)))</f>
        <v>1.2855117364903333E-5</v>
      </c>
      <c r="O18" s="340">
        <f t="shared" si="14"/>
        <v>0.38690981650776096</v>
      </c>
      <c r="P18" s="332">
        <f t="shared" si="7"/>
        <v>4.9263025289015994E-2</v>
      </c>
      <c r="Q18" s="342">
        <f>SQRT(((1-P18)/$J$52)^2*SUMSQ(K$8:K18)+(P18/$J$52)^2*SUMSQ(K19:K$43))</f>
        <v>5.7096539843851706E-5</v>
      </c>
      <c r="R18" s="340">
        <f t="shared" si="15"/>
        <v>0.11590140781829394</v>
      </c>
      <c r="S18" s="343">
        <f t="shared" si="16"/>
        <v>7.9669361208425665E-9</v>
      </c>
      <c r="T18" s="344">
        <f t="shared" si="17"/>
        <v>6.6391134340354396E-11</v>
      </c>
      <c r="U18" s="344">
        <f>IF(P18&lt;=0.85, (1/(3*H18*$J$52))*SQRT( ((1-P18)*(1/SQRT(1-PI()*P18/3)-1) + (1-P17)*(1-1/SQRT(1-PI()*P17/3)))^2*SUMSQ(K$8:K17) + ( (1-P18)*(1/SQRT(1-PI()*P18/3)-1) -P17*(1-1/SQRT(1-PI()*P17/3)) )^2*K18^2 + ( P18*(1-1/SQRT(1-PI()*P18/3)) - P17*(1-1/SQRT(1-PI()*P17/3)) )^2*SUMSQ(K19:K$43) ), (1/(PI()^2*H18*$J$52))*SQRT((1+P17/(1-P17))^2*K18^2+(P17/(1-P17)-P18/(1-P18))^2*SUMSQ(K19:K$43)) )</f>
        <v>3.3159042909846446E-11</v>
      </c>
      <c r="V18" s="345">
        <f t="shared" si="18"/>
        <v>7.4211217788795393E-11</v>
      </c>
      <c r="W18" s="340">
        <f t="shared" si="19"/>
        <v>0.9314900566938018</v>
      </c>
      <c r="X18" s="345">
        <f t="shared" si="20"/>
        <v>1.4842243557759079E-10</v>
      </c>
      <c r="Y18" s="338">
        <f t="shared" si="8"/>
        <v>-18.647965844549127</v>
      </c>
      <c r="Z18" s="346">
        <f t="shared" si="21"/>
        <v>9.3149005669380183E-3</v>
      </c>
      <c r="AA18" s="346">
        <f t="shared" si="22"/>
        <v>4.9951295731597442E-2</v>
      </c>
      <c r="AB18" s="346">
        <f t="shared" si="9"/>
        <v>1.8629801133876037E-2</v>
      </c>
      <c r="AC18" s="336">
        <f t="shared" si="2"/>
        <v>1.0281299196202848E-12</v>
      </c>
      <c r="AD18" s="337">
        <f t="shared" si="3"/>
        <v>3.7447093509796166E-14</v>
      </c>
      <c r="AE18" s="308">
        <f t="shared" si="10"/>
        <v>3.6422530650237626</v>
      </c>
      <c r="AF18" s="337">
        <f t="shared" si="11"/>
        <v>7.4894187019592333E-14</v>
      </c>
      <c r="AG18" s="338">
        <f t="shared" si="23"/>
        <v>-27.603279575927392</v>
      </c>
      <c r="AH18" s="339">
        <f t="shared" si="24"/>
        <v>3.6422530650237622E-2</v>
      </c>
      <c r="AI18" s="340">
        <f t="shared" si="25"/>
        <v>0.13195001177324389</v>
      </c>
      <c r="AJ18" s="341">
        <f t="shared" si="12"/>
        <v>7.2845061300475245E-2</v>
      </c>
    </row>
    <row r="19" spans="1:39" ht="17" customHeight="1" x14ac:dyDescent="0.2">
      <c r="A19" s="309">
        <v>12</v>
      </c>
      <c r="B19" s="309">
        <f t="shared" si="13"/>
        <v>12</v>
      </c>
      <c r="C19" s="1">
        <v>359.94</v>
      </c>
      <c r="D19" s="1">
        <v>1.04</v>
      </c>
      <c r="E19" s="326">
        <f t="shared" si="4"/>
        <v>15.795542497907093</v>
      </c>
      <c r="F19" s="327">
        <f t="shared" si="0"/>
        <v>2.5143301126031428E-2</v>
      </c>
      <c r="G19" s="309">
        <f t="shared" si="5"/>
        <v>1</v>
      </c>
      <c r="H19" s="1">
        <v>3600</v>
      </c>
      <c r="I19" s="324">
        <v>30</v>
      </c>
      <c r="J19" s="1">
        <v>3.4099999999999998E-2</v>
      </c>
      <c r="K19" s="1">
        <v>1E-4</v>
      </c>
      <c r="L19" s="328">
        <f t="shared" si="6"/>
        <v>0.2932551319648094</v>
      </c>
      <c r="M19" s="329">
        <f t="shared" si="1"/>
        <v>3.1401771391420781E-3</v>
      </c>
      <c r="N19" s="342">
        <f>(1/$J$52)*SQRT(((1-J20/$J$52)*K19)^2+(J20/$J$52)^2*(SUMSQ(K$8:K18)+SUMSQ(K20:K$43)))</f>
        <v>9.1853603136640854E-6</v>
      </c>
      <c r="O19" s="340">
        <f t="shared" si="14"/>
        <v>0.29251089689079129</v>
      </c>
      <c r="P19" s="332">
        <f t="shared" si="7"/>
        <v>5.2403202428158074E-2</v>
      </c>
      <c r="Q19" s="342">
        <f>SQRT(((1-P19)/$J$52)^2*SUMSQ(K$8:K19)+(P19/$J$52)^2*SUMSQ(K20:K$43))</f>
        <v>5.7586740840173639E-5</v>
      </c>
      <c r="R19" s="340">
        <f t="shared" si="15"/>
        <v>0.10989164434964049</v>
      </c>
      <c r="S19" s="343">
        <f t="shared" si="16"/>
        <v>8.0622937422992097E-9</v>
      </c>
      <c r="T19" s="344">
        <f t="shared" si="17"/>
        <v>6.7185781185826645E-11</v>
      </c>
      <c r="U19" s="344">
        <f>IF(P19&lt;=0.85, (1/(3*H19*$J$52))*SQRT( ((1-P19)*(1/SQRT(1-PI()*P19/3)-1) + (1-P18)*(1-1/SQRT(1-PI()*P18/3)))^2*SUMSQ(K$8:K18) + ( (1-P19)*(1/SQRT(1-PI()*P19/3)-1) -P18*(1-1/SQRT(1-PI()*P18/3)) )^2*K19^2 + ( P19*(1-1/SQRT(1-PI()*P19/3)) - P18*(1-1/SQRT(1-PI()*P18/3)) )^2*SUMSQ(K20:K$43) ), (1/(PI()^2*H19*$J$52))*SQRT((1+P18/(1-P18))^2*K19^2+(P18/(1-P18)-P19/(1-P19))^2*SUMSQ(K20:K$43)) )</f>
        <v>2.5868462965069951E-11</v>
      </c>
      <c r="V19" s="345">
        <f t="shared" si="18"/>
        <v>7.1993795355745568E-11</v>
      </c>
      <c r="W19" s="340">
        <f t="shared" si="19"/>
        <v>0.89296914323558663</v>
      </c>
      <c r="X19" s="345">
        <f t="shared" si="20"/>
        <v>1.4398759071149114E-10</v>
      </c>
      <c r="Y19" s="338">
        <f t="shared" si="8"/>
        <v>-18.636067737502241</v>
      </c>
      <c r="Z19" s="346">
        <f t="shared" si="21"/>
        <v>8.9296914323558664E-3</v>
      </c>
      <c r="AA19" s="346">
        <f t="shared" si="22"/>
        <v>4.7916178231023628E-2</v>
      </c>
      <c r="AB19" s="346">
        <f t="shared" si="9"/>
        <v>1.7859382864711733E-2</v>
      </c>
      <c r="AC19" s="336">
        <f t="shared" si="2"/>
        <v>1.040435782526216E-12</v>
      </c>
      <c r="AD19" s="337">
        <f t="shared" si="3"/>
        <v>3.7794791177518933E-14</v>
      </c>
      <c r="AE19" s="308">
        <f t="shared" si="10"/>
        <v>3.6325924014024009</v>
      </c>
      <c r="AF19" s="337">
        <f t="shared" si="11"/>
        <v>7.5589582355037865E-14</v>
      </c>
      <c r="AG19" s="338">
        <f t="shared" si="23"/>
        <v>-27.591381468880503</v>
      </c>
      <c r="AH19" s="339">
        <f t="shared" si="24"/>
        <v>3.6325924014024007E-2</v>
      </c>
      <c r="AI19" s="340">
        <f t="shared" si="25"/>
        <v>0.13165677860311176</v>
      </c>
      <c r="AJ19" s="341">
        <f t="shared" si="12"/>
        <v>7.2651848028048013E-2</v>
      </c>
    </row>
    <row r="20" spans="1:39" ht="17" customHeight="1" x14ac:dyDescent="0.2">
      <c r="A20" s="309">
        <v>13</v>
      </c>
      <c r="B20" s="309">
        <f t="shared" si="13"/>
        <v>13</v>
      </c>
      <c r="C20" s="1">
        <v>369.99</v>
      </c>
      <c r="D20" s="1">
        <v>0.89</v>
      </c>
      <c r="E20" s="326">
        <f t="shared" si="4"/>
        <v>15.548714121342165</v>
      </c>
      <c r="F20" s="327">
        <f t="shared" si="0"/>
        <v>2.0863671763991513E-2</v>
      </c>
      <c r="G20" s="309">
        <f t="shared" si="5"/>
        <v>1</v>
      </c>
      <c r="H20" s="1">
        <v>3600</v>
      </c>
      <c r="I20" s="324">
        <v>30</v>
      </c>
      <c r="J20" s="1">
        <v>3.2750000000000001E-2</v>
      </c>
      <c r="K20" s="1">
        <v>2.1000000000000001E-4</v>
      </c>
      <c r="L20" s="328">
        <f t="shared" si="6"/>
        <v>0.64122137404580148</v>
      </c>
      <c r="M20" s="329">
        <f t="shared" si="1"/>
        <v>3.0158592758622598E-3</v>
      </c>
      <c r="N20" s="342">
        <f>(1/$J$52)*SQRT(((1-J21/$J$52)*K20)^2+(J21/$J$52)^2*(SUMSQ(K$8:K19)+SUMSQ(K21:K$43)))</f>
        <v>1.9284330899042325E-5</v>
      </c>
      <c r="O20" s="340">
        <f t="shared" si="14"/>
        <v>0.63943072720224226</v>
      </c>
      <c r="P20" s="332">
        <f t="shared" si="7"/>
        <v>5.5419061704020334E-2</v>
      </c>
      <c r="Q20" s="342">
        <f>SQRT(((1-P20)/$J$52)^2*SUMSQ(K$8:K20)+(P20/$J$52)^2*SUMSQ(K21:K$43))</f>
        <v>6.0245275813545434E-5</v>
      </c>
      <c r="R20" s="340">
        <f t="shared" si="15"/>
        <v>0.10870858141788962</v>
      </c>
      <c r="S20" s="343">
        <f t="shared" si="16"/>
        <v>8.2328862812580264E-9</v>
      </c>
      <c r="T20" s="344">
        <f t="shared" si="17"/>
        <v>6.8607385677150191E-11</v>
      </c>
      <c r="U20" s="344">
        <f>IF(P20&lt;=0.85, (1/(3*H20*$J$52))*SQRT( ((1-P20)*(1/SQRT(1-PI()*P20/3)-1) + (1-P19)*(1-1/SQRT(1-PI()*P19/3)))^2*SUMSQ(K$8:K19) + ( (1-P20)*(1/SQRT(1-PI()*P20/3)-1) -P19*(1-1/SQRT(1-PI()*P19/3)) )^2*K20^2 + ( P20*(1-1/SQRT(1-PI()*P20/3)) - P19*(1-1/SQRT(1-PI()*P19/3)) )^2*SUMSQ(K21:K$43) ), (1/(PI()^2*H20*$J$52))*SQRT((1+P19/(1-P19))^2*K20^2+(P19/(1-P19)-P20/(1-P20))^2*SUMSQ(K21:K$43)) )</f>
        <v>5.4710803793625723E-11</v>
      </c>
      <c r="V20" s="345">
        <f t="shared" si="18"/>
        <v>8.7751042279837594E-11</v>
      </c>
      <c r="W20" s="340">
        <f t="shared" si="19"/>
        <v>1.0658600068313926</v>
      </c>
      <c r="X20" s="345">
        <f t="shared" si="20"/>
        <v>1.7550208455967519E-10</v>
      </c>
      <c r="Y20" s="338">
        <f t="shared" si="8"/>
        <v>-18.61512918127768</v>
      </c>
      <c r="Z20" s="346">
        <f t="shared" si="21"/>
        <v>1.0658600068313926E-2</v>
      </c>
      <c r="AA20" s="346">
        <f t="shared" si="22"/>
        <v>5.7257728187209686E-2</v>
      </c>
      <c r="AB20" s="346">
        <f t="shared" si="9"/>
        <v>2.1317200136627853E-2</v>
      </c>
      <c r="AC20" s="336">
        <f t="shared" si="2"/>
        <v>1.0624506814418358E-12</v>
      </c>
      <c r="AD20" s="337">
        <f t="shared" si="3"/>
        <v>3.9086622313260998E-14</v>
      </c>
      <c r="AE20" s="308">
        <f t="shared" si="10"/>
        <v>3.67891168936116</v>
      </c>
      <c r="AF20" s="337">
        <f t="shared" si="11"/>
        <v>7.8173244626521995E-14</v>
      </c>
      <c r="AG20" s="338">
        <f t="shared" si="23"/>
        <v>-27.570442912655945</v>
      </c>
      <c r="AH20" s="339">
        <f t="shared" si="24"/>
        <v>3.6789116893611598E-2</v>
      </c>
      <c r="AI20" s="340">
        <f t="shared" si="25"/>
        <v>0.13343680045387993</v>
      </c>
      <c r="AJ20" s="341">
        <f t="shared" si="12"/>
        <v>7.3578233787223196E-2</v>
      </c>
    </row>
    <row r="21" spans="1:39" ht="17" customHeight="1" x14ac:dyDescent="0.2">
      <c r="A21" s="309">
        <v>14</v>
      </c>
      <c r="B21" s="309">
        <f t="shared" si="13"/>
        <v>14</v>
      </c>
      <c r="C21" s="1">
        <v>379.98</v>
      </c>
      <c r="D21" s="1">
        <v>0.89</v>
      </c>
      <c r="E21" s="326">
        <f t="shared" si="4"/>
        <v>15.310887572152557</v>
      </c>
      <c r="F21" s="327">
        <f t="shared" si="0"/>
        <v>2.0237947209530729E-2</v>
      </c>
      <c r="G21" s="309">
        <f t="shared" si="5"/>
        <v>1</v>
      </c>
      <c r="H21" s="1">
        <v>3600</v>
      </c>
      <c r="I21" s="324">
        <v>30</v>
      </c>
      <c r="J21" s="1">
        <v>3.1370000000000002E-2</v>
      </c>
      <c r="K21" s="1">
        <v>1.8000000000000001E-4</v>
      </c>
      <c r="L21" s="328">
        <f t="shared" si="6"/>
        <v>0.57379662097545425</v>
      </c>
      <c r="M21" s="329">
        <f t="shared" si="1"/>
        <v>2.8887787933984457E-3</v>
      </c>
      <c r="N21" s="342">
        <f>(1/$J$52)*SQRT(((1-J22/$J$52)*K21)^2+(J22/$J$52)^2*(SUMSQ(K$8:K20)+SUMSQ(K22:K$43)))</f>
        <v>1.652853294894849E-5</v>
      </c>
      <c r="O21" s="340">
        <f t="shared" si="14"/>
        <v>0.57216333028753064</v>
      </c>
      <c r="P21" s="332">
        <f t="shared" si="7"/>
        <v>5.8307840497418779E-2</v>
      </c>
      <c r="Q21" s="342">
        <f>SQRT(((1-P21)/$J$52)^2*SUMSQ(K$8:K21)+(P21/$J$52)^2*SUMSQ(K22:K$43))</f>
        <v>6.2062473038355356E-5</v>
      </c>
      <c r="R21" s="340">
        <f t="shared" si="15"/>
        <v>0.10643932704230881</v>
      </c>
      <c r="S21" s="343">
        <f t="shared" si="16"/>
        <v>8.338215799703053E-9</v>
      </c>
      <c r="T21" s="344">
        <f t="shared" si="17"/>
        <v>6.9485131664192219E-11</v>
      </c>
      <c r="U21" s="344">
        <f>IF(P21&lt;=0.85, (1/(3*H21*$J$52))*SQRT( ((1-P21)*(1/SQRT(1-PI()*P21/3)-1) + (1-P20)*(1-1/SQRT(1-PI()*P20/3)))^2*SUMSQ(K$8:K20) + ( (1-P21)*(1/SQRT(1-PI()*P21/3)-1) -P20*(1-1/SQRT(1-PI()*P20/3)) )^2*K21^2 + ( P21*(1-1/SQRT(1-PI()*P21/3)) - P20*(1-1/SQRT(1-PI()*P20/3)) )^2*SUMSQ(K22:K$43) ), (1/(PI()^2*H21*$J$52))*SQRT((1+P20/(1-P20))^2*K21^2+(P20/(1-P20)-P21/(1-P21))^2*SUMSQ(K22:K$43)) )</f>
        <v>4.9615492735724527E-11</v>
      </c>
      <c r="V21" s="345">
        <f t="shared" si="18"/>
        <v>8.5380797851735141E-11</v>
      </c>
      <c r="W21" s="340">
        <f t="shared" si="19"/>
        <v>1.0239696345443086</v>
      </c>
      <c r="X21" s="345">
        <f t="shared" si="20"/>
        <v>1.7076159570347028E-10</v>
      </c>
      <c r="Y21" s="338">
        <f t="shared" si="8"/>
        <v>-18.602416576351981</v>
      </c>
      <c r="Z21" s="346">
        <f t="shared" si="21"/>
        <v>1.0239696345443085E-2</v>
      </c>
      <c r="AA21" s="346">
        <f t="shared" si="22"/>
        <v>5.5044979255330362E-2</v>
      </c>
      <c r="AB21" s="346">
        <f t="shared" si="9"/>
        <v>2.047939269088617E-2</v>
      </c>
      <c r="AC21" s="336">
        <f t="shared" si="2"/>
        <v>1.076043413665359E-12</v>
      </c>
      <c r="AD21" s="337">
        <f t="shared" si="3"/>
        <v>3.9458451055731891E-14</v>
      </c>
      <c r="AE21" s="308">
        <f t="shared" si="10"/>
        <v>3.6669943382045695</v>
      </c>
      <c r="AF21" s="337">
        <f t="shared" si="11"/>
        <v>7.8916902111463782E-14</v>
      </c>
      <c r="AG21" s="338">
        <f t="shared" si="23"/>
        <v>-27.557730307730246</v>
      </c>
      <c r="AH21" s="339">
        <f t="shared" si="24"/>
        <v>3.6669943382045697E-2</v>
      </c>
      <c r="AI21" s="340">
        <f t="shared" si="25"/>
        <v>0.13306590554650785</v>
      </c>
      <c r="AJ21" s="341">
        <f t="shared" si="12"/>
        <v>7.3339886764091394E-2</v>
      </c>
    </row>
    <row r="22" spans="1:39" ht="17" customHeight="1" x14ac:dyDescent="0.2">
      <c r="A22" s="309">
        <v>15</v>
      </c>
      <c r="B22" s="309">
        <f t="shared" si="13"/>
        <v>15</v>
      </c>
      <c r="C22" s="1">
        <v>390</v>
      </c>
      <c r="D22" s="1">
        <v>0.92</v>
      </c>
      <c r="E22" s="326">
        <f t="shared" si="4"/>
        <v>15.079544597753149</v>
      </c>
      <c r="F22" s="327">
        <f t="shared" si="0"/>
        <v>2.0303786148786928E-2</v>
      </c>
      <c r="G22" s="309">
        <f t="shared" si="5"/>
        <v>1</v>
      </c>
      <c r="H22" s="1">
        <v>3600</v>
      </c>
      <c r="I22" s="324">
        <v>30</v>
      </c>
      <c r="J22" s="1">
        <v>3.245E-2</v>
      </c>
      <c r="K22" s="1">
        <v>1.4999999999999999E-4</v>
      </c>
      <c r="L22" s="328">
        <f t="shared" si="6"/>
        <v>0.46224961479198762</v>
      </c>
      <c r="M22" s="329">
        <f t="shared" si="1"/>
        <v>2.9882330840223003E-3</v>
      </c>
      <c r="N22" s="342">
        <f>(1/$J$52)*SQRT(((1-J23/$J$52)*K22)^2+(J23/$J$52)^2*(SUMSQ(K$8:K21)+SUMSQ(K23:K$43)))</f>
        <v>1.37737909333711E-5</v>
      </c>
      <c r="O22" s="340">
        <f t="shared" si="14"/>
        <v>0.46093428946415843</v>
      </c>
      <c r="P22" s="332">
        <f t="shared" si="7"/>
        <v>6.1296073581441082E-2</v>
      </c>
      <c r="Q22" s="342">
        <f>SQRT(((1-P22)/$J$52)^2*SUMSQ(K$8:K22)+(P22/$J$52)^2*SUMSQ(K23:K$43))</f>
        <v>6.3218006124306754E-5</v>
      </c>
      <c r="R22" s="340">
        <f t="shared" si="15"/>
        <v>0.10313549046548975</v>
      </c>
      <c r="S22" s="343">
        <f t="shared" si="16"/>
        <v>9.0932161714806126E-9</v>
      </c>
      <c r="T22" s="344">
        <f t="shared" si="17"/>
        <v>7.577680142900517E-11</v>
      </c>
      <c r="U22" s="344">
        <f>IF(P22&lt;=0.85, (1/(3*H22*$J$52))*SQRT( ((1-P22)*(1/SQRT(1-PI()*P22/3)-1) + (1-P21)*(1-1/SQRT(1-PI()*P21/3)))^2*SUMSQ(K$8:K21) + ( (1-P22)*(1/SQRT(1-PI()*P22/3)-1) -P21*(1-1/SQRT(1-PI()*P21/3)) )^2*K22^2 + ( P22*(1-1/SQRT(1-PI()*P22/3)) - P21*(1-1/SQRT(1-PI()*P21/3)) )^2*SUMSQ(K23:K$43) ), (1/(PI()^2*H22*$J$52))*SQRT((1+P21/(1-P21))^2*K22^2+(P21/(1-P21)-P22/(1-P22))^2*SUMSQ(K23:K$43)) )</f>
        <v>4.3888189829202712E-11</v>
      </c>
      <c r="V22" s="345">
        <f t="shared" si="18"/>
        <v>8.7568812035421671E-11</v>
      </c>
      <c r="W22" s="340">
        <f t="shared" si="19"/>
        <v>0.963012540162269</v>
      </c>
      <c r="X22" s="345">
        <f t="shared" si="20"/>
        <v>1.7513762407084334E-10</v>
      </c>
      <c r="Y22" s="338">
        <f t="shared" si="8"/>
        <v>-18.51573717709023</v>
      </c>
      <c r="Z22" s="346">
        <f t="shared" si="21"/>
        <v>9.6301254016226898E-3</v>
      </c>
      <c r="AA22" s="346">
        <f t="shared" si="22"/>
        <v>5.2010488750824209E-2</v>
      </c>
      <c r="AB22" s="346">
        <f t="shared" si="9"/>
        <v>1.926025080324538E-2</v>
      </c>
      <c r="AC22" s="336">
        <f t="shared" si="2"/>
        <v>1.1734759096431044E-12</v>
      </c>
      <c r="AD22" s="337">
        <f t="shared" si="3"/>
        <v>4.2837057499410273E-14</v>
      </c>
      <c r="AE22" s="308">
        <f t="shared" si="10"/>
        <v>3.6504420028902462</v>
      </c>
      <c r="AF22" s="337">
        <f t="shared" si="11"/>
        <v>8.5674114998820546E-14</v>
      </c>
      <c r="AG22" s="338">
        <f t="shared" si="23"/>
        <v>-27.471050908468495</v>
      </c>
      <c r="AH22" s="339">
        <f t="shared" si="24"/>
        <v>3.650442002890246E-2</v>
      </c>
      <c r="AI22" s="340">
        <f t="shared" si="25"/>
        <v>0.13288323097115026</v>
      </c>
      <c r="AJ22" s="341">
        <f t="shared" si="12"/>
        <v>7.3008840057804919E-2</v>
      </c>
    </row>
    <row r="23" spans="1:39" ht="17" customHeight="1" x14ac:dyDescent="0.2">
      <c r="A23" s="309">
        <v>16</v>
      </c>
      <c r="B23" s="309">
        <f t="shared" si="13"/>
        <v>16</v>
      </c>
      <c r="C23" s="1">
        <v>399.99</v>
      </c>
      <c r="D23" s="1">
        <v>1.04</v>
      </c>
      <c r="E23" s="326">
        <f t="shared" si="4"/>
        <v>14.855750661080904</v>
      </c>
      <c r="F23" s="327">
        <f t="shared" si="0"/>
        <v>2.228571761742907E-2</v>
      </c>
      <c r="G23" s="309">
        <f t="shared" si="5"/>
        <v>1</v>
      </c>
      <c r="H23" s="1">
        <v>3600</v>
      </c>
      <c r="I23" s="324">
        <v>30</v>
      </c>
      <c r="J23" s="1">
        <v>3.3250000000000002E-2</v>
      </c>
      <c r="K23" s="1">
        <v>2.39999999999999E-4</v>
      </c>
      <c r="L23" s="328">
        <f t="shared" si="6"/>
        <v>0.72180451127819245</v>
      </c>
      <c r="M23" s="329">
        <f t="shared" si="1"/>
        <v>3.0619029289288592E-3</v>
      </c>
      <c r="N23" s="342">
        <f>(1/$J$52)*SQRT(((1-J24/$J$52)*K23)^2+(J24/$J$52)^2*(SUMSQ(K$8:K22)+SUMSQ(K24:K$43)))</f>
        <v>2.2027561128972207E-5</v>
      </c>
      <c r="O23" s="340">
        <f t="shared" si="14"/>
        <v>0.71940755929444422</v>
      </c>
      <c r="P23" s="332">
        <f t="shared" si="7"/>
        <v>6.4357976510369938E-2</v>
      </c>
      <c r="Q23" s="342">
        <f>SQRT(((1-P23)/$J$52)^2*SUMSQ(K$8:K23)+(P23/$J$52)^2*SUMSQ(K24:K$43))</f>
        <v>6.6316598873152207E-5</v>
      </c>
      <c r="R23" s="340">
        <f t="shared" si="15"/>
        <v>0.10304332495983103</v>
      </c>
      <c r="S23" s="343">
        <f t="shared" si="16"/>
        <v>9.8134592427244137E-9</v>
      </c>
      <c r="T23" s="344">
        <f t="shared" si="17"/>
        <v>8.1778827022703383E-11</v>
      </c>
      <c r="U23" s="344">
        <f>IF(P23&lt;=0.85, (1/(3*H23*$J$52))*SQRT( ((1-P23)*(1/SQRT(1-PI()*P23/3)-1) + (1-P22)*(1-1/SQRT(1-PI()*P22/3)))^2*SUMSQ(K$8:K22) + ( (1-P23)*(1/SQRT(1-PI()*P23/3)-1) -P22*(1-1/SQRT(1-PI()*P22/3)) )^2*K23^2 + ( P23*(1-1/SQRT(1-PI()*P23/3)) - P22*(1-1/SQRT(1-PI()*P22/3)) )^2*SUMSQ(K24:K$43) ), (1/(PI()^2*H23*$J$52))*SQRT((1+P22/(1-P22))^2*K23^2+(P22/(1-P22)-P23/(1-P23))^2*SUMSQ(K24:K$43)) )</f>
        <v>7.2866055857888459E-11</v>
      </c>
      <c r="V23" s="345">
        <f t="shared" si="18"/>
        <v>1.0953190697460791E-10</v>
      </c>
      <c r="W23" s="340">
        <f t="shared" si="19"/>
        <v>1.1161396227921732</v>
      </c>
      <c r="X23" s="345">
        <f t="shared" si="20"/>
        <v>2.1906381394921582E-10</v>
      </c>
      <c r="Y23" s="338">
        <f t="shared" si="8"/>
        <v>-18.439511001395488</v>
      </c>
      <c r="Z23" s="346">
        <f t="shared" si="21"/>
        <v>1.1161396227921731E-2</v>
      </c>
      <c r="AA23" s="346">
        <f t="shared" si="22"/>
        <v>6.0529784260965738E-2</v>
      </c>
      <c r="AB23" s="346">
        <f t="shared" si="9"/>
        <v>2.2322792455843461E-2</v>
      </c>
      <c r="AC23" s="336">
        <f t="shared" si="2"/>
        <v>1.2664229898898884E-12</v>
      </c>
      <c r="AD23" s="337">
        <f t="shared" si="3"/>
        <v>4.6779034484816716E-14</v>
      </c>
      <c r="AE23" s="308">
        <f t="shared" si="10"/>
        <v>3.6937922683229245</v>
      </c>
      <c r="AF23" s="337">
        <f t="shared" si="11"/>
        <v>9.3558068969633432E-14</v>
      </c>
      <c r="AG23" s="338">
        <f t="shared" si="23"/>
        <v>-27.394824732773753</v>
      </c>
      <c r="AH23" s="339">
        <f t="shared" si="24"/>
        <v>3.6937922683229249E-2</v>
      </c>
      <c r="AI23" s="340">
        <f t="shared" si="25"/>
        <v>0.13483540429093757</v>
      </c>
      <c r="AJ23" s="341">
        <f t="shared" si="12"/>
        <v>7.3875845366458498E-2</v>
      </c>
    </row>
    <row r="24" spans="1:39" ht="17" customHeight="1" x14ac:dyDescent="0.2">
      <c r="A24" s="309">
        <v>17</v>
      </c>
      <c r="B24" s="309">
        <f t="shared" si="13"/>
        <v>17</v>
      </c>
      <c r="C24" s="1">
        <v>409.98</v>
      </c>
      <c r="D24" s="1">
        <v>0.93</v>
      </c>
      <c r="E24" s="326">
        <f t="shared" si="4"/>
        <v>14.638502188456076</v>
      </c>
      <c r="F24" s="327">
        <f t="shared" si="0"/>
        <v>1.9357132576215907E-2</v>
      </c>
      <c r="G24" s="309">
        <f t="shared" si="5"/>
        <v>1</v>
      </c>
      <c r="H24" s="1">
        <v>3600</v>
      </c>
      <c r="I24" s="324">
        <v>30</v>
      </c>
      <c r="J24" s="1">
        <v>3.7170000000000002E-2</v>
      </c>
      <c r="K24" s="1">
        <v>1.8999999999999901E-4</v>
      </c>
      <c r="L24" s="328">
        <f t="shared" si="6"/>
        <v>0.51116491794457619</v>
      </c>
      <c r="M24" s="329">
        <f t="shared" si="1"/>
        <v>3.4228851689709983E-3</v>
      </c>
      <c r="N24" s="342">
        <f>(1/$J$52)*SQRT(((1-J25/$J$52)*K24)^2+(J25/$J$52)^2*(SUMSQ(K$8:K23)+SUMSQ(K25:K$43)))</f>
        <v>1.7433210200627179E-5</v>
      </c>
      <c r="O24" s="340">
        <f t="shared" si="14"/>
        <v>0.50931332311881272</v>
      </c>
      <c r="P24" s="332">
        <f t="shared" si="7"/>
        <v>6.7780861679340942E-2</v>
      </c>
      <c r="Q24" s="342">
        <f>SQRT(((1-P24)/$J$52)^2*SUMSQ(K$8:K24)+(P24/$J$52)^2*SUMSQ(K25:K$43))</f>
        <v>6.80611369459739E-5</v>
      </c>
      <c r="R24" s="340">
        <f t="shared" si="15"/>
        <v>0.10041350207077462</v>
      </c>
      <c r="S24" s="343">
        <f t="shared" si="16"/>
        <v>1.1567967623629441E-8</v>
      </c>
      <c r="T24" s="344">
        <f t="shared" si="17"/>
        <v>9.6399730196911841E-11</v>
      </c>
      <c r="U24" s="344">
        <f>IF(P24&lt;=0.85, (1/(3*H24*$J$52))*SQRT( ((1-P24)*(1/SQRT(1-PI()*P24/3)-1) + (1-P23)*(1-1/SQRT(1-PI()*P23/3)))^2*SUMSQ(K$8:K23) + ( (1-P24)*(1/SQRT(1-PI()*P24/3)-1) -P23*(1-1/SQRT(1-PI()*P23/3)) )^2*K24^2 + ( P24*(1-1/SQRT(1-PI()*P24/3)) - P23*(1-1/SQRT(1-PI()*P23/3)) )^2*SUMSQ(K25:K$43) ), (1/(PI()^2*H24*$J$52))*SQRT((1+P23/(1-P23))^2*K24^2+(P23/(1-P23)-P24/(1-P24))^2*SUMSQ(K25:K$43)) )</f>
        <v>6.141624341337095E-11</v>
      </c>
      <c r="V24" s="345">
        <f t="shared" si="18"/>
        <v>1.1430163138401755E-10</v>
      </c>
      <c r="W24" s="340">
        <f t="shared" si="19"/>
        <v>0.9880874074244298</v>
      </c>
      <c r="X24" s="345">
        <f t="shared" si="20"/>
        <v>2.2860326276803511E-10</v>
      </c>
      <c r="Y24" s="338">
        <f t="shared" si="8"/>
        <v>-18.275025970321138</v>
      </c>
      <c r="Z24" s="346">
        <f t="shared" si="21"/>
        <v>9.8808740742442978E-3</v>
      </c>
      <c r="AA24" s="346">
        <f t="shared" si="22"/>
        <v>5.4067633557900029E-2</v>
      </c>
      <c r="AB24" s="346">
        <f t="shared" si="9"/>
        <v>1.9761748148488596E-2</v>
      </c>
      <c r="AC24" s="336">
        <f t="shared" si="2"/>
        <v>1.4928415946423298E-12</v>
      </c>
      <c r="AD24" s="337">
        <f t="shared" si="3"/>
        <v>5.4595260986278563E-14</v>
      </c>
      <c r="AE24" s="308">
        <f t="shared" si="10"/>
        <v>3.6571369113920658</v>
      </c>
      <c r="AF24" s="337">
        <f t="shared" si="11"/>
        <v>1.0919052197255713E-13</v>
      </c>
      <c r="AG24" s="338">
        <f t="shared" si="23"/>
        <v>-27.230339701699403</v>
      </c>
      <c r="AH24" s="339">
        <f t="shared" si="24"/>
        <v>3.6571369113920657E-2</v>
      </c>
      <c r="AI24" s="340">
        <f t="shared" si="25"/>
        <v>0.13430375645162551</v>
      </c>
      <c r="AJ24" s="341">
        <f t="shared" si="12"/>
        <v>7.3142738227841314E-2</v>
      </c>
    </row>
    <row r="25" spans="1:39" ht="17" customHeight="1" x14ac:dyDescent="0.2">
      <c r="A25" s="309">
        <v>18</v>
      </c>
      <c r="B25" s="309">
        <f t="shared" si="13"/>
        <v>18</v>
      </c>
      <c r="C25" s="1">
        <v>419.99</v>
      </c>
      <c r="D25" s="1">
        <v>0.91</v>
      </c>
      <c r="E25" s="326">
        <f t="shared" si="4"/>
        <v>14.427099864385262</v>
      </c>
      <c r="F25" s="327">
        <f t="shared" si="0"/>
        <v>1.8406454267769021E-2</v>
      </c>
      <c r="G25" s="309">
        <f t="shared" si="5"/>
        <v>1</v>
      </c>
      <c r="H25" s="1">
        <v>3600</v>
      </c>
      <c r="I25" s="324">
        <v>30</v>
      </c>
      <c r="J25" s="1">
        <v>4.1599999999999998E-2</v>
      </c>
      <c r="K25" s="1">
        <v>2.2000000000000001E-4</v>
      </c>
      <c r="L25" s="328">
        <f t="shared" si="6"/>
        <v>0.52884615384615385</v>
      </c>
      <c r="M25" s="329">
        <f t="shared" si="1"/>
        <v>3.8308319351410686E-3</v>
      </c>
      <c r="N25" s="342">
        <f>(1/$J$52)*SQRT(((1-J26/$J$52)*K25)^2+(J26/$J$52)^2*(SUMSQ(K$8:K24)+SUMSQ(K26:K$43)))</f>
        <v>2.0175838441065382E-5</v>
      </c>
      <c r="O25" s="340">
        <f t="shared" si="14"/>
        <v>0.52666989266712416</v>
      </c>
      <c r="P25" s="332">
        <f t="shared" si="7"/>
        <v>7.1611693614482011E-2</v>
      </c>
      <c r="Q25" s="342">
        <f>SQRT(((1-P25)/$J$52)^2*SUMSQ(K$8:K25)+(P25/$J$52)^2*SUMSQ(K26:K$43))</f>
        <v>7.0342519666623425E-5</v>
      </c>
      <c r="R25" s="340">
        <f t="shared" si="15"/>
        <v>9.8227700136948135E-2</v>
      </c>
      <c r="S25" s="343">
        <f t="shared" si="16"/>
        <v>1.3699087492176968E-8</v>
      </c>
      <c r="T25" s="344">
        <f t="shared" si="17"/>
        <v>1.1415906243480821E-10</v>
      </c>
      <c r="U25" s="344">
        <f>IF(P25&lt;=0.85, (1/(3*H25*$J$52))*SQRT( ((1-P25)*(1/SQRT(1-PI()*P25/3)-1) + (1-P24)*(1-1/SQRT(1-PI()*P24/3)))^2*SUMSQ(K$8:K24) + ( (1-P25)*(1/SQRT(1-PI()*P25/3)-1) -P24*(1-1/SQRT(1-PI()*P24/3)) )^2*K25^2 + ( P25*(1-1/SQRT(1-PI()*P25/3)) - P24*(1-1/SQRT(1-PI()*P24/3)) )^2*SUMSQ(K26:K$43) ), (1/(PI()^2*H25*$J$52))*SQRT((1+P24/(1-P24))^2*K25^2+(P24/(1-P24)-P25/(1-P25))^2*SUMSQ(K26:K$43)) )</f>
        <v>7.5155465914658518E-11</v>
      </c>
      <c r="V25" s="345">
        <f t="shared" si="18"/>
        <v>1.3667712168773471E-10</v>
      </c>
      <c r="W25" s="340">
        <f t="shared" si="19"/>
        <v>0.99770967785836728</v>
      </c>
      <c r="X25" s="345">
        <f t="shared" si="20"/>
        <v>2.7335424337546942E-10</v>
      </c>
      <c r="Y25" s="338">
        <f t="shared" si="8"/>
        <v>-18.105936612741079</v>
      </c>
      <c r="Z25" s="346">
        <f t="shared" si="21"/>
        <v>9.9770967785836728E-3</v>
      </c>
      <c r="AA25" s="346">
        <f t="shared" si="22"/>
        <v>5.5104008105069963E-2</v>
      </c>
      <c r="AB25" s="346">
        <f t="shared" si="9"/>
        <v>1.9954193557167346E-2</v>
      </c>
      <c r="AC25" s="336">
        <f t="shared" si="2"/>
        <v>1.7678617612304408E-12</v>
      </c>
      <c r="AD25" s="337">
        <f t="shared" si="3"/>
        <v>6.4699292312996764E-14</v>
      </c>
      <c r="AE25" s="308">
        <f t="shared" si="10"/>
        <v>3.659748388243079</v>
      </c>
      <c r="AF25" s="337">
        <f t="shared" si="11"/>
        <v>1.2939858462599353E-13</v>
      </c>
      <c r="AG25" s="338">
        <f t="shared" si="23"/>
        <v>-27.06125034411934</v>
      </c>
      <c r="AH25" s="339">
        <f t="shared" si="24"/>
        <v>3.6597483882430788E-2</v>
      </c>
      <c r="AI25" s="340">
        <f t="shared" si="25"/>
        <v>0.13523944170001648</v>
      </c>
      <c r="AJ25" s="341">
        <f t="shared" si="12"/>
        <v>7.3194967764861577E-2</v>
      </c>
    </row>
    <row r="26" spans="1:39" ht="17" customHeight="1" x14ac:dyDescent="0.2">
      <c r="A26" s="309">
        <v>19</v>
      </c>
      <c r="B26" s="309">
        <f t="shared" si="13"/>
        <v>19</v>
      </c>
      <c r="C26" s="1">
        <v>429.98</v>
      </c>
      <c r="D26" s="1">
        <v>1.04</v>
      </c>
      <c r="E26" s="326">
        <f t="shared" si="4"/>
        <v>14.222121087138936</v>
      </c>
      <c r="F26" s="327">
        <f t="shared" si="0"/>
        <v>2.0450696604842052E-2</v>
      </c>
      <c r="G26" s="309">
        <f t="shared" si="5"/>
        <v>1</v>
      </c>
      <c r="H26" s="1">
        <v>3600</v>
      </c>
      <c r="I26" s="324">
        <v>30</v>
      </c>
      <c r="J26" s="1">
        <v>4.6800000000000001E-2</v>
      </c>
      <c r="K26" s="1">
        <v>2.1000000000000001E-4</v>
      </c>
      <c r="L26" s="328">
        <f t="shared" si="6"/>
        <v>0.44871794871794868</v>
      </c>
      <c r="M26" s="329">
        <f t="shared" si="1"/>
        <v>4.309685927033703E-3</v>
      </c>
      <c r="N26" s="342">
        <f>(1/$J$52)*SQRT(((1-J27/$J$52)*K26)^2+(J27/$J$52)^2*(SUMSQ(K$8:K25)+SUMSQ(K27:K$43)))</f>
        <v>1.9255844773002999E-5</v>
      </c>
      <c r="O26" s="340">
        <f t="shared" si="14"/>
        <v>0.44680389937965925</v>
      </c>
      <c r="P26" s="332">
        <f t="shared" si="7"/>
        <v>7.5921379541515718E-2</v>
      </c>
      <c r="Q26" s="342">
        <f>SQRT(((1-P26)/$J$52)^2*SUMSQ(K$8:K26)+(P26/$J$52)^2*SUMSQ(K27:K$43))</f>
        <v>7.2260959508103643E-5</v>
      </c>
      <c r="R26" s="340">
        <f t="shared" si="15"/>
        <v>9.5178670282972833E-2</v>
      </c>
      <c r="S26" s="343">
        <f t="shared" si="16"/>
        <v>1.6367664356775055E-8</v>
      </c>
      <c r="T26" s="344">
        <f t="shared" si="17"/>
        <v>1.3639720297312517E-10</v>
      </c>
      <c r="U26" s="344">
        <f>IF(P26&lt;=0.85, (1/(3*H26*$J$52))*SQRT( ((1-P26)*(1/SQRT(1-PI()*P26/3)-1) + (1-P25)*(1-1/SQRT(1-PI()*P25/3)))^2*SUMSQ(K$8:K25) + ( (1-P26)*(1/SQRT(1-PI()*P26/3)-1) -P25*(1-1/SQRT(1-PI()*P25/3)) )^2*K26^2 + ( P26*(1-1/SQRT(1-PI()*P26/3)) - P25*(1-1/SQRT(1-PI()*P25/3)) )^2*SUMSQ(K27:K$43) ), (1/(PI()^2*H26*$J$52))*SQRT((1+P25/(1-P25))^2*K26^2+(P25/(1-P25)-P26/(1-P26))^2*SUMSQ(K27:K$43)) )</f>
        <v>7.6633779141840112E-11</v>
      </c>
      <c r="V26" s="345">
        <f t="shared" si="18"/>
        <v>1.564510565143369E-10</v>
      </c>
      <c r="W26" s="340">
        <f t="shared" si="19"/>
        <v>0.95585450131482708</v>
      </c>
      <c r="X26" s="345">
        <f t="shared" si="20"/>
        <v>3.129021130286738E-10</v>
      </c>
      <c r="Y26" s="338">
        <f t="shared" si="8"/>
        <v>-17.927958134009522</v>
      </c>
      <c r="Z26" s="346">
        <f t="shared" si="21"/>
        <v>9.5585450131482706E-3</v>
      </c>
      <c r="AA26" s="346">
        <f t="shared" si="22"/>
        <v>5.3316417528974543E-2</v>
      </c>
      <c r="AB26" s="346">
        <f t="shared" si="9"/>
        <v>1.9117090026296541E-2</v>
      </c>
      <c r="AC26" s="336">
        <f t="shared" si="2"/>
        <v>2.1122405381760782E-12</v>
      </c>
      <c r="AD26" s="337">
        <f t="shared" si="3"/>
        <v>7.7066367484365251E-14</v>
      </c>
      <c r="AE26" s="308">
        <f t="shared" si="10"/>
        <v>3.6485601943286317</v>
      </c>
      <c r="AF26" s="337">
        <f t="shared" si="11"/>
        <v>1.541327349687305E-13</v>
      </c>
      <c r="AG26" s="338">
        <f t="shared" si="23"/>
        <v>-26.883271865387787</v>
      </c>
      <c r="AH26" s="339">
        <f t="shared" si="24"/>
        <v>3.6485601943286317E-2</v>
      </c>
      <c r="AI26" s="340">
        <f t="shared" si="25"/>
        <v>0.13571860644783171</v>
      </c>
      <c r="AJ26" s="341">
        <f t="shared" si="12"/>
        <v>7.2971203886572633E-2</v>
      </c>
    </row>
    <row r="27" spans="1:39" ht="17" customHeight="1" x14ac:dyDescent="0.2">
      <c r="A27" s="309">
        <v>20</v>
      </c>
      <c r="B27" s="309">
        <f t="shared" si="13"/>
        <v>20</v>
      </c>
      <c r="C27" s="1">
        <v>439.97</v>
      </c>
      <c r="D27" s="1">
        <v>0.98</v>
      </c>
      <c r="E27" s="326">
        <f t="shared" si="4"/>
        <v>14.022885348889387</v>
      </c>
      <c r="F27" s="327">
        <f t="shared" si="0"/>
        <v>1.8740505701256151E-2</v>
      </c>
      <c r="G27" s="309">
        <f t="shared" si="5"/>
        <v>1</v>
      </c>
      <c r="H27" s="1">
        <v>3600</v>
      </c>
      <c r="I27" s="324">
        <v>30</v>
      </c>
      <c r="J27" s="1">
        <v>4.8860000000000001E-2</v>
      </c>
      <c r="K27" s="1">
        <v>1.6000000000000001E-4</v>
      </c>
      <c r="L27" s="328">
        <f t="shared" si="6"/>
        <v>0.32746623004502662</v>
      </c>
      <c r="M27" s="329">
        <f t="shared" si="1"/>
        <v>4.4993857776680921E-3</v>
      </c>
      <c r="N27" s="342">
        <f>(1/$J$52)*SQRT(((1-J28/$J$52)*K27)^2+(J28/$J$52)^2*(SUMSQ(K$8:K26)+SUMSQ(K28:K$43)))</f>
        <v>1.4669310797403599E-5</v>
      </c>
      <c r="O27" s="340">
        <f t="shared" si="14"/>
        <v>0.32602918536597009</v>
      </c>
      <c r="P27" s="332">
        <f t="shared" si="7"/>
        <v>8.042076531918381E-2</v>
      </c>
      <c r="Q27" s="342">
        <f>SQRT(((1-P27)/$J$52)^2*SUMSQ(K$8:K27)+(P27/$J$52)^2*SUMSQ(K28:K$43))</f>
        <v>7.3179776477073487E-5</v>
      </c>
      <c r="R27" s="340">
        <f t="shared" si="15"/>
        <v>9.0996120450518719E-2</v>
      </c>
      <c r="S27" s="343">
        <f t="shared" si="16"/>
        <v>1.817616459377886E-8</v>
      </c>
      <c r="T27" s="344">
        <f t="shared" si="17"/>
        <v>1.5146803828149069E-10</v>
      </c>
      <c r="U27" s="344">
        <f>IF(P27&lt;=0.85, (1/(3*H27*$J$52))*SQRT( ((1-P27)*(1/SQRT(1-PI()*P27/3)-1) + (1-P26)*(1-1/SQRT(1-PI()*P26/3)))^2*SUMSQ(K$8:K26) + ( (1-P27)*(1/SQRT(1-PI()*P27/3)-1) -P26*(1-1/SQRT(1-PI()*P26/3)) )^2*K27^2 + ( P27*(1-1/SQRT(1-PI()*P27/3)) - P26*(1-1/SQRT(1-PI()*P26/3)) )^2*SUMSQ(K28:K$43) ), (1/(PI()^2*H27*$J$52))*SQRT((1+P26/(1-P26))^2*K27^2+(P26/(1-P26)-P27/(1-P27))^2*SUMSQ(K28:K$43)) )</f>
        <v>6.3006121309107004E-11</v>
      </c>
      <c r="V27" s="345">
        <f t="shared" si="18"/>
        <v>1.6404980324054349E-10</v>
      </c>
      <c r="W27" s="340">
        <f t="shared" si="19"/>
        <v>0.90255456476606</v>
      </c>
      <c r="X27" s="345">
        <f t="shared" si="20"/>
        <v>3.2809960648108698E-10</v>
      </c>
      <c r="Y27" s="338">
        <f t="shared" si="8"/>
        <v>-17.823154738893056</v>
      </c>
      <c r="Z27" s="346">
        <f t="shared" si="21"/>
        <v>9.0255456476605999E-3</v>
      </c>
      <c r="AA27" s="346">
        <f t="shared" si="22"/>
        <v>5.0639439425195443E-2</v>
      </c>
      <c r="AB27" s="346">
        <f t="shared" si="9"/>
        <v>1.80510912953212E-2</v>
      </c>
      <c r="AC27" s="336">
        <f t="shared" si="2"/>
        <v>2.3456267703613243E-12</v>
      </c>
      <c r="AD27" s="337">
        <f t="shared" si="3"/>
        <v>8.5262608418429676E-14</v>
      </c>
      <c r="AE27" s="308">
        <f t="shared" si="10"/>
        <v>3.6349605783743537</v>
      </c>
      <c r="AF27" s="337">
        <f t="shared" si="11"/>
        <v>1.7052521683685935E-13</v>
      </c>
      <c r="AG27" s="338">
        <f t="shared" si="23"/>
        <v>-26.778468470271321</v>
      </c>
      <c r="AH27" s="339">
        <f t="shared" si="24"/>
        <v>3.6349605783743542E-2</v>
      </c>
      <c r="AI27" s="340">
        <f t="shared" si="25"/>
        <v>0.13574191453143716</v>
      </c>
      <c r="AJ27" s="341">
        <f t="shared" si="12"/>
        <v>7.2699211567487085E-2</v>
      </c>
    </row>
    <row r="28" spans="1:39" ht="17" customHeight="1" x14ac:dyDescent="0.2">
      <c r="A28" s="309">
        <v>21</v>
      </c>
      <c r="B28" s="309">
        <f t="shared" si="13"/>
        <v>21</v>
      </c>
      <c r="C28" s="1">
        <v>449.99</v>
      </c>
      <c r="D28" s="1">
        <v>0.97</v>
      </c>
      <c r="E28" s="326">
        <f t="shared" si="4"/>
        <v>13.828580911026911</v>
      </c>
      <c r="F28" s="327">
        <f t="shared" si="0"/>
        <v>1.8048181391924545E-2</v>
      </c>
      <c r="G28" s="309">
        <f t="shared" si="5"/>
        <v>1</v>
      </c>
      <c r="H28" s="1">
        <v>3600</v>
      </c>
      <c r="I28" s="324">
        <v>30</v>
      </c>
      <c r="J28" s="1">
        <v>5.287E-2</v>
      </c>
      <c r="K28" s="1">
        <v>2.39999999999999E-4</v>
      </c>
      <c r="L28" s="328">
        <f t="shared" si="6"/>
        <v>0.45394363533194437</v>
      </c>
      <c r="M28" s="329">
        <f t="shared" si="1"/>
        <v>4.868655875262219E-3</v>
      </c>
      <c r="N28" s="342">
        <f>(1/$J$52)*SQRT(((1-J29/$J$52)*K28)^2+(J29/$J$52)^2*(SUMSQ(K$8:K27)+SUMSQ(K29:K$43)))</f>
        <v>2.1995524543293778E-5</v>
      </c>
      <c r="O28" s="340">
        <f t="shared" si="14"/>
        <v>0.45177817259695174</v>
      </c>
      <c r="P28" s="332">
        <f t="shared" si="7"/>
        <v>8.5289421194446033E-2</v>
      </c>
      <c r="Q28" s="342">
        <f>SQRT(((1-P28)/$J$52)^2*SUMSQ(K$8:K28)+(P28/$J$52)^2*SUMSQ(K29:K$43))</f>
        <v>7.5539291715996583E-5</v>
      </c>
      <c r="R28" s="340">
        <f t="shared" si="15"/>
        <v>8.8568184257903762E-2</v>
      </c>
      <c r="S28" s="343">
        <f t="shared" si="16"/>
        <v>2.092975860417686E-8</v>
      </c>
      <c r="T28" s="344">
        <f t="shared" si="17"/>
        <v>1.7441465503480773E-10</v>
      </c>
      <c r="U28" s="344">
        <f>IF(P28&lt;=0.85, (1/(3*H28*$J$52))*SQRT( ((1-P28)*(1/SQRT(1-PI()*P28/3)-1) + (1-P27)*(1-1/SQRT(1-PI()*P27/3)))^2*SUMSQ(K$8:K27) + ( (1-P28)*(1/SQRT(1-PI()*P28/3)-1) -P27*(1-1/SQRT(1-PI()*P27/3)) )^2*K28^2 + ( P28*(1-1/SQRT(1-PI()*P28/3)) - P27*(1-1/SQRT(1-PI()*P27/3)) )^2*SUMSQ(K29:K$43) ), (1/(PI()^2*H28*$J$52))*SQRT((1+P27/(1-P27))^2*K28^2+(P27/(1-P27)-P28/(1-P28))^2*SUMSQ(K29:K$43)) )</f>
        <v>9.8728603199087425E-11</v>
      </c>
      <c r="V28" s="345">
        <f t="shared" si="18"/>
        <v>2.0041908337419827E-10</v>
      </c>
      <c r="W28" s="340">
        <f t="shared" si="19"/>
        <v>0.9575795266659286</v>
      </c>
      <c r="X28" s="345">
        <f t="shared" si="20"/>
        <v>4.0083816674839654E-10</v>
      </c>
      <c r="Y28" s="338">
        <f t="shared" si="8"/>
        <v>-17.682093834039158</v>
      </c>
      <c r="Z28" s="346">
        <f t="shared" si="21"/>
        <v>9.5757952666592865E-3</v>
      </c>
      <c r="AA28" s="346">
        <f t="shared" si="22"/>
        <v>5.415532434414113E-2</v>
      </c>
      <c r="AB28" s="346">
        <f t="shared" si="9"/>
        <v>1.9151590533318573E-2</v>
      </c>
      <c r="AC28" s="336">
        <f t="shared" si="2"/>
        <v>2.7009769759655822E-12</v>
      </c>
      <c r="AD28" s="337">
        <f t="shared" si="3"/>
        <v>9.8558987433244641E-14</v>
      </c>
      <c r="AE28" s="308">
        <f t="shared" si="10"/>
        <v>3.6490124984501371</v>
      </c>
      <c r="AF28" s="337">
        <f t="shared" si="11"/>
        <v>1.9711797486648928E-13</v>
      </c>
      <c r="AG28" s="338">
        <f t="shared" si="23"/>
        <v>-26.637407565417423</v>
      </c>
      <c r="AH28" s="339">
        <f t="shared" si="24"/>
        <v>3.6490124984501368E-2</v>
      </c>
      <c r="AI28" s="340">
        <f t="shared" si="25"/>
        <v>0.13698827445909356</v>
      </c>
      <c r="AJ28" s="341">
        <f t="shared" si="12"/>
        <v>7.2980249969002736E-2</v>
      </c>
    </row>
    <row r="29" spans="1:39" ht="17" customHeight="1" x14ac:dyDescent="0.2">
      <c r="A29" s="309">
        <v>22</v>
      </c>
      <c r="B29" s="309">
        <f t="shared" si="13"/>
        <v>22</v>
      </c>
      <c r="C29" s="1">
        <v>459.96</v>
      </c>
      <c r="D29" s="1">
        <v>1.07</v>
      </c>
      <c r="E29" s="326">
        <f t="shared" si="4"/>
        <v>13.640517794055464</v>
      </c>
      <c r="F29" s="327">
        <f t="shared" si="0"/>
        <v>1.9375556703316456E-2</v>
      </c>
      <c r="G29" s="309">
        <f t="shared" si="5"/>
        <v>1</v>
      </c>
      <c r="H29" s="1">
        <v>3600</v>
      </c>
      <c r="I29" s="324">
        <v>30</v>
      </c>
      <c r="J29" s="1">
        <v>5.416E-2</v>
      </c>
      <c r="K29" s="1">
        <v>2.1000000000000001E-4</v>
      </c>
      <c r="L29" s="328">
        <f t="shared" si="6"/>
        <v>0.38774002954209752</v>
      </c>
      <c r="M29" s="329">
        <f t="shared" si="1"/>
        <v>4.9874485001740456E-3</v>
      </c>
      <c r="N29" s="342">
        <f>(1/$J$52)*SQRT(((1-J30/$J$52)*K29)^2+(J30/$J$52)^2*(SUMSQ(K$8:K28)+SUMSQ(K30:K$43)))</f>
        <v>1.9247332816409015E-5</v>
      </c>
      <c r="O29" s="340">
        <f t="shared" si="14"/>
        <v>0.38591541979305344</v>
      </c>
      <c r="P29" s="332">
        <f t="shared" si="7"/>
        <v>9.0276869694620079E-2</v>
      </c>
      <c r="Q29" s="342">
        <f>SQRT(((1-P29)/$J$52)^2*SUMSQ(K$8:K29)+(P29/$J$52)^2*SUMSQ(K30:K$43))</f>
        <v>7.7153431328317543E-5</v>
      </c>
      <c r="R29" s="340">
        <f t="shared" si="15"/>
        <v>8.5463122048100207E-2</v>
      </c>
      <c r="S29" s="343">
        <f t="shared" si="16"/>
        <v>2.2811663437859244E-8</v>
      </c>
      <c r="T29" s="344">
        <f t="shared" si="17"/>
        <v>1.9009719531549311E-10</v>
      </c>
      <c r="U29" s="344">
        <f>IF(P29&lt;=0.85, (1/(3*H29*$J$52))*SQRT( ((1-P29)*(1/SQRT(1-PI()*P29/3)-1) + (1-P28)*(1-1/SQRT(1-PI()*P28/3)))^2*SUMSQ(K$8:K28) + ( (1-P29)*(1/SQRT(1-PI()*P29/3)-1) -P28*(1-1/SQRT(1-PI()*P28/3)) )^2*K29^2 + ( P29*(1-1/SQRT(1-PI()*P29/3)) - P28*(1-1/SQRT(1-PI()*P28/3)) )^2*SUMSQ(K30:K$43) ), (1/(PI()^2*H29*$J$52))*SQRT((1+P28/(1-P28))^2*K29^2+(P28/(1-P28)-P29/(1-P29))^2*SUMSQ(K30:K$43)) )</f>
        <v>9.2269492044270499E-11</v>
      </c>
      <c r="V29" s="345">
        <f t="shared" si="18"/>
        <v>2.1130689252583417E-10</v>
      </c>
      <c r="W29" s="340">
        <f t="shared" si="19"/>
        <v>0.92631075809728081</v>
      </c>
      <c r="X29" s="345">
        <f t="shared" si="20"/>
        <v>4.2261378505166835E-10</v>
      </c>
      <c r="Y29" s="338">
        <f t="shared" si="8"/>
        <v>-17.595993877493235</v>
      </c>
      <c r="Z29" s="346">
        <f t="shared" si="21"/>
        <v>9.2631075809728076E-3</v>
      </c>
      <c r="AA29" s="346">
        <f t="shared" si="22"/>
        <v>5.2643275767566076E-2</v>
      </c>
      <c r="AB29" s="346">
        <f t="shared" si="9"/>
        <v>1.8526215161945615E-2</v>
      </c>
      <c r="AC29" s="336">
        <f t="shared" si="2"/>
        <v>2.9438360419903603E-12</v>
      </c>
      <c r="AD29" s="337">
        <f t="shared" si="3"/>
        <v>1.0718306628072293E-13</v>
      </c>
      <c r="AE29" s="308">
        <f t="shared" si="10"/>
        <v>3.6409319252798897</v>
      </c>
      <c r="AF29" s="337">
        <f t="shared" si="11"/>
        <v>2.1436613256144585E-13</v>
      </c>
      <c r="AG29" s="338">
        <f t="shared" si="23"/>
        <v>-26.5513076088715</v>
      </c>
      <c r="AH29" s="339">
        <f t="shared" si="24"/>
        <v>3.6409319252798895E-2</v>
      </c>
      <c r="AI29" s="340">
        <f t="shared" si="25"/>
        <v>0.1371281587677195</v>
      </c>
      <c r="AJ29" s="341">
        <f t="shared" si="12"/>
        <v>7.2818638505597791E-2</v>
      </c>
    </row>
    <row r="30" spans="1:39" ht="17" customHeight="1" x14ac:dyDescent="0.2">
      <c r="A30" s="309">
        <v>23</v>
      </c>
      <c r="B30" s="309">
        <f t="shared" si="13"/>
        <v>23</v>
      </c>
      <c r="C30" s="1">
        <v>469.98</v>
      </c>
      <c r="D30" s="1">
        <v>1</v>
      </c>
      <c r="E30" s="326">
        <f t="shared" si="4"/>
        <v>13.456595750407063</v>
      </c>
      <c r="F30" s="327">
        <f t="shared" si="0"/>
        <v>1.7630316341917383E-2</v>
      </c>
      <c r="G30" s="309">
        <f t="shared" si="5"/>
        <v>1</v>
      </c>
      <c r="H30" s="1">
        <v>3600</v>
      </c>
      <c r="I30" s="324">
        <v>30</v>
      </c>
      <c r="J30" s="1">
        <v>5.4229999999999903E-2</v>
      </c>
      <c r="K30" s="1">
        <v>2.0000000000000001E-4</v>
      </c>
      <c r="L30" s="328">
        <f t="shared" si="6"/>
        <v>0.36879955744053172</v>
      </c>
      <c r="M30" s="329">
        <f t="shared" si="1"/>
        <v>4.9938946116033604E-3</v>
      </c>
      <c r="N30" s="342">
        <f>(1/$J$52)*SQRT(((1-J31/$J$52)*K30)^2+(J31/$J$52)^2*(SUMSQ(K$8:K29)+SUMSQ(K31:K$43)))</f>
        <v>1.8333360805072477E-5</v>
      </c>
      <c r="O30" s="340">
        <f t="shared" si="14"/>
        <v>0.3671154926352419</v>
      </c>
      <c r="P30" s="332">
        <f t="shared" si="7"/>
        <v>9.5270764306223443E-2</v>
      </c>
      <c r="Q30" s="342">
        <f>SQRT(((1-P30)/$J$52)^2*SUMSQ(K$8:K30)+(P30/$J$52)^2*SUMSQ(K31:K$43))</f>
        <v>7.8510351732256187E-5</v>
      </c>
      <c r="R30" s="340">
        <f t="shared" si="15"/>
        <v>8.2407601433641064E-2</v>
      </c>
      <c r="S30" s="343">
        <f t="shared" si="16"/>
        <v>2.4243552952741128E-8</v>
      </c>
      <c r="T30" s="344">
        <f t="shared" si="17"/>
        <v>2.0202960793950891E-10</v>
      </c>
      <c r="U30" s="344">
        <f>IF(P30&lt;=0.85, (1/(3*H30*$J$52))*SQRT( ((1-P30)*(1/SQRT(1-PI()*P30/3)-1) + (1-P29)*(1-1/SQRT(1-PI()*P29/3)))^2*SUMSQ(K$8:K29) + ( (1-P30)*(1/SQRT(1-PI()*P30/3)-1) -P29*(1-1/SQRT(1-PI()*P29/3)) )^2*K30^2 + ( P30*(1-1/SQRT(1-PI()*P30/3)) - P29*(1-1/SQRT(1-PI()*P29/3)) )^2*SUMSQ(K31:K$43) ), (1/(PI()^2*H30*$J$52))*SQRT((1+P29/(1-P29))^2*K30^2+(P29/(1-P29)-P30/(1-P30))^2*SUMSQ(K31:K$43)) )</f>
        <v>9.3196183056375162E-11</v>
      </c>
      <c r="V30" s="345">
        <f t="shared" si="18"/>
        <v>2.2248930540695449E-10</v>
      </c>
      <c r="W30" s="340">
        <f t="shared" si="19"/>
        <v>0.91772565613902091</v>
      </c>
      <c r="X30" s="345">
        <f t="shared" si="20"/>
        <v>4.4497861081390897E-10</v>
      </c>
      <c r="Y30" s="338">
        <f t="shared" si="8"/>
        <v>-17.535115112528242</v>
      </c>
      <c r="Z30" s="346">
        <f t="shared" si="21"/>
        <v>9.1772565613902086E-3</v>
      </c>
      <c r="AA30" s="346">
        <f t="shared" si="22"/>
        <v>5.2336448905507163E-2</v>
      </c>
      <c r="AB30" s="346">
        <f t="shared" si="9"/>
        <v>1.8354513122780417E-2</v>
      </c>
      <c r="AC30" s="336">
        <f t="shared" si="2"/>
        <v>3.1286208111300614E-12</v>
      </c>
      <c r="AD30" s="337">
        <f t="shared" si="3"/>
        <v>1.1384291538397211E-13</v>
      </c>
      <c r="AE30" s="308">
        <f t="shared" si="10"/>
        <v>3.6387572114516469</v>
      </c>
      <c r="AF30" s="337">
        <f t="shared" si="11"/>
        <v>2.2768583076794422E-13</v>
      </c>
      <c r="AG30" s="338">
        <f t="shared" si="23"/>
        <v>-26.490428843906507</v>
      </c>
      <c r="AH30" s="339">
        <f t="shared" si="24"/>
        <v>3.6387572114516466E-2</v>
      </c>
      <c r="AI30" s="340">
        <f t="shared" si="25"/>
        <v>0.13736120441435043</v>
      </c>
      <c r="AJ30" s="341">
        <f t="shared" si="12"/>
        <v>7.2775144229032931E-2</v>
      </c>
    </row>
    <row r="31" spans="1:39" ht="17" customHeight="1" x14ac:dyDescent="0.2">
      <c r="A31" s="309">
        <v>24</v>
      </c>
      <c r="B31" s="309">
        <f t="shared" si="13"/>
        <v>24</v>
      </c>
      <c r="C31" s="1">
        <v>479.98</v>
      </c>
      <c r="D31" s="1">
        <v>1.2</v>
      </c>
      <c r="E31" s="326">
        <f t="shared" si="4"/>
        <v>13.277920146588238</v>
      </c>
      <c r="F31" s="327">
        <f t="shared" si="0"/>
        <v>2.0605549115347462E-2</v>
      </c>
      <c r="G31" s="309">
        <f t="shared" si="5"/>
        <v>1</v>
      </c>
      <c r="H31" s="1">
        <v>3600</v>
      </c>
      <c r="I31" s="324">
        <v>30</v>
      </c>
      <c r="J31" s="1">
        <v>5.2879999999999899E-2</v>
      </c>
      <c r="K31" s="1">
        <v>2.0000000000000001E-4</v>
      </c>
      <c r="L31" s="328">
        <f t="shared" si="6"/>
        <v>0.37821482602118078</v>
      </c>
      <c r="M31" s="329">
        <f t="shared" si="1"/>
        <v>4.8695767483235416E-3</v>
      </c>
      <c r="N31" s="342">
        <f>(1/$J$52)*SQRT(((1-J32/$J$52)*K31)^2+(J32/$J$52)^2*(SUMSQ(K$8:K30)+SUMSQ(K32:K$43)))</f>
        <v>1.8338056353435512E-5</v>
      </c>
      <c r="O31" s="340">
        <f t="shared" si="14"/>
        <v>0.37658419409343513</v>
      </c>
      <c r="P31" s="332">
        <f t="shared" si="7"/>
        <v>0.10014034105454699</v>
      </c>
      <c r="Q31" s="342">
        <f>SQRT(((1-P31)/$J$52)^2*SUMSQ(K$8:K31)+(P31/$J$52)^2*SUMSQ(K32:K$43))</f>
        <v>7.9815409357803969E-5</v>
      </c>
      <c r="R31" s="340">
        <f t="shared" si="15"/>
        <v>7.970355255164159E-2</v>
      </c>
      <c r="S31" s="343">
        <f t="shared" si="16"/>
        <v>2.5003068925406002E-8</v>
      </c>
      <c r="T31" s="344">
        <f t="shared" si="17"/>
        <v>2.0835890771171611E-10</v>
      </c>
      <c r="U31" s="344">
        <f>IF(P31&lt;=0.85, (1/(3*H31*$J$52))*SQRT( ((1-P31)*(1/SQRT(1-PI()*P31/3)-1) + (1-P30)*(1-1/SQRT(1-PI()*P30/3)))^2*SUMSQ(K$8:K30) + ( (1-P31)*(1/SQRT(1-PI()*P31/3)-1) -P30*(1-1/SQRT(1-PI()*P30/3)) )^2*K31^2 + ( P31*(1-1/SQRT(1-PI()*P31/3)) - P30*(1-1/SQRT(1-PI()*P30/3)) )^2*SUMSQ(K32:K$43) ), (1/(PI()^2*H31*$J$52))*SQRT((1+P30/(1-P30))^2*K31^2+(P30/(1-P30)-P31/(1-P31))^2*SUMSQ(K32:K$43)) )</f>
        <v>9.8146325844312347E-11</v>
      </c>
      <c r="V31" s="345">
        <f t="shared" si="18"/>
        <v>2.3031746720463337E-10</v>
      </c>
      <c r="W31" s="340">
        <f t="shared" si="19"/>
        <v>0.92115679035945974</v>
      </c>
      <c r="X31" s="345">
        <f t="shared" si="20"/>
        <v>4.6063493440926674E-10</v>
      </c>
      <c r="Y31" s="338">
        <f t="shared" si="8"/>
        <v>-17.504267262595995</v>
      </c>
      <c r="Z31" s="346">
        <f t="shared" si="21"/>
        <v>9.2115679035945971E-3</v>
      </c>
      <c r="AA31" s="346">
        <f t="shared" si="22"/>
        <v>5.2624698682922549E-2</v>
      </c>
      <c r="AB31" s="346">
        <f t="shared" si="9"/>
        <v>1.8423135807189194E-2</v>
      </c>
      <c r="AC31" s="336">
        <f t="shared" si="2"/>
        <v>3.2266360435960737E-12</v>
      </c>
      <c r="AD31" s="337">
        <f t="shared" si="3"/>
        <v>1.1743742265012779E-13</v>
      </c>
      <c r="AE31" s="308">
        <f t="shared" si="10"/>
        <v>3.6396240872349588</v>
      </c>
      <c r="AF31" s="337">
        <f t="shared" si="11"/>
        <v>2.3487484530025557E-13</v>
      </c>
      <c r="AG31" s="338">
        <f t="shared" si="23"/>
        <v>-26.45958099397426</v>
      </c>
      <c r="AH31" s="339">
        <f t="shared" si="24"/>
        <v>3.6396240872349592E-2</v>
      </c>
      <c r="AI31" s="340">
        <f t="shared" si="25"/>
        <v>0.13755410896581563</v>
      </c>
      <c r="AJ31" s="341">
        <f t="shared" si="12"/>
        <v>7.2792481744699183E-2</v>
      </c>
    </row>
    <row r="32" spans="1:39" ht="17" customHeight="1" x14ac:dyDescent="0.2">
      <c r="A32" s="309">
        <v>25</v>
      </c>
      <c r="B32" s="309">
        <f t="shared" si="13"/>
        <v>25</v>
      </c>
      <c r="C32" s="1">
        <v>489.98</v>
      </c>
      <c r="D32" s="1">
        <v>1.19</v>
      </c>
      <c r="E32" s="326">
        <f t="shared" si="4"/>
        <v>13.103927246995925</v>
      </c>
      <c r="F32" s="327">
        <f t="shared" si="0"/>
        <v>1.9909169536835004E-2</v>
      </c>
      <c r="G32" s="309">
        <f t="shared" si="5"/>
        <v>1</v>
      </c>
      <c r="H32" s="1">
        <v>3600</v>
      </c>
      <c r="I32" s="324">
        <v>30</v>
      </c>
      <c r="J32" s="1">
        <v>4.9730000000000003E-2</v>
      </c>
      <c r="K32" s="1">
        <v>2.2000000000000001E-4</v>
      </c>
      <c r="L32" s="328">
        <f t="shared" si="6"/>
        <v>0.44238890006032572</v>
      </c>
      <c r="M32" s="329">
        <f t="shared" si="1"/>
        <v>4.5795017340039754E-3</v>
      </c>
      <c r="N32" s="342">
        <f>(1/$J$52)*SQRT(((1-J33/$J$52)*K32)^2+(J33/$J$52)^2*(SUMSQ(K$8:K31)+SUMSQ(K33:K$43)))</f>
        <v>2.0180296535859415E-5</v>
      </c>
      <c r="O32" s="340">
        <f t="shared" si="14"/>
        <v>0.44066576907298749</v>
      </c>
      <c r="P32" s="332">
        <f t="shared" si="7"/>
        <v>0.10471984278855095</v>
      </c>
      <c r="Q32" s="342">
        <f>SQRT(((1-P32)/$J$52)^2*SUMSQ(K$8:K32)+(P32/$J$52)^2*SUMSQ(K33:K$43))</f>
        <v>8.1433795002039858E-5</v>
      </c>
      <c r="R32" s="340">
        <f t="shared" si="15"/>
        <v>7.7763480954101502E-2</v>
      </c>
      <c r="S32" s="343">
        <f t="shared" si="16"/>
        <v>2.4752038193759949E-8</v>
      </c>
      <c r="T32" s="344">
        <f t="shared" si="17"/>
        <v>2.0626698494799936E-10</v>
      </c>
      <c r="U32" s="344">
        <f>IF(P32&lt;=0.85, (1/(3*H32*$J$52))*SQRT( ((1-P32)*(1/SQRT(1-PI()*P32/3)-1) + (1-P31)*(1-1/SQRT(1-PI()*P31/3)))^2*SUMSQ(K$8:K31) + ( (1-P32)*(1/SQRT(1-PI()*P32/3)-1) -P31*(1-1/SQRT(1-PI()*P31/3)) )^2*K32^2 + ( P32*(1-1/SQRT(1-PI()*P32/3)) - P31*(1-1/SQRT(1-PI()*P31/3)) )^2*SUMSQ(K33:K$43) ), (1/(PI()^2*H32*$J$52))*SQRT((1+P31/(1-P31))^2*K32^2+(P31/(1-P31)-P32/(1-P32))^2*SUMSQ(K33:K$43)) )</f>
        <v>1.1270047302130878E-10</v>
      </c>
      <c r="V32" s="345">
        <f t="shared" si="18"/>
        <v>2.3504779449883156E-10</v>
      </c>
      <c r="W32" s="340">
        <f t="shared" si="19"/>
        <v>0.94960985701002876</v>
      </c>
      <c r="X32" s="345">
        <f t="shared" si="20"/>
        <v>4.7009558899766313E-10</v>
      </c>
      <c r="Y32" s="338">
        <f t="shared" si="8"/>
        <v>-17.514358000059364</v>
      </c>
      <c r="Z32" s="346">
        <f t="shared" si="21"/>
        <v>9.4960985701002879E-3</v>
      </c>
      <c r="AA32" s="346">
        <f t="shared" si="22"/>
        <v>5.4218936086998459E-2</v>
      </c>
      <c r="AB32" s="346">
        <f t="shared" si="9"/>
        <v>1.8992197140200576E-2</v>
      </c>
      <c r="AC32" s="336">
        <f t="shared" si="2"/>
        <v>3.1942406280894435E-12</v>
      </c>
      <c r="AD32" s="337">
        <f t="shared" si="3"/>
        <v>1.1649169398555655E-13</v>
      </c>
      <c r="AE32" s="308">
        <f t="shared" si="10"/>
        <v>3.6469291937856667</v>
      </c>
      <c r="AF32" s="337">
        <f t="shared" si="11"/>
        <v>2.329833879711131E-13</v>
      </c>
      <c r="AG32" s="338">
        <f t="shared" si="23"/>
        <v>-26.469671731437625</v>
      </c>
      <c r="AH32" s="339">
        <f t="shared" si="24"/>
        <v>3.6469291937856661E-2</v>
      </c>
      <c r="AI32" s="340">
        <f t="shared" si="25"/>
        <v>0.13777765099573427</v>
      </c>
      <c r="AJ32" s="341">
        <f t="shared" si="12"/>
        <v>7.2938583875713323E-2</v>
      </c>
    </row>
    <row r="33" spans="1:36" ht="17" customHeight="1" x14ac:dyDescent="0.2">
      <c r="A33" s="309">
        <v>26</v>
      </c>
      <c r="B33" s="309">
        <f t="shared" si="13"/>
        <v>26</v>
      </c>
      <c r="C33" s="1">
        <v>499.97</v>
      </c>
      <c r="D33" s="1">
        <v>1.25</v>
      </c>
      <c r="E33" s="326">
        <f t="shared" si="4"/>
        <v>12.934602649006623</v>
      </c>
      <c r="F33" s="327">
        <f t="shared" si="0"/>
        <v>2.1186141400378156E-2</v>
      </c>
      <c r="G33" s="309">
        <f t="shared" si="5"/>
        <v>1</v>
      </c>
      <c r="H33" s="1">
        <v>3600</v>
      </c>
      <c r="I33" s="324">
        <v>30</v>
      </c>
      <c r="J33" s="1">
        <v>4.4179999999999997E-2</v>
      </c>
      <c r="K33" s="1">
        <v>1.6000000000000001E-4</v>
      </c>
      <c r="L33" s="328">
        <f t="shared" si="6"/>
        <v>0.36215482118605707</v>
      </c>
      <c r="M33" s="329">
        <f t="shared" si="1"/>
        <v>4.0684171849647219E-3</v>
      </c>
      <c r="N33" s="342">
        <f>(1/$J$52)*SQRT(((1-J34/$J$52)*K33)^2+(J34/$J$52)^2*(SUMSQ(K$8:K32)+SUMSQ(K34:K$43)))</f>
        <v>1.4689943017964807E-5</v>
      </c>
      <c r="O33" s="340">
        <f t="shared" si="14"/>
        <v>0.36107268134283499</v>
      </c>
      <c r="P33" s="332">
        <f t="shared" si="7"/>
        <v>0.10878825997351568</v>
      </c>
      <c r="Q33" s="342">
        <f>SQRT(((1-P33)/$J$52)^2*SUMSQ(K$8:K33)+(P33/$J$52)^2*SUMSQ(K34:K$43))</f>
        <v>8.2108906824359778E-5</v>
      </c>
      <c r="R33" s="340">
        <f t="shared" si="15"/>
        <v>7.5475889442802965E-2</v>
      </c>
      <c r="S33" s="343">
        <f t="shared" si="16"/>
        <v>2.3004544099622668E-8</v>
      </c>
      <c r="T33" s="344">
        <f t="shared" si="17"/>
        <v>1.9170453416352222E-10</v>
      </c>
      <c r="U33" s="344">
        <f>IF(P33&lt;=0.85, (1/(3*H33*$J$52))*SQRT( ((1-P33)*(1/SQRT(1-PI()*P33/3)-1) + (1-P32)*(1-1/SQRT(1-PI()*P32/3)))^2*SUMSQ(K$8:K32) + ( (1-P33)*(1/SQRT(1-PI()*P33/3)-1) -P32*(1-1/SQRT(1-PI()*P32/3)) )^2*K33^2 + ( P33*(1-1/SQRT(1-PI()*P33/3)) - P32*(1-1/SQRT(1-PI()*P32/3)) )^2*SUMSQ(K34:K$43) ), (1/(PI()^2*H33*$J$52))*SQRT((1+P32/(1-P32))^2*K33^2+(P32/(1-P32)-P33/(1-P33))^2*SUMSQ(K34:K$43)) )</f>
        <v>8.6051652961653684E-11</v>
      </c>
      <c r="V33" s="345">
        <f t="shared" si="18"/>
        <v>2.101321379425002E-10</v>
      </c>
      <c r="W33" s="340">
        <f t="shared" si="19"/>
        <v>0.91343752361494035</v>
      </c>
      <c r="X33" s="345">
        <f t="shared" si="20"/>
        <v>4.2026427588500041E-10</v>
      </c>
      <c r="Y33" s="338">
        <f t="shared" si="8"/>
        <v>-17.587574070982743</v>
      </c>
      <c r="Z33" s="346">
        <f t="shared" si="21"/>
        <v>9.134375236149404E-3</v>
      </c>
      <c r="AA33" s="346">
        <f t="shared" si="22"/>
        <v>5.1936527455596959E-2</v>
      </c>
      <c r="AB33" s="346">
        <f t="shared" si="9"/>
        <v>1.8268750472298808E-2</v>
      </c>
      <c r="AC33" s="336">
        <f t="shared" si="2"/>
        <v>2.9687272142386654E-12</v>
      </c>
      <c r="AD33" s="337">
        <f t="shared" si="3"/>
        <v>1.0799273896328024E-13</v>
      </c>
      <c r="AE33" s="308">
        <f t="shared" si="10"/>
        <v>3.6376780744732433</v>
      </c>
      <c r="AF33" s="337">
        <f t="shared" si="11"/>
        <v>2.1598547792656047E-13</v>
      </c>
      <c r="AG33" s="338">
        <f t="shared" si="23"/>
        <v>-26.542887802361005</v>
      </c>
      <c r="AH33" s="339">
        <f t="shared" si="24"/>
        <v>3.6376780744732433E-2</v>
      </c>
      <c r="AI33" s="340">
        <f t="shared" si="25"/>
        <v>0.13704906947425932</v>
      </c>
      <c r="AJ33" s="341">
        <f t="shared" si="12"/>
        <v>7.2753561489464866E-2</v>
      </c>
    </row>
    <row r="34" spans="1:36" ht="17" customHeight="1" x14ac:dyDescent="0.2">
      <c r="A34" s="309">
        <v>27</v>
      </c>
      <c r="B34" s="309">
        <f t="shared" si="13"/>
        <v>27.5</v>
      </c>
      <c r="C34" s="1">
        <v>494.97</v>
      </c>
      <c r="D34" s="1">
        <v>2.9</v>
      </c>
      <c r="E34" s="326">
        <f t="shared" si="4"/>
        <v>13.018799145966776</v>
      </c>
      <c r="F34" s="327">
        <f t="shared" si="0"/>
        <v>5.0458408367516756E-2</v>
      </c>
      <c r="G34" s="309">
        <f t="shared" si="5"/>
        <v>1.5</v>
      </c>
      <c r="H34" s="1">
        <v>5400</v>
      </c>
      <c r="I34" s="324">
        <v>30</v>
      </c>
      <c r="J34" s="1">
        <v>3.4689999999999999E-2</v>
      </c>
      <c r="K34" s="1">
        <v>1.1E-4</v>
      </c>
      <c r="L34" s="328">
        <f t="shared" si="6"/>
        <v>0.31709426347650621</v>
      </c>
      <c r="M34" s="329">
        <f t="shared" si="1"/>
        <v>3.1945086497606654E-3</v>
      </c>
      <c r="N34" s="342">
        <f>(1/$J$52)*SQRT(((1-J35/$J$52)*K34)^2+(J35/$J$52)^2*(SUMSQ(K$8:K33)+SUMSQ(K35:K$43)))</f>
        <v>1.0114579137202284E-5</v>
      </c>
      <c r="O34" s="340">
        <f t="shared" si="14"/>
        <v>0.31662393958332452</v>
      </c>
      <c r="P34" s="332">
        <f t="shared" si="7"/>
        <v>0.11198276862327634</v>
      </c>
      <c r="Q34" s="342">
        <f>SQRT(((1-P34)/$J$52)^2*SUMSQ(K$8:K34)+(P34/$J$52)^2*SUMSQ(K35:K$43))</f>
        <v>8.2302153919636272E-5</v>
      </c>
      <c r="R34" s="340">
        <f t="shared" si="15"/>
        <v>7.3495373378837173E-2</v>
      </c>
      <c r="S34" s="343">
        <f t="shared" si="16"/>
        <v>1.2491368742613213E-8</v>
      </c>
      <c r="T34" s="344">
        <f t="shared" si="17"/>
        <v>6.9396493014517768E-11</v>
      </c>
      <c r="U34" s="344">
        <f>IF(P34&lt;=0.85, (1/(3*H34*$J$52))*SQRT( ((1-P34)*(1/SQRT(1-PI()*P34/3)-1) + (1-P33)*(1-1/SQRT(1-PI()*P33/3)))^2*SUMSQ(K$8:K33) + ( (1-P34)*(1/SQRT(1-PI()*P34/3)-1) -P33*(1-1/SQRT(1-PI()*P33/3)) )^2*K34^2 + ( P34*(1-1/SQRT(1-PI()*P34/3)) - P33*(1-1/SQRT(1-PI()*P33/3)) )^2*SUMSQ(K35:K$43) ), (1/(PI()^2*H34*$J$52))*SQRT((1+P33/(1-P33))^2*K34^2+(P33/(1-P33)-P34/(1-P34))^2*SUMSQ(K35:K$43)) )</f>
        <v>4.0981715921396786E-11</v>
      </c>
      <c r="V34" s="345">
        <f t="shared" si="18"/>
        <v>8.0593884895667364E-11</v>
      </c>
      <c r="W34" s="340">
        <f t="shared" si="19"/>
        <v>0.64519658779048261</v>
      </c>
      <c r="X34" s="345">
        <f t="shared" si="20"/>
        <v>1.6118776979133473E-10</v>
      </c>
      <c r="Y34" s="338">
        <f t="shared" si="8"/>
        <v>-18.198227931734429</v>
      </c>
      <c r="Z34" s="346">
        <f t="shared" si="21"/>
        <v>6.4519658779048266E-3</v>
      </c>
      <c r="AA34" s="346">
        <f t="shared" si="22"/>
        <v>3.5453813976325466E-2</v>
      </c>
      <c r="AB34" s="346">
        <f t="shared" si="9"/>
        <v>1.2903931755809653E-2</v>
      </c>
      <c r="AC34" s="336">
        <f t="shared" si="2"/>
        <v>1.6120061396867381E-12</v>
      </c>
      <c r="AD34" s="337">
        <f t="shared" si="3"/>
        <v>5.770579482522521E-14</v>
      </c>
      <c r="AE34" s="308">
        <f t="shared" si="10"/>
        <v>3.5797503126408192</v>
      </c>
      <c r="AF34" s="337">
        <f t="shared" si="11"/>
        <v>1.1541158965045042E-13</v>
      </c>
      <c r="AG34" s="338">
        <f t="shared" si="23"/>
        <v>-27.153541663112694</v>
      </c>
      <c r="AH34" s="339">
        <f t="shared" si="24"/>
        <v>3.5797503126408191E-2</v>
      </c>
      <c r="AI34" s="340">
        <f t="shared" si="25"/>
        <v>0.13183364280998405</v>
      </c>
      <c r="AJ34" s="341">
        <f t="shared" si="12"/>
        <v>7.1595006252816382E-2</v>
      </c>
    </row>
    <row r="35" spans="1:36" ht="17" customHeight="1" x14ac:dyDescent="0.2">
      <c r="A35" s="309">
        <v>28</v>
      </c>
      <c r="B35" s="309">
        <f t="shared" si="13"/>
        <v>29</v>
      </c>
      <c r="C35" s="1">
        <v>484.96</v>
      </c>
      <c r="D35" s="1">
        <v>1.84</v>
      </c>
      <c r="E35" s="326">
        <f t="shared" si="4"/>
        <v>13.19069791982694</v>
      </c>
      <c r="F35" s="327">
        <f t="shared" si="0"/>
        <v>3.2874842619574671E-2</v>
      </c>
      <c r="G35" s="309">
        <f t="shared" si="5"/>
        <v>1.5</v>
      </c>
      <c r="H35" s="1">
        <v>5400</v>
      </c>
      <c r="I35" s="324">
        <v>30</v>
      </c>
      <c r="J35" s="1">
        <v>1.7299999999999999E-2</v>
      </c>
      <c r="K35" s="1">
        <v>1.2999999999999999E-4</v>
      </c>
      <c r="L35" s="328">
        <f t="shared" si="6"/>
        <v>0.75144508670520227</v>
      </c>
      <c r="M35" s="329">
        <f t="shared" si="1"/>
        <v>1.5931103961043388E-3</v>
      </c>
      <c r="N35" s="342">
        <f>(1/$J$52)*SQRT(((1-J36/$J$52)*K35)^2+(J36/$J$52)^2*(SUMSQ(K$8:K34)+SUMSQ(K36:K$43)))</f>
        <v>1.1960742749943607E-5</v>
      </c>
      <c r="O35" s="340">
        <f t="shared" si="14"/>
        <v>0.7507792792760265</v>
      </c>
      <c r="P35" s="332">
        <f t="shared" si="7"/>
        <v>0.11357587901938068</v>
      </c>
      <c r="Q35" s="342">
        <f>SQRT(((1-P35)/$J$52)^2*SUMSQ(K$8:K35)+(P35/$J$52)^2*SUMSQ(K36:K$43))</f>
        <v>8.2826804025193859E-5</v>
      </c>
      <c r="R35" s="340">
        <f t="shared" si="15"/>
        <v>7.2926403687406383E-2</v>
      </c>
      <c r="S35" s="343">
        <f t="shared" si="16"/>
        <v>6.3779593581586937E-9</v>
      </c>
      <c r="T35" s="344">
        <f t="shared" si="17"/>
        <v>3.5433107545326132E-11</v>
      </c>
      <c r="U35" s="344">
        <f>IF(P35&lt;=0.85, (1/(3*H35*$J$52))*SQRT( ((1-P35)*(1/SQRT(1-PI()*P35/3)-1) + (1-P34)*(1-1/SQRT(1-PI()*P34/3)))^2*SUMSQ(K$8:K34) + ( (1-P35)*(1/SQRT(1-PI()*P35/3)-1) -P34*(1-1/SQRT(1-PI()*P34/3)) )^2*K35^2 + ( P35*(1-1/SQRT(1-PI()*P35/3)) - P34*(1-1/SQRT(1-PI()*P34/3)) )^2*SUMSQ(K36:K$43) ), (1/(PI()^2*H35*$J$52))*SQRT((1+P34/(1-P34))^2*K35^2+(P34/(1-P34)-P35/(1-P35))^2*SUMSQ(K36:K$43)) )</f>
        <v>4.8351052555643609E-11</v>
      </c>
      <c r="V35" s="345">
        <f t="shared" si="18"/>
        <v>5.9944385838519171E-11</v>
      </c>
      <c r="W35" s="340">
        <f t="shared" si="19"/>
        <v>0.93986779269513898</v>
      </c>
      <c r="X35" s="345">
        <f t="shared" si="20"/>
        <v>1.1988877167703834E-10</v>
      </c>
      <c r="Y35" s="338">
        <f t="shared" si="8"/>
        <v>-18.870417640570963</v>
      </c>
      <c r="Z35" s="346">
        <f t="shared" si="21"/>
        <v>9.39867792695139E-3</v>
      </c>
      <c r="AA35" s="346">
        <f t="shared" si="22"/>
        <v>4.9806411845090534E-2</v>
      </c>
      <c r="AB35" s="346">
        <f t="shared" si="9"/>
        <v>1.879735585390278E-2</v>
      </c>
      <c r="AC35" s="336">
        <f t="shared" si="2"/>
        <v>8.2307310398663616E-13</v>
      </c>
      <c r="AD35" s="337">
        <f t="shared" si="3"/>
        <v>2.9996114337680163E-14</v>
      </c>
      <c r="AE35" s="308">
        <f t="shared" si="10"/>
        <v>3.6444046333662237</v>
      </c>
      <c r="AF35" s="337">
        <f t="shared" si="11"/>
        <v>5.9992228675360325E-14</v>
      </c>
      <c r="AG35" s="338">
        <f t="shared" si="23"/>
        <v>-27.825731371949225</v>
      </c>
      <c r="AH35" s="339">
        <f t="shared" si="24"/>
        <v>3.6444046333662238E-2</v>
      </c>
      <c r="AI35" s="340">
        <f t="shared" si="25"/>
        <v>0.13097246518523148</v>
      </c>
      <c r="AJ35" s="341">
        <f t="shared" si="12"/>
        <v>7.2888092667324475E-2</v>
      </c>
    </row>
    <row r="36" spans="1:36" ht="17" customHeight="1" x14ac:dyDescent="0.2">
      <c r="A36" s="309">
        <v>29</v>
      </c>
      <c r="B36" s="309">
        <f t="shared" si="13"/>
        <v>30.5</v>
      </c>
      <c r="C36" s="1">
        <v>474.98</v>
      </c>
      <c r="D36" s="1">
        <v>1.68</v>
      </c>
      <c r="E36" s="326">
        <f t="shared" si="4"/>
        <v>13.366660874446955</v>
      </c>
      <c r="F36" s="327">
        <f t="shared" si="0"/>
        <v>3.0836643733154319E-2</v>
      </c>
      <c r="G36" s="309">
        <f t="shared" si="5"/>
        <v>1.5</v>
      </c>
      <c r="H36" s="1">
        <v>5400</v>
      </c>
      <c r="I36" s="324">
        <v>30</v>
      </c>
      <c r="J36" s="1">
        <v>9.9000000000000008E-3</v>
      </c>
      <c r="K36" s="1">
        <v>1.3999999999999999E-4</v>
      </c>
      <c r="L36" s="328">
        <f t="shared" si="6"/>
        <v>1.4141414141414139</v>
      </c>
      <c r="M36" s="329">
        <f t="shared" si="1"/>
        <v>9.1166433071866791E-4</v>
      </c>
      <c r="N36" s="342">
        <f>(1/$J$52)*SQRT(((1-J37/$J$52)*K36)^2+(J37/$J$52)^2*(SUMSQ(K$8:K35)+SUMSQ(K37:K$43)))</f>
        <v>1.2885665366384967E-5</v>
      </c>
      <c r="O36" s="340">
        <f t="shared" si="14"/>
        <v>1.4134221261269655</v>
      </c>
      <c r="P36" s="332">
        <f t="shared" si="7"/>
        <v>0.11448754335009935</v>
      </c>
      <c r="Q36" s="342">
        <f>SQRT(((1-P36)/$J$52)^2*SUMSQ(K$8:K36)+(P36/$J$52)^2*SUMSQ(K37:K$43))</f>
        <v>8.3512783027599489E-5</v>
      </c>
      <c r="R36" s="340">
        <f t="shared" si="15"/>
        <v>7.2944864204326568E-2</v>
      </c>
      <c r="S36" s="343">
        <f t="shared" si="16"/>
        <v>3.6944185840817149E-9</v>
      </c>
      <c r="T36" s="344">
        <f t="shared" si="17"/>
        <v>2.0524547689342875E-11</v>
      </c>
      <c r="U36" s="344">
        <f>IF(P36&lt;=0.85, (1/(3*H36*$J$52))*SQRT( ((1-P36)*(1/SQRT(1-PI()*P36/3)-1) + (1-P35)*(1-1/SQRT(1-PI()*P35/3)))^2*SUMSQ(K$8:K35) + ( (1-P36)*(1/SQRT(1-PI()*P36/3)-1) -P35*(1-1/SQRT(1-PI()*P35/3)) )^2*K36^2 + ( P36*(1-1/SQRT(1-PI()*P36/3)) - P35*(1-1/SQRT(1-PI()*P35/3)) )^2*SUMSQ(K37:K$43) ), (1/(PI()^2*H36*$J$52))*SQRT((1+P35/(1-P35))^2*K36^2+(P35/(1-P35)-P36/(1-P36))^2*SUMSQ(K37:K$43)) )</f>
        <v>5.2439018347887826E-11</v>
      </c>
      <c r="V36" s="345">
        <f t="shared" si="18"/>
        <v>5.6312589206519585E-11</v>
      </c>
      <c r="W36" s="340">
        <f t="shared" si="19"/>
        <v>1.5242612044329744</v>
      </c>
      <c r="X36" s="345">
        <f t="shared" si="20"/>
        <v>1.1262517841303917E-10</v>
      </c>
      <c r="Y36" s="338">
        <f t="shared" si="8"/>
        <v>-19.416442647002697</v>
      </c>
      <c r="Z36" s="346">
        <f t="shared" si="21"/>
        <v>1.5242612044329744E-2</v>
      </c>
      <c r="AA36" s="346">
        <f t="shared" si="22"/>
        <v>7.8503628710188761E-2</v>
      </c>
      <c r="AB36" s="346">
        <f t="shared" si="9"/>
        <v>3.0485224088659488E-2</v>
      </c>
      <c r="AC36" s="336">
        <f t="shared" si="2"/>
        <v>4.7676324050831173E-13</v>
      </c>
      <c r="AD36" s="337">
        <f t="shared" si="3"/>
        <v>1.829286930120658E-14</v>
      </c>
      <c r="AE36" s="308">
        <f t="shared" si="10"/>
        <v>3.8368875254944634</v>
      </c>
      <c r="AF36" s="337">
        <f t="shared" si="11"/>
        <v>3.6585738602413159E-14</v>
      </c>
      <c r="AG36" s="338">
        <f t="shared" si="23"/>
        <v>-28.371756378380962</v>
      </c>
      <c r="AH36" s="339">
        <f t="shared" si="24"/>
        <v>3.8368875254944639E-2</v>
      </c>
      <c r="AI36" s="340">
        <f t="shared" si="25"/>
        <v>0.13523616494952492</v>
      </c>
      <c r="AJ36" s="341">
        <f t="shared" si="12"/>
        <v>7.6737750509889277E-2</v>
      </c>
    </row>
    <row r="37" spans="1:36" ht="17" customHeight="1" x14ac:dyDescent="0.2">
      <c r="A37" s="309">
        <v>30</v>
      </c>
      <c r="B37" s="309">
        <f t="shared" si="13"/>
        <v>32</v>
      </c>
      <c r="C37" s="1">
        <v>464.96</v>
      </c>
      <c r="D37" s="1">
        <v>1.56</v>
      </c>
      <c r="E37" s="326">
        <f t="shared" si="4"/>
        <v>13.548116134451506</v>
      </c>
      <c r="F37" s="327">
        <f t="shared" si="0"/>
        <v>2.9425149465197611E-2</v>
      </c>
      <c r="G37" s="309">
        <f t="shared" si="5"/>
        <v>1.5</v>
      </c>
      <c r="H37" s="1">
        <v>5400</v>
      </c>
      <c r="I37" s="324">
        <v>30</v>
      </c>
      <c r="J37" s="1">
        <v>5.5999999999999999E-3</v>
      </c>
      <c r="K37" s="122">
        <v>8.0000000000000007E-5</v>
      </c>
      <c r="L37" s="328">
        <f t="shared" si="6"/>
        <v>1.4285714285714286</v>
      </c>
      <c r="M37" s="329">
        <f t="shared" si="1"/>
        <v>5.1568891434591315E-4</v>
      </c>
      <c r="N37" s="342">
        <f>(1/$J$52)*SQRT(((1-J38/$J$52)*K37)^2+(J38/$J$52)^2*(SUMSQ(K$8:K36)+SUMSQ(K38:K$43)))</f>
        <v>7.364950181111961E-6</v>
      </c>
      <c r="O37" s="340">
        <f t="shared" si="14"/>
        <v>1.4281769447096759</v>
      </c>
      <c r="P37" s="332">
        <f t="shared" si="7"/>
        <v>0.11500323226444527</v>
      </c>
      <c r="Q37" s="342">
        <f>SQRT(((1-P37)/$J$52)^2*SUMSQ(K$8:K37)+(P37/$J$52)^2*SUMSQ(K38:K$43))</f>
        <v>8.3714181990803753E-5</v>
      </c>
      <c r="R37" s="340">
        <f t="shared" si="15"/>
        <v>7.2792894897342003E-2</v>
      </c>
      <c r="S37" s="343">
        <f t="shared" si="16"/>
        <v>2.1041755620304101E-9</v>
      </c>
      <c r="T37" s="344">
        <f t="shared" si="17"/>
        <v>1.1689864233502293E-11</v>
      </c>
      <c r="U37" s="344">
        <f>IF(P37&lt;=0.85, (1/(3*H37*$J$52))*SQRT( ((1-P37)*(1/SQRT(1-PI()*P37/3)-1) + (1-P36)*(1-1/SQRT(1-PI()*P36/3)))^2*SUMSQ(K$8:K36) + ( (1-P37)*(1/SQRT(1-PI()*P37/3)-1) -P36*(1-1/SQRT(1-PI()*P36/3)) )^2*K37^2 + ( P37*(1-1/SQRT(1-PI()*P37/3)) - P36*(1-1/SQRT(1-PI()*P36/3)) )^2*SUMSQ(K38:K$43) ), (1/(PI()^2*H37*$J$52))*SQRT((1+P36/(1-P36))^2*K37^2+(P36/(1-P36)-P37/(1-P37))^2*SUMSQ(K38:K$43)) )</f>
        <v>3.0138223981615266E-11</v>
      </c>
      <c r="V37" s="345">
        <f t="shared" si="18"/>
        <v>3.2325925672186488E-11</v>
      </c>
      <c r="W37" s="340">
        <f t="shared" si="19"/>
        <v>1.5362751215014494</v>
      </c>
      <c r="X37" s="345">
        <f t="shared" si="20"/>
        <v>6.4651851344372976E-11</v>
      </c>
      <c r="Y37" s="338">
        <f t="shared" si="8"/>
        <v>-19.979342103522377</v>
      </c>
      <c r="Z37" s="346">
        <f t="shared" si="21"/>
        <v>1.5362751215014493E-2</v>
      </c>
      <c r="AA37" s="346">
        <f t="shared" si="22"/>
        <v>7.6893178641282811E-2</v>
      </c>
      <c r="AB37" s="346">
        <f t="shared" si="9"/>
        <v>3.0725502430028986E-2</v>
      </c>
      <c r="AC37" s="336">
        <f t="shared" si="2"/>
        <v>2.7154301460979962E-13</v>
      </c>
      <c r="AD37" s="337">
        <f t="shared" si="3"/>
        <v>1.0431802971763225E-14</v>
      </c>
      <c r="AE37" s="308">
        <f t="shared" si="10"/>
        <v>3.8416760551743381</v>
      </c>
      <c r="AF37" s="337">
        <f t="shared" si="11"/>
        <v>2.0863605943526451E-14</v>
      </c>
      <c r="AG37" s="338">
        <f t="shared" si="23"/>
        <v>-28.934655834900642</v>
      </c>
      <c r="AH37" s="339">
        <f t="shared" si="24"/>
        <v>3.8416760551743374E-2</v>
      </c>
      <c r="AI37" s="340">
        <f t="shared" si="25"/>
        <v>0.1327707534209048</v>
      </c>
      <c r="AJ37" s="341">
        <f t="shared" si="12"/>
        <v>7.6833521103486749E-2</v>
      </c>
    </row>
    <row r="38" spans="1:36" ht="17" customHeight="1" x14ac:dyDescent="0.2">
      <c r="A38" s="309">
        <v>31</v>
      </c>
      <c r="B38" s="309">
        <f t="shared" si="13"/>
        <v>33.5</v>
      </c>
      <c r="C38" s="1">
        <v>454.97</v>
      </c>
      <c r="D38" s="1">
        <v>1.77</v>
      </c>
      <c r="E38" s="326">
        <f t="shared" si="4"/>
        <v>13.733999890128</v>
      </c>
      <c r="F38" s="327">
        <f t="shared" si="0"/>
        <v>3.432252436037482E-2</v>
      </c>
      <c r="G38" s="309">
        <f t="shared" si="5"/>
        <v>1.5</v>
      </c>
      <c r="H38" s="1">
        <v>5400</v>
      </c>
      <c r="I38" s="324">
        <v>30</v>
      </c>
      <c r="J38" s="1">
        <v>3.0699999999999998E-3</v>
      </c>
      <c r="K38" s="122">
        <v>4.0000000000000003E-5</v>
      </c>
      <c r="L38" s="328">
        <f t="shared" si="6"/>
        <v>1.3029315960912053</v>
      </c>
      <c r="M38" s="329">
        <f t="shared" si="1"/>
        <v>2.8270802982892021E-4</v>
      </c>
      <c r="N38" s="342">
        <f>(1/$J$52)*SQRT(((1-J39/$J$52)*K38)^2+(J39/$J$52)^2*(SUMSQ(K$8:K37)+SUMSQ(K39:K$43)))</f>
        <v>3.6829362973966873E-6</v>
      </c>
      <c r="O38" s="340">
        <f t="shared" si="14"/>
        <v>1.3027349451748518</v>
      </c>
      <c r="P38" s="332">
        <f t="shared" si="7"/>
        <v>0.11528594029427419</v>
      </c>
      <c r="Q38" s="342">
        <f>SQRT(((1-P38)/$J$52)^2*SUMSQ(K$8:K38)+(P38/$J$52)^2*SUMSQ(K39:K$43))</f>
        <v>8.3749801304073375E-5</v>
      </c>
      <c r="R38" s="340">
        <f t="shared" si="15"/>
        <v>7.2645286225099998E-2</v>
      </c>
      <c r="S38" s="343">
        <f t="shared" si="16"/>
        <v>1.1579603583883616E-9</v>
      </c>
      <c r="T38" s="344">
        <f t="shared" si="17"/>
        <v>6.4331131021575823E-12</v>
      </c>
      <c r="U38" s="344">
        <f>IF(P38&lt;=0.85, (1/(3*H38*$J$52))*SQRT( ((1-P38)*(1/SQRT(1-PI()*P38/3)-1) + (1-P37)*(1-1/SQRT(1-PI()*P37/3)))^2*SUMSQ(K$8:K37) + ( (1-P38)*(1/SQRT(1-PI()*P38/3)-1) -P37*(1-1/SQRT(1-PI()*P37/3)) )^2*K38^2 + ( P38*(1-1/SQRT(1-PI()*P38/3)) - P37*(1-1/SQRT(1-PI()*P37/3)) )^2*SUMSQ(K39:K$43) ), (1/(PI()^2*H38*$J$52))*SQRT((1+P37/(1-P37))^2*K38^2+(P37/(1-P37)-P38/(1-P38))^2*SUMSQ(K39:K$43)) )</f>
        <v>1.5121009130506498E-11</v>
      </c>
      <c r="V38" s="345">
        <f t="shared" si="18"/>
        <v>1.6432585350760007E-11</v>
      </c>
      <c r="W38" s="340">
        <f t="shared" si="19"/>
        <v>1.419097401022495</v>
      </c>
      <c r="X38" s="345">
        <f t="shared" si="20"/>
        <v>3.2865170701520015E-11</v>
      </c>
      <c r="Y38" s="338">
        <f t="shared" si="8"/>
        <v>-20.576605691206812</v>
      </c>
      <c r="Z38" s="346">
        <f t="shared" si="21"/>
        <v>1.419097401022495E-2</v>
      </c>
      <c r="AA38" s="346">
        <f t="shared" si="22"/>
        <v>6.8966544935491023E-2</v>
      </c>
      <c r="AB38" s="346">
        <f t="shared" si="9"/>
        <v>2.8381948020449899E-2</v>
      </c>
      <c r="AC38" s="336">
        <f t="shared" si="2"/>
        <v>1.4943432106587471E-13</v>
      </c>
      <c r="AD38" s="337">
        <f t="shared" si="3"/>
        <v>5.6730297285330412E-15</v>
      </c>
      <c r="AE38" s="308">
        <f t="shared" si="10"/>
        <v>3.7963365363919417</v>
      </c>
      <c r="AF38" s="337">
        <f t="shared" si="11"/>
        <v>1.1346059457066082E-14</v>
      </c>
      <c r="AG38" s="338">
        <f t="shared" si="23"/>
        <v>-29.531919422585077</v>
      </c>
      <c r="AH38" s="339">
        <f t="shared" si="24"/>
        <v>3.7963365363919414E-2</v>
      </c>
      <c r="AI38" s="340">
        <f t="shared" si="25"/>
        <v>0.12855028086960793</v>
      </c>
      <c r="AJ38" s="341">
        <f t="shared" si="12"/>
        <v>7.5926730727838829E-2</v>
      </c>
    </row>
    <row r="39" spans="1:36" ht="17" customHeight="1" x14ac:dyDescent="0.2">
      <c r="A39" s="309">
        <v>32</v>
      </c>
      <c r="B39" s="309">
        <f t="shared" si="13"/>
        <v>35</v>
      </c>
      <c r="C39" s="1">
        <v>444.97</v>
      </c>
      <c r="D39" s="1">
        <v>1.47</v>
      </c>
      <c r="E39" s="326">
        <f t="shared" si="4"/>
        <v>13.925249261961788</v>
      </c>
      <c r="F39" s="327">
        <f t="shared" si="0"/>
        <v>2.9315097795518226E-2</v>
      </c>
      <c r="G39" s="309">
        <f t="shared" si="5"/>
        <v>1.5</v>
      </c>
      <c r="H39" s="1">
        <v>5400</v>
      </c>
      <c r="I39" s="324">
        <v>30</v>
      </c>
      <c r="J39" s="1">
        <v>1.73E-3</v>
      </c>
      <c r="K39" s="122">
        <v>2.9999999999999899E-5</v>
      </c>
      <c r="L39" s="328">
        <f t="shared" si="6"/>
        <v>1.7341040462427688</v>
      </c>
      <c r="M39" s="329">
        <f t="shared" si="1"/>
        <v>1.5931103961043386E-4</v>
      </c>
      <c r="N39" s="342">
        <f>(1/$J$52)*SQRT(((1-J40/$J$52)*K39)^2+(J40/$J$52)^2*(SUMSQ(K$8:K38)+SUMSQ(K40:K$43)))</f>
        <v>2.7623117197678045E-6</v>
      </c>
      <c r="O39" s="340">
        <f t="shared" si="14"/>
        <v>1.7339110500581345</v>
      </c>
      <c r="P39" s="332">
        <f t="shared" si="7"/>
        <v>0.11544525133388463</v>
      </c>
      <c r="Q39" s="342">
        <f>SQRT(((1-P39)/$J$52)^2*SUMSQ(K$8:K39)+(P39/$J$52)^2*SUMSQ(K40:K$43))</f>
        <v>8.376976677881853E-5</v>
      </c>
      <c r="R39" s="340">
        <f t="shared" si="15"/>
        <v>7.2562332197228324E-2</v>
      </c>
      <c r="S39" s="343">
        <f t="shared" si="16"/>
        <v>6.539115470315036E-10</v>
      </c>
      <c r="T39" s="344">
        <f t="shared" si="17"/>
        <v>3.6328419279527981E-12</v>
      </c>
      <c r="U39" s="344">
        <f>IF(P39&lt;=0.85, (1/(3*H39*$J$52))*SQRT( ((1-P39)*(1/SQRT(1-PI()*P39/3)-1) + (1-P38)*(1-1/SQRT(1-PI()*P38/3)))^2*SUMSQ(K$8:K38) + ( (1-P39)*(1/SQRT(1-PI()*P39/3)-1) -P38*(1-1/SQRT(1-PI()*P38/3)) )^2*K39^2 + ( P39*(1-1/SQRT(1-PI()*P39/3)) - P38*(1-1/SQRT(1-PI()*P38/3)) )^2*SUMSQ(K40:K$43) ), (1/(PI()^2*H39*$J$52))*SQRT((1+P38/(1-P38))^2*K39^2+(P38/(1-P38)-P39/(1-P39))^2*SUMSQ(K40:K$43)) )</f>
        <v>1.1353707103401161E-11</v>
      </c>
      <c r="V39" s="345">
        <f t="shared" si="18"/>
        <v>1.1920746850064127E-11</v>
      </c>
      <c r="W39" s="340">
        <f t="shared" si="19"/>
        <v>1.822990724690448</v>
      </c>
      <c r="X39" s="345">
        <f t="shared" si="20"/>
        <v>2.3841493700128253E-11</v>
      </c>
      <c r="Y39" s="338">
        <f t="shared" si="8"/>
        <v>-21.148049022805647</v>
      </c>
      <c r="Z39" s="346">
        <f t="shared" si="21"/>
        <v>1.822990724690448E-2</v>
      </c>
      <c r="AA39" s="346">
        <f t="shared" si="22"/>
        <v>8.6201366505466767E-2</v>
      </c>
      <c r="AB39" s="346">
        <f t="shared" si="9"/>
        <v>3.6459814493808959E-2</v>
      </c>
      <c r="AC39" s="336">
        <f t="shared" si="2"/>
        <v>8.438702357979673E-14</v>
      </c>
      <c r="AD39" s="337">
        <f t="shared" si="3"/>
        <v>3.3459884599266593E-15</v>
      </c>
      <c r="AE39" s="308">
        <f t="shared" si="10"/>
        <v>3.9650509260617284</v>
      </c>
      <c r="AF39" s="337">
        <f t="shared" si="11"/>
        <v>6.6919769198533185E-15</v>
      </c>
      <c r="AG39" s="338">
        <f t="shared" si="23"/>
        <v>-30.103362754183912</v>
      </c>
      <c r="AH39" s="339">
        <f t="shared" si="24"/>
        <v>3.9650509260617285E-2</v>
      </c>
      <c r="AI39" s="340">
        <f t="shared" si="25"/>
        <v>0.1317145515748285</v>
      </c>
      <c r="AJ39" s="341">
        <f t="shared" si="12"/>
        <v>7.930101852123457E-2</v>
      </c>
    </row>
    <row r="40" spans="1:36" ht="17" customHeight="1" x14ac:dyDescent="0.2">
      <c r="A40" s="309">
        <v>33</v>
      </c>
      <c r="B40" s="309">
        <f t="shared" si="13"/>
        <v>36.5</v>
      </c>
      <c r="C40" s="1">
        <v>434.98</v>
      </c>
      <c r="D40" s="1">
        <v>1.29</v>
      </c>
      <c r="E40" s="326">
        <f t="shared" si="4"/>
        <v>14.121700817646477</v>
      </c>
      <c r="F40" s="327">
        <f t="shared" si="0"/>
        <v>2.8820301874257361E-2</v>
      </c>
      <c r="G40" s="309">
        <f t="shared" si="5"/>
        <v>1.5</v>
      </c>
      <c r="H40" s="1">
        <v>5400</v>
      </c>
      <c r="I40" s="324">
        <v>30</v>
      </c>
      <c r="J40" s="1">
        <v>1.2999999999999999E-3</v>
      </c>
      <c r="K40" s="122">
        <v>2.0000000000000002E-5</v>
      </c>
      <c r="L40" s="328">
        <f t="shared" si="6"/>
        <v>1.5384615384615388</v>
      </c>
      <c r="M40" s="329">
        <f t="shared" si="1"/>
        <v>1.1971349797315839E-4</v>
      </c>
      <c r="N40" s="342">
        <f>(1/$J$52)*SQRT(((1-J41/$J$52)*K40)^2+(J41/$J$52)^2*(SUMSQ(K$8:K39)+SUMSQ(K41:K$43)))</f>
        <v>1.8417114170920228E-6</v>
      </c>
      <c r="O40" s="340">
        <f t="shared" si="14"/>
        <v>1.5384325479362093</v>
      </c>
      <c r="P40" s="332">
        <f t="shared" si="7"/>
        <v>0.11556496483185778</v>
      </c>
      <c r="Q40" s="342">
        <f>SQRT(((1-P40)/$J$52)^2*SUMSQ(K$8:K40)+(P40/$J$52)^2*SUMSQ(K41:K$43))</f>
        <v>8.3773997841898369E-5</v>
      </c>
      <c r="R40" s="340">
        <f t="shared" si="15"/>
        <v>7.2490826232488412E-2</v>
      </c>
      <c r="S40" s="343">
        <f t="shared" si="16"/>
        <v>4.920335071317951E-10</v>
      </c>
      <c r="T40" s="344">
        <f t="shared" si="17"/>
        <v>2.7335194840655242E-12</v>
      </c>
      <c r="U40" s="344">
        <f>IF(P40&lt;=0.85, (1/(3*H40*$J$52))*SQRT( ((1-P40)*(1/SQRT(1-PI()*P40/3)-1) + (1-P39)*(1-1/SQRT(1-PI()*P39/3)))^2*SUMSQ(K$8:K39) + ( (1-P40)*(1/SQRT(1-PI()*P40/3)-1) -P39*(1-1/SQRT(1-PI()*P39/3)) )^2*K40^2 + ( P40*(1-1/SQRT(1-PI()*P40/3)) - P39*(1-1/SQRT(1-PI()*P39/3)) )^2*SUMSQ(K41:K$43) ), (1/(PI()^2*H40*$J$52))*SQRT((1+P39/(1-P39))^2*K40^2+(P39/(1-P39)-P40/(1-P40))^2*SUMSQ(K41:K$43)) )</f>
        <v>7.5800955420153449E-12</v>
      </c>
      <c r="V40" s="345">
        <f t="shared" si="18"/>
        <v>8.057913948153502E-12</v>
      </c>
      <c r="W40" s="340">
        <f t="shared" si="19"/>
        <v>1.6376758556801145</v>
      </c>
      <c r="X40" s="345">
        <f t="shared" si="20"/>
        <v>1.6115827896307004E-11</v>
      </c>
      <c r="Y40" s="338">
        <f t="shared" si="8"/>
        <v>-21.432474297828794</v>
      </c>
      <c r="Z40" s="346">
        <f t="shared" si="21"/>
        <v>1.6376758556801145E-2</v>
      </c>
      <c r="AA40" s="346">
        <f t="shared" si="22"/>
        <v>7.641095623971042E-2</v>
      </c>
      <c r="AB40" s="346">
        <f t="shared" si="9"/>
        <v>3.275351711360229E-2</v>
      </c>
      <c r="AC40" s="336">
        <f t="shared" si="2"/>
        <v>6.3496727281955293E-14</v>
      </c>
      <c r="AD40" s="337">
        <f t="shared" si="3"/>
        <v>2.4657926905430338E-15</v>
      </c>
      <c r="AE40" s="308">
        <f t="shared" si="10"/>
        <v>3.8833382381957358</v>
      </c>
      <c r="AF40" s="337">
        <f t="shared" si="11"/>
        <v>4.9315853810860676E-15</v>
      </c>
      <c r="AG40" s="338">
        <f t="shared" si="23"/>
        <v>-30.387788029207059</v>
      </c>
      <c r="AH40" s="339">
        <f t="shared" si="24"/>
        <v>3.8833382381957361E-2</v>
      </c>
      <c r="AI40" s="340">
        <f t="shared" si="25"/>
        <v>0.12779272497436425</v>
      </c>
      <c r="AJ40" s="341">
        <f t="shared" si="12"/>
        <v>7.7666764763914722E-2</v>
      </c>
    </row>
    <row r="41" spans="1:36" ht="17" customHeight="1" x14ac:dyDescent="0.2">
      <c r="A41" s="309">
        <v>34</v>
      </c>
      <c r="B41" s="309">
        <f t="shared" si="13"/>
        <v>38</v>
      </c>
      <c r="C41" s="1">
        <v>395.88</v>
      </c>
      <c r="D41" s="1">
        <v>55.15</v>
      </c>
      <c r="E41" s="326">
        <f t="shared" si="4"/>
        <v>14.94701283948403</v>
      </c>
      <c r="F41" s="327">
        <f t="shared" si="0"/>
        <v>1.1282808482955766</v>
      </c>
      <c r="G41" s="309">
        <f t="shared" si="5"/>
        <v>1.5</v>
      </c>
      <c r="H41" s="1">
        <v>5400</v>
      </c>
      <c r="I41" s="324">
        <v>30</v>
      </c>
      <c r="J41" s="1">
        <v>2.1000000000000001E-4</v>
      </c>
      <c r="K41" s="1">
        <v>0</v>
      </c>
      <c r="L41" s="328">
        <f t="shared" si="6"/>
        <v>0</v>
      </c>
      <c r="M41" s="329">
        <f t="shared" si="1"/>
        <v>1.9338334287971741E-5</v>
      </c>
      <c r="N41" s="342">
        <f>(1/$J$52)*SQRT(((1-J42/$J$52)*K41)^2+(J42/$J$52)^2*(SUMSQ(K$8:K40)+SUMSQ(K42:K$43)))</f>
        <v>9.3339870372325858E-9</v>
      </c>
      <c r="O41" s="340">
        <f t="shared" si="14"/>
        <v>4.826675813044682E-2</v>
      </c>
      <c r="P41" s="332">
        <f t="shared" si="7"/>
        <v>0.11558430316614575</v>
      </c>
      <c r="Q41" s="342">
        <f>SQRT(((1-P41)/$J$52)^2*SUMSQ(K$8:K41)+(P41/$J$52)^2*SUMSQ(K42:K$43))</f>
        <v>8.3772166159228924E-5</v>
      </c>
      <c r="R41" s="340">
        <f t="shared" si="15"/>
        <v>7.2477113123925907E-2</v>
      </c>
      <c r="S41" s="343">
        <f t="shared" si="16"/>
        <v>7.9535065365692832E-11</v>
      </c>
      <c r="T41" s="344">
        <f t="shared" si="17"/>
        <v>4.4186147425384804E-13</v>
      </c>
      <c r="U41" s="344">
        <f>IF(P41&lt;=0.85, (1/(3*H41*$J$52))*SQRT( ((1-P41)*(1/SQRT(1-PI()*P41/3)-1) + (1-P40)*(1-1/SQRT(1-PI()*P40/3)))^2*SUMSQ(K$8:K40) + ( (1-P41)*(1/SQRT(1-PI()*P41/3)-1) -P40*(1-1/SQRT(1-PI()*P40/3)) )^2*K41^2 + ( P41*(1-1/SQRT(1-PI()*P41/3)) - P40*(1-1/SQRT(1-PI()*P40/3)) )^2*SUMSQ(K42:K$43) ), (1/(PI()^2*H41*$J$52))*SQRT((1+P40/(1-P40))^2*K41^2+(P40/(1-P40)-P41/(1-P41))^2*SUMSQ(K42:K$43)) )</f>
        <v>5.6006521850691944E-14</v>
      </c>
      <c r="V41" s="345">
        <f t="shared" si="18"/>
        <v>4.4539678144278954E-13</v>
      </c>
      <c r="W41" s="340">
        <f t="shared" si="19"/>
        <v>0.5600005222789568</v>
      </c>
      <c r="X41" s="345">
        <f t="shared" si="20"/>
        <v>8.9079356288557908E-13</v>
      </c>
      <c r="Y41" s="338">
        <f t="shared" si="8"/>
        <v>-23.25482311773041</v>
      </c>
      <c r="Z41" s="346">
        <f t="shared" si="21"/>
        <v>5.600005222789568E-3</v>
      </c>
      <c r="AA41" s="346">
        <f t="shared" si="22"/>
        <v>2.4081048453642718E-2</v>
      </c>
      <c r="AB41" s="346">
        <f t="shared" si="9"/>
        <v>1.1200010445579136E-2</v>
      </c>
      <c r="AC41" s="336">
        <f t="shared" si="2"/>
        <v>1.0263968371416514E-14</v>
      </c>
      <c r="AD41" s="337">
        <f t="shared" si="3"/>
        <v>3.6594947126752179E-16</v>
      </c>
      <c r="AE41" s="308">
        <f t="shared" si="10"/>
        <v>3.565379958560976</v>
      </c>
      <c r="AF41" s="337">
        <f t="shared" si="11"/>
        <v>7.3189894253504358E-16</v>
      </c>
      <c r="AG41" s="338">
        <f t="shared" si="23"/>
        <v>-32.210136849108672</v>
      </c>
      <c r="AH41" s="339">
        <f t="shared" si="24"/>
        <v>3.5653799585609762E-2</v>
      </c>
      <c r="AI41" s="340">
        <f t="shared" si="25"/>
        <v>0.11069123907369051</v>
      </c>
      <c r="AJ41" s="341">
        <f t="shared" si="12"/>
        <v>7.1307599171219524E-2</v>
      </c>
    </row>
    <row r="42" spans="1:36" ht="17" customHeight="1" x14ac:dyDescent="0.2">
      <c r="A42" s="309">
        <v>35</v>
      </c>
      <c r="B42" s="309">
        <f t="shared" si="13"/>
        <v>39.5</v>
      </c>
      <c r="C42" s="1">
        <v>425.99</v>
      </c>
      <c r="D42" s="1">
        <v>1.1499999999999999</v>
      </c>
      <c r="E42" s="326">
        <f t="shared" si="4"/>
        <v>14.303286895328547</v>
      </c>
      <c r="F42" s="327">
        <f t="shared" si="0"/>
        <v>2.4290284107989807E-2</v>
      </c>
      <c r="G42" s="309">
        <f t="shared" si="5"/>
        <v>1.5</v>
      </c>
      <c r="H42" s="1">
        <v>5400</v>
      </c>
      <c r="I42" s="324">
        <v>30</v>
      </c>
      <c r="J42" s="1">
        <v>1.07E-3</v>
      </c>
      <c r="K42" s="122">
        <v>1.0000000000000001E-5</v>
      </c>
      <c r="L42" s="328">
        <f t="shared" si="6"/>
        <v>0.93457943925233655</v>
      </c>
      <c r="M42" s="329">
        <f t="shared" si="1"/>
        <v>9.8533417562522685E-5</v>
      </c>
      <c r="N42" s="342">
        <f>(1/$J$52)*SQRT(((1-J51/$J$52)*K42)^2+(J51/$J$52)^2*(SUMSQ(K$8:K41)+SUMSQ(K43:K$43)))</f>
        <v>8.1734047079852577E-5</v>
      </c>
      <c r="O42" s="340">
        <f t="shared" si="14"/>
        <v>82.950585803024282</v>
      </c>
      <c r="P42" s="332">
        <f t="shared" si="7"/>
        <v>0.11568283658370827</v>
      </c>
      <c r="Q42" s="342">
        <f>SQRT(((1-P42)/$J$52)^2*SUMSQ(K$8:K42)+(P42/$J$52)^2*SUMSQ(K43:K$43))</f>
        <v>8.3766724001203415E-5</v>
      </c>
      <c r="R42" s="340">
        <f t="shared" si="15"/>
        <v>7.2410676012936187E-2</v>
      </c>
      <c r="S42" s="343">
        <f t="shared" si="16"/>
        <v>4.054778738100289E-10</v>
      </c>
      <c r="T42" s="344">
        <f t="shared" si="17"/>
        <v>2.2526548545001635E-12</v>
      </c>
      <c r="U42" s="344">
        <f>IF(P42&lt;=0.85, (1/(3*H42*$J$52))*SQRT( ((1-P42)*(1/SQRT(1-PI()*P42/3)-1) + (1-P41)*(1-1/SQRT(1-PI()*P41/3)))^2*SUMSQ(K$8:K41) + ( (1-P42)*(1/SQRT(1-PI()*P42/3)-1) -P41*(1-1/SQRT(1-PI()*P41/3)) )^2*K42^2 + ( P42*(1-1/SQRT(1-PI()*P42/3)) - P41*(1-1/SQRT(1-PI()*P41/3)) )^2*SUMSQ(K43:K$43) ), (1/(PI()^2*H42*$J$52))*SQRT((1+P41/(1-P41))^2*K42^2+(P41/(1-P41)-P42/(1-P42))^2*SUMSQ(K43:K$43)) )</f>
        <v>3.8012334366459537E-12</v>
      </c>
      <c r="V42" s="345">
        <f t="shared" si="18"/>
        <v>4.418577772697722E-12</v>
      </c>
      <c r="W42" s="340">
        <f t="shared" si="19"/>
        <v>1.0897210570774269</v>
      </c>
      <c r="X42" s="345">
        <f t="shared" si="20"/>
        <v>8.8371555453954439E-12</v>
      </c>
      <c r="Y42" s="338">
        <f t="shared" si="8"/>
        <v>-21.625954809065195</v>
      </c>
      <c r="Z42" s="346">
        <f t="shared" si="21"/>
        <v>1.0897210570774269E-2</v>
      </c>
      <c r="AA42" s="346">
        <f t="shared" si="22"/>
        <v>5.0389500334137208E-2</v>
      </c>
      <c r="AB42" s="346">
        <f t="shared" si="9"/>
        <v>2.1794421141548538E-2</v>
      </c>
      <c r="AC42" s="336">
        <f t="shared" si="2"/>
        <v>5.2326757424034698E-14</v>
      </c>
      <c r="AD42" s="337">
        <f t="shared" si="3"/>
        <v>1.9287095978466494E-15</v>
      </c>
      <c r="AE42" s="308">
        <f t="shared" si="10"/>
        <v>3.6858955012579391</v>
      </c>
      <c r="AF42" s="337">
        <f t="shared" si="11"/>
        <v>3.8574191956932987E-15</v>
      </c>
      <c r="AG42" s="338">
        <f t="shared" si="23"/>
        <v>-30.58126854044346</v>
      </c>
      <c r="AH42" s="339">
        <f t="shared" si="24"/>
        <v>3.6858955012579388E-2</v>
      </c>
      <c r="AI42" s="340">
        <f t="shared" si="25"/>
        <v>0.12052788118921143</v>
      </c>
      <c r="AJ42" s="341">
        <f t="shared" si="12"/>
        <v>7.3717910025158775E-2</v>
      </c>
    </row>
    <row r="43" spans="1:36" ht="17" customHeight="1" x14ac:dyDescent="0.2">
      <c r="A43" s="309">
        <v>36</v>
      </c>
      <c r="B43" s="309">
        <f t="shared" si="13"/>
        <v>41</v>
      </c>
      <c r="C43" s="1">
        <v>414.92</v>
      </c>
      <c r="D43" s="1">
        <v>1.61</v>
      </c>
      <c r="E43" s="326">
        <f t="shared" si="4"/>
        <v>14.533405031464824</v>
      </c>
      <c r="F43" s="327">
        <f t="shared" si="0"/>
        <v>3.5012698032361039E-2</v>
      </c>
      <c r="G43" s="309">
        <f t="shared" si="5"/>
        <v>1.5</v>
      </c>
      <c r="H43" s="1">
        <v>5400</v>
      </c>
      <c r="I43" s="324">
        <v>30</v>
      </c>
      <c r="J43" s="1">
        <v>2.9999999999999997E-4</v>
      </c>
      <c r="K43" s="122">
        <v>1.0000000000000001E-5</v>
      </c>
      <c r="L43" s="328">
        <f t="shared" si="6"/>
        <v>3.3333333333333339</v>
      </c>
      <c r="M43" s="329">
        <f t="shared" si="1"/>
        <v>2.7626191839959628E-5</v>
      </c>
      <c r="N43" s="342">
        <f>(1/$J$52)*SQRT(((1-J44/$J$52)*K43)^2+(J44/$J$52)^2*(SUMSQ(K$8:K42)+SUMSQ(K$43:K44)))</f>
        <v>9.2083815094675947E-7</v>
      </c>
      <c r="O43" s="340">
        <f t="shared" si="14"/>
        <v>3.3332069663500357</v>
      </c>
      <c r="P43" s="332">
        <f t="shared" si="7"/>
        <v>0.11571046277554824</v>
      </c>
      <c r="Q43" s="342">
        <f>SQRT(((1-P43)/$J$52)^2*SUMSQ(K$8:K43)+(P43/$J$52)^2*SUMSQ(K$43:K44))</f>
        <v>8.3768133055564832E-5</v>
      </c>
      <c r="R43" s="340">
        <f t="shared" si="15"/>
        <v>7.2394605506034312E-2</v>
      </c>
      <c r="S43" s="343">
        <f t="shared" si="16"/>
        <v>1.1375374472487813E-10</v>
      </c>
      <c r="T43" s="344">
        <f t="shared" si="17"/>
        <v>6.3196524847154498E-13</v>
      </c>
      <c r="U43" s="344">
        <f>IF(P43&lt;=0.85, (1/(3*H43*$J$52))*SQRT( ((1-P43)*(1/SQRT(1-PI()*P43/3)-1) + (1-P42)*(1-1/SQRT(1-PI()*P42/3)))^2*SUMSQ(K$8:K42) + ( (1-P43)*(1/SQRT(1-PI()*P43/3)-1) -P42*(1-1/SQRT(1-PI()*P42/3)) )^2*K43^2 + ( P43*(1-1/SQRT(1-PI()*P43/3)) - P42*(1-1/SQRT(1-PI()*P42/3)) )^2*SUMSQ(K$43:K44) ), (1/(PI()^2*H43*$J$52))*SQRT((1+P42/(1-P42))^2*K43^2+(P42/(1-P42)-P43/(1-P43))^2*SUMSQ(K$43:K44)) )</f>
        <v>3.7929142209259491E-12</v>
      </c>
      <c r="V43" s="345">
        <f t="shared" si="18"/>
        <v>3.8452019924287465E-12</v>
      </c>
      <c r="W43" s="340">
        <f t="shared" si="19"/>
        <v>3.380286074738597</v>
      </c>
      <c r="X43" s="345">
        <f t="shared" si="20"/>
        <v>7.6904039848574931E-12</v>
      </c>
      <c r="Y43" s="338">
        <f t="shared" si="8"/>
        <v>-22.89698513798109</v>
      </c>
      <c r="Z43" s="346">
        <f t="shared" si="21"/>
        <v>3.380286074738597E-2</v>
      </c>
      <c r="AA43" s="346">
        <f t="shared" si="22"/>
        <v>0.14763018163170494</v>
      </c>
      <c r="AB43" s="346">
        <f t="shared" si="9"/>
        <v>6.7605721494771939E-2</v>
      </c>
      <c r="AC43" s="336">
        <f t="shared" si="2"/>
        <v>1.4679875255247631E-14</v>
      </c>
      <c r="AD43" s="337">
        <f t="shared" si="3"/>
        <v>7.1653232947041421E-16</v>
      </c>
      <c r="AE43" s="308">
        <f t="shared" si="10"/>
        <v>4.881051895957186</v>
      </c>
      <c r="AF43" s="337">
        <f t="shared" si="11"/>
        <v>1.4330646589408284E-15</v>
      </c>
      <c r="AG43" s="338">
        <f t="shared" si="23"/>
        <v>-31.852298869359355</v>
      </c>
      <c r="AH43" s="339">
        <f t="shared" si="24"/>
        <v>4.8810518959571857E-2</v>
      </c>
      <c r="AI43" s="340">
        <f t="shared" si="25"/>
        <v>0.15324017635199835</v>
      </c>
      <c r="AJ43" s="341">
        <f t="shared" si="12"/>
        <v>9.7621037919143713E-2</v>
      </c>
    </row>
    <row r="44" spans="1:36" ht="17" customHeight="1" x14ac:dyDescent="0.2">
      <c r="A44" s="309">
        <v>37</v>
      </c>
      <c r="B44" s="309">
        <f t="shared" si="13"/>
        <v>42.5</v>
      </c>
      <c r="C44" s="1">
        <v>404.96</v>
      </c>
      <c r="D44" s="1">
        <v>1.23</v>
      </c>
      <c r="E44" s="326">
        <f t="shared" si="4"/>
        <v>14.746869976847416</v>
      </c>
      <c r="F44" s="327">
        <f t="shared" si="0"/>
        <v>2.3525150623009188E-2</v>
      </c>
      <c r="G44" s="309">
        <f t="shared" si="5"/>
        <v>1.5</v>
      </c>
      <c r="H44" s="1">
        <v>5400</v>
      </c>
      <c r="I44" s="324">
        <v>30</v>
      </c>
      <c r="J44" s="1">
        <v>5.6999999999999998E-4</v>
      </c>
      <c r="K44" s="122">
        <v>1.0000000000000001E-5</v>
      </c>
      <c r="L44" s="328">
        <f t="shared" si="6"/>
        <v>1.754385964912281</v>
      </c>
      <c r="M44" s="329">
        <f t="shared" si="1"/>
        <v>5.2489764495923298E-5</v>
      </c>
      <c r="N44" s="342">
        <f>(1/$J$52)*SQRT(((1-J45/$J$52)*K44)^2+(J45/$J$52)^2*(SUMSQ(K$8:K43)+SUMSQ(K$43:K45)))</f>
        <v>9.2097553558414371E-7</v>
      </c>
      <c r="O44" s="340">
        <f t="shared" si="14"/>
        <v>1.7545811920258714</v>
      </c>
      <c r="P44" s="332">
        <f t="shared" si="7"/>
        <v>0.11576295254004416</v>
      </c>
      <c r="Q44" s="342">
        <f>SQRT(((1-P44)/$J$52)^2*SUMSQ(K$8:K44)+(P44/$J$52)^2*SUMSQ(K$43:K45))</f>
        <v>8.3768814367667378E-5</v>
      </c>
      <c r="R44" s="340">
        <f t="shared" si="15"/>
        <v>7.2362368555424036E-2</v>
      </c>
      <c r="S44" s="343">
        <f t="shared" si="16"/>
        <v>2.1621460427039629E-10</v>
      </c>
      <c r="T44" s="344">
        <f t="shared" si="17"/>
        <v>1.2011922459466455E-12</v>
      </c>
      <c r="U44" s="344">
        <f>IF(P44&lt;=0.85, (1/(3*H44*$J$52))*SQRT( ((1-P44)*(1/SQRT(1-PI()*P44/3)-1) + (1-P43)*(1-1/SQRT(1-PI()*P43/3)))^2*SUMSQ(K$8:K43) + ( (1-P44)*(1/SQRT(1-PI()*P44/3)-1) -P43*(1-1/SQRT(1-PI()*P43/3)) )^2*K44^2 + ( P44*(1-1/SQRT(1-PI()*P44/3)) - P43*(1-1/SQRT(1-PI()*P43/3)) )^2*SUMSQ(K$43:K45) ), (1/(PI()^2*H44*$J$52))*SQRT((1+P43/(1-P43))^2*K44^2+(P43/(1-P43)-P44/(1-P44))^2*SUMSQ(K$43:K45)) )</f>
        <v>3.7968133869105775E-12</v>
      </c>
      <c r="V44" s="345">
        <f t="shared" si="18"/>
        <v>3.9822926445385343E-12</v>
      </c>
      <c r="W44" s="340">
        <f t="shared" si="19"/>
        <v>1.8418240793569665</v>
      </c>
      <c r="X44" s="345">
        <f t="shared" si="20"/>
        <v>7.9645852890770685E-12</v>
      </c>
      <c r="Y44" s="338">
        <f t="shared" si="8"/>
        <v>-22.254749663188008</v>
      </c>
      <c r="Z44" s="346">
        <f t="shared" si="21"/>
        <v>1.8418240793569664E-2</v>
      </c>
      <c r="AA44" s="346">
        <f t="shared" si="22"/>
        <v>8.2760943494393086E-2</v>
      </c>
      <c r="AB44" s="346">
        <f t="shared" si="9"/>
        <v>3.6836481587139328E-2</v>
      </c>
      <c r="AC44" s="336">
        <f t="shared" si="2"/>
        <v>2.790240819525293E-14</v>
      </c>
      <c r="AD44" s="337">
        <f t="shared" si="3"/>
        <v>1.1087705603066681E-15</v>
      </c>
      <c r="AE44" s="308">
        <f t="shared" si="10"/>
        <v>3.9737450350084997</v>
      </c>
      <c r="AF44" s="337">
        <f t="shared" si="11"/>
        <v>2.2175411206133361E-15</v>
      </c>
      <c r="AG44" s="338">
        <f t="shared" si="23"/>
        <v>-31.210063394566269</v>
      </c>
      <c r="AH44" s="339">
        <f t="shared" si="24"/>
        <v>3.9737450350084996E-2</v>
      </c>
      <c r="AI44" s="340">
        <f t="shared" si="25"/>
        <v>0.12732255570170795</v>
      </c>
      <c r="AJ44" s="341">
        <f t="shared" si="12"/>
        <v>7.9474900700169993E-2</v>
      </c>
    </row>
    <row r="45" spans="1:36" ht="17" customHeight="1" x14ac:dyDescent="0.2">
      <c r="A45" s="309">
        <v>38</v>
      </c>
      <c r="B45" s="309">
        <f t="shared" si="13"/>
        <v>44</v>
      </c>
      <c r="C45" s="1">
        <v>449.93</v>
      </c>
      <c r="D45" s="1">
        <v>1.5</v>
      </c>
      <c r="E45" s="326">
        <f t="shared" si="4"/>
        <v>13.829728384134537</v>
      </c>
      <c r="F45" s="327">
        <f t="shared" si="0"/>
        <v>2.5096241068767091E-2</v>
      </c>
      <c r="G45" s="309">
        <f t="shared" si="5"/>
        <v>1.5</v>
      </c>
      <c r="H45" s="1">
        <v>5400</v>
      </c>
      <c r="I45" s="324">
        <v>30</v>
      </c>
      <c r="J45" s="1">
        <v>2.8999999999999998E-3</v>
      </c>
      <c r="K45" s="122">
        <v>5.0000000000000002E-5</v>
      </c>
      <c r="L45" s="328">
        <f t="shared" si="6"/>
        <v>1.7241379310344831</v>
      </c>
      <c r="M45" s="329">
        <f t="shared" si="1"/>
        <v>2.6705318778627644E-4</v>
      </c>
      <c r="N45" s="342">
        <f>(1/$J$52)*SQRT(((1-J46/$J$52)*K45)^2+(J46/$J$52)^2*(SUMSQ(K$8:K44)+SUMSQ(K$43:K46)))</f>
        <v>4.5995547700117213E-6</v>
      </c>
      <c r="O45" s="340">
        <f t="shared" si="14"/>
        <v>1.7223365907516373</v>
      </c>
      <c r="P45" s="332">
        <f t="shared" si="7"/>
        <v>0.11603000572783044</v>
      </c>
      <c r="Q45" s="342">
        <f>SQRT(((1-P45)/$J$52)^2*SUMSQ(K$8:K45)+(P45/$J$52)^2*SUMSQ(K$43:K46))</f>
        <v>8.3852178124837982E-5</v>
      </c>
      <c r="R45" s="340">
        <f t="shared" si="15"/>
        <v>7.2267666970153022E-2</v>
      </c>
      <c r="S45" s="343">
        <f t="shared" si="16"/>
        <v>1.1017134668651018E-9</v>
      </c>
      <c r="T45" s="344">
        <f t="shared" si="17"/>
        <v>6.1206303714727994E-12</v>
      </c>
      <c r="U45" s="344">
        <f>IF(P45&lt;=0.85, (1/(3*H45*$J$52))*SQRT( ((1-P45)*(1/SQRT(1-PI()*P45/3)-1) + (1-P44)*(1-1/SQRT(1-PI()*P44/3)))^2*SUMSQ(K$8:K44) + ( (1-P45)*(1/SQRT(1-PI()*P45/3)-1) -P44*(1-1/SQRT(1-PI()*P44/3)) )^2*K45^2 + ( P45*(1-1/SQRT(1-PI()*P45/3)) - P44*(1-1/SQRT(1-PI()*P44/3)) )^2*SUMSQ(K$43:K46) ), (1/(PI()^2*H45*$J$52))*SQRT((1+P44/(1-P44))^2*K45^2+(P44/(1-P44)-P45/(1-P45))^2*SUMSQ(K$43:K46)) )</f>
        <v>1.9024271130655374E-11</v>
      </c>
      <c r="V45" s="345">
        <f t="shared" si="18"/>
        <v>1.9984619290766657E-11</v>
      </c>
      <c r="W45" s="340">
        <f t="shared" si="19"/>
        <v>1.8139579747202685</v>
      </c>
      <c r="X45" s="345">
        <f t="shared" si="20"/>
        <v>3.9969238581533314E-11</v>
      </c>
      <c r="Y45" s="338">
        <f t="shared" si="8"/>
        <v>-20.626399171943792</v>
      </c>
      <c r="Z45" s="346">
        <f t="shared" si="21"/>
        <v>1.8139579747202685E-2</v>
      </c>
      <c r="AA45" s="346">
        <f t="shared" si="22"/>
        <v>8.7943511593997936E-2</v>
      </c>
      <c r="AB45" s="346">
        <f t="shared" si="9"/>
        <v>3.6279159494405369E-2</v>
      </c>
      <c r="AC45" s="336">
        <f t="shared" si="2"/>
        <v>1.4217568221355463E-13</v>
      </c>
      <c r="AD45" s="337">
        <f t="shared" si="3"/>
        <v>5.6314452811772255E-15</v>
      </c>
      <c r="AE45" s="308">
        <f t="shared" si="10"/>
        <v>3.9609061082038819</v>
      </c>
      <c r="AF45" s="337">
        <f t="shared" si="11"/>
        <v>1.1262890562354451E-14</v>
      </c>
      <c r="AG45" s="338">
        <f t="shared" si="23"/>
        <v>-29.581712903322057</v>
      </c>
      <c r="AH45" s="339">
        <f t="shared" si="24"/>
        <v>3.9609061082038821E-2</v>
      </c>
      <c r="AI45" s="340">
        <f t="shared" si="25"/>
        <v>0.13389711816718591</v>
      </c>
      <c r="AJ45" s="341">
        <f t="shared" si="12"/>
        <v>7.9218122164077642E-2</v>
      </c>
    </row>
    <row r="46" spans="1:36" ht="17" customHeight="1" x14ac:dyDescent="0.2">
      <c r="A46" s="309">
        <v>39</v>
      </c>
      <c r="B46" s="309">
        <f t="shared" si="13"/>
        <v>45.5</v>
      </c>
      <c r="C46" s="1">
        <v>499.96</v>
      </c>
      <c r="D46" s="1">
        <v>1.51</v>
      </c>
      <c r="E46" s="326">
        <f t="shared" si="4"/>
        <v>12.93476995511635</v>
      </c>
      <c r="F46" s="327">
        <f t="shared" si="0"/>
        <v>2.3704438732242289E-2</v>
      </c>
      <c r="G46" s="309">
        <f t="shared" si="5"/>
        <v>1.5</v>
      </c>
      <c r="H46" s="1">
        <v>5400</v>
      </c>
      <c r="I46" s="324">
        <v>30</v>
      </c>
      <c r="J46" s="1">
        <v>1.7239999999999998E-2</v>
      </c>
      <c r="K46" s="1">
        <v>1.19999999999999E-4</v>
      </c>
      <c r="L46" s="328">
        <f t="shared" si="6"/>
        <v>0.69605568445475063</v>
      </c>
      <c r="M46" s="329">
        <f t="shared" si="1"/>
        <v>1.5875851577363466E-3</v>
      </c>
      <c r="N46" s="342">
        <f>(1/$J$52)*SQRT(((1-J47/$J$52)*K46)^2+(J47/$J$52)^2*(SUMSQ(K$8:K45)+SUMSQ(K$43:K47)))</f>
        <v>1.10221451962205E-5</v>
      </c>
      <c r="O46" s="340">
        <f t="shared" si="14"/>
        <v>0.69427111626165561</v>
      </c>
      <c r="P46" s="332">
        <f t="shared" si="7"/>
        <v>0.11761759088556678</v>
      </c>
      <c r="Q46" s="342">
        <f>SQRT(((1-P46)/$J$52)^2*SUMSQ(K$8:K46)+(P46/$J$52)^2*SUMSQ(K$43:K47))</f>
        <v>8.430806527947549E-5</v>
      </c>
      <c r="R46" s="340">
        <f t="shared" si="15"/>
        <v>7.1679809665121441E-2</v>
      </c>
      <c r="S46" s="343">
        <f t="shared" si="16"/>
        <v>6.6073307161751459E-9</v>
      </c>
      <c r="T46" s="344">
        <f t="shared" si="17"/>
        <v>3.6707392867639815E-11</v>
      </c>
      <c r="U46" s="344">
        <f>IF(P46&lt;=0.85, (1/(3*H46*$J$52))*SQRT( ((1-P46)*(1/SQRT(1-PI()*P46/3)-1) + (1-P45)*(1-1/SQRT(1-PI()*P45/3)))^2*SUMSQ(K$8:K45) + ( (1-P46)*(1/SQRT(1-PI()*P46/3)-1) -P45*(1-1/SQRT(1-PI()*P45/3)) )^2*K46^2 + ( P46*(1-1/SQRT(1-PI()*P46/3)) - P45*(1-1/SQRT(1-PI()*P45/3)) )^2*SUMSQ(K$43:K47) ), (1/(PI()^2*H46*$J$52))*SQRT((1+P45/(1-P45))^2*K46^2+(P45/(1-P45)-P46/(1-P46))^2*SUMSQ(K$43:K47)) )</f>
        <v>4.6412023120322528E-11</v>
      </c>
      <c r="V46" s="345">
        <f t="shared" si="18"/>
        <v>5.9173546296133095E-11</v>
      </c>
      <c r="W46" s="340">
        <f t="shared" si="19"/>
        <v>0.89557415600936496</v>
      </c>
      <c r="X46" s="345">
        <f t="shared" si="20"/>
        <v>1.1834709259226619E-10</v>
      </c>
      <c r="Y46" s="338">
        <f t="shared" si="8"/>
        <v>-18.835086089729092</v>
      </c>
      <c r="Z46" s="346">
        <f t="shared" si="21"/>
        <v>8.95574156009365E-3</v>
      </c>
      <c r="AA46" s="346">
        <f t="shared" si="22"/>
        <v>4.7548184900398624E-2</v>
      </c>
      <c r="AB46" s="346">
        <f t="shared" si="9"/>
        <v>1.79114831201873E-2</v>
      </c>
      <c r="AC46" s="336">
        <f t="shared" si="2"/>
        <v>8.5267338599011606E-13</v>
      </c>
      <c r="AD46" s="337">
        <f t="shared" si="3"/>
        <v>3.0979616357838449E-14</v>
      </c>
      <c r="AE46" s="308">
        <f t="shared" si="10"/>
        <v>3.6332336468864006</v>
      </c>
      <c r="AF46" s="337">
        <f t="shared" si="11"/>
        <v>6.1959232715676898E-14</v>
      </c>
      <c r="AG46" s="338">
        <f t="shared" si="23"/>
        <v>-27.790399821107357</v>
      </c>
      <c r="AH46" s="339">
        <f t="shared" si="24"/>
        <v>3.6332336468864003E-2</v>
      </c>
      <c r="AI46" s="340">
        <f t="shared" si="25"/>
        <v>0.13073700523469575</v>
      </c>
      <c r="AJ46" s="341">
        <f t="shared" si="12"/>
        <v>7.2664672937728006E-2</v>
      </c>
    </row>
    <row r="47" spans="1:36" ht="17" customHeight="1" x14ac:dyDescent="0.2">
      <c r="A47" s="309">
        <v>40</v>
      </c>
      <c r="B47" s="309">
        <f t="shared" si="13"/>
        <v>47</v>
      </c>
      <c r="C47" s="1">
        <v>524.98</v>
      </c>
      <c r="D47" s="1">
        <v>1.39</v>
      </c>
      <c r="E47" s="326">
        <f t="shared" si="4"/>
        <v>12.529287208850688</v>
      </c>
      <c r="F47" s="327">
        <f t="shared" si="0"/>
        <v>2.0517297209186852E-2</v>
      </c>
      <c r="G47" s="309">
        <f t="shared" si="5"/>
        <v>1.5</v>
      </c>
      <c r="H47" s="1">
        <v>5400</v>
      </c>
      <c r="I47" s="324">
        <v>30</v>
      </c>
      <c r="J47" s="1">
        <v>3.1439999999999899E-2</v>
      </c>
      <c r="K47" s="1">
        <v>2.39999999999999E-4</v>
      </c>
      <c r="L47" s="328">
        <f t="shared" si="6"/>
        <v>0.76335877862595347</v>
      </c>
      <c r="M47" s="329">
        <f t="shared" si="1"/>
        <v>2.8952249048277601E-3</v>
      </c>
      <c r="N47" s="342">
        <f>(1/$J$52)*SQRT(((1-J56/$J$52)*K47)^2+(J56/$J$52)^2*(SUMSQ(K$8:K46)+SUMSQ(K$43:K48)))</f>
        <v>2.2100953471967611E-5</v>
      </c>
      <c r="O47" s="340">
        <f t="shared" si="14"/>
        <v>0.76335877862595336</v>
      </c>
      <c r="P47" s="332">
        <f t="shared" si="7"/>
        <v>0.12051281579039454</v>
      </c>
      <c r="Q47" s="342">
        <f>SQRT(((1-P47)/$J$52)^2*SUMSQ(K$8:K47)+(P47/$J$52)^2*SUMSQ(K$43:K48))</f>
        <v>8.6294190613832943E-5</v>
      </c>
      <c r="R47" s="340">
        <f t="shared" si="15"/>
        <v>7.1605820549345264E-2</v>
      </c>
      <c r="S47" s="343">
        <f t="shared" si="16"/>
        <v>1.2305217626975422E-8</v>
      </c>
      <c r="T47" s="344">
        <f t="shared" si="17"/>
        <v>6.8362320149863444E-11</v>
      </c>
      <c r="U47" s="344">
        <f>IF(P47&lt;=0.85, (1/(3*H47*$J$52))*SQRT( ((1-P47)*(1/SQRT(1-PI()*P47/3)-1) + (1-P46)*(1-1/SQRT(1-PI()*P46/3)))^2*SUMSQ(K$8:K46) + ( (1-P47)*(1/SQRT(1-PI()*P47/3)-1) -P46*(1-1/SQRT(1-PI()*P46/3)) )^2*K47^2 + ( P47*(1-1/SQRT(1-PI()*P47/3)) - P46*(1-1/SQRT(1-PI()*P46/3)) )^2*SUMSQ(K$43:K48) ), (1/(PI()^2*H47*$J$52))*SQRT((1+P46/(1-P46))^2*K47^2+(P46/(1-P46)-P47/(1-P47))^2*SUMSQ(K$43:K48)) )</f>
        <v>9.5003450660815007E-11</v>
      </c>
      <c r="V47" s="345">
        <f t="shared" si="18"/>
        <v>1.1704299403951667E-10</v>
      </c>
      <c r="W47" s="340">
        <f t="shared" si="19"/>
        <v>0.95116557534858825</v>
      </c>
      <c r="X47" s="345">
        <f t="shared" si="20"/>
        <v>2.3408598807903333E-10</v>
      </c>
      <c r="Y47" s="338">
        <f t="shared" si="8"/>
        <v>-18.213242467199208</v>
      </c>
      <c r="Z47" s="346">
        <f t="shared" si="21"/>
        <v>9.5116557534858821E-3</v>
      </c>
      <c r="AA47" s="346">
        <f t="shared" si="22"/>
        <v>5.2223846306420824E-2</v>
      </c>
      <c r="AB47" s="346">
        <f t="shared" si="9"/>
        <v>1.9023311506971764E-2</v>
      </c>
      <c r="AC47" s="336">
        <f t="shared" si="2"/>
        <v>1.5879834126741272E-12</v>
      </c>
      <c r="AD47" s="337">
        <f t="shared" si="3"/>
        <v>5.79190683032285E-14</v>
      </c>
      <c r="AE47" s="308">
        <f t="shared" si="10"/>
        <v>3.647334590585813</v>
      </c>
      <c r="AF47" s="337">
        <f t="shared" si="11"/>
        <v>1.15838136606457E-13</v>
      </c>
      <c r="AG47" s="338">
        <f t="shared" si="23"/>
        <v>-27.168556198577473</v>
      </c>
      <c r="AH47" s="339">
        <f t="shared" si="24"/>
        <v>3.6473345905858129E-2</v>
      </c>
      <c r="AI47" s="340">
        <f t="shared" si="25"/>
        <v>0.13424837757027311</v>
      </c>
      <c r="AJ47" s="341">
        <f t="shared" si="12"/>
        <v>7.2946691811716258E-2</v>
      </c>
    </row>
    <row r="48" spans="1:36" ht="17" customHeight="1" x14ac:dyDescent="0.2">
      <c r="A48" s="309">
        <v>41</v>
      </c>
      <c r="B48" s="309">
        <f t="shared" si="13"/>
        <v>48.5</v>
      </c>
      <c r="C48" s="1">
        <v>549.94000000000005</v>
      </c>
      <c r="D48" s="1">
        <v>1.7</v>
      </c>
      <c r="E48" s="326">
        <f t="shared" si="4"/>
        <v>12.149339683388208</v>
      </c>
      <c r="F48" s="327">
        <f t="shared" si="0"/>
        <v>2.3633841141647852E-2</v>
      </c>
      <c r="G48" s="309">
        <f t="shared" si="5"/>
        <v>1.5</v>
      </c>
      <c r="H48" s="1">
        <v>5400</v>
      </c>
      <c r="I48" s="324">
        <v>30</v>
      </c>
      <c r="J48" s="1">
        <v>5.0529999999999999E-2</v>
      </c>
      <c r="K48" s="1">
        <v>2.39999999999999E-4</v>
      </c>
      <c r="L48" s="328">
        <f t="shared" si="6"/>
        <v>0.47496536710864634</v>
      </c>
      <c r="M48" s="329">
        <f t="shared" si="1"/>
        <v>4.6531715789105334E-3</v>
      </c>
      <c r="N48" s="342">
        <f>(1/$J$52)*SQRT(((1-J49/$J$52)*K48)^2+(J49/$J$52)^2*(SUMSQ(K$8:K47)+SUMSQ(K$43:K49)))</f>
        <v>2.1983489776038214E-5</v>
      </c>
      <c r="O48" s="340">
        <f t="shared" si="14"/>
        <v>0.47244098789895261</v>
      </c>
      <c r="P48" s="332">
        <f t="shared" si="7"/>
        <v>0.12516598736930507</v>
      </c>
      <c r="Q48" s="342">
        <f>SQRT(((1-P48)/$J$52)^2*SUMSQ(K$8:K48)+(P48/$J$52)^2*SUMSQ(K$43:K49))</f>
        <v>8.8033017422068199E-5</v>
      </c>
      <c r="R48" s="340">
        <f t="shared" si="15"/>
        <v>7.0333018795533317E-2</v>
      </c>
      <c r="S48" s="343">
        <f t="shared" si="16"/>
        <v>2.0472467039198425E-8</v>
      </c>
      <c r="T48" s="344">
        <f t="shared" si="17"/>
        <v>1.1373592799554672E-10</v>
      </c>
      <c r="U48" s="344">
        <f>IF(P48&lt;=0.85, (1/(3*H48*$J$52))*SQRT( ((1-P48)*(1/SQRT(1-PI()*P48/3)-1) + (1-P47)*(1-1/SQRT(1-PI()*P47/3)))^2*SUMSQ(K$8:K47) + ( (1-P48)*(1/SQRT(1-PI()*P48/3)-1) -P47*(1-1/SQRT(1-PI()*P47/3)) )^2*K48^2 + ( P48*(1-1/SQRT(1-PI()*P48/3)) - P47*(1-1/SQRT(1-PI()*P47/3)) )^2*SUMSQ(K$43:K49) ), (1/(PI()^2*H48*$J$52))*SQRT((1+P47/(1-P47))^2*K48^2+(P47/(1-P47)-P48/(1-P48))^2*SUMSQ(K$43:K49)) )</f>
        <v>9.9319297587199116E-11</v>
      </c>
      <c r="V48" s="345">
        <f t="shared" si="18"/>
        <v>1.5099729861895811E-10</v>
      </c>
      <c r="W48" s="340">
        <f t="shared" si="19"/>
        <v>0.73756278776683393</v>
      </c>
      <c r="X48" s="345">
        <f t="shared" si="20"/>
        <v>3.0199459723791621E-10</v>
      </c>
      <c r="Y48" s="338">
        <f t="shared" si="8"/>
        <v>-17.704184924789242</v>
      </c>
      <c r="Z48" s="346">
        <f t="shared" si="21"/>
        <v>7.3756278776683391E-3</v>
      </c>
      <c r="AA48" s="346">
        <f t="shared" si="22"/>
        <v>4.1660363970447749E-2</v>
      </c>
      <c r="AB48" s="346">
        <f t="shared" si="9"/>
        <v>1.4751255755336678E-2</v>
      </c>
      <c r="AC48" s="336">
        <f t="shared" si="2"/>
        <v>2.6419636824217406E-12</v>
      </c>
      <c r="AD48" s="337">
        <f t="shared" si="3"/>
        <v>9.5045841548911462E-14</v>
      </c>
      <c r="AE48" s="308">
        <f t="shared" si="10"/>
        <v>3.5975453478523307</v>
      </c>
      <c r="AF48" s="337">
        <f t="shared" si="11"/>
        <v>1.9009168309782292E-13</v>
      </c>
      <c r="AG48" s="338">
        <f t="shared" si="23"/>
        <v>-26.659498656167504</v>
      </c>
      <c r="AH48" s="339">
        <f t="shared" si="24"/>
        <v>3.5975453478523309E-2</v>
      </c>
      <c r="AI48" s="340">
        <f t="shared" si="25"/>
        <v>0.13494422360489747</v>
      </c>
      <c r="AJ48" s="341">
        <f t="shared" si="12"/>
        <v>7.1950906957046618E-2</v>
      </c>
    </row>
    <row r="49" spans="1:36" ht="17" customHeight="1" x14ac:dyDescent="0.2">
      <c r="A49" s="309">
        <v>42</v>
      </c>
      <c r="B49" s="309">
        <f t="shared" si="13"/>
        <v>50</v>
      </c>
      <c r="C49" s="1">
        <v>574.97</v>
      </c>
      <c r="D49" s="1">
        <v>1.53</v>
      </c>
      <c r="E49" s="326">
        <f t="shared" si="4"/>
        <v>11.790784322973163</v>
      </c>
      <c r="F49" s="327">
        <f t="shared" si="0"/>
        <v>2.0069823719513134E-2</v>
      </c>
      <c r="G49" s="309">
        <f t="shared" si="5"/>
        <v>1.5</v>
      </c>
      <c r="H49" s="1">
        <v>5400</v>
      </c>
      <c r="I49" s="324">
        <v>30</v>
      </c>
      <c r="J49" s="1">
        <v>6.1739999999999899E-2</v>
      </c>
      <c r="K49" s="1">
        <v>2.2000000000000001E-4</v>
      </c>
      <c r="L49" s="328">
        <f t="shared" si="6"/>
        <v>0.35633300939423446</v>
      </c>
      <c r="M49" s="329">
        <f t="shared" si="1"/>
        <v>5.685470280663683E-3</v>
      </c>
      <c r="N49" s="342">
        <f>(1/$J$52)*SQRT(((1-J50/$J$52)*K49)^2+(J50/$J$52)^2*(SUMSQ(K$8:K48)+SUMSQ(K$43:K50)))</f>
        <v>2.0143670460588612E-5</v>
      </c>
      <c r="O49" s="340">
        <f t="shared" si="14"/>
        <v>0.35430086635220576</v>
      </c>
      <c r="P49" s="332">
        <f t="shared" si="7"/>
        <v>0.13085145764996875</v>
      </c>
      <c r="Q49" s="342">
        <f>SQRT(((1-P49)/$J$52)^2*SUMSQ(K$8:K49)+(P49/$J$52)^2*SUMSQ(K$43:K50))</f>
        <v>8.9276897386340168E-5</v>
      </c>
      <c r="R49" s="340">
        <f t="shared" si="15"/>
        <v>6.8227667455687285E-2</v>
      </c>
      <c r="S49" s="343">
        <f t="shared" si="16"/>
        <v>2.6187754880211476E-8</v>
      </c>
      <c r="T49" s="344">
        <f t="shared" si="17"/>
        <v>1.4548752711228592E-10</v>
      </c>
      <c r="U49" s="344">
        <f>IF(P49&lt;=0.85, (1/(3*H49*$J$52))*SQRT( ((1-P49)*(1/SQRT(1-PI()*P49/3)-1) + (1-P48)*(1-1/SQRT(1-PI()*P48/3)))^2*SUMSQ(K$8:K48) + ( (1-P49)*(1/SQRT(1-PI()*P49/3)-1) -P48*(1-1/SQRT(1-PI()*P48/3)) )^2*K49^2 + ( P49*(1-1/SQRT(1-PI()*P49/3)) - P48*(1-1/SQRT(1-PI()*P48/3)) )^2*SUMSQ(K$43:K50) ), (1/(PI()^2*H49*$J$52))*SQRT((1+P48/(1-P48))^2*K49^2+(P48/(1-P48)-P49/(1-P49))^2*SUMSQ(K$43:K50)) )</f>
        <v>9.6118814538465382E-11</v>
      </c>
      <c r="V49" s="345">
        <f t="shared" si="18"/>
        <v>1.7437157753925389E-10</v>
      </c>
      <c r="W49" s="340">
        <f t="shared" si="19"/>
        <v>0.66585157199182465</v>
      </c>
      <c r="X49" s="345">
        <f t="shared" si="20"/>
        <v>3.4874315507850778E-10</v>
      </c>
      <c r="Y49" s="338">
        <f t="shared" si="8"/>
        <v>-17.457973906415514</v>
      </c>
      <c r="Z49" s="346">
        <f t="shared" si="21"/>
        <v>6.6585157199182468E-3</v>
      </c>
      <c r="AA49" s="346">
        <f t="shared" si="22"/>
        <v>3.8140254737529154E-2</v>
      </c>
      <c r="AB49" s="346">
        <f t="shared" si="9"/>
        <v>1.3317031439836494E-2</v>
      </c>
      <c r="AC49" s="336">
        <f t="shared" si="2"/>
        <v>3.3795192921893387E-12</v>
      </c>
      <c r="AD49" s="337">
        <f t="shared" si="3"/>
        <v>1.211061099430285E-13</v>
      </c>
      <c r="AE49" s="308">
        <f t="shared" si="10"/>
        <v>3.5835306584260649</v>
      </c>
      <c r="AF49" s="337">
        <f t="shared" si="11"/>
        <v>2.42212219886057E-13</v>
      </c>
      <c r="AG49" s="338">
        <f t="shared" si="23"/>
        <v>-26.413287637793779</v>
      </c>
      <c r="AH49" s="339">
        <f t="shared" si="24"/>
        <v>3.5835306584260651E-2</v>
      </c>
      <c r="AI49" s="340">
        <f t="shared" si="25"/>
        <v>0.13567151153491874</v>
      </c>
      <c r="AJ49" s="341">
        <f t="shared" si="12"/>
        <v>7.1670613168521302E-2</v>
      </c>
    </row>
    <row r="50" spans="1:36" ht="17" customHeight="1" x14ac:dyDescent="0.2">
      <c r="A50" s="309">
        <v>43</v>
      </c>
      <c r="B50" s="309">
        <f t="shared" si="13"/>
        <v>51.5</v>
      </c>
      <c r="C50" s="1">
        <v>599.97</v>
      </c>
      <c r="D50" s="1">
        <v>1.65</v>
      </c>
      <c r="E50" s="326">
        <f t="shared" si="4"/>
        <v>11.453179402602162</v>
      </c>
      <c r="F50" s="327">
        <f t="shared" si="0"/>
        <v>0.22114724556582185</v>
      </c>
      <c r="G50" s="309">
        <f t="shared" si="5"/>
        <v>1.5</v>
      </c>
      <c r="H50" s="1">
        <v>5400</v>
      </c>
      <c r="I50" s="324">
        <v>30</v>
      </c>
      <c r="J50" s="1">
        <v>6.8309999999999996E-2</v>
      </c>
      <c r="K50" s="1">
        <v>2.39999999999999E-4</v>
      </c>
      <c r="L50" s="328">
        <f t="shared" si="6"/>
        <v>0.35133948177426294</v>
      </c>
      <c r="M50" s="329">
        <f t="shared" si="1"/>
        <v>6.2904838819588076E-3</v>
      </c>
      <c r="N50" s="342">
        <f>(1/$J$52)*SQRT(((1-J51/$J$52)*K50)^2+(J51/$J$52)^2*(SUMSQ(K$8:K49)+SUMSQ(K$43:K51)))</f>
        <v>9.6617963813341081E-5</v>
      </c>
      <c r="O50" s="340">
        <f t="shared" si="14"/>
        <v>1.5359385005411539</v>
      </c>
      <c r="P50" s="332">
        <f t="shared" si="7"/>
        <v>0.13714194153192755</v>
      </c>
      <c r="Q50" s="342">
        <f>SQRT(((1-P50)/$J$52)^2*SUMSQ(K$8:K50)+(P50/$J$52)^2*SUMSQ(K$43:K51))</f>
        <v>9.0680651542986222E-5</v>
      </c>
      <c r="R50" s="340">
        <f t="shared" si="15"/>
        <v>6.6121749867362911E-2</v>
      </c>
      <c r="S50" s="343">
        <f t="shared" si="16"/>
        <v>3.0493712091931248E-8</v>
      </c>
      <c r="T50" s="344">
        <f t="shared" si="17"/>
        <v>1.6940951162183997E-10</v>
      </c>
      <c r="U50" s="344">
        <f>IF(P50&lt;=0.85, (1/(3*H50*$J$52))*SQRT( ((1-P50)*(1/SQRT(1-PI()*P50/3)-1) + (1-P49)*(1-1/SQRT(1-PI()*P49/3)))^2*SUMSQ(K$8:K49) + ( (1-P50)*(1/SQRT(1-PI()*P50/3)-1) -P49*(1-1/SQRT(1-PI()*P49/3)) )^2*K50^2 + ( P50*(1-1/SQRT(1-PI()*P50/3)) - P49*(1-1/SQRT(1-PI()*P49/3)) )^2*SUMSQ(K$43:K51) ), (1/(PI()^2*H50*$J$52))*SQRT((1+P49/(1-P49))^2*K50^2+(P49/(1-P49)-P50/(1-P50))^2*SUMSQ(K$43:K51)) )</f>
        <v>1.1031003237930713E-10</v>
      </c>
      <c r="V50" s="345">
        <f t="shared" si="18"/>
        <v>2.0215807149721755E-10</v>
      </c>
      <c r="W50" s="340">
        <f t="shared" si="19"/>
        <v>0.66295002355816612</v>
      </c>
      <c r="X50" s="345">
        <f t="shared" si="20"/>
        <v>4.043161429944351E-10</v>
      </c>
      <c r="Y50" s="338">
        <f t="shared" si="8"/>
        <v>-17.305745335507417</v>
      </c>
      <c r="Z50" s="346">
        <f t="shared" si="21"/>
        <v>6.6295002355816609E-3</v>
      </c>
      <c r="AA50" s="346">
        <f t="shared" si="22"/>
        <v>3.8308088481918474E-2</v>
      </c>
      <c r="AB50" s="346">
        <f t="shared" si="9"/>
        <v>1.3259000471163322E-2</v>
      </c>
      <c r="AC50" s="336">
        <f t="shared" si="2"/>
        <v>3.9352013479788904E-12</v>
      </c>
      <c r="AD50" s="337">
        <f t="shared" si="3"/>
        <v>1.4099797543276407E-13</v>
      </c>
      <c r="AE50" s="308">
        <f t="shared" si="10"/>
        <v>3.5829926594526169</v>
      </c>
      <c r="AF50" s="337">
        <f t="shared" si="11"/>
        <v>2.8199595086552813E-13</v>
      </c>
      <c r="AG50" s="338">
        <f t="shared" si="23"/>
        <v>-26.261059066885679</v>
      </c>
      <c r="AH50" s="339">
        <f t="shared" si="24"/>
        <v>3.5829926594526169E-2</v>
      </c>
      <c r="AI50" s="340">
        <f t="shared" si="25"/>
        <v>0.13643747764806069</v>
      </c>
      <c r="AJ50" s="341">
        <f t="shared" si="12"/>
        <v>7.1659853189052339E-2</v>
      </c>
    </row>
    <row r="51" spans="1:36" ht="17" customHeight="1" x14ac:dyDescent="0.2">
      <c r="J51" s="338">
        <v>9.3699999999999992</v>
      </c>
      <c r="L51" s="328"/>
      <c r="M51" s="329">
        <f t="shared" si="1"/>
        <v>0.8628580584680724</v>
      </c>
      <c r="N51" s="342"/>
      <c r="O51" s="340"/>
      <c r="P51" s="332"/>
      <c r="Q51" s="342"/>
      <c r="R51" s="340"/>
      <c r="S51" s="343"/>
      <c r="T51" s="344"/>
      <c r="U51" s="344"/>
      <c r="V51" s="345"/>
      <c r="W51" s="340"/>
      <c r="X51" s="345"/>
      <c r="Y51" s="338"/>
      <c r="Z51" s="346"/>
      <c r="AA51" s="346"/>
      <c r="AB51" s="346"/>
      <c r="AC51" s="336"/>
      <c r="AD51" s="337"/>
      <c r="AE51" s="308"/>
      <c r="AF51" s="337"/>
      <c r="AG51" s="338"/>
      <c r="AH51" s="339"/>
      <c r="AI51" s="340"/>
      <c r="AJ51" s="341"/>
    </row>
    <row r="52" spans="1:36" ht="17" customHeight="1" x14ac:dyDescent="0.2">
      <c r="J52" s="120">
        <f>SUM(J8:J51)</f>
        <v>10.859259999999999</v>
      </c>
      <c r="L52" s="328"/>
      <c r="M52" s="329"/>
      <c r="N52" s="342"/>
      <c r="O52" s="340"/>
      <c r="P52" s="332"/>
      <c r="Q52" s="342"/>
      <c r="R52" s="340"/>
      <c r="S52" s="343"/>
      <c r="T52" s="344"/>
      <c r="U52" s="344"/>
      <c r="V52" s="345"/>
      <c r="W52" s="340"/>
      <c r="X52" s="345"/>
      <c r="Y52" s="338"/>
      <c r="Z52" s="346"/>
      <c r="AA52" s="346"/>
      <c r="AB52" s="346"/>
      <c r="AC52" s="336"/>
      <c r="AD52" s="337"/>
      <c r="AE52" s="308"/>
      <c r="AF52" s="337"/>
      <c r="AG52" s="338"/>
      <c r="AH52" s="339"/>
      <c r="AI52" s="340"/>
      <c r="AJ52" s="341"/>
    </row>
    <row r="53" spans="1:36" ht="17" customHeight="1" x14ac:dyDescent="0.2">
      <c r="L53" s="328"/>
      <c r="M53" s="329"/>
      <c r="N53" s="342"/>
      <c r="O53" s="340"/>
      <c r="P53" s="332"/>
      <c r="Q53" s="342"/>
      <c r="R53" s="340"/>
      <c r="S53" s="343"/>
      <c r="T53" s="344"/>
      <c r="U53" s="344"/>
      <c r="V53" s="345"/>
      <c r="W53" s="340"/>
      <c r="X53" s="345"/>
      <c r="Y53" s="338"/>
      <c r="Z53" s="346"/>
      <c r="AA53" s="346"/>
      <c r="AB53" s="346"/>
      <c r="AC53" s="336"/>
      <c r="AD53" s="337"/>
      <c r="AE53" s="308"/>
      <c r="AF53" s="337"/>
      <c r="AG53" s="338"/>
      <c r="AH53" s="339"/>
      <c r="AI53" s="340"/>
      <c r="AJ53" s="341"/>
    </row>
    <row r="54" spans="1:36" ht="17" customHeight="1" x14ac:dyDescent="0.2">
      <c r="L54" s="328"/>
      <c r="M54" s="329"/>
      <c r="N54" s="342"/>
      <c r="O54" s="340"/>
      <c r="P54" s="332"/>
      <c r="Q54" s="342"/>
      <c r="R54" s="340"/>
      <c r="S54" s="343"/>
      <c r="T54" s="344"/>
      <c r="U54" s="344"/>
      <c r="V54" s="345"/>
      <c r="W54" s="340"/>
      <c r="X54" s="345"/>
      <c r="Y54" s="338"/>
      <c r="Z54" s="346"/>
      <c r="AA54" s="346"/>
      <c r="AB54" s="346"/>
      <c r="AC54" s="336"/>
      <c r="AD54" s="337"/>
      <c r="AE54" s="308"/>
      <c r="AF54" s="337"/>
      <c r="AG54" s="338"/>
      <c r="AH54" s="339"/>
      <c r="AI54" s="340"/>
      <c r="AJ54" s="341"/>
    </row>
    <row r="55" spans="1:36" ht="17" customHeight="1" x14ac:dyDescent="0.2">
      <c r="K55" s="120"/>
      <c r="L55" s="328"/>
      <c r="M55" s="329"/>
      <c r="N55" s="342"/>
      <c r="O55" s="340"/>
      <c r="P55" s="332"/>
      <c r="Q55" s="342"/>
      <c r="R55" s="340"/>
      <c r="S55" s="343"/>
      <c r="T55" s="344"/>
      <c r="U55" s="344"/>
      <c r="V55" s="345"/>
      <c r="W55" s="340"/>
      <c r="X55" s="345"/>
      <c r="Y55" s="338"/>
      <c r="Z55" s="346"/>
      <c r="AA55" s="346"/>
      <c r="AB55" s="346"/>
      <c r="AC55" s="336"/>
      <c r="AD55" s="337"/>
      <c r="AE55" s="308"/>
      <c r="AF55" s="337"/>
      <c r="AG55" s="338"/>
      <c r="AH55" s="339"/>
      <c r="AI55" s="340"/>
      <c r="AJ55" s="341"/>
    </row>
    <row r="56" spans="1:36" ht="17" customHeight="1" x14ac:dyDescent="0.2">
      <c r="L56" s="328"/>
      <c r="M56" s="329"/>
      <c r="N56" s="342"/>
      <c r="O56" s="340"/>
      <c r="P56" s="332"/>
      <c r="Q56" s="342"/>
      <c r="R56" s="340"/>
      <c r="S56" s="343"/>
      <c r="T56" s="344"/>
      <c r="U56" s="344"/>
      <c r="V56" s="345"/>
      <c r="W56" s="340"/>
      <c r="X56" s="345"/>
      <c r="Y56" s="338"/>
      <c r="Z56" s="346"/>
      <c r="AA56" s="346"/>
      <c r="AB56" s="346"/>
      <c r="AC56" s="336"/>
      <c r="AD56" s="337"/>
      <c r="AE56" s="308"/>
      <c r="AF56" s="337"/>
      <c r="AG56" s="338"/>
      <c r="AH56" s="339"/>
      <c r="AI56" s="340"/>
      <c r="AJ56" s="341"/>
    </row>
    <row r="57" spans="1:36" ht="17" customHeight="1" x14ac:dyDescent="0.2">
      <c r="L57" s="328"/>
      <c r="M57" s="329"/>
      <c r="N57" s="342"/>
      <c r="O57" s="340"/>
      <c r="P57" s="332"/>
      <c r="Q57" s="342"/>
      <c r="R57" s="340"/>
      <c r="S57" s="343"/>
      <c r="T57" s="344"/>
      <c r="U57" s="344"/>
      <c r="V57" s="345"/>
      <c r="W57" s="340"/>
      <c r="X57" s="345"/>
      <c r="Y57" s="338"/>
      <c r="Z57" s="346"/>
      <c r="AA57" s="346"/>
      <c r="AB57" s="346"/>
      <c r="AC57" s="336"/>
      <c r="AD57" s="337"/>
      <c r="AE57" s="308"/>
      <c r="AF57" s="337"/>
      <c r="AG57" s="338"/>
      <c r="AH57" s="339"/>
      <c r="AI57" s="340"/>
      <c r="AJ57" s="341"/>
    </row>
    <row r="58" spans="1:36" ht="17" customHeight="1" x14ac:dyDescent="0.2">
      <c r="L58" s="328"/>
      <c r="M58" s="329"/>
      <c r="N58" s="342"/>
      <c r="O58" s="340"/>
      <c r="P58" s="332"/>
      <c r="Q58" s="342"/>
      <c r="R58" s="340"/>
      <c r="S58" s="343"/>
      <c r="T58" s="344"/>
      <c r="U58" s="344"/>
      <c r="V58" s="345"/>
      <c r="W58" s="340"/>
      <c r="X58" s="345"/>
      <c r="Y58" s="338"/>
      <c r="Z58" s="346"/>
      <c r="AA58" s="346"/>
      <c r="AB58" s="346"/>
      <c r="AC58" s="336"/>
      <c r="AD58" s="337"/>
      <c r="AE58" s="308"/>
      <c r="AF58" s="337"/>
      <c r="AG58" s="338"/>
      <c r="AH58" s="339"/>
      <c r="AI58" s="340"/>
      <c r="AJ58" s="341"/>
    </row>
    <row r="59" spans="1:36" ht="17" customHeight="1" x14ac:dyDescent="0.2">
      <c r="L59" s="328"/>
      <c r="M59" s="329"/>
      <c r="N59" s="342"/>
      <c r="O59" s="340"/>
      <c r="P59" s="332"/>
      <c r="Q59" s="342"/>
      <c r="R59" s="340"/>
      <c r="S59" s="343"/>
      <c r="T59" s="344"/>
      <c r="U59" s="344"/>
      <c r="V59" s="345"/>
      <c r="W59" s="340"/>
      <c r="X59" s="345"/>
      <c r="Y59" s="338"/>
      <c r="Z59" s="346"/>
      <c r="AA59" s="346"/>
      <c r="AB59" s="346"/>
      <c r="AC59" s="336"/>
      <c r="AD59" s="337"/>
      <c r="AE59" s="308"/>
      <c r="AF59" s="337"/>
      <c r="AG59" s="338"/>
      <c r="AH59" s="339"/>
      <c r="AI59" s="340"/>
      <c r="AJ59" s="341"/>
    </row>
    <row r="60" spans="1:36" ht="17" customHeight="1" x14ac:dyDescent="0.2">
      <c r="L60" s="328"/>
      <c r="M60" s="329"/>
      <c r="N60" s="342"/>
      <c r="O60" s="340"/>
      <c r="P60" s="332"/>
      <c r="Q60" s="342"/>
      <c r="R60" s="340"/>
      <c r="S60" s="343"/>
      <c r="T60" s="344"/>
      <c r="U60" s="344"/>
      <c r="V60" s="345"/>
      <c r="W60" s="340"/>
      <c r="X60" s="345"/>
      <c r="Y60" s="338"/>
      <c r="Z60" s="346"/>
      <c r="AA60" s="346"/>
      <c r="AB60" s="346"/>
      <c r="AC60" s="336"/>
      <c r="AD60" s="337"/>
      <c r="AE60" s="308"/>
      <c r="AF60" s="337"/>
      <c r="AG60" s="338"/>
      <c r="AH60" s="339"/>
      <c r="AI60" s="340"/>
      <c r="AJ60" s="341"/>
    </row>
    <row r="61" spans="1:36" ht="17" customHeight="1" x14ac:dyDescent="0.2">
      <c r="L61" s="328"/>
      <c r="M61" s="329"/>
      <c r="N61" s="342"/>
      <c r="O61" s="340"/>
      <c r="P61" s="332"/>
      <c r="Q61" s="342"/>
      <c r="R61" s="340"/>
      <c r="S61" s="343"/>
      <c r="T61" s="344"/>
      <c r="U61" s="344"/>
      <c r="V61" s="345"/>
      <c r="W61" s="340"/>
      <c r="X61" s="345"/>
      <c r="Y61" s="338"/>
      <c r="Z61" s="346"/>
      <c r="AA61" s="346"/>
      <c r="AB61" s="346"/>
      <c r="AC61" s="336"/>
      <c r="AD61" s="337"/>
      <c r="AE61" s="308"/>
      <c r="AF61" s="337"/>
      <c r="AG61" s="338"/>
      <c r="AH61" s="339"/>
      <c r="AI61" s="340"/>
      <c r="AJ61" s="341"/>
    </row>
    <row r="62" spans="1:36" ht="17" customHeight="1" x14ac:dyDescent="0.2">
      <c r="L62" s="328"/>
      <c r="M62" s="329"/>
      <c r="N62" s="342"/>
      <c r="O62" s="340"/>
      <c r="P62" s="332"/>
      <c r="Q62" s="342"/>
      <c r="R62" s="340"/>
      <c r="S62" s="343"/>
      <c r="T62" s="344"/>
      <c r="U62" s="344"/>
      <c r="V62" s="345"/>
      <c r="W62" s="340"/>
      <c r="X62" s="345"/>
      <c r="Y62" s="338"/>
      <c r="Z62" s="346"/>
      <c r="AA62" s="346"/>
      <c r="AB62" s="346"/>
      <c r="AC62" s="336"/>
      <c r="AD62" s="337"/>
      <c r="AE62" s="308"/>
      <c r="AF62" s="337"/>
      <c r="AG62" s="338"/>
      <c r="AH62" s="339"/>
      <c r="AI62" s="340"/>
      <c r="AJ62" s="341"/>
    </row>
    <row r="63" spans="1:36" ht="17" customHeight="1" x14ac:dyDescent="0.2">
      <c r="L63" s="328"/>
      <c r="M63" s="329"/>
      <c r="N63" s="342"/>
      <c r="O63" s="340"/>
      <c r="P63" s="332"/>
      <c r="Q63" s="342"/>
      <c r="R63" s="340"/>
      <c r="S63" s="343"/>
      <c r="T63" s="344"/>
      <c r="U63" s="344"/>
      <c r="V63" s="345"/>
      <c r="W63" s="340"/>
      <c r="X63" s="345"/>
      <c r="Y63" s="338"/>
      <c r="Z63" s="346"/>
      <c r="AA63" s="346"/>
      <c r="AB63" s="346"/>
      <c r="AC63" s="336"/>
      <c r="AD63" s="337"/>
      <c r="AE63" s="308"/>
      <c r="AF63" s="337"/>
      <c r="AG63" s="338"/>
      <c r="AH63" s="339"/>
      <c r="AI63" s="340"/>
      <c r="AJ63" s="341"/>
    </row>
    <row r="64" spans="1:36" ht="17" customHeight="1" x14ac:dyDescent="0.2">
      <c r="L64" s="328"/>
      <c r="M64" s="329"/>
      <c r="N64" s="342"/>
      <c r="O64" s="340"/>
      <c r="P64" s="332"/>
      <c r="Q64" s="342"/>
      <c r="R64" s="340"/>
      <c r="S64" s="343"/>
      <c r="T64" s="344"/>
      <c r="U64" s="344"/>
      <c r="V64" s="345"/>
      <c r="W64" s="340"/>
      <c r="X64" s="345"/>
      <c r="Y64" s="338"/>
      <c r="Z64" s="346"/>
      <c r="AA64" s="346"/>
      <c r="AB64" s="346"/>
      <c r="AC64" s="336"/>
      <c r="AD64" s="337"/>
      <c r="AE64" s="308"/>
      <c r="AF64" s="337"/>
      <c r="AG64" s="338"/>
      <c r="AH64" s="339"/>
      <c r="AI64" s="340"/>
      <c r="AJ64" s="341"/>
    </row>
    <row r="65" spans="12:36" ht="17" customHeight="1" x14ac:dyDescent="0.2">
      <c r="L65" s="328"/>
      <c r="M65" s="329"/>
      <c r="N65" s="342"/>
      <c r="O65" s="340"/>
      <c r="P65" s="332"/>
      <c r="Q65" s="342"/>
      <c r="R65" s="340"/>
      <c r="S65" s="343"/>
      <c r="T65" s="344"/>
      <c r="U65" s="344"/>
      <c r="V65" s="345"/>
      <c r="W65" s="340"/>
      <c r="X65" s="345"/>
      <c r="Y65" s="338"/>
      <c r="Z65" s="346"/>
      <c r="AA65" s="346"/>
      <c r="AB65" s="346"/>
      <c r="AC65" s="336"/>
      <c r="AD65" s="337"/>
      <c r="AE65" s="308"/>
      <c r="AF65" s="337"/>
      <c r="AG65" s="338"/>
      <c r="AH65" s="339"/>
      <c r="AI65" s="340"/>
      <c r="AJ65" s="34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EA7A-FC48-914B-9863-2ABA89D009C3}">
  <dimension ref="A1:AM65"/>
  <sheetViews>
    <sheetView topLeftCell="A4" zoomScale="60" zoomScaleNormal="100" workbookViewId="0">
      <selection activeCell="AC4" sqref="AC1:AJ1048576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hidden="1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620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1</v>
      </c>
      <c r="C8" s="1">
        <v>249.99</v>
      </c>
      <c r="D8" s="1">
        <v>0.68</v>
      </c>
      <c r="E8" s="326">
        <f>10000/(C8+273.15)</f>
        <v>19.115341973467906</v>
      </c>
      <c r="F8" s="327">
        <f t="shared" ref="F8:F46" si="0">SQRT((((-1)*10^4/(C9+273.15)^2)*D8)^2)</f>
        <v>2.3922694025339711E-2</v>
      </c>
      <c r="G8" s="309">
        <f>H8/60/60</f>
        <v>1</v>
      </c>
      <c r="H8" s="1">
        <v>3600</v>
      </c>
      <c r="I8" s="324">
        <v>30</v>
      </c>
      <c r="J8" s="1">
        <v>4.4609999999999997E-2</v>
      </c>
      <c r="K8" s="1">
        <v>2.3000000000000001E-4</v>
      </c>
      <c r="L8" s="328">
        <f>100*(K8/J8)</f>
        <v>0.51557946648733477</v>
      </c>
      <c r="M8" s="329">
        <f t="shared" ref="M8:M47" si="1">J8/$J$48</f>
        <v>1.229277809620387E-2</v>
      </c>
      <c r="N8" s="330">
        <f>(1/$J$48)*SQRT(((1-J9/$J$48)*K8)^2+(J9/$J$48)^2*SUMSQ(K9:K$47))</f>
        <v>1.5939473657104131E-4</v>
      </c>
      <c r="O8" s="331">
        <f>100*(N8/M8)</f>
        <v>1.2966534929989826</v>
      </c>
      <c r="P8" s="332">
        <f>M8+P7</f>
        <v>1.229277809620387E-2</v>
      </c>
      <c r="Q8" s="330">
        <f>SQRT(((1-P8)/$J$48)^2*SUMSQ(K$8:K8)+(P8/$J$48)^2*SUMSQ(K9:K$47))</f>
        <v>2.2340838750596433E-4</v>
      </c>
      <c r="R8" s="331">
        <f>100*(Q8/P8)</f>
        <v>1.8173954313464344</v>
      </c>
      <c r="S8" s="333">
        <f>IF(P8&lt;=0.85, ((2*PI()-PI()^2*P8/3-2*PI()*SQRT(1-PI()*P8/3))/PI()^2/H8), ((-1)*LN((1-P8)*PI()^2/6)/PI()^2/H8 ))</f>
        <v>3.6868364783865653E-9</v>
      </c>
      <c r="T8" s="333">
        <f>IF(P8&lt;=0.85, ABS((2/PI()-P8/3-2*SQRT(1-PI()*P8/3)/PI())*(-1)*I8/H8^2), ABS((-1)*LN((1-P8)*PI()^2/6)*(-1)*I8/PI()^2/H8^2))</f>
        <v>3.0723637319962228E-11</v>
      </c>
      <c r="U8" s="333">
        <f>IF(P8&lt;=0.85, ((1/(3*H8*$J$48))*((1/SQRT(1-PI()*P8/3))-1)*SQRT(((1-P8)*K8)^2+(-P8)^2*SUMSQ(K9:K$47))),  (1/(PI()^2*H8*$J$48))*SQRT(K8^2+(P8/(1-P8))^2*SUMSQ(K9:K$47)))</f>
        <v>1.3444427713988773E-10</v>
      </c>
      <c r="V8" s="334">
        <f>SQRT(T8^2+U8^2)</f>
        <v>1.3791013576179059E-10</v>
      </c>
      <c r="W8" s="331">
        <f>100*(V8/S8)</f>
        <v>3.7406089630029609</v>
      </c>
      <c r="X8" s="334">
        <f>V8*2</f>
        <v>2.7582027152358118E-10</v>
      </c>
      <c r="Y8" s="335">
        <f>LN(S8)</f>
        <v>-19.418497069535928</v>
      </c>
      <c r="Z8" s="335">
        <f>V8/S8</f>
        <v>3.7406089630029608E-2</v>
      </c>
      <c r="AA8" s="335">
        <f>ABS(100*(Z8/Y8))</f>
        <v>0.19263122936899646</v>
      </c>
      <c r="AB8" s="335">
        <f>2*Z8</f>
        <v>7.4812179260059217E-2</v>
      </c>
      <c r="AC8" s="336">
        <f t="shared" ref="AC8:AC45" si="2">S8*($AC$3^2)*10^(-8)</f>
        <v>4.7578477280119485E-13</v>
      </c>
      <c r="AD8" s="337">
        <f t="shared" ref="AD8:AD45" si="3">AC8*SQRT((V8/S8)^2+(2*$AD$3/$AC$3)^2)</f>
        <v>2.4441860326987301E-14</v>
      </c>
      <c r="AE8" s="308">
        <f>100*AD8/AC8</f>
        <v>5.1371674177559816</v>
      </c>
      <c r="AF8" s="337">
        <f>2*AD8</f>
        <v>4.8883720653974603E-14</v>
      </c>
      <c r="AG8" s="338">
        <f>LN(AC8)</f>
        <v>-28.373810800914192</v>
      </c>
      <c r="AH8" s="339">
        <f>AD8/AC8</f>
        <v>5.1371674177559806E-2</v>
      </c>
      <c r="AI8" s="340">
        <f>ABS(100*(AH8/AG8))</f>
        <v>0.18105313571733775</v>
      </c>
      <c r="AJ8" s="341">
        <f>2*AH8</f>
        <v>0.10274334835511961</v>
      </c>
    </row>
    <row r="9" spans="1:39" x14ac:dyDescent="0.2">
      <c r="A9" s="309">
        <v>2</v>
      </c>
      <c r="B9" s="309">
        <f>G9+B8</f>
        <v>2</v>
      </c>
      <c r="C9" s="1">
        <v>260</v>
      </c>
      <c r="D9" s="1">
        <v>0.69</v>
      </c>
      <c r="E9" s="326">
        <f t="shared" ref="E9:E46" si="4">10000/(C9+273.15)</f>
        <v>18.756447528838038</v>
      </c>
      <c r="F9" s="327">
        <f t="shared" si="0"/>
        <v>2.3389746495676655E-2</v>
      </c>
      <c r="G9" s="309">
        <f t="shared" ref="G9:G46" si="5">H9/60/60</f>
        <v>1</v>
      </c>
      <c r="H9" s="1">
        <v>3600</v>
      </c>
      <c r="I9" s="324">
        <v>30</v>
      </c>
      <c r="J9" s="1">
        <v>3.0470000000000001E-2</v>
      </c>
      <c r="K9" s="1">
        <v>1.2E-4</v>
      </c>
      <c r="L9" s="328">
        <f t="shared" ref="L9:L46" si="6">100*(K9/J9)</f>
        <v>0.39382999671808339</v>
      </c>
      <c r="M9" s="329">
        <f t="shared" si="1"/>
        <v>8.3963449583351699E-3</v>
      </c>
      <c r="N9" s="342">
        <f>(1/$J$48)*SQRT(((1-J10/$J$48)*K9)^2+(J10/$J$48)^2*(SUMSQ(K$8:K8)+SUMSQ(K10:K$47)))</f>
        <v>1.5156174821192111E-4</v>
      </c>
      <c r="O9" s="340">
        <f>100*(N9/M9)</f>
        <v>1.8050919651825839</v>
      </c>
      <c r="P9" s="332">
        <f t="shared" ref="P9:P45" si="7">M9+P8</f>
        <v>2.068912305453904E-2</v>
      </c>
      <c r="Q9" s="342">
        <f>SQRT(((1-P9)/$J$48)^2*SUMSQ(K$8:K9)+(P9/$J$48)^2*SUMSQ(K10:K$47))</f>
        <v>3.6766666320742951E-4</v>
      </c>
      <c r="R9" s="340">
        <f>100*(Q9/P9)</f>
        <v>1.7771012441572105</v>
      </c>
      <c r="S9" s="343">
        <f>IF(P9&lt;=0.85, (((-1)*PI()^2*(P9-P8)/3-2*PI()*(SQRT(1-PI()*P9/3)-SQRT(1-PI()*P8/3)))/PI()^2/H9), ((-1)*LN((1-P9)/(1-P8))/PI()^2/H9 ))</f>
        <v>6.8030877585983187E-9</v>
      </c>
      <c r="T9" s="344">
        <f>IF(P9&lt;=0.85, ABS(((-1)*(P9-P8)/3-2*(SQRT(1-PI()*P9/3)-SQRT(1-PI()*P8/3))/PI())*(-1)*I9/H9^2), ABS((-1)*LN((1-P9)/(1-P8))*(-1)*I9/PI()^2/H9^2))</f>
        <v>5.6692397988319035E-11</v>
      </c>
      <c r="U9" s="344">
        <f>IF(P9&lt;=0.85, (1/(3*H9*$J$48))*SQRT( ((1-P9)*(1/SQRT(1-PI()*P9/3)-1) + (1-P8)*(1-1/SQRT(1-PI()*P8/3)))^2*SUMSQ(K$8:K8) + ( (1-P9)*(1/SQRT(1-PI()*P9/3)-1) -P8*(1-1/SQRT(1-PI()*P8/3)) )^2*K9^2 + ( P9*(1-1/SQRT(1-PI()*P9/3)) - P8*(1-1/SQRT(1-PI()*P8/3)) )^2*SUMSQ(K10:K$47) ), (1/(PI()^2*H9*$J$48))*SQRT((1+P8/(1-P8))^2*K9^2+(P8/(1-P8)-P9/(1-P9))^2*SUMSQ(K10:K$47)) )</f>
        <v>2.4262884719311765E-10</v>
      </c>
      <c r="V9" s="345">
        <f>SQRT(T9^2+U9^2)</f>
        <v>2.4916417374881E-10</v>
      </c>
      <c r="W9" s="340">
        <f>100*(V9/S9)</f>
        <v>3.6625159426158396</v>
      </c>
      <c r="X9" s="345">
        <f>V9*2</f>
        <v>4.9832834749762E-10</v>
      </c>
      <c r="Y9" s="338">
        <f t="shared" ref="Y9:Y45" si="8">LN(S9)</f>
        <v>-18.805889245681637</v>
      </c>
      <c r="Z9" s="346">
        <f>V9/S9</f>
        <v>3.6625159426158398E-2</v>
      </c>
      <c r="AA9" s="346">
        <f>ABS(100*(Z9/Y9))</f>
        <v>0.19475366970252986</v>
      </c>
      <c r="AB9" s="346">
        <f t="shared" ref="AB9:AB45" si="9">2*Z9</f>
        <v>7.3250318852316795E-2</v>
      </c>
      <c r="AC9" s="336">
        <f t="shared" si="2"/>
        <v>8.7793575401200951E-13</v>
      </c>
      <c r="AD9" s="337">
        <f t="shared" si="3"/>
        <v>4.4604283245525478E-14</v>
      </c>
      <c r="AE9" s="308">
        <f t="shared" ref="AE9:AE45" si="10">100*AD9/AC9</f>
        <v>5.0805862549385736</v>
      </c>
      <c r="AF9" s="337">
        <f t="shared" ref="AF9:AF45" si="11">2*AD9</f>
        <v>8.9208566491050955E-14</v>
      </c>
      <c r="AG9" s="338">
        <f>LN(AC9)</f>
        <v>-27.761202977059902</v>
      </c>
      <c r="AH9" s="339">
        <f>AD9/AC9</f>
        <v>5.0805862549385732E-2</v>
      </c>
      <c r="AI9" s="340">
        <f>ABS(100*(AH9/AG9))</f>
        <v>0.18301030611450259</v>
      </c>
      <c r="AJ9" s="341">
        <f t="shared" ref="AJ9:AJ45" si="12">2*AH9</f>
        <v>0.10161172509877146</v>
      </c>
    </row>
    <row r="10" spans="1:39" x14ac:dyDescent="0.2">
      <c r="A10" s="309">
        <v>3</v>
      </c>
      <c r="B10" s="309">
        <f t="shared" ref="B10:B46" si="13">G10+B9</f>
        <v>3</v>
      </c>
      <c r="C10" s="1">
        <v>269.99</v>
      </c>
      <c r="D10" s="1">
        <v>0.78</v>
      </c>
      <c r="E10" s="326">
        <f t="shared" si="4"/>
        <v>18.411459292263505</v>
      </c>
      <c r="F10" s="327">
        <f t="shared" si="0"/>
        <v>2.5492285237853116E-2</v>
      </c>
      <c r="G10" s="309">
        <f t="shared" si="5"/>
        <v>1</v>
      </c>
      <c r="H10" s="1">
        <v>3600</v>
      </c>
      <c r="I10" s="324">
        <v>30</v>
      </c>
      <c r="J10" s="1">
        <v>3.0779999999999998E-2</v>
      </c>
      <c r="K10" s="1">
        <v>1.3999999999999999E-4</v>
      </c>
      <c r="L10" s="328">
        <f t="shared" si="6"/>
        <v>0.45484080571799868</v>
      </c>
      <c r="M10" s="329">
        <f t="shared" si="1"/>
        <v>8.4817688814426157E-3</v>
      </c>
      <c r="N10" s="342">
        <f>(1/$J$48)*SQRT(((1-J11/$J$48)*K10)^2+(J11/$J$48)^2*(SUMSQ(K$8:K9)+SUMSQ(K11:K$47)))</f>
        <v>1.6828222985090568E-4</v>
      </c>
      <c r="O10" s="340">
        <f t="shared" ref="O10:O45" si="14">100*(N10/M10)</f>
        <v>1.9840463964903923</v>
      </c>
      <c r="P10" s="332">
        <f t="shared" si="7"/>
        <v>2.9170891935981658E-2</v>
      </c>
      <c r="Q10" s="342">
        <f>SQRT(((1-P10)/$J$48)^2*SUMSQ(K$8:K10)+(P10/$J$48)^2*SUMSQ(K11:K$47))</f>
        <v>5.1498486360596041E-4</v>
      </c>
      <c r="R10" s="340">
        <f t="shared" ref="R10:R45" si="15">100*(Q10/P10)</f>
        <v>1.7654066414429304</v>
      </c>
      <c r="S10" s="343">
        <f t="shared" ref="S10:S45" si="16">IF(P10&lt;=0.85, (((-1)*PI()^2*(P10-P9)/3-2*PI()*(SQRT(1-PI()*P10/3)-SQRT(1-PI()*P9/3)))/PI()^2/H10), ((-1)*LN((1-P10)/(1-P9))/PI()^2/H10 ))</f>
        <v>1.0458672536551527E-8</v>
      </c>
      <c r="T10" s="344">
        <f t="shared" ref="T10:T45" si="17">IF(P10&lt;=0.85, ABS(((-1)*(P10-P9)/3-2*(SQRT(1-PI()*P10/3)-SQRT(1-PI()*P9/3))/PI())*(-1)*I10/H10^2), ABS((-1)*LN((1-P10)/(1-P9))*(-1)*I10/PI()^2/H10^2))</f>
        <v>8.7155604471263402E-11</v>
      </c>
      <c r="U10" s="344">
        <f>IF(P10&lt;=0.85, (1/(3*H10*$J$48))*SQRT( ((1-P10)*(1/SQRT(1-PI()*P10/3)-1) + (1-P9)*(1-1/SQRT(1-PI()*P9/3)))^2*SUMSQ(K$8:K9) + ( (1-P10)*(1/SQRT(1-PI()*P10/3)-1) -P9*(1-1/SQRT(1-PI()*P9/3)) )^2*K10^2 + ( P10*(1-1/SQRT(1-PI()*P10/3)) - P9*(1-1/SQRT(1-PI()*P9/3)) )^2*SUMSQ(K11:K$47) ), (1/(PI()^2*H10*$J$48))*SQRT((1+P9/(1-P9))^2*K10^2+(P9/(1-P9)-P10/(1-P10))^2*SUMSQ(K11:K$47)) )</f>
        <v>3.7383567854149577E-10</v>
      </c>
      <c r="V10" s="345">
        <f t="shared" ref="V10:V45" si="18">SQRT(T10^2+U10^2)</f>
        <v>3.8386093047004912E-10</v>
      </c>
      <c r="W10" s="340">
        <f t="shared" ref="W10:W45" si="19">100*(V10/S10)</f>
        <v>3.6702643583926302</v>
      </c>
      <c r="X10" s="345">
        <f t="shared" ref="X10:X45" si="20">V10*2</f>
        <v>7.6772186094009824E-10</v>
      </c>
      <c r="Y10" s="338">
        <f t="shared" si="8"/>
        <v>-18.375834294914686</v>
      </c>
      <c r="Z10" s="346">
        <f t="shared" ref="Z10:Z45" si="21">V10/S10</f>
        <v>3.6702643583926303E-2</v>
      </c>
      <c r="AA10" s="346">
        <f t="shared" ref="AA10:AA45" si="22">ABS(100*(Z10/Y10))</f>
        <v>0.19973320936009617</v>
      </c>
      <c r="AB10" s="346">
        <f t="shared" si="9"/>
        <v>7.3405287167852606E-2</v>
      </c>
      <c r="AC10" s="336">
        <f t="shared" si="2"/>
        <v>1.3496875073729599E-12</v>
      </c>
      <c r="AD10" s="337">
        <f t="shared" si="3"/>
        <v>6.8647465916284432E-14</v>
      </c>
      <c r="AE10" s="308">
        <f t="shared" si="10"/>
        <v>5.0861748027808513</v>
      </c>
      <c r="AF10" s="337">
        <f t="shared" si="11"/>
        <v>1.3729493183256886E-13</v>
      </c>
      <c r="AG10" s="338">
        <f t="shared" ref="AG10:AG45" si="23">LN(AC10)</f>
        <v>-27.331148026292947</v>
      </c>
      <c r="AH10" s="339">
        <f t="shared" ref="AH10:AH45" si="24">AD10/AC10</f>
        <v>5.0861748027808511E-2</v>
      </c>
      <c r="AI10" s="340">
        <f t="shared" ref="AI10:AI45" si="25">ABS(100*(AH10/AG10))</f>
        <v>0.18609444425414842</v>
      </c>
      <c r="AJ10" s="341">
        <f t="shared" si="12"/>
        <v>0.10172349605561702</v>
      </c>
    </row>
    <row r="11" spans="1:39" x14ac:dyDescent="0.2">
      <c r="A11" s="309">
        <v>4</v>
      </c>
      <c r="B11" s="309">
        <f t="shared" si="13"/>
        <v>4</v>
      </c>
      <c r="C11" s="1">
        <v>280</v>
      </c>
      <c r="D11" s="1">
        <v>0.7</v>
      </c>
      <c r="E11" s="326">
        <f t="shared" si="4"/>
        <v>18.078278947844165</v>
      </c>
      <c r="F11" s="327">
        <f t="shared" si="0"/>
        <v>2.2072415511897665E-2</v>
      </c>
      <c r="G11" s="309">
        <f t="shared" si="5"/>
        <v>1</v>
      </c>
      <c r="H11" s="1">
        <v>3600</v>
      </c>
      <c r="I11" s="324">
        <v>30</v>
      </c>
      <c r="J11" s="1">
        <v>3.4090000000000002E-2</v>
      </c>
      <c r="K11" s="1">
        <v>1.4999999999999999E-4</v>
      </c>
      <c r="L11" s="328">
        <f t="shared" si="6"/>
        <v>0.44001173364623053</v>
      </c>
      <c r="M11" s="329">
        <f t="shared" si="1"/>
        <v>9.3938759313963224E-3</v>
      </c>
      <c r="N11" s="342">
        <f>(1/$J$48)*SQRT(((1-J12/$J$48)*K11)^2+(J12/$J$48)^2*(SUMSQ(K$8:K10)+SUMSQ(K12:K$47)))</f>
        <v>1.8917503216749824E-4</v>
      </c>
      <c r="O11" s="340">
        <f t="shared" si="14"/>
        <v>2.013812334216968</v>
      </c>
      <c r="P11" s="332">
        <f t="shared" si="7"/>
        <v>3.8564767867377982E-2</v>
      </c>
      <c r="Q11" s="342">
        <f>SQRT(((1-P11)/$J$48)^2*SUMSQ(K$8:K11)+(P11/$J$48)^2*SUMSQ(K12:K$47))</f>
        <v>6.7847554165416499E-4</v>
      </c>
      <c r="R11" s="340">
        <f t="shared" si="15"/>
        <v>1.7593144706261512</v>
      </c>
      <c r="S11" s="343">
        <f t="shared" si="16"/>
        <v>1.5850034006177366E-8</v>
      </c>
      <c r="T11" s="344">
        <f t="shared" si="17"/>
        <v>1.3208361671814548E-10</v>
      </c>
      <c r="U11" s="344">
        <f>IF(P11&lt;=0.85, (1/(3*H11*$J$48))*SQRT( ((1-P11)*(1/SQRT(1-PI()*P11/3)-1) + (1-P10)*(1-1/SQRT(1-PI()*P10/3)))^2*SUMSQ(K$8:K10) + ( (1-P11)*(1/SQRT(1-PI()*P11/3)-1) -P10*(1-1/SQRT(1-PI()*P10/3)) )^2*K11^2 + ( P11*(1-1/SQRT(1-PI()*P11/3)) - P10*(1-1/SQRT(1-PI()*P10/3)) )^2*SUMSQ(K12:K$47) ), (1/(PI()^2*H11*$J$48))*SQRT((1+P10/(1-P10))^2*K11^2+(P10/(1-P10)-P11/(1-P11))^2*SUMSQ(K12:K$47)) )</f>
        <v>5.6731212023953125E-10</v>
      </c>
      <c r="V11" s="345">
        <f t="shared" si="18"/>
        <v>5.8248529902137303E-10</v>
      </c>
      <c r="W11" s="340">
        <f t="shared" si="19"/>
        <v>3.6749782290331754</v>
      </c>
      <c r="X11" s="345">
        <f t="shared" si="20"/>
        <v>1.1649705980427461E-9</v>
      </c>
      <c r="Y11" s="338">
        <f t="shared" si="8"/>
        <v>-17.960094191125275</v>
      </c>
      <c r="Z11" s="346">
        <f t="shared" si="21"/>
        <v>3.6749782290331753E-2</v>
      </c>
      <c r="AA11" s="346">
        <f t="shared" si="22"/>
        <v>0.20461909553064112</v>
      </c>
      <c r="AB11" s="346">
        <f t="shared" si="9"/>
        <v>7.3499564580663507E-2</v>
      </c>
      <c r="AC11" s="336">
        <f t="shared" si="2"/>
        <v>2.0454405484835862E-12</v>
      </c>
      <c r="AD11" s="337">
        <f t="shared" si="3"/>
        <v>1.0410428096559361E-13</v>
      </c>
      <c r="AE11" s="308">
        <f t="shared" si="10"/>
        <v>5.089577452777724</v>
      </c>
      <c r="AF11" s="337">
        <f t="shared" si="11"/>
        <v>2.0820856193118722E-13</v>
      </c>
      <c r="AG11" s="338">
        <f t="shared" si="23"/>
        <v>-26.915407922503537</v>
      </c>
      <c r="AH11" s="339">
        <f t="shared" si="24"/>
        <v>5.0895774527777236E-2</v>
      </c>
      <c r="AI11" s="340">
        <f t="shared" si="25"/>
        <v>0.18909531177948116</v>
      </c>
      <c r="AJ11" s="341">
        <f t="shared" si="12"/>
        <v>0.10179154905555447</v>
      </c>
    </row>
    <row r="12" spans="1:39" x14ac:dyDescent="0.2">
      <c r="A12" s="309">
        <v>5</v>
      </c>
      <c r="B12" s="309">
        <f t="shared" si="13"/>
        <v>5</v>
      </c>
      <c r="C12" s="1">
        <v>290</v>
      </c>
      <c r="D12" s="1">
        <v>0.81</v>
      </c>
      <c r="E12" s="326">
        <f t="shared" si="4"/>
        <v>17.757258279321672</v>
      </c>
      <c r="F12" s="327">
        <f t="shared" si="0"/>
        <v>2.4657465003009242E-2</v>
      </c>
      <c r="G12" s="309">
        <f t="shared" si="5"/>
        <v>1</v>
      </c>
      <c r="H12" s="1">
        <v>3600</v>
      </c>
      <c r="I12" s="324">
        <v>30</v>
      </c>
      <c r="J12" s="1">
        <v>3.8420000000000003E-2</v>
      </c>
      <c r="K12" s="1">
        <v>1.9000000000000001E-4</v>
      </c>
      <c r="L12" s="328">
        <f t="shared" si="6"/>
        <v>0.4945340968245705</v>
      </c>
      <c r="M12" s="329">
        <f t="shared" si="1"/>
        <v>1.0587055244477757E-2</v>
      </c>
      <c r="N12" s="342">
        <f>(1/$J$48)*SQRT(((1-J13/$J$48)*K12)^2+(J13/$J$48)^2*(SUMSQ(K$8:K11)+SUMSQ(K13:K$47)))</f>
        <v>2.2107298115036294E-4</v>
      </c>
      <c r="O12" s="340">
        <f t="shared" si="14"/>
        <v>2.0881442105034385</v>
      </c>
      <c r="P12" s="332">
        <f t="shared" si="7"/>
        <v>4.9151823111855737E-2</v>
      </c>
      <c r="Q12" s="342">
        <f>SQRT(((1-P12)/$J$48)^2*SUMSQ(K$8:K12)+(P12/$J$48)^2*SUMSQ(K13:K$47))</f>
        <v>8.6329348321514661E-4</v>
      </c>
      <c r="R12" s="340">
        <f t="shared" si="15"/>
        <v>1.7563814087842342</v>
      </c>
      <c r="S12" s="343">
        <f t="shared" si="16"/>
        <v>2.3321952497466314E-8</v>
      </c>
      <c r="T12" s="344">
        <f t="shared" si="17"/>
        <v>1.9434960414555304E-10</v>
      </c>
      <c r="U12" s="344">
        <f>IF(P12&lt;=0.85, (1/(3*H12*$J$48))*SQRT( ((1-P12)*(1/SQRT(1-PI()*P12/3)-1) + (1-P11)*(1-1/SQRT(1-PI()*P11/3)))^2*SUMSQ(K$8:K11) + ( (1-P12)*(1/SQRT(1-PI()*P12/3)-1) -P11*(1-1/SQRT(1-PI()*P11/3)) )^2*K12^2 + ( P12*(1-1/SQRT(1-PI()*P12/3)) - P11*(1-1/SQRT(1-PI()*P11/3)) )^2*SUMSQ(K13:K$47) ), (1/(PI()^2*H12*$J$48))*SQRT((1+P11/(1-P11))^2*K12^2+(P11/(1-P11)-P12/(1-P12))^2*SUMSQ(K13:K$47)) )</f>
        <v>8.3942772088753413E-10</v>
      </c>
      <c r="V12" s="345">
        <f t="shared" si="18"/>
        <v>8.6163255928845508E-10</v>
      </c>
      <c r="W12" s="340">
        <f t="shared" si="19"/>
        <v>3.694512967480156</v>
      </c>
      <c r="X12" s="345">
        <f t="shared" si="20"/>
        <v>1.7232651185769102E-9</v>
      </c>
      <c r="Y12" s="338">
        <f t="shared" si="8"/>
        <v>-17.573870752662526</v>
      </c>
      <c r="Z12" s="346">
        <f t="shared" si="21"/>
        <v>3.6945129674801562E-2</v>
      </c>
      <c r="AA12" s="346">
        <f t="shared" si="22"/>
        <v>0.21022761686809491</v>
      </c>
      <c r="AB12" s="346">
        <f t="shared" si="9"/>
        <v>7.3890259349603124E-2</v>
      </c>
      <c r="AC12" s="336">
        <f t="shared" si="2"/>
        <v>3.0096886410170289E-12</v>
      </c>
      <c r="AD12" s="337">
        <f t="shared" si="3"/>
        <v>1.5360549698320336E-13</v>
      </c>
      <c r="AE12" s="308">
        <f t="shared" si="10"/>
        <v>5.1037005918092992</v>
      </c>
      <c r="AF12" s="337">
        <f t="shared" si="11"/>
        <v>3.0721099396640671E-13</v>
      </c>
      <c r="AG12" s="338">
        <f t="shared" si="23"/>
        <v>-26.52918448404079</v>
      </c>
      <c r="AH12" s="339">
        <f t="shared" si="24"/>
        <v>5.1037005918092994E-2</v>
      </c>
      <c r="AI12" s="340">
        <f t="shared" si="25"/>
        <v>0.19238060615393368</v>
      </c>
      <c r="AJ12" s="341">
        <f t="shared" si="12"/>
        <v>0.10207401183618599</v>
      </c>
    </row>
    <row r="13" spans="1:39" x14ac:dyDescent="0.2">
      <c r="A13" s="309">
        <v>6</v>
      </c>
      <c r="B13" s="309">
        <f t="shared" si="13"/>
        <v>6</v>
      </c>
      <c r="C13" s="1">
        <v>300</v>
      </c>
      <c r="D13" s="1">
        <v>0.74</v>
      </c>
      <c r="E13" s="326">
        <f t="shared" si="4"/>
        <v>17.447439588240428</v>
      </c>
      <c r="F13" s="327">
        <f t="shared" si="0"/>
        <v>2.1761361058751805E-2</v>
      </c>
      <c r="G13" s="309">
        <f t="shared" si="5"/>
        <v>1</v>
      </c>
      <c r="H13" s="1">
        <v>3600</v>
      </c>
      <c r="I13" s="324">
        <v>30</v>
      </c>
      <c r="J13" s="1">
        <v>4.471E-2</v>
      </c>
      <c r="K13" s="1">
        <v>1.3999999999999999E-4</v>
      </c>
      <c r="L13" s="328">
        <f t="shared" si="6"/>
        <v>0.31312905390292994</v>
      </c>
      <c r="M13" s="329">
        <f t="shared" si="1"/>
        <v>1.2320334200432079E-2</v>
      </c>
      <c r="N13" s="342">
        <f>(1/$J$48)*SQRT(((1-J14/$J$48)*K13)^2+(J14/$J$48)^2*(SUMSQ(K$8:K12)+SUMSQ(K14:K$47)))</f>
        <v>2.4303194175815713E-4</v>
      </c>
      <c r="O13" s="340">
        <f t="shared" si="14"/>
        <v>1.9726083546470183</v>
      </c>
      <c r="P13" s="332">
        <f t="shared" si="7"/>
        <v>6.147215731228782E-2</v>
      </c>
      <c r="Q13" s="342">
        <f>SQRT(((1-P13)/$J$48)^2*SUMSQ(K$8:K13)+(P13/$J$48)^2*SUMSQ(K14:K$47))</f>
        <v>1.0775591683194479E-3</v>
      </c>
      <c r="R13" s="340">
        <f t="shared" si="15"/>
        <v>1.7529223235899873</v>
      </c>
      <c r="S13" s="343">
        <f t="shared" si="16"/>
        <v>3.4553335011707659E-8</v>
      </c>
      <c r="T13" s="344">
        <f t="shared" si="17"/>
        <v>2.8794445843089758E-10</v>
      </c>
      <c r="U13" s="344">
        <f>IF(P13&lt;=0.85, (1/(3*H13*$J$48))*SQRT( ((1-P13)*(1/SQRT(1-PI()*P13/3)-1) + (1-P12)*(1-1/SQRT(1-PI()*P12/3)))^2*SUMSQ(K$8:K12) + ( (1-P13)*(1/SQRT(1-PI()*P13/3)-1) -P12*(1-1/SQRT(1-PI()*P12/3)) )^2*K13^2 + ( P13*(1-1/SQRT(1-PI()*P13/3)) - P12*(1-1/SQRT(1-PI()*P12/3)) )^2*SUMSQ(K14:K$47) ), (1/(PI()^2*H13*$J$48))*SQRT((1+P12/(1-P12))^2*K13^2+(P12/(1-P12)-P13/(1-P13))^2*SUMSQ(K14:K$47)) )</f>
        <v>1.2405587931592924E-9</v>
      </c>
      <c r="V13" s="345">
        <f t="shared" si="18"/>
        <v>1.2735376438982489E-9</v>
      </c>
      <c r="W13" s="340">
        <f t="shared" si="19"/>
        <v>3.6857155567378315</v>
      </c>
      <c r="X13" s="345">
        <f t="shared" si="20"/>
        <v>2.5470752877964977E-9</v>
      </c>
      <c r="Y13" s="338">
        <f t="shared" si="8"/>
        <v>-17.18076176427952</v>
      </c>
      <c r="Z13" s="346">
        <f t="shared" si="21"/>
        <v>3.6857155567378314E-2</v>
      </c>
      <c r="AA13" s="346">
        <f t="shared" si="22"/>
        <v>0.21452573566329253</v>
      </c>
      <c r="AB13" s="346">
        <f t="shared" si="9"/>
        <v>7.3714311134756627E-2</v>
      </c>
      <c r="AC13" s="336">
        <f t="shared" si="2"/>
        <v>4.4590940619268681E-12</v>
      </c>
      <c r="AD13" s="337">
        <f t="shared" si="3"/>
        <v>2.2729500047255297E-13</v>
      </c>
      <c r="AE13" s="308">
        <f t="shared" si="10"/>
        <v>5.09733585602664</v>
      </c>
      <c r="AF13" s="337">
        <f t="shared" si="11"/>
        <v>4.5459000094510594E-13</v>
      </c>
      <c r="AG13" s="338">
        <f t="shared" si="23"/>
        <v>-26.136075495657785</v>
      </c>
      <c r="AH13" s="339">
        <f t="shared" si="24"/>
        <v>5.0973358560266392E-2</v>
      </c>
      <c r="AI13" s="340">
        <f t="shared" si="25"/>
        <v>0.19503065243569195</v>
      </c>
      <c r="AJ13" s="341">
        <f t="shared" si="12"/>
        <v>0.10194671712053278</v>
      </c>
    </row>
    <row r="14" spans="1:39" x14ac:dyDescent="0.2">
      <c r="A14" s="309">
        <v>7</v>
      </c>
      <c r="B14" s="309">
        <f t="shared" si="13"/>
        <v>7</v>
      </c>
      <c r="C14" s="1">
        <v>309.99</v>
      </c>
      <c r="D14" s="1">
        <v>0.7</v>
      </c>
      <c r="E14" s="326">
        <f t="shared" si="4"/>
        <v>17.148540659189905</v>
      </c>
      <c r="F14" s="327">
        <f t="shared" si="0"/>
        <v>1.9896817401616428E-2</v>
      </c>
      <c r="G14" s="309">
        <f t="shared" si="5"/>
        <v>1</v>
      </c>
      <c r="H14" s="1">
        <v>3600</v>
      </c>
      <c r="I14" s="324">
        <v>30</v>
      </c>
      <c r="J14" s="1">
        <v>4.9930000000000002E-2</v>
      </c>
      <c r="K14" s="1">
        <v>2.1000000000000001E-4</v>
      </c>
      <c r="L14" s="328">
        <f t="shared" si="6"/>
        <v>0.42058882435409572</v>
      </c>
      <c r="M14" s="329">
        <f t="shared" si="1"/>
        <v>1.375876284114457E-2</v>
      </c>
      <c r="N14" s="342">
        <f>(1/$J$48)*SQRT(((1-J15/$J$48)*K14)^2+(J15/$J$48)^2*(SUMSQ(K$8:K13)+SUMSQ(K15:K$47)))</f>
        <v>2.7109080605666112E-4</v>
      </c>
      <c r="O14" s="340">
        <f t="shared" si="14"/>
        <v>1.9703138224461867</v>
      </c>
      <c r="P14" s="332">
        <f t="shared" si="7"/>
        <v>7.5230920153432385E-2</v>
      </c>
      <c r="Q14" s="342">
        <f>SQRT(((1-P14)/$J$48)^2*SUMSQ(K$8:K14)+(P14/$J$48)^2*SUMSQ(K15:K$47))</f>
        <v>1.317611915162337E-3</v>
      </c>
      <c r="R14" s="340">
        <f t="shared" si="15"/>
        <v>1.7514233675131001</v>
      </c>
      <c r="S14" s="343">
        <f t="shared" si="16"/>
        <v>4.8206780830791797E-8</v>
      </c>
      <c r="T14" s="344">
        <f t="shared" si="17"/>
        <v>4.0172317358993092E-10</v>
      </c>
      <c r="U14" s="344">
        <f>IF(P14&lt;=0.85, (1/(3*H14*$J$48))*SQRT( ((1-P14)*(1/SQRT(1-PI()*P14/3)-1) + (1-P13)*(1-1/SQRT(1-PI()*P13/3)))^2*SUMSQ(K$8:K13) + ( (1-P14)*(1/SQRT(1-PI()*P14/3)-1) -P13*(1-1/SQRT(1-PI()*P13/3)) )^2*K14^2 + ( P14*(1-1/SQRT(1-PI()*P14/3)) - P13*(1-1/SQRT(1-PI()*P13/3)) )^2*SUMSQ(K15:K$47) ), (1/(PI()^2*H14*$J$48))*SQRT((1+P13/(1-P13))^2*K14^2+(P13/(1-P13)-P14/(1-P14))^2*SUMSQ(K15:K$47)) )</f>
        <v>1.7457764920988883E-9</v>
      </c>
      <c r="V14" s="345">
        <f t="shared" si="18"/>
        <v>1.7914008676352331E-9</v>
      </c>
      <c r="W14" s="340">
        <f t="shared" si="19"/>
        <v>3.7160765285762167</v>
      </c>
      <c r="X14" s="345">
        <f t="shared" si="20"/>
        <v>3.5828017352704662E-9</v>
      </c>
      <c r="Y14" s="338">
        <f t="shared" si="8"/>
        <v>-16.84776614464776</v>
      </c>
      <c r="Z14" s="346">
        <f t="shared" si="21"/>
        <v>3.7160765285762169E-2</v>
      </c>
      <c r="AA14" s="346">
        <f t="shared" si="22"/>
        <v>0.22056790773753404</v>
      </c>
      <c r="AB14" s="346">
        <f t="shared" si="9"/>
        <v>7.4321530571524339E-2</v>
      </c>
      <c r="AC14" s="336">
        <f t="shared" si="2"/>
        <v>6.221065783501349E-12</v>
      </c>
      <c r="AD14" s="337">
        <f t="shared" si="3"/>
        <v>3.1847700109064769E-13</v>
      </c>
      <c r="AE14" s="308">
        <f t="shared" si="10"/>
        <v>5.1193318343501266</v>
      </c>
      <c r="AF14" s="337">
        <f t="shared" si="11"/>
        <v>6.3695400218129538E-13</v>
      </c>
      <c r="AG14" s="338">
        <f t="shared" si="23"/>
        <v>-25.803079876026025</v>
      </c>
      <c r="AH14" s="339">
        <f t="shared" si="24"/>
        <v>5.1193318343501264E-2</v>
      </c>
      <c r="AI14" s="340">
        <f t="shared" si="25"/>
        <v>0.19840003049816402</v>
      </c>
      <c r="AJ14" s="341">
        <f t="shared" si="12"/>
        <v>0.10238663668700253</v>
      </c>
    </row>
    <row r="15" spans="1:39" x14ac:dyDescent="0.2">
      <c r="A15" s="309">
        <v>8</v>
      </c>
      <c r="B15" s="309">
        <f t="shared" si="13"/>
        <v>8</v>
      </c>
      <c r="C15" s="1">
        <v>319.99</v>
      </c>
      <c r="D15" s="1">
        <v>0.7</v>
      </c>
      <c r="E15" s="326">
        <f t="shared" si="4"/>
        <v>16.85942610513538</v>
      </c>
      <c r="F15" s="327">
        <f t="shared" si="0"/>
        <v>1.9242512470926638E-2</v>
      </c>
      <c r="G15" s="309">
        <f t="shared" si="5"/>
        <v>1</v>
      </c>
      <c r="H15" s="1">
        <v>3600</v>
      </c>
      <c r="I15" s="324">
        <v>30</v>
      </c>
      <c r="J15" s="1">
        <v>5.5129999999999998E-2</v>
      </c>
      <c r="K15" s="1">
        <v>2.4000000000000001E-4</v>
      </c>
      <c r="L15" s="328">
        <f t="shared" si="6"/>
        <v>0.43533466352258304</v>
      </c>
      <c r="M15" s="329">
        <f t="shared" si="1"/>
        <v>1.5191680261011418E-2</v>
      </c>
      <c r="N15" s="342">
        <f>(1/$J$48)*SQRT(((1-J16/$J$48)*K15)^2+(J16/$J$48)^2*(SUMSQ(K$8:K14)+SUMSQ(K16:K$47)))</f>
        <v>2.8875643296708367E-4</v>
      </c>
      <c r="O15" s="340">
        <f t="shared" si="14"/>
        <v>1.9007537547256086</v>
      </c>
      <c r="P15" s="332">
        <f t="shared" si="7"/>
        <v>9.0422600414443804E-2</v>
      </c>
      <c r="Q15" s="342">
        <f>SQRT(((1-P15)/$J$48)^2*SUMSQ(K$8:K15)+(P15/$J$48)^2*SUMSQ(K16:K$47))</f>
        <v>1.5827665655844278E-3</v>
      </c>
      <c r="R15" s="340">
        <f t="shared" si="15"/>
        <v>1.7504103601643402</v>
      </c>
      <c r="S15" s="343">
        <f t="shared" si="16"/>
        <v>6.529579693655834E-8</v>
      </c>
      <c r="T15" s="344">
        <f t="shared" si="17"/>
        <v>5.4413164113798621E-10</v>
      </c>
      <c r="U15" s="344">
        <f>IF(P15&lt;=0.85, (1/(3*H15*$J$48))*SQRT( ((1-P15)*(1/SQRT(1-PI()*P15/3)-1) + (1-P14)*(1-1/SQRT(1-PI()*P14/3)))^2*SUMSQ(K$8:K14) + ( (1-P15)*(1/SQRT(1-PI()*P15/3)-1) -P14*(1-1/SQRT(1-PI()*P14/3)) )^2*K15^2 + ( P15*(1-1/SQRT(1-PI()*P15/3)) - P14*(1-1/SQRT(1-PI()*P14/3)) )^2*SUMSQ(K16:K$47) ), (1/(PI()^2*H15*$J$48))*SQRT((1+P14/(1-P14))^2*K15^2+(P14/(1-P14)-P15/(1-P15))^2*SUMSQ(K16:K$47)) )</f>
        <v>2.3801384891929502E-9</v>
      </c>
      <c r="V15" s="345">
        <f t="shared" si="18"/>
        <v>2.441544279882144E-9</v>
      </c>
      <c r="W15" s="340">
        <f t="shared" si="19"/>
        <v>3.739205882201512</v>
      </c>
      <c r="X15" s="345">
        <f t="shared" si="20"/>
        <v>4.883088559764288E-9</v>
      </c>
      <c r="Y15" s="338">
        <f t="shared" si="8"/>
        <v>-16.544338168178779</v>
      </c>
      <c r="Z15" s="346">
        <f t="shared" si="21"/>
        <v>3.7392058822015121E-2</v>
      </c>
      <c r="AA15" s="346">
        <f t="shared" si="22"/>
        <v>0.22601120964714472</v>
      </c>
      <c r="AB15" s="346">
        <f t="shared" si="9"/>
        <v>7.4784117644030243E-2</v>
      </c>
      <c r="AC15" s="336">
        <f t="shared" si="2"/>
        <v>8.4263964763440781E-12</v>
      </c>
      <c r="AD15" s="337">
        <f t="shared" si="3"/>
        <v>4.327920137525836E-13</v>
      </c>
      <c r="AE15" s="308">
        <f t="shared" si="10"/>
        <v>5.1361458598297176</v>
      </c>
      <c r="AF15" s="337">
        <f t="shared" si="11"/>
        <v>8.6558402750516721E-13</v>
      </c>
      <c r="AG15" s="338">
        <f t="shared" si="23"/>
        <v>-25.499651899557044</v>
      </c>
      <c r="AH15" s="339">
        <f t="shared" si="24"/>
        <v>5.1361458598297181E-2</v>
      </c>
      <c r="AI15" s="340">
        <f t="shared" si="25"/>
        <v>0.20142023428637226</v>
      </c>
      <c r="AJ15" s="341">
        <f t="shared" si="12"/>
        <v>0.10272291719659436</v>
      </c>
    </row>
    <row r="16" spans="1:39" x14ac:dyDescent="0.2">
      <c r="A16" s="309">
        <v>9</v>
      </c>
      <c r="B16" s="309">
        <f t="shared" si="13"/>
        <v>9</v>
      </c>
      <c r="C16" s="1">
        <v>329.99</v>
      </c>
      <c r="D16" s="1">
        <v>0.78</v>
      </c>
      <c r="E16" s="326">
        <f t="shared" si="4"/>
        <v>16.579898531020991</v>
      </c>
      <c r="F16" s="327">
        <f t="shared" si="0"/>
        <v>2.0747955297783387E-2</v>
      </c>
      <c r="G16" s="309">
        <f t="shared" si="5"/>
        <v>1</v>
      </c>
      <c r="H16" s="1">
        <v>3600</v>
      </c>
      <c r="I16" s="324">
        <v>30</v>
      </c>
      <c r="J16" s="1">
        <v>5.8520000000000003E-2</v>
      </c>
      <c r="K16" s="1">
        <v>2.0000000000000001E-4</v>
      </c>
      <c r="L16" s="328">
        <f t="shared" si="6"/>
        <v>0.34176349965823649</v>
      </c>
      <c r="M16" s="329">
        <f t="shared" si="1"/>
        <v>1.612583219434769E-2</v>
      </c>
      <c r="N16" s="342">
        <f>(1/$J$48)*SQRT(((1-J17/$J$48)*K16)^2+(J17/$J$48)^2*(SUMSQ(K$8:K15)+SUMSQ(K17:K$47)))</f>
        <v>2.9557144392482957E-4</v>
      </c>
      <c r="O16" s="340">
        <f t="shared" si="14"/>
        <v>1.8329066082458128</v>
      </c>
      <c r="P16" s="332">
        <f t="shared" si="7"/>
        <v>0.10654843260879149</v>
      </c>
      <c r="Q16" s="342">
        <f>SQRT(((1-P16)/$J$48)^2*SUMSQ(K$8:K16)+(P16/$J$48)^2*SUMSQ(K17:K$47))</f>
        <v>1.8637715860518531E-3</v>
      </c>
      <c r="R16" s="340">
        <f t="shared" si="15"/>
        <v>1.7492247801476062</v>
      </c>
      <c r="S16" s="343">
        <f t="shared" si="16"/>
        <v>8.3532152950716959E-8</v>
      </c>
      <c r="T16" s="344">
        <f t="shared" si="17"/>
        <v>6.9610127458930689E-10</v>
      </c>
      <c r="U16" s="344">
        <f>IF(P16&lt;=0.85, (1/(3*H16*$J$48))*SQRT( ((1-P16)*(1/SQRT(1-PI()*P16/3)-1) + (1-P15)*(1-1/SQRT(1-PI()*P15/3)))^2*SUMSQ(K$8:K15) + ( (1-P16)*(1/SQRT(1-PI()*P16/3)-1) -P15*(1-1/SQRT(1-PI()*P15/3)) )^2*K16^2 + ( P16*(1-1/SQRT(1-PI()*P16/3)) - P15*(1-1/SQRT(1-PI()*P15/3)) )^2*SUMSQ(K17:K$47) ), (1/(PI()^2*H16*$J$48))*SQRT((1+P15/(1-P15))^2*K16^2+(P15/(1-P15)-P16/(1-P16))^2*SUMSQ(K17:K$47)) )</f>
        <v>3.0561550487403681E-9</v>
      </c>
      <c r="V16" s="345">
        <f t="shared" si="18"/>
        <v>3.1344282838224422E-9</v>
      </c>
      <c r="W16" s="340">
        <f t="shared" si="19"/>
        <v>3.7523614238360645</v>
      </c>
      <c r="X16" s="345">
        <f t="shared" si="20"/>
        <v>6.2688565676448845E-9</v>
      </c>
      <c r="Y16" s="338">
        <f t="shared" si="8"/>
        <v>-16.298034213930162</v>
      </c>
      <c r="Z16" s="346">
        <f t="shared" si="21"/>
        <v>3.7523614238360647E-2</v>
      </c>
      <c r="AA16" s="346">
        <f t="shared" si="22"/>
        <v>0.23023398862599442</v>
      </c>
      <c r="AB16" s="346">
        <f t="shared" si="9"/>
        <v>7.5047228476721295E-2</v>
      </c>
      <c r="AC16" s="336">
        <f t="shared" si="2"/>
        <v>1.0779790925428843E-11</v>
      </c>
      <c r="AD16" s="337">
        <f t="shared" si="3"/>
        <v>5.5469906846813116E-13</v>
      </c>
      <c r="AE16" s="308">
        <f t="shared" si="10"/>
        <v>5.1457312326868161</v>
      </c>
      <c r="AF16" s="337">
        <f t="shared" si="11"/>
        <v>1.1093981369362623E-12</v>
      </c>
      <c r="AG16" s="338">
        <f t="shared" si="23"/>
        <v>-25.253347945308427</v>
      </c>
      <c r="AH16" s="339">
        <f t="shared" si="24"/>
        <v>5.1457312326868163E-2</v>
      </c>
      <c r="AI16" s="340">
        <f t="shared" si="25"/>
        <v>0.2037643184512013</v>
      </c>
      <c r="AJ16" s="341">
        <f t="shared" si="12"/>
        <v>0.10291462465373633</v>
      </c>
    </row>
    <row r="17" spans="1:39" x14ac:dyDescent="0.2">
      <c r="A17" s="309">
        <v>10</v>
      </c>
      <c r="B17" s="309">
        <f t="shared" si="13"/>
        <v>10</v>
      </c>
      <c r="C17" s="1">
        <v>339.99</v>
      </c>
      <c r="D17" s="1">
        <v>0.84</v>
      </c>
      <c r="E17" s="326">
        <f t="shared" si="4"/>
        <v>16.309488860619108</v>
      </c>
      <c r="F17" s="327">
        <f t="shared" si="0"/>
        <v>2.1633259764102453E-2</v>
      </c>
      <c r="G17" s="309">
        <f t="shared" si="5"/>
        <v>1</v>
      </c>
      <c r="H17" s="1">
        <v>3600</v>
      </c>
      <c r="I17" s="324">
        <v>30</v>
      </c>
      <c r="J17" s="1">
        <v>6.0440000000000001E-2</v>
      </c>
      <c r="K17" s="1">
        <v>2.5000000000000001E-4</v>
      </c>
      <c r="L17" s="328">
        <f t="shared" si="6"/>
        <v>0.41363335539377893</v>
      </c>
      <c r="M17" s="329">
        <f t="shared" si="1"/>
        <v>1.6654909395529296E-2</v>
      </c>
      <c r="N17" s="342">
        <f>(1/$J$48)*SQRT(((1-J18/$J$48)*K17)^2+(J18/$J$48)^2*(SUMSQ(K$8:K16)+SUMSQ(K18:K$47)))</f>
        <v>3.0167435626240709E-4</v>
      </c>
      <c r="O17" s="340">
        <f t="shared" si="14"/>
        <v>1.8113239111549058</v>
      </c>
      <c r="P17" s="332">
        <f t="shared" si="7"/>
        <v>0.12320334200432079</v>
      </c>
      <c r="Q17" s="342">
        <f>SQRT(((1-P17)/$J$48)^2*SUMSQ(K$8:K17)+(P17/$J$48)^2*SUMSQ(K18:K$47))</f>
        <v>2.1543193937824411E-3</v>
      </c>
      <c r="R17" s="340">
        <f t="shared" si="15"/>
        <v>1.7485884382153274</v>
      </c>
      <c r="S17" s="343">
        <f t="shared" si="16"/>
        <v>1.0208390093838865E-7</v>
      </c>
      <c r="T17" s="344">
        <f t="shared" si="17"/>
        <v>8.5069917448657387E-10</v>
      </c>
      <c r="U17" s="344">
        <f>IF(P17&lt;=0.85, (1/(3*H17*$J$48))*SQRT( ((1-P17)*(1/SQRT(1-PI()*P17/3)-1) + (1-P16)*(1-1/SQRT(1-PI()*P16/3)))^2*SUMSQ(K$8:K16) + ( (1-P17)*(1/SQRT(1-PI()*P17/3)-1) -P16*(1-1/SQRT(1-PI()*P16/3)) )^2*K17^2 + ( P17*(1-1/SQRT(1-PI()*P17/3)) - P16*(1-1/SQRT(1-PI()*P16/3)) )^2*SUMSQ(K18:K$47) ), (1/(PI()^2*H17*$J$48))*SQRT((1+P16/(1-P16))^2*K17^2+(P16/(1-P16)-P17/(1-P17))^2*SUMSQ(K18:K$47)) )</f>
        <v>3.7706247947171505E-9</v>
      </c>
      <c r="V17" s="345">
        <f t="shared" si="18"/>
        <v>3.8653978356707209E-9</v>
      </c>
      <c r="W17" s="340">
        <f t="shared" si="19"/>
        <v>3.7864911118586946</v>
      </c>
      <c r="X17" s="345">
        <f t="shared" si="20"/>
        <v>7.7307956713414419E-9</v>
      </c>
      <c r="Y17" s="338">
        <f t="shared" si="8"/>
        <v>-16.097470803558256</v>
      </c>
      <c r="Z17" s="346">
        <f t="shared" si="21"/>
        <v>3.7864911118586947E-2</v>
      </c>
      <c r="AA17" s="346">
        <f t="shared" si="22"/>
        <v>0.23522273517785863</v>
      </c>
      <c r="AB17" s="346">
        <f t="shared" si="9"/>
        <v>7.5729822237173894E-2</v>
      </c>
      <c r="AC17" s="336">
        <f t="shared" si="2"/>
        <v>1.317388658253868E-11</v>
      </c>
      <c r="AD17" s="337">
        <f t="shared" si="3"/>
        <v>6.8117846066376582E-13</v>
      </c>
      <c r="AE17" s="308">
        <f t="shared" si="10"/>
        <v>5.1706719683364621</v>
      </c>
      <c r="AF17" s="337">
        <f t="shared" si="11"/>
        <v>1.3623569213275316E-12</v>
      </c>
      <c r="AG17" s="338">
        <f t="shared" si="23"/>
        <v>-25.052784534936517</v>
      </c>
      <c r="AH17" s="339">
        <f t="shared" si="24"/>
        <v>5.170671968336462E-2</v>
      </c>
      <c r="AI17" s="340">
        <f t="shared" si="25"/>
        <v>0.20639110838660971</v>
      </c>
      <c r="AJ17" s="341">
        <f t="shared" si="12"/>
        <v>0.10341343936672924</v>
      </c>
      <c r="AM17" s="322"/>
    </row>
    <row r="18" spans="1:39" x14ac:dyDescent="0.2">
      <c r="A18" s="309">
        <v>11</v>
      </c>
      <c r="B18" s="309">
        <f t="shared" si="13"/>
        <v>11</v>
      </c>
      <c r="C18" s="1">
        <v>349.98</v>
      </c>
      <c r="D18" s="1">
        <v>0.7</v>
      </c>
      <c r="E18" s="326">
        <f t="shared" si="4"/>
        <v>16.048015662863286</v>
      </c>
      <c r="F18" s="327">
        <f t="shared" si="0"/>
        <v>1.7462734659572664E-2</v>
      </c>
      <c r="G18" s="309">
        <f t="shared" si="5"/>
        <v>1</v>
      </c>
      <c r="H18" s="1">
        <v>3600</v>
      </c>
      <c r="I18" s="324">
        <v>30</v>
      </c>
      <c r="J18" s="1">
        <v>6.1150000000000003E-2</v>
      </c>
      <c r="K18" s="1">
        <v>2.9E-4</v>
      </c>
      <c r="L18" s="328">
        <f t="shared" si="6"/>
        <v>0.47424366312346689</v>
      </c>
      <c r="M18" s="329">
        <f t="shared" si="1"/>
        <v>1.6850557735549578E-2</v>
      </c>
      <c r="N18" s="342">
        <f>(1/$J$48)*SQRT(((1-J19/$J$48)*K18)^2+(J19/$J$48)^2*(SUMSQ(K$8:K17)+SUMSQ(K19:K$47)))</f>
        <v>3.0507850654930524E-4</v>
      </c>
      <c r="O18" s="340">
        <f t="shared" si="14"/>
        <v>1.8104950075669122</v>
      </c>
      <c r="P18" s="332">
        <f t="shared" si="7"/>
        <v>0.14005389973987037</v>
      </c>
      <c r="Q18" s="342">
        <f>SQRT(((1-P18)/$J$48)^2*SUMSQ(K$8:K18)+(P18/$J$48)^2*SUMSQ(K19:K$47))</f>
        <v>2.4484509818980863E-3</v>
      </c>
      <c r="R18" s="340">
        <f t="shared" si="15"/>
        <v>1.7482204968556576</v>
      </c>
      <c r="S18" s="343">
        <f t="shared" si="16"/>
        <v>1.2012408120263582E-7</v>
      </c>
      <c r="T18" s="344">
        <f t="shared" si="17"/>
        <v>1.0010340100219638E-9</v>
      </c>
      <c r="U18" s="344">
        <f>IF(P18&lt;=0.85, (1/(3*H18*$J$48))*SQRT( ((1-P18)*(1/SQRT(1-PI()*P18/3)-1) + (1-P17)*(1-1/SQRT(1-PI()*P17/3)))^2*SUMSQ(K$8:K17) + ( (1-P18)*(1/SQRT(1-PI()*P18/3)-1) -P17*(1-1/SQRT(1-PI()*P17/3)) )^2*K18^2 + ( P18*(1-1/SQRT(1-PI()*P18/3)) - P17*(1-1/SQRT(1-PI()*P17/3)) )^2*SUMSQ(K19:K$47) ), (1/(PI()^2*H18*$J$48))*SQRT((1+P17/(1-P17))^2*K18^2+(P17/(1-P17)-P18/(1-P18))^2*SUMSQ(K19:K$47)) )</f>
        <v>4.4807158854375442E-9</v>
      </c>
      <c r="V18" s="345">
        <f t="shared" si="18"/>
        <v>4.5911745703287094E-9</v>
      </c>
      <c r="W18" s="340">
        <f t="shared" si="19"/>
        <v>3.8220267945974244</v>
      </c>
      <c r="X18" s="345">
        <f t="shared" si="20"/>
        <v>9.1823491406574189E-9</v>
      </c>
      <c r="Y18" s="338">
        <f t="shared" si="8"/>
        <v>-15.934740618362536</v>
      </c>
      <c r="Z18" s="346">
        <f t="shared" si="21"/>
        <v>3.8220267945974246E-2</v>
      </c>
      <c r="AA18" s="346">
        <f t="shared" si="22"/>
        <v>0.23985497386716662</v>
      </c>
      <c r="AB18" s="346">
        <f t="shared" si="9"/>
        <v>7.6440535891948491E-2</v>
      </c>
      <c r="AC18" s="336">
        <f t="shared" si="2"/>
        <v>1.5501964629567673E-11</v>
      </c>
      <c r="AD18" s="337">
        <f t="shared" si="3"/>
        <v>8.0559852467565642E-13</v>
      </c>
      <c r="AE18" s="308">
        <f t="shared" si="10"/>
        <v>5.1967511468778484</v>
      </c>
      <c r="AF18" s="337">
        <f t="shared" si="11"/>
        <v>1.6111970493513128E-12</v>
      </c>
      <c r="AG18" s="338">
        <f t="shared" si="23"/>
        <v>-24.890054349740797</v>
      </c>
      <c r="AH18" s="339">
        <f t="shared" si="24"/>
        <v>5.1967511468778482E-2</v>
      </c>
      <c r="AI18" s="340">
        <f t="shared" si="25"/>
        <v>0.20878826031699552</v>
      </c>
      <c r="AJ18" s="341">
        <f t="shared" si="12"/>
        <v>0.10393502293755696</v>
      </c>
    </row>
    <row r="19" spans="1:39" x14ac:dyDescent="0.2">
      <c r="A19" s="309">
        <v>12</v>
      </c>
      <c r="B19" s="309">
        <f t="shared" si="13"/>
        <v>12</v>
      </c>
      <c r="C19" s="1">
        <v>359.98</v>
      </c>
      <c r="D19" s="1">
        <v>0.77</v>
      </c>
      <c r="E19" s="326">
        <f t="shared" si="4"/>
        <v>15.794544564307488</v>
      </c>
      <c r="F19" s="327">
        <f t="shared" si="0"/>
        <v>1.8615713333696344E-2</v>
      </c>
      <c r="G19" s="309">
        <f t="shared" si="5"/>
        <v>1</v>
      </c>
      <c r="H19" s="1">
        <v>3600</v>
      </c>
      <c r="I19" s="324">
        <v>30</v>
      </c>
      <c r="J19" s="1">
        <v>6.132E-2</v>
      </c>
      <c r="K19" s="1">
        <v>3.2000000000000003E-4</v>
      </c>
      <c r="L19" s="328">
        <f t="shared" si="6"/>
        <v>0.52185257664709728</v>
      </c>
      <c r="M19" s="329">
        <f t="shared" si="1"/>
        <v>1.6897403112737533E-2</v>
      </c>
      <c r="N19" s="342">
        <f>(1/$J$48)*SQRT(((1-J20/$J$48)*K19)^2+(J20/$J$48)^2*(SUMSQ(K$8:K18)+SUMSQ(K20:K$47)))</f>
        <v>3.0851473202351442E-4</v>
      </c>
      <c r="O19" s="340">
        <f t="shared" si="14"/>
        <v>1.8258115165101971</v>
      </c>
      <c r="P19" s="332">
        <f t="shared" si="7"/>
        <v>0.15695130285260789</v>
      </c>
      <c r="Q19" s="342">
        <f>SQRT(((1-P19)/$J$48)^2*SUMSQ(K$8:K19)+(P19/$J$48)^2*SUMSQ(K20:K$47))</f>
        <v>2.7434593960124812E-3</v>
      </c>
      <c r="R19" s="340">
        <f t="shared" si="15"/>
        <v>1.7479685393811919</v>
      </c>
      <c r="S19" s="343">
        <f t="shared" si="16"/>
        <v>1.3799695978326492E-7</v>
      </c>
      <c r="T19" s="344">
        <f t="shared" si="17"/>
        <v>1.1499746648605401E-9</v>
      </c>
      <c r="U19" s="344">
        <f>IF(P19&lt;=0.85, (1/(3*H19*$J$48))*SQRT( ((1-P19)*(1/SQRT(1-PI()*P19/3)-1) + (1-P18)*(1-1/SQRT(1-PI()*P18/3)))^2*SUMSQ(K$8:K18) + ( (1-P19)*(1/SQRT(1-PI()*P19/3)-1) -P18*(1-1/SQRT(1-PI()*P18/3)) )^2*K19^2 + ( P19*(1-1/SQRT(1-PI()*P19/3)) - P18*(1-1/SQRT(1-PI()*P18/3)) )^2*SUMSQ(K20:K$47) ), (1/(PI()^2*H19*$J$48))*SQRT((1+P18/(1-P18))^2*K19^2+(P18/(1-P18)-P19/(1-P19))^2*SUMSQ(K20:K$47)) )</f>
        <v>5.1980191641635729E-9</v>
      </c>
      <c r="V19" s="345">
        <f t="shared" si="18"/>
        <v>5.3237059423706791E-9</v>
      </c>
      <c r="W19" s="340">
        <f t="shared" si="19"/>
        <v>3.8578429196787942</v>
      </c>
      <c r="X19" s="345">
        <f t="shared" si="20"/>
        <v>1.0647411884741358E-8</v>
      </c>
      <c r="Y19" s="338">
        <f t="shared" si="8"/>
        <v>-15.796034182587935</v>
      </c>
      <c r="Z19" s="346">
        <f t="shared" si="21"/>
        <v>3.8578429196787944E-2</v>
      </c>
      <c r="AA19" s="346">
        <f t="shared" si="22"/>
        <v>0.24422857503887388</v>
      </c>
      <c r="AB19" s="346">
        <f t="shared" si="9"/>
        <v>7.7156858393575889E-2</v>
      </c>
      <c r="AC19" s="336">
        <f t="shared" si="2"/>
        <v>1.7808452461246423E-11</v>
      </c>
      <c r="AD19" s="337">
        <f t="shared" si="3"/>
        <v>9.3016200972506784E-13</v>
      </c>
      <c r="AE19" s="308">
        <f t="shared" si="10"/>
        <v>5.2231490172951576</v>
      </c>
      <c r="AF19" s="337">
        <f t="shared" si="11"/>
        <v>1.8603240194501357E-12</v>
      </c>
      <c r="AG19" s="338">
        <f t="shared" si="23"/>
        <v>-24.751347913966196</v>
      </c>
      <c r="AH19" s="339">
        <f t="shared" si="24"/>
        <v>5.2231490172951575E-2</v>
      </c>
      <c r="AI19" s="340">
        <f t="shared" si="25"/>
        <v>0.21102483127183319</v>
      </c>
      <c r="AJ19" s="341">
        <f t="shared" si="12"/>
        <v>0.10446298034590315</v>
      </c>
    </row>
    <row r="20" spans="1:39" x14ac:dyDescent="0.2">
      <c r="A20" s="309">
        <v>13</v>
      </c>
      <c r="B20" s="309">
        <f t="shared" si="13"/>
        <v>13</v>
      </c>
      <c r="C20" s="1">
        <v>369.99</v>
      </c>
      <c r="D20" s="1">
        <v>0.78</v>
      </c>
      <c r="E20" s="326">
        <f t="shared" si="4"/>
        <v>15.548714121342165</v>
      </c>
      <c r="F20" s="327">
        <f t="shared" si="0"/>
        <v>1.8285015703273459E-2</v>
      </c>
      <c r="G20" s="309">
        <f t="shared" si="5"/>
        <v>1</v>
      </c>
      <c r="H20" s="1">
        <v>3600</v>
      </c>
      <c r="I20" s="324">
        <v>30</v>
      </c>
      <c r="J20" s="1">
        <v>6.1589999999999999E-2</v>
      </c>
      <c r="K20" s="1">
        <v>2.0000000000000001E-4</v>
      </c>
      <c r="L20" s="328">
        <f t="shared" si="6"/>
        <v>0.32472804026627705</v>
      </c>
      <c r="M20" s="329">
        <f t="shared" si="1"/>
        <v>1.6971804594153695E-2</v>
      </c>
      <c r="N20" s="342">
        <f>(1/$J$48)*SQRT(((1-J21/$J$48)*K20)^2+(J21/$J$48)^2*(SUMSQ(K$8:K19)+SUMSQ(K21:K$47)))</f>
        <v>3.0686721903415486E-4</v>
      </c>
      <c r="O20" s="340">
        <f t="shared" si="14"/>
        <v>1.808100118828035</v>
      </c>
      <c r="P20" s="332">
        <f t="shared" si="7"/>
        <v>0.17392310744676159</v>
      </c>
      <c r="Q20" s="342">
        <f>SQRT(((1-P20)/$J$48)^2*SUMSQ(K$8:K20)+(P20/$J$48)^2*SUMSQ(K21:K$47))</f>
        <v>3.0391255829831138E-3</v>
      </c>
      <c r="R20" s="340">
        <f t="shared" si="15"/>
        <v>1.747396092214716</v>
      </c>
      <c r="S20" s="343">
        <f t="shared" si="16"/>
        <v>1.568489842080581E-7</v>
      </c>
      <c r="T20" s="344">
        <f t="shared" si="17"/>
        <v>1.3070748684004847E-9</v>
      </c>
      <c r="U20" s="344">
        <f>IF(P20&lt;=0.85, (1/(3*H20*$J$48))*SQRT( ((1-P20)*(1/SQRT(1-PI()*P20/3)-1) + (1-P19)*(1-1/SQRT(1-PI()*P19/3)))^2*SUMSQ(K$8:K19) + ( (1-P20)*(1/SQRT(1-PI()*P20/3)-1) -P19*(1-1/SQRT(1-PI()*P19/3)) )^2*K20^2 + ( P20*(1-1/SQRT(1-PI()*P20/3)) - P19*(1-1/SQRT(1-PI()*P19/3)) )^2*SUMSQ(K21:K$47) ), (1/(PI()^2*H20*$J$48))*SQRT((1+P19/(1-P19))^2*K20^2+(P19/(1-P19)-P20/(1-P20))^2*SUMSQ(K21:K$47)) )</f>
        <v>5.9212017608453581E-9</v>
      </c>
      <c r="V20" s="345">
        <f t="shared" si="18"/>
        <v>6.0637509022256442E-9</v>
      </c>
      <c r="W20" s="340">
        <f t="shared" si="19"/>
        <v>3.8659803458989312</v>
      </c>
      <c r="X20" s="345">
        <f t="shared" si="20"/>
        <v>1.2127501804451288E-8</v>
      </c>
      <c r="Y20" s="338">
        <f t="shared" si="8"/>
        <v>-15.667982378530516</v>
      </c>
      <c r="Z20" s="346">
        <f t="shared" si="21"/>
        <v>3.8659803458989311E-2</v>
      </c>
      <c r="AA20" s="346">
        <f t="shared" si="22"/>
        <v>0.2467439809733509</v>
      </c>
      <c r="AB20" s="346">
        <f t="shared" si="9"/>
        <v>7.7319606917978623E-2</v>
      </c>
      <c r="AC20" s="336">
        <f t="shared" si="2"/>
        <v>2.0241298672456213E-11</v>
      </c>
      <c r="AD20" s="337">
        <f t="shared" si="3"/>
        <v>1.0584503464190873E-12</v>
      </c>
      <c r="AE20" s="308">
        <f t="shared" si="10"/>
        <v>5.22916223680547</v>
      </c>
      <c r="AF20" s="337">
        <f t="shared" si="11"/>
        <v>2.1169006928381745E-12</v>
      </c>
      <c r="AG20" s="338">
        <f t="shared" si="23"/>
        <v>-24.623296109908779</v>
      </c>
      <c r="AH20" s="339">
        <f t="shared" si="24"/>
        <v>5.2291622368054701E-2</v>
      </c>
      <c r="AI20" s="340">
        <f t="shared" si="25"/>
        <v>0.21236646034164278</v>
      </c>
      <c r="AJ20" s="341">
        <f t="shared" si="12"/>
        <v>0.1045832447361094</v>
      </c>
    </row>
    <row r="21" spans="1:39" x14ac:dyDescent="0.2">
      <c r="A21" s="309">
        <v>14</v>
      </c>
      <c r="B21" s="309">
        <f t="shared" si="13"/>
        <v>14</v>
      </c>
      <c r="C21" s="1">
        <v>379.98</v>
      </c>
      <c r="D21" s="1">
        <v>0.87</v>
      </c>
      <c r="E21" s="326">
        <f t="shared" si="4"/>
        <v>15.310887572152557</v>
      </c>
      <c r="F21" s="327">
        <f t="shared" si="0"/>
        <v>1.9783758534619063E-2</v>
      </c>
      <c r="G21" s="309">
        <f t="shared" si="5"/>
        <v>1</v>
      </c>
      <c r="H21" s="1">
        <v>3600</v>
      </c>
      <c r="I21" s="324">
        <v>30</v>
      </c>
      <c r="J21" s="1">
        <v>6.2829999999999997E-2</v>
      </c>
      <c r="K21" s="1">
        <v>1.9000000000000001E-4</v>
      </c>
      <c r="L21" s="328">
        <f t="shared" si="6"/>
        <v>0.30240331052045205</v>
      </c>
      <c r="M21" s="329">
        <f t="shared" si="1"/>
        <v>1.7313500286583482E-2</v>
      </c>
      <c r="N21" s="342">
        <f>(1/$J$48)*SQRT(((1-J22/$J$48)*K21)^2+(J22/$J$48)^2*(SUMSQ(K$8:K20)+SUMSQ(K22:K$47)))</f>
        <v>3.1284501140499182E-4</v>
      </c>
      <c r="O21" s="340">
        <f t="shared" si="14"/>
        <v>1.8069425952383564</v>
      </c>
      <c r="P21" s="332">
        <f t="shared" si="7"/>
        <v>0.19123660773334508</v>
      </c>
      <c r="Q21" s="342">
        <f>SQRT(((1-P21)/$J$48)^2*SUMSQ(K$8:K21)+(P21/$J$48)^2*SUMSQ(K22:K$47))</f>
        <v>3.340757099603089E-3</v>
      </c>
      <c r="R21" s="340">
        <f t="shared" si="15"/>
        <v>1.746923426011272</v>
      </c>
      <c r="S21" s="343">
        <f t="shared" si="16"/>
        <v>1.7946820976599248E-7</v>
      </c>
      <c r="T21" s="344">
        <f t="shared" si="17"/>
        <v>1.4955684147166039E-9</v>
      </c>
      <c r="U21" s="344">
        <f>IF(P21&lt;=0.85, (1/(3*H21*$J$48))*SQRT( ((1-P21)*(1/SQRT(1-PI()*P21/3)-1) + (1-P20)*(1-1/SQRT(1-PI()*P20/3)))^2*SUMSQ(K$8:K20) + ( (1-P21)*(1/SQRT(1-PI()*P21/3)-1) -P20*(1-1/SQRT(1-PI()*P20/3)) )^2*K21^2 + ( P21*(1-1/SQRT(1-PI()*P21/3)) - P20*(1-1/SQRT(1-PI()*P20/3)) )^2*SUMSQ(K22:K$47) ), (1/(PI()^2*H21*$J$48))*SQRT((1+P20/(1-P20))^2*K21^2+(P20/(1-P20)-P21/(1-P21))^2*SUMSQ(K22:K$47)) )</f>
        <v>6.8318095568814231E-9</v>
      </c>
      <c r="V21" s="345">
        <f t="shared" si="18"/>
        <v>6.9935932613066853E-9</v>
      </c>
      <c r="W21" s="340">
        <f t="shared" si="19"/>
        <v>3.8968423825175442</v>
      </c>
      <c r="X21" s="345">
        <f t="shared" si="20"/>
        <v>1.3987186522613371E-8</v>
      </c>
      <c r="Y21" s="338">
        <f t="shared" si="8"/>
        <v>-15.533267749070639</v>
      </c>
      <c r="Z21" s="346">
        <f t="shared" si="21"/>
        <v>3.8968423825175444E-2</v>
      </c>
      <c r="AA21" s="346">
        <f t="shared" si="22"/>
        <v>0.25087074049507024</v>
      </c>
      <c r="AB21" s="346">
        <f t="shared" si="9"/>
        <v>7.7936847650350888E-2</v>
      </c>
      <c r="AC21" s="336">
        <f t="shared" si="2"/>
        <v>2.316030068301742E-11</v>
      </c>
      <c r="AD21" s="337">
        <f t="shared" si="3"/>
        <v>1.216383626969246E-12</v>
      </c>
      <c r="AE21" s="308">
        <f t="shared" si="10"/>
        <v>5.2520200131131043</v>
      </c>
      <c r="AF21" s="337">
        <f t="shared" si="11"/>
        <v>2.432767253938492E-12</v>
      </c>
      <c r="AG21" s="338">
        <f t="shared" si="23"/>
        <v>-24.4885814804489</v>
      </c>
      <c r="AH21" s="339">
        <f t="shared" si="24"/>
        <v>5.2520200131131047E-2</v>
      </c>
      <c r="AI21" s="340">
        <f t="shared" si="25"/>
        <v>0.21446811924595113</v>
      </c>
      <c r="AJ21" s="341">
        <f t="shared" si="12"/>
        <v>0.10504040026226209</v>
      </c>
    </row>
    <row r="22" spans="1:39" x14ac:dyDescent="0.2">
      <c r="A22" s="309">
        <v>15</v>
      </c>
      <c r="B22" s="309">
        <f t="shared" si="13"/>
        <v>15</v>
      </c>
      <c r="C22" s="1">
        <v>389.99</v>
      </c>
      <c r="D22" s="1">
        <v>0.82</v>
      </c>
      <c r="E22" s="326">
        <f t="shared" si="4"/>
        <v>15.079771993847453</v>
      </c>
      <c r="F22" s="327">
        <f t="shared" si="0"/>
        <v>1.8097390568394697E-2</v>
      </c>
      <c r="G22" s="309">
        <f t="shared" si="5"/>
        <v>1</v>
      </c>
      <c r="H22" s="1">
        <v>3600</v>
      </c>
      <c r="I22" s="324">
        <v>30</v>
      </c>
      <c r="J22" s="1">
        <v>6.4189999999999997E-2</v>
      </c>
      <c r="K22" s="1">
        <v>2.9E-4</v>
      </c>
      <c r="L22" s="328">
        <f t="shared" si="6"/>
        <v>0.45178376694189126</v>
      </c>
      <c r="M22" s="329">
        <f t="shared" si="1"/>
        <v>1.7688263304087119E-2</v>
      </c>
      <c r="N22" s="342">
        <f>(1/$J$48)*SQRT(((1-J23/$J$48)*K22)^2+(J23/$J$48)^2*(SUMSQ(K$8:K21)+SUMSQ(K23:K$47)))</f>
        <v>3.1436777844348748E-4</v>
      </c>
      <c r="O22" s="340">
        <f t="shared" si="14"/>
        <v>1.7772676324353927</v>
      </c>
      <c r="P22" s="332">
        <f t="shared" si="7"/>
        <v>0.20892487103743221</v>
      </c>
      <c r="Q22" s="342">
        <f>SQRT(((1-P22)/$J$48)^2*SUMSQ(K$8:K22)+(P22/$J$48)^2*SUMSQ(K23:K$47))</f>
        <v>3.649248593191763E-3</v>
      </c>
      <c r="R22" s="340">
        <f t="shared" si="15"/>
        <v>1.7466798352303123</v>
      </c>
      <c r="S22" s="343">
        <f t="shared" si="16"/>
        <v>2.0434603255196519E-7</v>
      </c>
      <c r="T22" s="344">
        <f t="shared" si="17"/>
        <v>1.7028836045997135E-9</v>
      </c>
      <c r="U22" s="344">
        <f>IF(P22&lt;=0.85, (1/(3*H22*$J$48))*SQRT( ((1-P22)*(1/SQRT(1-PI()*P22/3)-1) + (1-P21)*(1-1/SQRT(1-PI()*P21/3)))^2*SUMSQ(K$8:K21) + ( (1-P22)*(1/SQRT(1-PI()*P22/3)-1) -P21*(1-1/SQRT(1-PI()*P21/3)) )^2*K22^2 + ( P22*(1-1/SQRT(1-PI()*P22/3)) - P21*(1-1/SQRT(1-PI()*P21/3)) )^2*SUMSQ(K23:K$47) ), (1/(PI()^2*H22*$J$48))*SQRT((1+P21/(1-P21))^2*K22^2+(P21/(1-P21)-P22/(1-P22))^2*SUMSQ(K23:K$47)) )</f>
        <v>7.8826475303469243E-9</v>
      </c>
      <c r="V22" s="345">
        <f t="shared" si="18"/>
        <v>8.0644866332891243E-9</v>
      </c>
      <c r="W22" s="340">
        <f t="shared" si="19"/>
        <v>3.9464855434559638</v>
      </c>
      <c r="X22" s="345">
        <f t="shared" si="20"/>
        <v>1.6128973266578249E-8</v>
      </c>
      <c r="Y22" s="338">
        <f t="shared" si="8"/>
        <v>-15.403451042089289</v>
      </c>
      <c r="Z22" s="346">
        <f t="shared" si="21"/>
        <v>3.9464855434559638E-2</v>
      </c>
      <c r="AA22" s="346">
        <f t="shared" si="22"/>
        <v>0.25620788047252246</v>
      </c>
      <c r="AB22" s="346">
        <f t="shared" si="9"/>
        <v>7.8929710869119277E-2</v>
      </c>
      <c r="AC22" s="336">
        <f t="shared" si="2"/>
        <v>2.6370773762418085E-11</v>
      </c>
      <c r="AD22" s="337">
        <f t="shared" si="3"/>
        <v>1.3947392752861059E-12</v>
      </c>
      <c r="AE22" s="308">
        <f t="shared" si="10"/>
        <v>5.288958480519816</v>
      </c>
      <c r="AF22" s="337">
        <f t="shared" si="11"/>
        <v>2.7894785505722118E-12</v>
      </c>
      <c r="AG22" s="338">
        <f t="shared" si="23"/>
        <v>-24.358764773467552</v>
      </c>
      <c r="AH22" s="339">
        <f t="shared" si="24"/>
        <v>5.2889584805198162E-2</v>
      </c>
      <c r="AI22" s="340">
        <f t="shared" si="25"/>
        <v>0.2171275321103614</v>
      </c>
      <c r="AJ22" s="341">
        <f t="shared" si="12"/>
        <v>0.10577916961039632</v>
      </c>
    </row>
    <row r="23" spans="1:39" x14ac:dyDescent="0.2">
      <c r="A23" s="309">
        <v>16</v>
      </c>
      <c r="B23" s="309">
        <f t="shared" si="13"/>
        <v>16</v>
      </c>
      <c r="C23" s="1">
        <v>399.98</v>
      </c>
      <c r="D23" s="1">
        <v>0.88</v>
      </c>
      <c r="E23" s="326">
        <f t="shared" si="4"/>
        <v>14.855971357687222</v>
      </c>
      <c r="F23" s="327">
        <f t="shared" si="0"/>
        <v>1.8857145676286137E-2</v>
      </c>
      <c r="G23" s="309">
        <f t="shared" si="5"/>
        <v>1</v>
      </c>
      <c r="H23" s="1">
        <v>3600</v>
      </c>
      <c r="I23" s="324">
        <v>30</v>
      </c>
      <c r="J23" s="1">
        <v>6.3320000000000001E-2</v>
      </c>
      <c r="K23" s="1">
        <v>2.5000000000000001E-4</v>
      </c>
      <c r="L23" s="328">
        <f t="shared" si="6"/>
        <v>0.39481996209728359</v>
      </c>
      <c r="M23" s="329">
        <f t="shared" si="1"/>
        <v>1.7448525197301706E-2</v>
      </c>
      <c r="N23" s="342">
        <f>(1/$J$48)*SQRT(((1-J24/$J$48)*K23)^2+(J24/$J$48)^2*(SUMSQ(K$8:K22)+SUMSQ(K24:K$47)))</f>
        <v>3.0982417586156071E-4</v>
      </c>
      <c r="O23" s="340">
        <f t="shared" si="14"/>
        <v>1.7756467802188398</v>
      </c>
      <c r="P23" s="332">
        <f t="shared" si="7"/>
        <v>0.2263733962347339</v>
      </c>
      <c r="Q23" s="342">
        <f>SQRT(((1-P23)/$J$48)^2*SUMSQ(K$8:K23)+(P23/$J$48)^2*SUMSQ(K24:K$47))</f>
        <v>3.9534104859119895E-3</v>
      </c>
      <c r="R23" s="340">
        <f t="shared" si="15"/>
        <v>1.746411261954373</v>
      </c>
      <c r="S23" s="343">
        <f t="shared" si="16"/>
        <v>2.2310006973854173E-7</v>
      </c>
      <c r="T23" s="344">
        <f t="shared" si="17"/>
        <v>1.8591672478211825E-9</v>
      </c>
      <c r="U23" s="344">
        <f>IF(P23&lt;=0.85, (1/(3*H23*$J$48))*SQRT( ((1-P23)*(1/SQRT(1-PI()*P23/3)-1) + (1-P22)*(1-1/SQRT(1-PI()*P22/3)))^2*SUMSQ(K$8:K22) + ( (1-P23)*(1/SQRT(1-PI()*P23/3)-1) -P22*(1-1/SQRT(1-PI()*P22/3)) )^2*K23^2 + ( P23*(1-1/SQRT(1-PI()*P23/3)) - P22*(1-1/SQRT(1-PI()*P22/3)) )^2*SUMSQ(K24:K$47) ), (1/(PI()^2*H23*$J$48))*SQRT((1+P22/(1-P22))^2*K23^2+(P22/(1-P22)-P23/(1-P23))^2*SUMSQ(K24:K$47)) )</f>
        <v>8.6751937343993386E-9</v>
      </c>
      <c r="V23" s="345">
        <f t="shared" si="18"/>
        <v>8.8721749974136853E-9</v>
      </c>
      <c r="W23" s="340">
        <f t="shared" si="19"/>
        <v>3.976769262246882</v>
      </c>
      <c r="X23" s="345">
        <f t="shared" si="20"/>
        <v>1.7744349994827371E-8</v>
      </c>
      <c r="Y23" s="338">
        <f t="shared" si="8"/>
        <v>-15.31564542291926</v>
      </c>
      <c r="Z23" s="346">
        <f t="shared" si="21"/>
        <v>3.976769262246882E-2</v>
      </c>
      <c r="AA23" s="346">
        <f t="shared" si="22"/>
        <v>0.25965404345910253</v>
      </c>
      <c r="AB23" s="346">
        <f t="shared" si="9"/>
        <v>7.953538524493764E-2</v>
      </c>
      <c r="AC23" s="336">
        <f t="shared" si="2"/>
        <v>2.8790974759730914E-11</v>
      </c>
      <c r="AD23" s="337">
        <f t="shared" si="3"/>
        <v>1.5292595959567103E-12</v>
      </c>
      <c r="AE23" s="308">
        <f t="shared" si="10"/>
        <v>5.3115936807240045</v>
      </c>
      <c r="AF23" s="337">
        <f t="shared" si="11"/>
        <v>3.0585191919134207E-12</v>
      </c>
      <c r="AG23" s="338">
        <f t="shared" si="23"/>
        <v>-24.270959154297525</v>
      </c>
      <c r="AH23" s="339">
        <f t="shared" si="24"/>
        <v>5.3115936807240041E-2</v>
      </c>
      <c r="AI23" s="340">
        <f t="shared" si="25"/>
        <v>0.21884564375707871</v>
      </c>
      <c r="AJ23" s="341">
        <f t="shared" si="12"/>
        <v>0.10623187361448008</v>
      </c>
    </row>
    <row r="24" spans="1:39" x14ac:dyDescent="0.2">
      <c r="A24" s="309">
        <v>17</v>
      </c>
      <c r="B24" s="309">
        <f t="shared" si="13"/>
        <v>17</v>
      </c>
      <c r="C24" s="1">
        <v>409.98</v>
      </c>
      <c r="D24" s="1">
        <v>0.9</v>
      </c>
      <c r="E24" s="326">
        <f t="shared" si="4"/>
        <v>14.638502188456076</v>
      </c>
      <c r="F24" s="327">
        <f t="shared" si="0"/>
        <v>1.8733249473747795E-2</v>
      </c>
      <c r="G24" s="309">
        <f t="shared" si="5"/>
        <v>1</v>
      </c>
      <c r="H24" s="1">
        <v>3600</v>
      </c>
      <c r="I24" s="324">
        <v>30</v>
      </c>
      <c r="J24" s="1">
        <v>6.2890000000000001E-2</v>
      </c>
      <c r="K24" s="1">
        <v>1.7000000000000001E-4</v>
      </c>
      <c r="L24" s="328">
        <f t="shared" si="6"/>
        <v>0.27031324534902212</v>
      </c>
      <c r="M24" s="329">
        <f t="shared" si="1"/>
        <v>1.7330033949120409E-2</v>
      </c>
      <c r="N24" s="342">
        <f>(1/$J$48)*SQRT(((1-J25/$J$48)*K24)^2+(J25/$J$48)^2*(SUMSQ(K$8:K23)+SUMSQ(K25:K$47)))</f>
        <v>3.0387595469802241E-4</v>
      </c>
      <c r="O24" s="340">
        <f t="shared" si="14"/>
        <v>1.7534642782015193</v>
      </c>
      <c r="P24" s="332">
        <f t="shared" si="7"/>
        <v>0.24370343018385432</v>
      </c>
      <c r="Q24" s="342">
        <f>SQRT(((1-P24)/$J$48)^2*SUMSQ(K$8:K24)+(P24/$J$48)^2*SUMSQ(K25:K$47))</f>
        <v>4.2553513620773604E-3</v>
      </c>
      <c r="R24" s="340">
        <f t="shared" si="15"/>
        <v>1.7461187800545299</v>
      </c>
      <c r="S24" s="343">
        <f t="shared" si="16"/>
        <v>2.4351106397178547E-7</v>
      </c>
      <c r="T24" s="344">
        <f t="shared" si="17"/>
        <v>2.0292588664315468E-9</v>
      </c>
      <c r="U24" s="344">
        <f>IF(P24&lt;=0.85, (1/(3*H24*$J$48))*SQRT( ((1-P24)*(1/SQRT(1-PI()*P24/3)-1) + (1-P23)*(1-1/SQRT(1-PI()*P23/3)))^2*SUMSQ(K$8:K23) + ( (1-P24)*(1/SQRT(1-PI()*P24/3)-1) -P23*(1-1/SQRT(1-PI()*P23/3)) )^2*K24^2 + ( P24*(1-1/SQRT(1-PI()*P24/3)) - P23*(1-1/SQRT(1-PI()*P23/3)) )^2*SUMSQ(K25:K$47) ), (1/(PI()^2*H24*$J$48))*SQRT((1+P23/(1-P23))^2*K24^2+(P23/(1-P23)-P24/(1-P24))^2*SUMSQ(K25:K$47)) )</f>
        <v>9.5371519280825453E-9</v>
      </c>
      <c r="V24" s="345">
        <f t="shared" si="18"/>
        <v>9.7506491294846442E-9</v>
      </c>
      <c r="W24" s="340">
        <f t="shared" si="19"/>
        <v>4.0041914196614936</v>
      </c>
      <c r="X24" s="345">
        <f t="shared" si="20"/>
        <v>1.9501298258969288E-8</v>
      </c>
      <c r="Y24" s="338">
        <f t="shared" si="8"/>
        <v>-15.228103458200215</v>
      </c>
      <c r="Z24" s="346">
        <f t="shared" si="21"/>
        <v>4.0041914196614938E-2</v>
      </c>
      <c r="AA24" s="346">
        <f t="shared" si="22"/>
        <v>0.26294747935306861</v>
      </c>
      <c r="AB24" s="346">
        <f t="shared" si="9"/>
        <v>8.0083828393229875E-2</v>
      </c>
      <c r="AC24" s="336">
        <f t="shared" si="2"/>
        <v>3.1425005401133322E-11</v>
      </c>
      <c r="AD24" s="337">
        <f t="shared" si="3"/>
        <v>1.6756301630970856E-12</v>
      </c>
      <c r="AE24" s="308">
        <f t="shared" si="10"/>
        <v>5.3321555293564256</v>
      </c>
      <c r="AF24" s="337">
        <f t="shared" si="11"/>
        <v>3.3512603261941711E-12</v>
      </c>
      <c r="AG24" s="338">
        <f t="shared" si="23"/>
        <v>-24.183417189578478</v>
      </c>
      <c r="AH24" s="339">
        <f t="shared" si="24"/>
        <v>5.3321555293564249E-2</v>
      </c>
      <c r="AI24" s="340">
        <f t="shared" si="25"/>
        <v>0.22048809262796187</v>
      </c>
      <c r="AJ24" s="341">
        <f t="shared" si="12"/>
        <v>0.1066431105871285</v>
      </c>
    </row>
    <row r="25" spans="1:39" x14ac:dyDescent="0.2">
      <c r="A25" s="309">
        <v>18</v>
      </c>
      <c r="B25" s="309">
        <f t="shared" si="13"/>
        <v>18</v>
      </c>
      <c r="C25" s="1">
        <v>419.98</v>
      </c>
      <c r="D25" s="1">
        <v>0.9</v>
      </c>
      <c r="E25" s="326">
        <f t="shared" si="4"/>
        <v>14.427308008598676</v>
      </c>
      <c r="F25" s="327">
        <f t="shared" si="0"/>
        <v>1.820366774633591E-2</v>
      </c>
      <c r="G25" s="309">
        <f t="shared" si="5"/>
        <v>1</v>
      </c>
      <c r="H25" s="1">
        <v>3600</v>
      </c>
      <c r="I25" s="324">
        <v>30</v>
      </c>
      <c r="J25" s="1">
        <v>6.2480000000000001E-2</v>
      </c>
      <c r="K25" s="1">
        <v>1.8000000000000001E-4</v>
      </c>
      <c r="L25" s="328">
        <f t="shared" si="6"/>
        <v>0.28809218950064019</v>
      </c>
      <c r="M25" s="329">
        <f t="shared" si="1"/>
        <v>1.7217053921784752E-2</v>
      </c>
      <c r="N25" s="342">
        <f>(1/$J$48)*SQRT(((1-J26/$J$48)*K25)^2+(J26/$J$48)^2*(SUMSQ(K$8:K24)+SUMSQ(K26:K$47)))</f>
        <v>2.9424711129993225E-4</v>
      </c>
      <c r="O25" s="340">
        <f t="shared" si="14"/>
        <v>1.7090444894734349</v>
      </c>
      <c r="P25" s="332">
        <f t="shared" si="7"/>
        <v>0.26092048410563906</v>
      </c>
      <c r="Q25" s="342">
        <f>SQRT(((1-P25)/$J$48)^2*SUMSQ(K$8:K25)+(P25/$J$48)^2*SUMSQ(K26:K$47))</f>
        <v>4.5553744192744685E-3</v>
      </c>
      <c r="R25" s="340">
        <f t="shared" si="15"/>
        <v>1.7458860828382223</v>
      </c>
      <c r="S25" s="343">
        <f t="shared" si="16"/>
        <v>2.6435750828963776E-7</v>
      </c>
      <c r="T25" s="344">
        <f t="shared" si="17"/>
        <v>2.2029792357469848E-9</v>
      </c>
      <c r="U25" s="344">
        <f>IF(P25&lt;=0.85, (1/(3*H25*$J$48))*SQRT( ((1-P25)*(1/SQRT(1-PI()*P25/3)-1) + (1-P24)*(1-1/SQRT(1-PI()*P24/3)))^2*SUMSQ(K$8:K24) + ( (1-P25)*(1/SQRT(1-PI()*P25/3)-1) -P24*(1-1/SQRT(1-PI()*P24/3)) )^2*K25^2 + ( P25*(1-1/SQRT(1-PI()*P25/3)) - P24*(1-1/SQRT(1-PI()*P24/3)) )^2*SUMSQ(K26:K$47) ), (1/(PI()^2*H25*$J$48))*SQRT((1+P24/(1-P24))^2*K25^2+(P24/(1-P24)-P25/(1-P25))^2*SUMSQ(K26:K$47)) )</f>
        <v>1.046385365717351E-8</v>
      </c>
      <c r="V25" s="345">
        <f t="shared" si="18"/>
        <v>1.0693238558634881E-8</v>
      </c>
      <c r="W25" s="340">
        <f t="shared" si="19"/>
        <v>4.0449914314213684</v>
      </c>
      <c r="X25" s="345">
        <f t="shared" si="20"/>
        <v>2.1386477117269763E-8</v>
      </c>
      <c r="Y25" s="338">
        <f t="shared" si="8"/>
        <v>-15.145963451832527</v>
      </c>
      <c r="Z25" s="346">
        <f t="shared" si="21"/>
        <v>4.0449914314213686E-2</v>
      </c>
      <c r="AA25" s="346">
        <f t="shared" si="22"/>
        <v>0.26706729118192613</v>
      </c>
      <c r="AB25" s="346">
        <f t="shared" si="9"/>
        <v>8.0899828628427373E-2</v>
      </c>
      <c r="AC25" s="336">
        <f t="shared" si="2"/>
        <v>3.4115230701774436E-11</v>
      </c>
      <c r="AD25" s="337">
        <f t="shared" si="3"/>
        <v>1.8295527598405953E-12</v>
      </c>
      <c r="AE25" s="308">
        <f t="shared" si="10"/>
        <v>5.3628620478460807</v>
      </c>
      <c r="AF25" s="337">
        <f t="shared" si="11"/>
        <v>3.6591055196811907E-12</v>
      </c>
      <c r="AG25" s="338">
        <f t="shared" si="23"/>
        <v>-24.10127718321079</v>
      </c>
      <c r="AH25" s="339">
        <f t="shared" si="24"/>
        <v>5.3628620478460808E-2</v>
      </c>
      <c r="AI25" s="340">
        <f t="shared" si="25"/>
        <v>0.22251360403347872</v>
      </c>
      <c r="AJ25" s="341">
        <f t="shared" si="12"/>
        <v>0.10725724095692162</v>
      </c>
    </row>
    <row r="26" spans="1:39" x14ac:dyDescent="0.2">
      <c r="A26" s="309">
        <v>19</v>
      </c>
      <c r="B26" s="309">
        <f t="shared" si="13"/>
        <v>19</v>
      </c>
      <c r="C26" s="1">
        <v>429.99</v>
      </c>
      <c r="D26" s="1">
        <v>0.87</v>
      </c>
      <c r="E26" s="326">
        <f t="shared" si="4"/>
        <v>14.221918821287368</v>
      </c>
      <c r="F26" s="327">
        <f t="shared" si="0"/>
        <v>1.7107314484021127E-2</v>
      </c>
      <c r="G26" s="309">
        <f t="shared" si="5"/>
        <v>1</v>
      </c>
      <c r="H26" s="1">
        <v>3600</v>
      </c>
      <c r="I26" s="324">
        <v>30</v>
      </c>
      <c r="J26" s="1">
        <v>6.0359999999999997E-2</v>
      </c>
      <c r="K26" s="1">
        <v>2.5000000000000001E-4</v>
      </c>
      <c r="L26" s="328">
        <f t="shared" si="6"/>
        <v>0.41418157720344601</v>
      </c>
      <c r="M26" s="329">
        <f t="shared" si="1"/>
        <v>1.6632864512146728E-2</v>
      </c>
      <c r="N26" s="342">
        <f>(1/$J$48)*SQRT(((1-J27/$J$48)*K26)^2+(J27/$J$48)^2*(SUMSQ(K$8:K25)+SUMSQ(K27:K$47)))</f>
        <v>3.0261051992953061E-4</v>
      </c>
      <c r="O26" s="340">
        <f t="shared" si="14"/>
        <v>1.8193530026565103</v>
      </c>
      <c r="P26" s="332">
        <f t="shared" si="7"/>
        <v>0.2775533486177858</v>
      </c>
      <c r="Q26" s="342">
        <f>SQRT(((1-P26)/$J$48)^2*SUMSQ(K$8:K26)+(P26/$J$48)^2*SUMSQ(K27:K$47))</f>
        <v>4.8453503330975227E-3</v>
      </c>
      <c r="R26" s="340">
        <f t="shared" si="15"/>
        <v>1.7457365790134911</v>
      </c>
      <c r="S26" s="343">
        <f t="shared" si="16"/>
        <v>2.7741064364755081E-7</v>
      </c>
      <c r="T26" s="344">
        <f t="shared" si="17"/>
        <v>2.3117553637295914E-9</v>
      </c>
      <c r="U26" s="344">
        <f>IF(P26&lt;=0.85, (1/(3*H26*$J$48))*SQRT( ((1-P26)*(1/SQRT(1-PI()*P26/3)-1) + (1-P25)*(1-1/SQRT(1-PI()*P25/3)))^2*SUMSQ(K$8:K25) + ( (1-P26)*(1/SQRT(1-PI()*P26/3)-1) -P25*(1-1/SQRT(1-PI()*P25/3)) )^2*K26^2 + ( P26*(1-1/SQRT(1-PI()*P26/3)) - P25*(1-1/SQRT(1-PI()*P25/3)) )^2*SUMSQ(K27:K$47) ), (1/(PI()^2*H26*$J$48))*SQRT((1+P25/(1-P25))^2*K26^2+(P25/(1-P25)-P26/(1-P26))^2*SUMSQ(K27:K$47)) )</f>
        <v>1.1126250610512581E-8</v>
      </c>
      <c r="V26" s="345">
        <f t="shared" si="18"/>
        <v>1.1363875461728014E-8</v>
      </c>
      <c r="W26" s="340">
        <f t="shared" si="19"/>
        <v>4.0964093202443141</v>
      </c>
      <c r="X26" s="345">
        <f t="shared" si="20"/>
        <v>2.2727750923456028E-8</v>
      </c>
      <c r="Y26" s="338">
        <f t="shared" si="8"/>
        <v>-15.097766960488315</v>
      </c>
      <c r="Z26" s="346">
        <f t="shared" si="21"/>
        <v>4.0964093202443146E-2</v>
      </c>
      <c r="AA26" s="346">
        <f t="shared" si="22"/>
        <v>0.27132550998865212</v>
      </c>
      <c r="AB26" s="346">
        <f t="shared" si="9"/>
        <v>8.1928186404886291E-2</v>
      </c>
      <c r="AC26" s="336">
        <f t="shared" si="2"/>
        <v>3.5799732598458971E-11</v>
      </c>
      <c r="AD26" s="337">
        <f t="shared" si="3"/>
        <v>1.9338120530008665E-12</v>
      </c>
      <c r="AE26" s="308">
        <f t="shared" si="10"/>
        <v>5.4017499926357244</v>
      </c>
      <c r="AF26" s="337">
        <f t="shared" si="11"/>
        <v>3.8676241060017329E-12</v>
      </c>
      <c r="AG26" s="338">
        <f t="shared" si="23"/>
        <v>-24.053080691866576</v>
      </c>
      <c r="AH26" s="339">
        <f t="shared" si="24"/>
        <v>5.4017499926357244E-2</v>
      </c>
      <c r="AI26" s="340">
        <f t="shared" si="25"/>
        <v>0.22457622214115378</v>
      </c>
      <c r="AJ26" s="341">
        <f t="shared" si="12"/>
        <v>0.10803499985271449</v>
      </c>
    </row>
    <row r="27" spans="1:39" x14ac:dyDescent="0.2">
      <c r="A27" s="309">
        <v>20</v>
      </c>
      <c r="B27" s="309">
        <f t="shared" si="13"/>
        <v>20</v>
      </c>
      <c r="C27" s="1">
        <v>439.98</v>
      </c>
      <c r="D27" s="1">
        <v>0.89</v>
      </c>
      <c r="E27" s="326">
        <f t="shared" si="4"/>
        <v>14.02268871033332</v>
      </c>
      <c r="F27" s="327">
        <f t="shared" si="0"/>
        <v>1.7019438851140791E-2</v>
      </c>
      <c r="G27" s="309">
        <f t="shared" si="5"/>
        <v>1</v>
      </c>
      <c r="H27" s="1">
        <v>3600</v>
      </c>
      <c r="I27" s="324">
        <v>30</v>
      </c>
      <c r="J27" s="1">
        <v>6.1350000000000002E-2</v>
      </c>
      <c r="K27" s="1">
        <v>2.7999999999999998E-4</v>
      </c>
      <c r="L27" s="328">
        <f t="shared" si="6"/>
        <v>0.45639771801140994</v>
      </c>
      <c r="M27" s="329">
        <f t="shared" si="1"/>
        <v>1.6905669944005997E-2</v>
      </c>
      <c r="N27" s="342">
        <f>(1/$J$48)*SQRT(((1-J28/$J$48)*K27)^2+(J28/$J$48)^2*(SUMSQ(K$8:K26)+SUMSQ(K28:K$47)))</f>
        <v>3.0774191315794563E-4</v>
      </c>
      <c r="O27" s="340">
        <f t="shared" si="14"/>
        <v>1.8203473401363623</v>
      </c>
      <c r="P27" s="332">
        <f t="shared" si="7"/>
        <v>0.2944590185617918</v>
      </c>
      <c r="Q27" s="342">
        <f>SQRT(((1-P27)/$J$48)^2*SUMSQ(K$8:K27)+(P27/$J$48)^2*SUMSQ(K28:K$47))</f>
        <v>5.1401193140614022E-3</v>
      </c>
      <c r="R27" s="340">
        <f t="shared" si="15"/>
        <v>1.7456144964304279</v>
      </c>
      <c r="S27" s="343">
        <f t="shared" si="16"/>
        <v>3.0497525445819788E-7</v>
      </c>
      <c r="T27" s="344">
        <f t="shared" si="17"/>
        <v>2.5414604538183147E-9</v>
      </c>
      <c r="U27" s="344">
        <f>IF(P27&lt;=0.85, (1/(3*H27*$J$48))*SQRT( ((1-P27)*(1/SQRT(1-PI()*P27/3)-1) + (1-P26)*(1-1/SQRT(1-PI()*P26/3)))^2*SUMSQ(K$8:K26) + ( (1-P27)*(1/SQRT(1-PI()*P27/3)-1) -P26*(1-1/SQRT(1-PI()*P26/3)) )^2*K27^2 + ( P27*(1-1/SQRT(1-PI()*P27/3)) - P26*(1-1/SQRT(1-PI()*P26/3)) )^2*SUMSQ(K28:K$47) ), (1/(PI()^2*H27*$J$48))*SQRT((1+P26/(1-P26))^2*K27^2+(P26/(1-P26)-P27/(1-P27))^2*SUMSQ(K28:K$47)) )</f>
        <v>1.2376387429903423E-8</v>
      </c>
      <c r="V27" s="345">
        <f t="shared" si="18"/>
        <v>1.2634634424999952E-8</v>
      </c>
      <c r="W27" s="340">
        <f t="shared" si="19"/>
        <v>4.1428392108225118</v>
      </c>
      <c r="X27" s="345">
        <f t="shared" si="20"/>
        <v>2.5269268849999904E-8</v>
      </c>
      <c r="Y27" s="338">
        <f t="shared" si="8"/>
        <v>-15.003035196554395</v>
      </c>
      <c r="Z27" s="346">
        <f t="shared" si="21"/>
        <v>4.1428392108225118E-2</v>
      </c>
      <c r="AA27" s="346">
        <f t="shared" si="22"/>
        <v>0.27613340611064879</v>
      </c>
      <c r="AB27" s="346">
        <f t="shared" si="9"/>
        <v>8.2856784216450236E-2</v>
      </c>
      <c r="AC27" s="336">
        <f t="shared" si="2"/>
        <v>3.9356934597728654E-11</v>
      </c>
      <c r="AD27" s="337">
        <f t="shared" si="3"/>
        <v>2.1398539572756164E-12</v>
      </c>
      <c r="AE27" s="308">
        <f t="shared" si="10"/>
        <v>5.4370442697005945</v>
      </c>
      <c r="AF27" s="337">
        <f t="shared" si="11"/>
        <v>4.2797079145512328E-12</v>
      </c>
      <c r="AG27" s="338">
        <f t="shared" si="23"/>
        <v>-23.958348927932658</v>
      </c>
      <c r="AH27" s="339">
        <f t="shared" si="24"/>
        <v>5.4370442697005944E-2</v>
      </c>
      <c r="AI27" s="340">
        <f t="shared" si="25"/>
        <v>0.22693735223805975</v>
      </c>
      <c r="AJ27" s="341">
        <f t="shared" si="12"/>
        <v>0.10874088539401189</v>
      </c>
    </row>
    <row r="28" spans="1:39" x14ac:dyDescent="0.2">
      <c r="A28" s="309">
        <v>21</v>
      </c>
      <c r="B28" s="309">
        <f t="shared" si="13"/>
        <v>21</v>
      </c>
      <c r="C28" s="1">
        <v>449.99</v>
      </c>
      <c r="D28" s="1">
        <v>0.9</v>
      </c>
      <c r="E28" s="326">
        <f t="shared" si="4"/>
        <v>13.828580911026911</v>
      </c>
      <c r="F28" s="327">
        <f t="shared" si="0"/>
        <v>1.6744364873213242E-2</v>
      </c>
      <c r="G28" s="309">
        <f t="shared" si="5"/>
        <v>1</v>
      </c>
      <c r="H28" s="1">
        <v>3600</v>
      </c>
      <c r="I28" s="324">
        <v>30</v>
      </c>
      <c r="J28" s="1">
        <v>6.2039999999999998E-2</v>
      </c>
      <c r="K28" s="1">
        <v>1.9000000000000001E-4</v>
      </c>
      <c r="L28" s="328">
        <f t="shared" si="6"/>
        <v>0.30625402965828502</v>
      </c>
      <c r="M28" s="329">
        <f t="shared" si="1"/>
        <v>1.7095807063180635E-2</v>
      </c>
      <c r="N28" s="342">
        <f>(1/$J$48)*SQRT(((1-J29/$J$48)*K28)^2+(J29/$J$48)^2*(SUMSQ(K$8:K27)+SUMSQ(K29:K$47)))</f>
        <v>3.0659051982664281E-4</v>
      </c>
      <c r="O28" s="340">
        <f t="shared" si="14"/>
        <v>1.7933667518215564</v>
      </c>
      <c r="P28" s="332">
        <f t="shared" si="7"/>
        <v>0.31155482562497244</v>
      </c>
      <c r="Q28" s="342">
        <f>SQRT(((1-P28)/$J$48)^2*SUMSQ(K$8:K28)+(P28/$J$48)^2*SUMSQ(K29:K$47))</f>
        <v>5.4380707879496644E-3</v>
      </c>
      <c r="R28" s="340">
        <f t="shared" si="15"/>
        <v>1.7454619029061769</v>
      </c>
      <c r="S28" s="343">
        <f t="shared" si="16"/>
        <v>3.3291067974785096E-7</v>
      </c>
      <c r="T28" s="344">
        <f t="shared" si="17"/>
        <v>2.7742556645654232E-9</v>
      </c>
      <c r="U28" s="344">
        <f>IF(P28&lt;=0.85, (1/(3*H28*$J$48))*SQRT( ((1-P28)*(1/SQRT(1-PI()*P28/3)-1) + (1-P27)*(1-1/SQRT(1-PI()*P27/3)))^2*SUMSQ(K$8:K27) + ( (1-P28)*(1/SQRT(1-PI()*P28/3)-1) -P27*(1-1/SQRT(1-PI()*P27/3)) )^2*K28^2 + ( P28*(1-1/SQRT(1-PI()*P28/3)) - P27*(1-1/SQRT(1-PI()*P27/3)) )^2*SUMSQ(K29:K$47) ), (1/(PI()^2*H28*$J$48))*SQRT((1+P27/(1-P27))^2*K28^2+(P27/(1-P27)-P28/(1-P28))^2*SUMSQ(K29:K$47)) )</f>
        <v>1.3615319093293136E-8</v>
      </c>
      <c r="V28" s="345">
        <f t="shared" si="18"/>
        <v>1.3895085768161561E-8</v>
      </c>
      <c r="W28" s="340">
        <f t="shared" si="19"/>
        <v>4.1738179678362384</v>
      </c>
      <c r="X28" s="345">
        <f t="shared" si="20"/>
        <v>2.7790171536323121E-8</v>
      </c>
      <c r="Y28" s="338">
        <f t="shared" si="8"/>
        <v>-14.915391611931229</v>
      </c>
      <c r="Z28" s="346">
        <f t="shared" si="21"/>
        <v>4.1738179678362387E-2</v>
      </c>
      <c r="AA28" s="346">
        <f t="shared" si="22"/>
        <v>0.27983294548548682</v>
      </c>
      <c r="AB28" s="346">
        <f t="shared" si="9"/>
        <v>8.3476359356724775E-2</v>
      </c>
      <c r="AC28" s="336">
        <f t="shared" si="2"/>
        <v>4.2961990057188261E-11</v>
      </c>
      <c r="AD28" s="337">
        <f t="shared" si="3"/>
        <v>2.3460193174463294E-12</v>
      </c>
      <c r="AE28" s="308">
        <f t="shared" si="10"/>
        <v>5.4606858628370292</v>
      </c>
      <c r="AF28" s="337">
        <f t="shared" si="11"/>
        <v>4.6920386348926587E-12</v>
      </c>
      <c r="AG28" s="338">
        <f t="shared" si="23"/>
        <v>-23.870705343309492</v>
      </c>
      <c r="AH28" s="339">
        <f t="shared" si="24"/>
        <v>5.4606858628370288E-2</v>
      </c>
      <c r="AI28" s="340">
        <f t="shared" si="25"/>
        <v>0.22876097644796053</v>
      </c>
      <c r="AJ28" s="341">
        <f t="shared" si="12"/>
        <v>0.10921371725674058</v>
      </c>
    </row>
    <row r="29" spans="1:39" x14ac:dyDescent="0.2">
      <c r="A29" s="309">
        <v>22</v>
      </c>
      <c r="B29" s="309">
        <f t="shared" si="13"/>
        <v>22</v>
      </c>
      <c r="C29" s="1">
        <v>459.99</v>
      </c>
      <c r="D29" s="1">
        <v>0.91</v>
      </c>
      <c r="E29" s="326">
        <f t="shared" si="4"/>
        <v>13.639959625719507</v>
      </c>
      <c r="F29" s="327">
        <f t="shared" si="0"/>
        <v>1.6478277196278483E-2</v>
      </c>
      <c r="G29" s="309">
        <f t="shared" si="5"/>
        <v>1</v>
      </c>
      <c r="H29" s="1">
        <v>3600</v>
      </c>
      <c r="I29" s="324">
        <v>30</v>
      </c>
      <c r="J29" s="1">
        <v>6.2869999999999995E-2</v>
      </c>
      <c r="K29" s="1">
        <v>2.7E-4</v>
      </c>
      <c r="L29" s="328">
        <f t="shared" si="6"/>
        <v>0.42945761094321616</v>
      </c>
      <c r="M29" s="329">
        <f t="shared" si="1"/>
        <v>1.7324522728274765E-2</v>
      </c>
      <c r="N29" s="342">
        <f>(1/$J$48)*SQRT(((1-J30/$J$48)*K29)^2+(J30/$J$48)^2*(SUMSQ(K$8:K28)+SUMSQ(K30:K$47)))</f>
        <v>3.1072528036790801E-4</v>
      </c>
      <c r="O29" s="340">
        <f t="shared" si="14"/>
        <v>1.7935575209860406</v>
      </c>
      <c r="P29" s="332">
        <f t="shared" si="7"/>
        <v>0.32887934835324723</v>
      </c>
      <c r="Q29" s="342">
        <f>SQRT(((1-P29)/$J$48)^2*SUMSQ(K$8:K29)+(P29/$J$48)^2*SUMSQ(K30:K$47))</f>
        <v>5.7401059998322375E-3</v>
      </c>
      <c r="R29" s="340">
        <f t="shared" si="15"/>
        <v>1.7453531298252347</v>
      </c>
      <c r="S29" s="343">
        <f t="shared" si="16"/>
        <v>3.6351360005012988E-7</v>
      </c>
      <c r="T29" s="344">
        <f t="shared" si="17"/>
        <v>3.0292800004177499E-9</v>
      </c>
      <c r="U29" s="344">
        <f>IF(P29&lt;=0.85, (1/(3*H29*$J$48))*SQRT( ((1-P29)*(1/SQRT(1-PI()*P29/3)-1) + (1-P28)*(1-1/SQRT(1-PI()*P28/3)))^2*SUMSQ(K$8:K28) + ( (1-P29)*(1/SQRT(1-PI()*P29/3)-1) -P28*(1-1/SQRT(1-PI()*P28/3)) )^2*K29^2 + ( P29*(1-1/SQRT(1-PI()*P29/3)) - P28*(1-1/SQRT(1-PI()*P28/3)) )^2*SUMSQ(K30:K$47) ), (1/(PI()^2*H29*$J$48))*SQRT((1+P28/(1-P28))^2*K29^2+(P28/(1-P28)-P29/(1-P29))^2*SUMSQ(K30:K$47)) )</f>
        <v>1.508307340551844E-8</v>
      </c>
      <c r="V29" s="345">
        <f t="shared" si="18"/>
        <v>1.5384266010349296E-8</v>
      </c>
      <c r="W29" s="340">
        <f t="shared" si="19"/>
        <v>4.232101909867402</v>
      </c>
      <c r="X29" s="345">
        <f t="shared" si="20"/>
        <v>3.0768532020698592E-8</v>
      </c>
      <c r="Y29" s="338">
        <f t="shared" si="8"/>
        <v>-14.827449126504559</v>
      </c>
      <c r="Z29" s="346">
        <f t="shared" si="21"/>
        <v>4.2321019098674022E-2</v>
      </c>
      <c r="AA29" s="346">
        <f t="shared" si="22"/>
        <v>0.28542346520699768</v>
      </c>
      <c r="AB29" s="346">
        <f t="shared" si="9"/>
        <v>8.4642038197348043E-2</v>
      </c>
      <c r="AC29" s="336">
        <f t="shared" si="2"/>
        <v>4.6911284681029237E-11</v>
      </c>
      <c r="AD29" s="337">
        <f t="shared" si="3"/>
        <v>2.5826364447959087E-12</v>
      </c>
      <c r="AE29" s="308">
        <f t="shared" si="10"/>
        <v>5.5053628617429826</v>
      </c>
      <c r="AF29" s="337">
        <f t="shared" si="11"/>
        <v>5.1652728895918173E-12</v>
      </c>
      <c r="AG29" s="338">
        <f t="shared" si="23"/>
        <v>-23.782762857882823</v>
      </c>
      <c r="AH29" s="339">
        <f t="shared" si="24"/>
        <v>5.505362861742983E-2</v>
      </c>
      <c r="AI29" s="340">
        <f t="shared" si="25"/>
        <v>0.23148542053928037</v>
      </c>
      <c r="AJ29" s="341">
        <f t="shared" si="12"/>
        <v>0.11010725723485966</v>
      </c>
    </row>
    <row r="30" spans="1:39" x14ac:dyDescent="0.2">
      <c r="A30" s="309">
        <v>23</v>
      </c>
      <c r="B30" s="309">
        <f t="shared" si="13"/>
        <v>23</v>
      </c>
      <c r="C30" s="1">
        <v>469.98</v>
      </c>
      <c r="D30" s="1">
        <v>0.94</v>
      </c>
      <c r="E30" s="326">
        <f t="shared" si="4"/>
        <v>13.456595750407063</v>
      </c>
      <c r="F30" s="327">
        <f t="shared" si="0"/>
        <v>1.6572057273574345E-2</v>
      </c>
      <c r="G30" s="309">
        <f t="shared" si="5"/>
        <v>1</v>
      </c>
      <c r="H30" s="1">
        <v>3600</v>
      </c>
      <c r="I30" s="324">
        <v>30</v>
      </c>
      <c r="J30" s="1">
        <v>6.2820000000000001E-2</v>
      </c>
      <c r="K30" s="1">
        <v>2.9999999999999997E-4</v>
      </c>
      <c r="L30" s="328">
        <f t="shared" si="6"/>
        <v>0.47755491881566375</v>
      </c>
      <c r="M30" s="329">
        <f t="shared" si="1"/>
        <v>1.7310744676160662E-2</v>
      </c>
      <c r="N30" s="342">
        <f>(1/$J$48)*SQRT(((1-J31/$J$48)*K30)^2+(J31/$J$48)^2*(SUMSQ(K$8:K29)+SUMSQ(K31:K$47)))</f>
        <v>3.0560199012285395E-4</v>
      </c>
      <c r="O30" s="340">
        <f t="shared" si="14"/>
        <v>1.7653890450115124</v>
      </c>
      <c r="P30" s="332">
        <f t="shared" si="7"/>
        <v>0.3461900930294079</v>
      </c>
      <c r="Q30" s="342">
        <f>SQRT(((1-P30)/$J$48)^2*SUMSQ(K$8:K30)+(P30/$J$48)^2*SUMSQ(K31:K$47))</f>
        <v>6.0419233354021464E-3</v>
      </c>
      <c r="R30" s="340">
        <f t="shared" si="15"/>
        <v>1.7452617671785604</v>
      </c>
      <c r="S30" s="343">
        <f t="shared" si="16"/>
        <v>3.9061005158143327E-7</v>
      </c>
      <c r="T30" s="344">
        <f t="shared" si="17"/>
        <v>3.2550837631786103E-9</v>
      </c>
      <c r="U30" s="344">
        <f>IF(P30&lt;=0.85, (1/(3*H30*$J$48))*SQRT( ((1-P30)*(1/SQRT(1-PI()*P30/3)-1) + (1-P29)*(1-1/SQRT(1-PI()*P29/3)))^2*SUMSQ(K$8:K29) + ( (1-P30)*(1/SQRT(1-PI()*P30/3)-1) -P29*(1-1/SQRT(1-PI()*P29/3)) )^2*K30^2 + ( P30*(1-1/SQRT(1-PI()*P30/3)) - P29*(1-1/SQRT(1-PI()*P29/3)) )^2*SUMSQ(K31:K$47) ), (1/(PI()^2*H30*$J$48))*SQRT((1+P29/(1-P29))^2*K30^2+(P29/(1-P29)-P30/(1-P30))^2*SUMSQ(K31:K$47)) )</f>
        <v>1.6427776427912632E-8</v>
      </c>
      <c r="V30" s="345">
        <f t="shared" si="18"/>
        <v>1.6747161212300757E-8</v>
      </c>
      <c r="W30" s="340">
        <f t="shared" si="19"/>
        <v>4.2874373417933809</v>
      </c>
      <c r="X30" s="345">
        <f t="shared" si="20"/>
        <v>3.3494322424601515E-8</v>
      </c>
      <c r="Y30" s="338">
        <f t="shared" si="8"/>
        <v>-14.755556085139514</v>
      </c>
      <c r="Z30" s="346">
        <f t="shared" si="21"/>
        <v>4.2874373417933813E-2</v>
      </c>
      <c r="AA30" s="346">
        <f t="shared" si="22"/>
        <v>0.2905642672532896</v>
      </c>
      <c r="AB30" s="346">
        <f t="shared" si="9"/>
        <v>8.5748746835867626E-2</v>
      </c>
      <c r="AC30" s="336">
        <f t="shared" si="2"/>
        <v>5.0408070912563327E-11</v>
      </c>
      <c r="AD30" s="337">
        <f t="shared" si="3"/>
        <v>2.7966465260566835E-12</v>
      </c>
      <c r="AE30" s="308">
        <f t="shared" si="10"/>
        <v>5.5480133943385406</v>
      </c>
      <c r="AF30" s="337">
        <f t="shared" si="11"/>
        <v>5.5932930521133669E-12</v>
      </c>
      <c r="AG30" s="338">
        <f t="shared" si="23"/>
        <v>-23.710869816517775</v>
      </c>
      <c r="AH30" s="339">
        <f t="shared" si="24"/>
        <v>5.5480133943385412E-2</v>
      </c>
      <c r="AI30" s="340">
        <f t="shared" si="25"/>
        <v>0.23398607631313514</v>
      </c>
      <c r="AJ30" s="341">
        <f t="shared" si="12"/>
        <v>0.11096026788677082</v>
      </c>
    </row>
    <row r="31" spans="1:39" x14ac:dyDescent="0.2">
      <c r="A31" s="309">
        <v>24</v>
      </c>
      <c r="B31" s="309">
        <f t="shared" si="13"/>
        <v>24</v>
      </c>
      <c r="C31" s="1">
        <v>479.99</v>
      </c>
      <c r="D31" s="1">
        <v>1</v>
      </c>
      <c r="E31" s="326">
        <f t="shared" si="4"/>
        <v>13.277743845765727</v>
      </c>
      <c r="F31" s="327">
        <f t="shared" si="0"/>
        <v>1.7170390919449066E-2</v>
      </c>
      <c r="G31" s="309">
        <f t="shared" si="5"/>
        <v>1</v>
      </c>
      <c r="H31" s="1">
        <v>3600</v>
      </c>
      <c r="I31" s="324">
        <v>30</v>
      </c>
      <c r="J31" s="1">
        <v>6.1280000000000001E-2</v>
      </c>
      <c r="K31" s="1">
        <v>2.5999999999999998E-4</v>
      </c>
      <c r="L31" s="328">
        <f t="shared" si="6"/>
        <v>0.42428198433420361</v>
      </c>
      <c r="M31" s="329">
        <f t="shared" si="1"/>
        <v>1.6886380671046249E-2</v>
      </c>
      <c r="N31" s="342">
        <f>(1/$J$48)*SQRT(((1-J32/$J$48)*K31)^2+(J32/$J$48)^2*(SUMSQ(K$8:K30)+SUMSQ(K32:K$47)))</f>
        <v>2.8746467233084022E-4</v>
      </c>
      <c r="O31" s="340">
        <f t="shared" si="14"/>
        <v>1.7023462749701794</v>
      </c>
      <c r="P31" s="332">
        <f t="shared" si="7"/>
        <v>0.36307647370045415</v>
      </c>
      <c r="Q31" s="342">
        <f>SQRT(((1-P31)/$J$48)^2*SUMSQ(K$8:K31)+(P31/$J$48)^2*SUMSQ(K32:K$47))</f>
        <v>6.3362897767196879E-3</v>
      </c>
      <c r="R31" s="340">
        <f t="shared" si="15"/>
        <v>1.745166717121766</v>
      </c>
      <c r="S31" s="343">
        <f t="shared" si="16"/>
        <v>4.0853468865088085E-7</v>
      </c>
      <c r="T31" s="344">
        <f t="shared" si="17"/>
        <v>3.4044557387573403E-9</v>
      </c>
      <c r="U31" s="344">
        <f>IF(P31&lt;=0.85, (1/(3*H31*$J$48))*SQRT( ((1-P31)*(1/SQRT(1-PI()*P31/3)-1) + (1-P30)*(1-1/SQRT(1-PI()*P30/3)))^2*SUMSQ(K$8:K30) + ( (1-P31)*(1/SQRT(1-PI()*P31/3)-1) -P30*(1-1/SQRT(1-PI()*P30/3)) )^2*K31^2 + ( P31*(1-1/SQRT(1-PI()*P31/3)) - P30*(1-1/SQRT(1-PI()*P30/3)) )^2*SUMSQ(K32:K$47) ), (1/(PI()^2*H31*$J$48))*SQRT((1+P30/(1-P30))^2*K31^2+(P30/(1-P30)-P31/(1-P31))^2*SUMSQ(K32:K$47)) )</f>
        <v>1.7376562804665977E-8</v>
      </c>
      <c r="V31" s="345">
        <f t="shared" si="18"/>
        <v>1.7706926717577471E-8</v>
      </c>
      <c r="W31" s="340">
        <f t="shared" si="19"/>
        <v>4.3342529311407336</v>
      </c>
      <c r="X31" s="345">
        <f t="shared" si="20"/>
        <v>3.5413853435154943E-8</v>
      </c>
      <c r="Y31" s="338">
        <f t="shared" si="8"/>
        <v>-14.71068900911359</v>
      </c>
      <c r="Z31" s="346">
        <f t="shared" si="21"/>
        <v>4.3342529311407335E-2</v>
      </c>
      <c r="AA31" s="346">
        <f t="shared" si="22"/>
        <v>0.29463289778307256</v>
      </c>
      <c r="AB31" s="346">
        <f t="shared" si="9"/>
        <v>8.668505862281467E-2</v>
      </c>
      <c r="AC31" s="336">
        <f t="shared" si="2"/>
        <v>5.2721238156520715E-11</v>
      </c>
      <c r="AD31" s="337">
        <f t="shared" si="3"/>
        <v>2.944096791199836E-12</v>
      </c>
      <c r="AE31" s="308">
        <f t="shared" si="10"/>
        <v>5.5842709582413352</v>
      </c>
      <c r="AF31" s="337">
        <f t="shared" si="11"/>
        <v>5.888193582399672E-12</v>
      </c>
      <c r="AG31" s="338">
        <f t="shared" si="23"/>
        <v>-23.666002740491855</v>
      </c>
      <c r="AH31" s="339">
        <f t="shared" si="24"/>
        <v>5.5842709582413358E-2</v>
      </c>
      <c r="AI31" s="340">
        <f t="shared" si="25"/>
        <v>0.23596173039762258</v>
      </c>
      <c r="AJ31" s="341">
        <f t="shared" si="12"/>
        <v>0.11168541916482672</v>
      </c>
    </row>
    <row r="32" spans="1:39" x14ac:dyDescent="0.2">
      <c r="A32" s="309">
        <v>25</v>
      </c>
      <c r="B32" s="309">
        <f t="shared" si="13"/>
        <v>25</v>
      </c>
      <c r="C32" s="1">
        <v>490</v>
      </c>
      <c r="D32" s="1">
        <v>1.02</v>
      </c>
      <c r="E32" s="326">
        <f t="shared" si="4"/>
        <v>13.103583830177554</v>
      </c>
      <c r="F32" s="327">
        <f t="shared" si="0"/>
        <v>1.706500246014429E-2</v>
      </c>
      <c r="G32" s="309">
        <f t="shared" si="5"/>
        <v>1</v>
      </c>
      <c r="H32" s="1">
        <v>3600</v>
      </c>
      <c r="I32" s="324">
        <v>30</v>
      </c>
      <c r="J32" s="1">
        <v>5.7970000000000001E-2</v>
      </c>
      <c r="K32" s="1">
        <v>1.7000000000000001E-4</v>
      </c>
      <c r="L32" s="328">
        <f t="shared" si="6"/>
        <v>0.2932551319648094</v>
      </c>
      <c r="M32" s="329">
        <f t="shared" si="1"/>
        <v>1.5974273621092543E-2</v>
      </c>
      <c r="N32" s="342">
        <f>(1/$J$48)*SQRT(((1-J33/$J$48)*K32)^2+(J33/$J$48)^2*(SUMSQ(K$8:K31)+SUMSQ(K33:K$47)))</f>
        <v>2.6480655943154143E-4</v>
      </c>
      <c r="O32" s="340">
        <f t="shared" si="14"/>
        <v>1.6577064204151917</v>
      </c>
      <c r="P32" s="332">
        <f t="shared" si="7"/>
        <v>0.3790507473215467</v>
      </c>
      <c r="Q32" s="342">
        <f>SQRT(((1-P32)/$J$48)^2*SUMSQ(K$8:K32)+(P32/$J$48)^2*SUMSQ(K33:K$47))</f>
        <v>6.614702582150152E-3</v>
      </c>
      <c r="R32" s="340">
        <f t="shared" si="15"/>
        <v>1.7450704500363208</v>
      </c>
      <c r="S32" s="343">
        <f t="shared" si="16"/>
        <v>4.1253237864054198E-7</v>
      </c>
      <c r="T32" s="344">
        <f t="shared" si="17"/>
        <v>3.4377698220045149E-9</v>
      </c>
      <c r="U32" s="344">
        <f>IF(P32&lt;=0.85, (1/(3*H32*$J$48))*SQRT( ((1-P32)*(1/SQRT(1-PI()*P32/3)-1) + (1-P31)*(1-1/SQRT(1-PI()*P31/3)))^2*SUMSQ(K$8:K31) + ( (1-P32)*(1/SQRT(1-PI()*P32/3)-1) -P31*(1-1/SQRT(1-PI()*P31/3)) )^2*K32^2 + ( P32*(1-1/SQRT(1-PI()*P32/3)) - P31*(1-1/SQRT(1-PI()*P31/3)) )^2*SUMSQ(K33:K$47) ), (1/(PI()^2*H32*$J$48))*SQRT((1+P31/(1-P31))^2*K32^2+(P31/(1-P31)-P32/(1-P32))^2*SUMSQ(K33:K$47)) )</f>
        <v>1.7725134102521352E-8</v>
      </c>
      <c r="V32" s="345">
        <f t="shared" si="18"/>
        <v>1.8055432431859679E-8</v>
      </c>
      <c r="W32" s="340">
        <f t="shared" si="19"/>
        <v>4.3767309832405159</v>
      </c>
      <c r="X32" s="345">
        <f t="shared" si="20"/>
        <v>3.6110864863719359E-8</v>
      </c>
      <c r="Y32" s="338">
        <f t="shared" si="8"/>
        <v>-14.700951140578102</v>
      </c>
      <c r="Z32" s="346">
        <f t="shared" si="21"/>
        <v>4.3767309832405156E-2</v>
      </c>
      <c r="AA32" s="346">
        <f t="shared" si="22"/>
        <v>0.29771753823191094</v>
      </c>
      <c r="AB32" s="346">
        <f t="shared" si="9"/>
        <v>8.7534619664810312E-2</v>
      </c>
      <c r="AC32" s="336">
        <f t="shared" si="2"/>
        <v>5.3237138450610481E-11</v>
      </c>
      <c r="AD32" s="337">
        <f t="shared" si="3"/>
        <v>2.9904920751931197E-12</v>
      </c>
      <c r="AE32" s="308">
        <f t="shared" si="10"/>
        <v>5.617304314670255</v>
      </c>
      <c r="AF32" s="337">
        <f t="shared" si="11"/>
        <v>5.9809841503862394E-12</v>
      </c>
      <c r="AG32" s="338">
        <f t="shared" si="23"/>
        <v>-23.656264871956367</v>
      </c>
      <c r="AH32" s="339">
        <f t="shared" si="24"/>
        <v>5.6173043146702545E-2</v>
      </c>
      <c r="AI32" s="340">
        <f t="shared" si="25"/>
        <v>0.23745525107513327</v>
      </c>
      <c r="AJ32" s="341">
        <f t="shared" si="12"/>
        <v>0.11234608629340509</v>
      </c>
    </row>
    <row r="33" spans="1:36" x14ac:dyDescent="0.2">
      <c r="A33" s="309">
        <v>26</v>
      </c>
      <c r="B33" s="309">
        <f t="shared" si="13"/>
        <v>26</v>
      </c>
      <c r="C33" s="1">
        <v>499.97</v>
      </c>
      <c r="D33" s="1">
        <v>1.06</v>
      </c>
      <c r="E33" s="326">
        <f t="shared" si="4"/>
        <v>12.934602649006623</v>
      </c>
      <c r="F33" s="327">
        <f t="shared" si="0"/>
        <v>1.7964912368998019E-2</v>
      </c>
      <c r="G33" s="309">
        <f t="shared" si="5"/>
        <v>1</v>
      </c>
      <c r="H33" s="1">
        <v>3600</v>
      </c>
      <c r="I33" s="324">
        <v>30</v>
      </c>
      <c r="J33" s="1">
        <v>5.4239999999999997E-2</v>
      </c>
      <c r="K33" s="1">
        <v>2.1000000000000001E-4</v>
      </c>
      <c r="L33" s="328">
        <f t="shared" si="6"/>
        <v>0.3871681415929204</v>
      </c>
      <c r="M33" s="329">
        <f t="shared" si="1"/>
        <v>1.4946430933380361E-2</v>
      </c>
      <c r="N33" s="342">
        <f>(1/$J$48)*SQRT(((1-J34/$J$48)*K33)^2+(J34/$J$48)^2*(SUMSQ(K$8:K32)+SUMSQ(K34:K$47)))</f>
        <v>1.6328290524745138E-4</v>
      </c>
      <c r="O33" s="340">
        <f t="shared" si="14"/>
        <v>1.0924541515980664</v>
      </c>
      <c r="P33" s="332">
        <f t="shared" si="7"/>
        <v>0.39399717825492708</v>
      </c>
      <c r="Q33" s="342">
        <f>SQRT(((1-P33)/$J$48)^2*SUMSQ(K$8:K33)+(P33/$J$48)^2*SUMSQ(K34:K$47))</f>
        <v>6.8752322031579915E-3</v>
      </c>
      <c r="R33" s="340">
        <f t="shared" si="15"/>
        <v>1.7449952899686823</v>
      </c>
      <c r="S33" s="343">
        <f t="shared" si="16"/>
        <v>4.0989429712265931E-7</v>
      </c>
      <c r="T33" s="344">
        <f t="shared" si="17"/>
        <v>3.4157858093554931E-9</v>
      </c>
      <c r="U33" s="344">
        <f>IF(P33&lt;=0.85, (1/(3*H33*$J$48))*SQRT( ((1-P33)*(1/SQRT(1-PI()*P33/3)-1) + (1-P32)*(1-1/SQRT(1-PI()*P32/3)))^2*SUMSQ(K$8:K32) + ( (1-P33)*(1/SQRT(1-PI()*P33/3)-1) -P32*(1-1/SQRT(1-PI()*P32/3)) )^2*K33^2 + ( P33*(1-1/SQRT(1-PI()*P33/3)) - P32*(1-1/SQRT(1-PI()*P32/3)) )^2*SUMSQ(K34:K$47) ), (1/(PI()^2*H33*$J$48))*SQRT((1+P32/(1-P32))^2*K33^2+(P32/(1-P32)-P33/(1-P33))^2*SUMSQ(K34:K$47)) )</f>
        <v>1.7861252499792665E-8</v>
      </c>
      <c r="V33" s="345">
        <f t="shared" si="18"/>
        <v>1.8184936996226961E-8</v>
      </c>
      <c r="W33" s="340">
        <f t="shared" si="19"/>
        <v>4.4364942678832122</v>
      </c>
      <c r="X33" s="345">
        <f t="shared" si="20"/>
        <v>3.6369873992453923E-8</v>
      </c>
      <c r="Y33" s="338">
        <f t="shared" si="8"/>
        <v>-14.707366522383211</v>
      </c>
      <c r="Z33" s="346">
        <f t="shared" si="21"/>
        <v>4.436494267883212E-2</v>
      </c>
      <c r="AA33" s="346">
        <f t="shared" si="22"/>
        <v>0.30165116651790042</v>
      </c>
      <c r="AB33" s="346">
        <f t="shared" si="9"/>
        <v>8.872988535766424E-2</v>
      </c>
      <c r="AC33" s="336">
        <f t="shared" si="2"/>
        <v>5.2896695085960329E-11</v>
      </c>
      <c r="AD33" s="337">
        <f t="shared" si="3"/>
        <v>2.9960650297995197E-12</v>
      </c>
      <c r="AE33" s="308">
        <f t="shared" si="10"/>
        <v>5.6639928542430349</v>
      </c>
      <c r="AF33" s="337">
        <f t="shared" si="11"/>
        <v>5.9921300595990395E-12</v>
      </c>
      <c r="AG33" s="338">
        <f t="shared" si="23"/>
        <v>-23.662680253761476</v>
      </c>
      <c r="AH33" s="339">
        <f t="shared" si="24"/>
        <v>5.663992854243035E-2</v>
      </c>
      <c r="AI33" s="340">
        <f t="shared" si="25"/>
        <v>0.23936396018970307</v>
      </c>
      <c r="AJ33" s="341">
        <f t="shared" si="12"/>
        <v>0.1132798570848607</v>
      </c>
    </row>
    <row r="34" spans="1:36" x14ac:dyDescent="0.2">
      <c r="A34" s="309">
        <v>27</v>
      </c>
      <c r="B34" s="309">
        <f t="shared" si="13"/>
        <v>27</v>
      </c>
      <c r="C34" s="1">
        <v>494.99</v>
      </c>
      <c r="D34" s="1">
        <v>1.05</v>
      </c>
      <c r="E34" s="326">
        <f t="shared" si="4"/>
        <v>13.01846017653032</v>
      </c>
      <c r="F34" s="327">
        <f t="shared" si="0"/>
        <v>1.8267495980248384E-2</v>
      </c>
      <c r="G34" s="309">
        <f t="shared" si="5"/>
        <v>1</v>
      </c>
      <c r="H34" s="1">
        <v>3600</v>
      </c>
      <c r="I34" s="324">
        <v>30</v>
      </c>
      <c r="J34" s="1">
        <v>3.1800000000000002E-2</v>
      </c>
      <c r="K34" s="1">
        <v>1.4999999999999999E-4</v>
      </c>
      <c r="L34" s="328">
        <f t="shared" si="6"/>
        <v>0.47169811320754707</v>
      </c>
      <c r="M34" s="329">
        <f t="shared" si="1"/>
        <v>8.7628411445703457E-3</v>
      </c>
      <c r="N34" s="342">
        <f>(1/$J$48)*SQRT(((1-J35/$J$48)*K34)^2+(J35/$J$48)^2*(SUMSQ(K$8:K33)+SUMSQ(K35:K$47)))</f>
        <v>9.7157375218362489E-5</v>
      </c>
      <c r="O34" s="340">
        <f t="shared" si="14"/>
        <v>1.1087428565170714</v>
      </c>
      <c r="P34" s="332">
        <f t="shared" si="7"/>
        <v>0.4027600193994974</v>
      </c>
      <c r="Q34" s="342">
        <f>SQRT(((1-P34)/$J$48)^2*SUMSQ(K$8:K34)+(P34/$J$48)^2*SUMSQ(K35:K$47))</f>
        <v>7.0279739947200328E-3</v>
      </c>
      <c r="R34" s="340">
        <f t="shared" si="15"/>
        <v>1.7449532367186105</v>
      </c>
      <c r="S34" s="343">
        <f t="shared" si="16"/>
        <v>2.5144095847287151E-7</v>
      </c>
      <c r="T34" s="344">
        <f t="shared" si="17"/>
        <v>2.0953413206072623E-9</v>
      </c>
      <c r="U34" s="344">
        <f>IF(P34&lt;=0.85, (1/(3*H34*$J$48))*SQRT( ((1-P34)*(1/SQRT(1-PI()*P34/3)-1) + (1-P33)*(1-1/SQRT(1-PI()*P33/3)))^2*SUMSQ(K$8:K33) + ( (1-P34)*(1/SQRT(1-PI()*P34/3)-1) -P33*(1-1/SQRT(1-PI()*P33/3)) )^2*K34^2 + ( P34*(1-1/SQRT(1-PI()*P34/3)) - P33*(1-1/SQRT(1-PI()*P33/3)) )^2*SUMSQ(K35:K$47) ), (1/(PI()^2*H34*$J$48))*SQRT((1+P33/(1-P33))^2*K34^2+(P33/(1-P33)-P34/(1-P34))^2*SUMSQ(K35:K$47)) )</f>
        <v>1.1084860939711689E-8</v>
      </c>
      <c r="V34" s="345">
        <f t="shared" si="18"/>
        <v>1.1281161168186105E-8</v>
      </c>
      <c r="W34" s="340">
        <f t="shared" si="19"/>
        <v>4.4866044246340451</v>
      </c>
      <c r="X34" s="345">
        <f t="shared" si="20"/>
        <v>2.2562322336372209E-8</v>
      </c>
      <c r="Y34" s="338">
        <f t="shared" si="8"/>
        <v>-15.196057632529623</v>
      </c>
      <c r="Z34" s="346">
        <f t="shared" si="21"/>
        <v>4.4866044246340449E-2</v>
      </c>
      <c r="AA34" s="346">
        <f t="shared" si="22"/>
        <v>0.29524792108117182</v>
      </c>
      <c r="AB34" s="346">
        <f t="shared" si="9"/>
        <v>8.9732088492680898E-2</v>
      </c>
      <c r="AC34" s="336">
        <f t="shared" si="2"/>
        <v>3.2448355114540677E-11</v>
      </c>
      <c r="AD34" s="337">
        <f t="shared" si="3"/>
        <v>1.8506361982143732E-12</v>
      </c>
      <c r="AE34" s="308">
        <f t="shared" si="10"/>
        <v>5.7033282324535168</v>
      </c>
      <c r="AF34" s="337">
        <f t="shared" si="11"/>
        <v>3.7012723964287465E-12</v>
      </c>
      <c r="AG34" s="338">
        <f t="shared" si="23"/>
        <v>-24.151371363907884</v>
      </c>
      <c r="AH34" s="339">
        <f t="shared" si="24"/>
        <v>5.7033282324535174E-2</v>
      </c>
      <c r="AI34" s="340">
        <f t="shared" si="25"/>
        <v>0.23614924993355216</v>
      </c>
      <c r="AJ34" s="341">
        <f t="shared" si="12"/>
        <v>0.11406656464907035</v>
      </c>
    </row>
    <row r="35" spans="1:36" x14ac:dyDescent="0.2">
      <c r="A35" s="309">
        <v>28</v>
      </c>
      <c r="B35" s="309">
        <f t="shared" si="13"/>
        <v>28</v>
      </c>
      <c r="C35" s="1">
        <v>485</v>
      </c>
      <c r="D35" s="1">
        <v>1.03</v>
      </c>
      <c r="E35" s="326">
        <f t="shared" si="4"/>
        <v>13.190001978500296</v>
      </c>
      <c r="F35" s="327">
        <f t="shared" si="0"/>
        <v>1.8402273204866128E-2</v>
      </c>
      <c r="G35" s="309">
        <f t="shared" si="5"/>
        <v>1</v>
      </c>
      <c r="H35" s="1">
        <v>3600</v>
      </c>
      <c r="I35" s="324">
        <v>30</v>
      </c>
      <c r="J35" s="1">
        <v>1.831E-2</v>
      </c>
      <c r="K35" s="1">
        <v>1.2E-4</v>
      </c>
      <c r="L35" s="328">
        <f t="shared" si="6"/>
        <v>0.65537957400327684</v>
      </c>
      <c r="M35" s="329">
        <f t="shared" si="1"/>
        <v>5.0455226841850005E-3</v>
      </c>
      <c r="N35" s="342">
        <f>(1/$J$48)*SQRT(((1-J36/$J$48)*K35)^2+(J36/$J$48)^2*(SUMSQ(K$8:K34)+SUMSQ(K36:K$47)))</f>
        <v>6.1909297385698227E-5</v>
      </c>
      <c r="O35" s="340">
        <f t="shared" si="14"/>
        <v>1.2270145485570916</v>
      </c>
      <c r="P35" s="332">
        <f t="shared" si="7"/>
        <v>0.40780554208368242</v>
      </c>
      <c r="Q35" s="342">
        <f>SQRT(((1-P35)/$J$48)^2*SUMSQ(K$8:K35)+(P35/$J$48)^2*SUMSQ(K36:K$47))</f>
        <v>7.115922747534139E-3</v>
      </c>
      <c r="R35" s="340">
        <f t="shared" si="15"/>
        <v>1.7449303683258772</v>
      </c>
      <c r="S35" s="343">
        <f t="shared" si="16"/>
        <v>1.4860449786523098E-7</v>
      </c>
      <c r="T35" s="344">
        <f t="shared" si="17"/>
        <v>1.2383708155435914E-9</v>
      </c>
      <c r="U35" s="344">
        <f>IF(P35&lt;=0.85, (1/(3*H35*$J$48))*SQRT( ((1-P35)*(1/SQRT(1-PI()*P35/3)-1) + (1-P34)*(1-1/SQRT(1-PI()*P34/3)))^2*SUMSQ(K$8:K34) + ( (1-P35)*(1/SQRT(1-PI()*P35/3)-1) -P34*(1-1/SQRT(1-PI()*P34/3)) )^2*K35^2 + ( P35*(1-1/SQRT(1-PI()*P35/3)) - P34*(1-1/SQRT(1-PI()*P34/3)) )^2*SUMSQ(K36:K$47) ), (1/(PI()^2*H35*$J$48))*SQRT((1+P34/(1-P34))^2*K35^2+(P34/(1-P34)-P35/(1-P35))^2*SUMSQ(K36:K$47)) )</f>
        <v>6.6240024235076452E-9</v>
      </c>
      <c r="V35" s="345">
        <f t="shared" si="18"/>
        <v>6.7387662359978968E-9</v>
      </c>
      <c r="W35" s="340">
        <f t="shared" si="19"/>
        <v>4.5346987021276206</v>
      </c>
      <c r="X35" s="345">
        <f t="shared" si="20"/>
        <v>1.3477532471995794E-8</v>
      </c>
      <c r="Y35" s="338">
        <f t="shared" si="8"/>
        <v>-15.721977436848748</v>
      </c>
      <c r="Z35" s="346">
        <f t="shared" si="21"/>
        <v>4.5346987021276208E-2</v>
      </c>
      <c r="AA35" s="346">
        <f t="shared" si="22"/>
        <v>0.28843055654687022</v>
      </c>
      <c r="AB35" s="346">
        <f t="shared" si="9"/>
        <v>9.0693974042552417E-2</v>
      </c>
      <c r="AC35" s="336">
        <f t="shared" si="2"/>
        <v>1.9177351007708911E-11</v>
      </c>
      <c r="AD35" s="337">
        <f t="shared" si="3"/>
        <v>1.1010175673786378E-12</v>
      </c>
      <c r="AE35" s="308">
        <f t="shared" si="10"/>
        <v>5.7412390633933272</v>
      </c>
      <c r="AF35" s="337">
        <f t="shared" si="11"/>
        <v>2.2020351347572757E-12</v>
      </c>
      <c r="AG35" s="338">
        <f t="shared" si="23"/>
        <v>-24.677291168227011</v>
      </c>
      <c r="AH35" s="339">
        <f t="shared" si="24"/>
        <v>5.7412390633933268E-2</v>
      </c>
      <c r="AI35" s="340">
        <f t="shared" si="25"/>
        <v>0.23265272611385318</v>
      </c>
      <c r="AJ35" s="341">
        <f t="shared" si="12"/>
        <v>0.11482478126786654</v>
      </c>
    </row>
    <row r="36" spans="1:36" x14ac:dyDescent="0.2">
      <c r="A36" s="309">
        <v>29</v>
      </c>
      <c r="B36" s="309">
        <f t="shared" si="13"/>
        <v>29</v>
      </c>
      <c r="C36" s="1">
        <v>474.99</v>
      </c>
      <c r="D36" s="1">
        <v>0.97</v>
      </c>
      <c r="E36" s="326">
        <f t="shared" si="4"/>
        <v>13.36648220921218</v>
      </c>
      <c r="F36" s="327">
        <f t="shared" si="0"/>
        <v>1.7803043511264566E-2</v>
      </c>
      <c r="G36" s="309">
        <f t="shared" si="5"/>
        <v>1</v>
      </c>
      <c r="H36" s="1">
        <v>3600</v>
      </c>
      <c r="I36" s="324">
        <v>30</v>
      </c>
      <c r="J36" s="1">
        <v>1.09E-2</v>
      </c>
      <c r="K36" s="1">
        <v>9.0000000000000006E-5</v>
      </c>
      <c r="L36" s="328">
        <f t="shared" si="6"/>
        <v>0.82568807339449546</v>
      </c>
      <c r="M36" s="329">
        <f t="shared" si="1"/>
        <v>3.003615360874741E-3</v>
      </c>
      <c r="N36" s="342">
        <f>(1/$J$48)*SQRT(((1-J37/$J$48)*K36)^2+(J37/$J$48)^2*(SUMSQ(K$8:K35)+SUMSQ(K37:K$47)))</f>
        <v>4.0890566046986921E-5</v>
      </c>
      <c r="O36" s="340">
        <f t="shared" si="14"/>
        <v>1.3613782436869144</v>
      </c>
      <c r="P36" s="332">
        <f t="shared" si="7"/>
        <v>0.41080915744455715</v>
      </c>
      <c r="Q36" s="342">
        <f>SQRT(((1-P36)/$J$48)^2*SUMSQ(K$8:K36)+(P36/$J$48)^2*SUMSQ(K37:K$47))</f>
        <v>7.1682786177272818E-3</v>
      </c>
      <c r="R36" s="340">
        <f t="shared" si="15"/>
        <v>1.7449169493488503</v>
      </c>
      <c r="S36" s="343">
        <f t="shared" si="16"/>
        <v>8.9813572563712638E-8</v>
      </c>
      <c r="T36" s="344">
        <f t="shared" si="17"/>
        <v>7.4844643803093915E-10</v>
      </c>
      <c r="U36" s="344">
        <f>IF(P36&lt;=0.85, (1/(3*H36*$J$48))*SQRT( ((1-P36)*(1/SQRT(1-PI()*P36/3)-1) + (1-P35)*(1-1/SQRT(1-PI()*P35/3)))^2*SUMSQ(K$8:K35) + ( (1-P36)*(1/SQRT(1-PI()*P36/3)-1) -P35*(1-1/SQRT(1-PI()*P35/3)) )^2*K36^2 + ( P36*(1-1/SQRT(1-PI()*P36/3)) - P35*(1-1/SQRT(1-PI()*P35/3)) )^2*SUMSQ(K37:K$47) ), (1/(PI()^2*H36*$J$48))*SQRT((1+P35/(1-P35))^2*K36^2+(P35/(1-P35)-P36/(1-P36))^2*SUMSQ(K37:K$47)) )</f>
        <v>4.0423234194927001E-9</v>
      </c>
      <c r="V36" s="345">
        <f t="shared" si="18"/>
        <v>4.1110279369496329E-9</v>
      </c>
      <c r="W36" s="340">
        <f t="shared" si="19"/>
        <v>4.577290290989505</v>
      </c>
      <c r="X36" s="345">
        <f t="shared" si="20"/>
        <v>8.2220558738992658E-9</v>
      </c>
      <c r="Y36" s="338">
        <f t="shared" si="8"/>
        <v>-16.225529730924194</v>
      </c>
      <c r="Z36" s="346">
        <f t="shared" si="21"/>
        <v>4.5772902909895052E-2</v>
      </c>
      <c r="AA36" s="346">
        <f t="shared" si="22"/>
        <v>0.28210421273739122</v>
      </c>
      <c r="AB36" s="346">
        <f t="shared" si="9"/>
        <v>9.1545805819790105E-2</v>
      </c>
      <c r="AC36" s="336">
        <f t="shared" si="2"/>
        <v>1.159040561391809E-11</v>
      </c>
      <c r="AD36" s="337">
        <f t="shared" si="3"/>
        <v>6.6933885022516246E-13</v>
      </c>
      <c r="AE36" s="308">
        <f t="shared" si="10"/>
        <v>5.7749389669452222</v>
      </c>
      <c r="AF36" s="337">
        <f t="shared" si="11"/>
        <v>1.3386777004503249E-12</v>
      </c>
      <c r="AG36" s="338">
        <f t="shared" si="23"/>
        <v>-25.180843462302459</v>
      </c>
      <c r="AH36" s="339">
        <f t="shared" si="24"/>
        <v>5.7749389669452228E-2</v>
      </c>
      <c r="AI36" s="340">
        <f t="shared" si="25"/>
        <v>0.22933858333978063</v>
      </c>
      <c r="AJ36" s="341">
        <f t="shared" si="12"/>
        <v>0.11549877933890446</v>
      </c>
    </row>
    <row r="37" spans="1:36" x14ac:dyDescent="0.2">
      <c r="A37" s="309">
        <v>30</v>
      </c>
      <c r="B37" s="309">
        <f t="shared" si="13"/>
        <v>30</v>
      </c>
      <c r="C37" s="1">
        <v>464.99</v>
      </c>
      <c r="D37" s="1">
        <v>0.99</v>
      </c>
      <c r="E37" s="326">
        <f t="shared" si="4"/>
        <v>13.547565502479205</v>
      </c>
      <c r="F37" s="327">
        <f t="shared" si="0"/>
        <v>1.8672626731719304E-2</v>
      </c>
      <c r="G37" s="309">
        <f t="shared" si="5"/>
        <v>1</v>
      </c>
      <c r="H37" s="1">
        <v>3600</v>
      </c>
      <c r="I37" s="324">
        <v>30</v>
      </c>
      <c r="J37" s="1">
        <v>6.77E-3</v>
      </c>
      <c r="K37" s="1">
        <v>9.0000000000000006E-5</v>
      </c>
      <c r="L37" s="328">
        <f t="shared" si="6"/>
        <v>1.3293943870014771</v>
      </c>
      <c r="M37" s="329">
        <f t="shared" si="1"/>
        <v>1.8655482562497244E-3</v>
      </c>
      <c r="N37" s="342">
        <f>(1/$J$48)*SQRT(((1-J38/$J$48)*K37)^2+(J38/$J$48)^2*(SUMSQ(K$8:K36)+SUMSQ(K38:K$47)))</f>
        <v>3.6613268673873666E-5</v>
      </c>
      <c r="O37" s="340">
        <f t="shared" si="14"/>
        <v>1.9626009968499347</v>
      </c>
      <c r="P37" s="332">
        <f t="shared" si="7"/>
        <v>0.41267470570080689</v>
      </c>
      <c r="Q37" s="342">
        <f>SQRT(((1-P37)/$J$48)^2*SUMSQ(K$8:K37)+(P37/$J$48)^2*SUMSQ(K38:K$47))</f>
        <v>7.2007997963323828E-3</v>
      </c>
      <c r="R37" s="340">
        <f t="shared" si="15"/>
        <v>1.7449094157840221</v>
      </c>
      <c r="S37" s="343">
        <f t="shared" si="16"/>
        <v>5.6294701952688154E-8</v>
      </c>
      <c r="T37" s="344">
        <f t="shared" si="17"/>
        <v>4.6912251627240144E-10</v>
      </c>
      <c r="U37" s="344">
        <f>IF(P37&lt;=0.85, (1/(3*H37*$J$48))*SQRT( ((1-P37)*(1/SQRT(1-PI()*P37/3)-1) + (1-P36)*(1-1/SQRT(1-PI()*P36/3)))^2*SUMSQ(K$8:K36) + ( (1-P37)*(1/SQRT(1-PI()*P37/3)-1) -P36*(1-1/SQRT(1-PI()*P36/3)) )^2*K37^2 + ( P37*(1-1/SQRT(1-PI()*P37/3)) - P36*(1-1/SQRT(1-PI()*P36/3)) )^2*SUMSQ(K38:K$47) ), (1/(PI()^2*H37*$J$48))*SQRT((1+P36/(1-P36))^2*K37^2+(P36/(1-P36)-P37/(1-P37))^2*SUMSQ(K38:K$47)) )</f>
        <v>2.6056779299393153E-9</v>
      </c>
      <c r="V37" s="345">
        <f t="shared" si="18"/>
        <v>2.6475712284746153E-9</v>
      </c>
      <c r="W37" s="340">
        <f t="shared" si="19"/>
        <v>4.7030557701499474</v>
      </c>
      <c r="X37" s="345">
        <f t="shared" si="20"/>
        <v>5.2951424569492307E-9</v>
      </c>
      <c r="Y37" s="338">
        <f t="shared" si="8"/>
        <v>-16.692665410088704</v>
      </c>
      <c r="Z37" s="346">
        <f t="shared" si="21"/>
        <v>4.7030557701499477E-2</v>
      </c>
      <c r="AA37" s="346">
        <f t="shared" si="22"/>
        <v>0.2817438470495861</v>
      </c>
      <c r="AB37" s="346">
        <f t="shared" si="9"/>
        <v>9.4061115402998954E-2</v>
      </c>
      <c r="AC37" s="336">
        <f t="shared" si="2"/>
        <v>7.264808769113625E-12</v>
      </c>
      <c r="AD37" s="337">
        <f t="shared" si="3"/>
        <v>4.2681643220356472E-13</v>
      </c>
      <c r="AE37" s="308">
        <f t="shared" si="10"/>
        <v>5.8751227426408956</v>
      </c>
      <c r="AF37" s="337">
        <f t="shared" si="11"/>
        <v>8.5363286440712943E-13</v>
      </c>
      <c r="AG37" s="338">
        <f t="shared" si="23"/>
        <v>-25.647979141466966</v>
      </c>
      <c r="AH37" s="339">
        <f t="shared" si="24"/>
        <v>5.875122742640896E-2</v>
      </c>
      <c r="AI37" s="340">
        <f t="shared" si="25"/>
        <v>0.2290676669002025</v>
      </c>
      <c r="AJ37" s="341">
        <f t="shared" si="12"/>
        <v>0.11750245485281792</v>
      </c>
    </row>
    <row r="38" spans="1:36" x14ac:dyDescent="0.2">
      <c r="A38" s="309">
        <v>31</v>
      </c>
      <c r="B38" s="309">
        <f t="shared" si="13"/>
        <v>31.5</v>
      </c>
      <c r="C38" s="1">
        <v>454.99</v>
      </c>
      <c r="D38" s="1">
        <v>1</v>
      </c>
      <c r="E38" s="326">
        <f t="shared" si="4"/>
        <v>13.733622654983932</v>
      </c>
      <c r="F38" s="327">
        <f t="shared" si="0"/>
        <v>1.9390176633565317E-2</v>
      </c>
      <c r="G38" s="309">
        <f t="shared" si="5"/>
        <v>1.5</v>
      </c>
      <c r="H38" s="1">
        <v>5400</v>
      </c>
      <c r="I38" s="324">
        <v>30</v>
      </c>
      <c r="J38" s="1">
        <v>5.6100000000000004E-3</v>
      </c>
      <c r="K38" s="1">
        <v>6.0000000000000002E-5</v>
      </c>
      <c r="L38" s="328">
        <f t="shared" si="6"/>
        <v>1.0695187165775399</v>
      </c>
      <c r="M38" s="329">
        <f t="shared" si="1"/>
        <v>1.5458974472025043E-3</v>
      </c>
      <c r="N38" s="342">
        <f>(1/$J$48)*SQRT(((1-J39/$J$48)*K38)^2+(J39/$J$48)^2*(SUMSQ(K$8:K37)+SUMSQ(K39:K$47)))</f>
        <v>2.4168079578632468E-5</v>
      </c>
      <c r="O38" s="340">
        <f t="shared" si="14"/>
        <v>1.5633688782116593</v>
      </c>
      <c r="P38" s="332">
        <f t="shared" si="7"/>
        <v>0.4142206031480094</v>
      </c>
      <c r="Q38" s="342">
        <f>SQRT(((1-P38)/$J$48)^2*SUMSQ(K$8:K38)+(P38/$J$48)^2*SUMSQ(K39:K$47))</f>
        <v>7.2277457876617091E-3</v>
      </c>
      <c r="R38" s="340">
        <f t="shared" si="15"/>
        <v>1.7449025308572323</v>
      </c>
      <c r="S38" s="343">
        <f t="shared" si="16"/>
        <v>3.129840102806142E-8</v>
      </c>
      <c r="T38" s="344">
        <f t="shared" si="17"/>
        <v>1.7388000571145235E-10</v>
      </c>
      <c r="U38" s="344">
        <f>IF(P38&lt;=0.85, (1/(3*H38*$J$48))*SQRT( ((1-P38)*(1/SQRT(1-PI()*P38/3)-1) + (1-P37)*(1-1/SQRT(1-PI()*P37/3)))^2*SUMSQ(K$8:K37) + ( (1-P38)*(1/SQRT(1-PI()*P38/3)-1) -P37*(1-1/SQRT(1-PI()*P37/3)) )^2*K38^2 + ( P38*(1-1/SQRT(1-PI()*P38/3)) - P37*(1-1/SQRT(1-PI()*P37/3)) )^2*SUMSQ(K39:K$47) ), (1/(PI()^2*H38*$J$48))*SQRT((1+P37/(1-P37))^2*K38^2+(P37/(1-P37)-P38/(1-P38))^2*SUMSQ(K39:K$47)) )</f>
        <v>1.4295473442602434E-9</v>
      </c>
      <c r="V38" s="345">
        <f t="shared" si="18"/>
        <v>1.4400832843511969E-9</v>
      </c>
      <c r="W38" s="340">
        <f t="shared" si="19"/>
        <v>4.6011401127490563</v>
      </c>
      <c r="X38" s="345">
        <f t="shared" si="20"/>
        <v>2.8801665687023937E-9</v>
      </c>
      <c r="Y38" s="338">
        <f t="shared" si="8"/>
        <v>-17.279698826070653</v>
      </c>
      <c r="Z38" s="346">
        <f t="shared" si="21"/>
        <v>4.601140112749056E-2</v>
      </c>
      <c r="AA38" s="346">
        <f t="shared" si="22"/>
        <v>0.26627432335840889</v>
      </c>
      <c r="AB38" s="346">
        <f t="shared" si="9"/>
        <v>9.202280225498112E-2</v>
      </c>
      <c r="AC38" s="336">
        <f t="shared" si="2"/>
        <v>4.0390461333109147E-12</v>
      </c>
      <c r="AD38" s="337">
        <f t="shared" si="3"/>
        <v>2.3401671420663791E-13</v>
      </c>
      <c r="AE38" s="308">
        <f t="shared" si="10"/>
        <v>5.7938608890017331</v>
      </c>
      <c r="AF38" s="337">
        <f t="shared" si="11"/>
        <v>4.6803342841327581E-13</v>
      </c>
      <c r="AG38" s="338">
        <f t="shared" si="23"/>
        <v>-26.235012557448918</v>
      </c>
      <c r="AH38" s="339">
        <f t="shared" si="24"/>
        <v>5.7938608890017333E-2</v>
      </c>
      <c r="AI38" s="340">
        <f t="shared" si="25"/>
        <v>0.22084460132483072</v>
      </c>
      <c r="AJ38" s="341">
        <f t="shared" si="12"/>
        <v>0.11587721778003467</v>
      </c>
    </row>
    <row r="39" spans="1:36" x14ac:dyDescent="0.2">
      <c r="A39" s="309">
        <v>32</v>
      </c>
      <c r="B39" s="309">
        <f t="shared" si="13"/>
        <v>33</v>
      </c>
      <c r="C39" s="1">
        <v>444.99</v>
      </c>
      <c r="D39" s="1">
        <v>0.96</v>
      </c>
      <c r="E39" s="326">
        <f t="shared" si="4"/>
        <v>13.924861447628597</v>
      </c>
      <c r="F39" s="327">
        <f t="shared" si="0"/>
        <v>1.9144012966514377E-2</v>
      </c>
      <c r="G39" s="309">
        <f t="shared" si="5"/>
        <v>1.5</v>
      </c>
      <c r="H39" s="1">
        <v>5400</v>
      </c>
      <c r="I39" s="324">
        <v>30</v>
      </c>
      <c r="J39" s="1">
        <v>3.6700000000000001E-3</v>
      </c>
      <c r="K39" s="1">
        <v>5.0000000000000002E-5</v>
      </c>
      <c r="L39" s="328">
        <f t="shared" si="6"/>
        <v>1.3623978201634876</v>
      </c>
      <c r="M39" s="329">
        <f t="shared" si="1"/>
        <v>1.0113090251752568E-3</v>
      </c>
      <c r="N39" s="342">
        <f>(1/$J$48)*SQRT(((1-J40/$J$48)*K39)^2+(J40/$J$48)^2*(SUMSQ(K$8:K38)+SUMSQ(K40:K$47)))</f>
        <v>1.7569538036742516E-5</v>
      </c>
      <c r="O39" s="340">
        <f t="shared" si="14"/>
        <v>1.737306560049513</v>
      </c>
      <c r="P39" s="332">
        <f t="shared" si="7"/>
        <v>0.41523191217318467</v>
      </c>
      <c r="Q39" s="342">
        <f>SQRT(((1-P39)/$J$48)^2*SUMSQ(K$8:K39)+(P39/$J$48)^2*SUMSQ(K40:K$47))</f>
        <v>7.2453737187696743E-3</v>
      </c>
      <c r="R39" s="340">
        <f t="shared" si="15"/>
        <v>1.7448980934171983</v>
      </c>
      <c r="S39" s="343">
        <f t="shared" si="16"/>
        <v>2.057310753566069E-8</v>
      </c>
      <c r="T39" s="344">
        <f t="shared" si="17"/>
        <v>1.1429504186478167E-10</v>
      </c>
      <c r="U39" s="344">
        <f>IF(P39&lt;=0.85, (1/(3*H39*$J$48))*SQRT( ((1-P39)*(1/SQRT(1-PI()*P39/3)-1) + (1-P38)*(1-1/SQRT(1-PI()*P38/3)))^2*SUMSQ(K$8:K38) + ( (1-P39)*(1/SQRT(1-PI()*P39/3)-1) -P38*(1-1/SQRT(1-PI()*P38/3)) )^2*K39^2 + ( P39*(1-1/SQRT(1-PI()*P39/3)) - P38*(1-1/SQRT(1-PI()*P38/3)) )^2*SUMSQ(K40:K$47) ), (1/(PI()^2*H39*$J$48))*SQRT((1+P38/(1-P38))^2*K39^2+(P38/(1-P38)-P39/(1-P39))^2*SUMSQ(K40:K$47)) )</f>
        <v>9.5655905751987906E-10</v>
      </c>
      <c r="V39" s="345">
        <f t="shared" si="18"/>
        <v>9.6336316470902682E-10</v>
      </c>
      <c r="W39" s="340">
        <f t="shared" si="19"/>
        <v>4.682633204726935</v>
      </c>
      <c r="X39" s="345">
        <f t="shared" si="20"/>
        <v>1.9267263294180536E-9</v>
      </c>
      <c r="Y39" s="338">
        <f t="shared" si="8"/>
        <v>-17.699281073439316</v>
      </c>
      <c r="Z39" s="346">
        <f t="shared" si="21"/>
        <v>4.6826332047269353E-2</v>
      </c>
      <c r="AA39" s="346">
        <f t="shared" si="22"/>
        <v>0.26456629426344308</v>
      </c>
      <c r="AB39" s="346">
        <f t="shared" si="9"/>
        <v>9.3652664094538707E-2</v>
      </c>
      <c r="AC39" s="336">
        <f t="shared" si="2"/>
        <v>2.6549512982339977E-12</v>
      </c>
      <c r="AD39" s="337">
        <f t="shared" si="3"/>
        <v>1.5554794668914236E-13</v>
      </c>
      <c r="AE39" s="308">
        <f t="shared" si="10"/>
        <v>5.8587871948012253</v>
      </c>
      <c r="AF39" s="337">
        <f t="shared" si="11"/>
        <v>3.1109589337828471E-13</v>
      </c>
      <c r="AG39" s="338">
        <f t="shared" si="23"/>
        <v>-26.654594804817577</v>
      </c>
      <c r="AH39" s="339">
        <f t="shared" si="24"/>
        <v>5.8587871948012259E-2</v>
      </c>
      <c r="AI39" s="340">
        <f t="shared" si="25"/>
        <v>0.21980402394795748</v>
      </c>
      <c r="AJ39" s="341">
        <f t="shared" si="12"/>
        <v>0.11717574389602452</v>
      </c>
    </row>
    <row r="40" spans="1:36" x14ac:dyDescent="0.2">
      <c r="A40" s="309">
        <v>33</v>
      </c>
      <c r="B40" s="309">
        <f t="shared" si="13"/>
        <v>34.5</v>
      </c>
      <c r="C40" s="1">
        <v>434.99</v>
      </c>
      <c r="D40" s="1">
        <v>0.97</v>
      </c>
      <c r="E40" s="326">
        <f t="shared" si="4"/>
        <v>14.121501398028638</v>
      </c>
      <c r="F40" s="327">
        <f t="shared" si="0"/>
        <v>1.9901540325794814E-2</v>
      </c>
      <c r="G40" s="309">
        <f t="shared" si="5"/>
        <v>1.5</v>
      </c>
      <c r="H40" s="1">
        <v>5400</v>
      </c>
      <c r="I40" s="324">
        <v>30</v>
      </c>
      <c r="J40" s="1">
        <v>2.2699999999999999E-3</v>
      </c>
      <c r="K40" s="1">
        <v>4.0000000000000003E-5</v>
      </c>
      <c r="L40" s="328">
        <f t="shared" si="6"/>
        <v>1.7621145374449341</v>
      </c>
      <c r="M40" s="329">
        <f t="shared" si="1"/>
        <v>6.2552356598033585E-4</v>
      </c>
      <c r="N40" s="342">
        <f>(1/$J$48)*SQRT(((1-J41/$J$48)*K40)^2+(J41/$J$48)^2*(SUMSQ(K$8:K39)+SUMSQ(K41:K$47)))</f>
        <v>1.5007490176715753E-5</v>
      </c>
      <c r="O40" s="340">
        <f t="shared" si="14"/>
        <v>2.3991886146120884</v>
      </c>
      <c r="P40" s="332">
        <f t="shared" si="7"/>
        <v>0.415857435739165</v>
      </c>
      <c r="Q40" s="342">
        <f>SQRT(((1-P40)/$J$48)^2*SUMSQ(K$8:K40)+(P40/$J$48)^2*SUMSQ(K41:K$47))</f>
        <v>7.2562771567385364E-3</v>
      </c>
      <c r="R40" s="340">
        <f t="shared" si="15"/>
        <v>1.7448953735409061</v>
      </c>
      <c r="S40" s="343">
        <f t="shared" si="16"/>
        <v>1.2763985025728916E-8</v>
      </c>
      <c r="T40" s="344">
        <f t="shared" si="17"/>
        <v>7.0911027920716163E-11</v>
      </c>
      <c r="U40" s="344">
        <f>IF(P40&lt;=0.85, (1/(3*H40*$J$48))*SQRT( ((1-P40)*(1/SQRT(1-PI()*P40/3)-1) + (1-P39)*(1-1/SQRT(1-PI()*P39/3)))^2*SUMSQ(K$8:K39) + ( (1-P40)*(1/SQRT(1-PI()*P40/3)-1) -P39*(1-1/SQRT(1-PI()*P39/3)) )^2*K40^2 + ( P40*(1-1/SQRT(1-PI()*P40/3)) - P39*(1-1/SQRT(1-PI()*P39/3)) )^2*SUMSQ(K41:K$47) ), (1/(PI()^2*H40*$J$48))*SQRT((1+P39/(1-P39))^2*K40^2+(P39/(1-P39)-P40/(1-P40))^2*SUMSQ(K41:K$47)) )</f>
        <v>6.1075140869515232E-10</v>
      </c>
      <c r="V40" s="345">
        <f t="shared" si="18"/>
        <v>6.148541754789387E-10</v>
      </c>
      <c r="W40" s="340">
        <f t="shared" si="19"/>
        <v>4.8171019806083333</v>
      </c>
      <c r="X40" s="345">
        <f t="shared" si="20"/>
        <v>1.2297083509578774E-9</v>
      </c>
      <c r="Y40" s="338">
        <f t="shared" si="8"/>
        <v>-18.176638301695554</v>
      </c>
      <c r="Z40" s="346">
        <f t="shared" si="21"/>
        <v>4.8171019806083334E-2</v>
      </c>
      <c r="AA40" s="346">
        <f t="shared" si="22"/>
        <v>0.26501611027595701</v>
      </c>
      <c r="AB40" s="346">
        <f t="shared" si="9"/>
        <v>9.6342039612166669E-2</v>
      </c>
      <c r="AC40" s="336">
        <f t="shared" si="2"/>
        <v>1.6471871619763064E-12</v>
      </c>
      <c r="AD40" s="337">
        <f t="shared" si="3"/>
        <v>9.8284505634354938E-14</v>
      </c>
      <c r="AE40" s="308">
        <f t="shared" si="10"/>
        <v>5.9668086240080047</v>
      </c>
      <c r="AF40" s="337">
        <f t="shared" si="11"/>
        <v>1.9656901126870988E-13</v>
      </c>
      <c r="AG40" s="338">
        <f t="shared" si="23"/>
        <v>-27.131952033073819</v>
      </c>
      <c r="AH40" s="339">
        <f t="shared" si="24"/>
        <v>5.9668086240080041E-2</v>
      </c>
      <c r="AI40" s="340">
        <f t="shared" si="25"/>
        <v>0.21991814730965434</v>
      </c>
      <c r="AJ40" s="341">
        <f t="shared" si="12"/>
        <v>0.11933617248016008</v>
      </c>
    </row>
    <row r="41" spans="1:36" x14ac:dyDescent="0.2">
      <c r="A41" s="309">
        <v>34</v>
      </c>
      <c r="B41" s="309">
        <f t="shared" si="13"/>
        <v>36</v>
      </c>
      <c r="C41" s="1">
        <v>424.99</v>
      </c>
      <c r="D41" s="1">
        <v>0.9</v>
      </c>
      <c r="E41" s="326">
        <f t="shared" si="4"/>
        <v>14.323774601082878</v>
      </c>
      <c r="F41" s="327">
        <f t="shared" si="0"/>
        <v>1.9005920275744582E-2</v>
      </c>
      <c r="G41" s="309">
        <f t="shared" si="5"/>
        <v>1.5</v>
      </c>
      <c r="H41" s="1">
        <v>5400</v>
      </c>
      <c r="I41" s="324">
        <v>30</v>
      </c>
      <c r="J41" s="1">
        <v>2.1199999999999999E-3</v>
      </c>
      <c r="K41" s="1">
        <v>4.0000000000000003E-5</v>
      </c>
      <c r="L41" s="328">
        <f t="shared" si="6"/>
        <v>1.8867924528301889</v>
      </c>
      <c r="M41" s="329">
        <f t="shared" si="1"/>
        <v>5.8418940963802298E-4</v>
      </c>
      <c r="N41" s="342">
        <f>(1/$J$48)*SQRT(((1-J42/$J$48)*K41)^2+(J42/$J$48)^2*(SUMSQ(K$8:K40)+SUMSQ(K42:K$47)))</f>
        <v>1.4158728177571498E-5</v>
      </c>
      <c r="O41" s="340">
        <f t="shared" si="14"/>
        <v>2.4236536890226352</v>
      </c>
      <c r="P41" s="332">
        <f t="shared" si="7"/>
        <v>0.41644162514880301</v>
      </c>
      <c r="Q41" s="342">
        <f>SQRT(((1-P41)/$J$48)^2*SUMSQ(K$8:K41)+(P41/$J$48)^2*SUMSQ(K42:K$47))</f>
        <v>7.2664602023012606E-3</v>
      </c>
      <c r="R41" s="340">
        <f t="shared" si="15"/>
        <v>1.7448928645653055</v>
      </c>
      <c r="S41" s="343">
        <f t="shared" si="16"/>
        <v>1.1947475144924166E-8</v>
      </c>
      <c r="T41" s="344">
        <f t="shared" si="17"/>
        <v>6.6374861916245366E-11</v>
      </c>
      <c r="U41" s="344">
        <f>IF(P41&lt;=0.85, (1/(3*H41*$J$48))*SQRT( ((1-P41)*(1/SQRT(1-PI()*P41/3)-1) + (1-P40)*(1-1/SQRT(1-PI()*P40/3)))^2*SUMSQ(K$8:K40) + ( (1-P41)*(1/SQRT(1-PI()*P41/3)-1) -P40*(1-1/SQRT(1-PI()*P40/3)) )^2*K41^2 + ( P41*(1-1/SQRT(1-PI()*P41/3)) - P40*(1-1/SQRT(1-PI()*P40/3)) )^2*SUMSQ(K42:K$47) ), (1/(PI()^2*H41*$J$48))*SQRT((1+P40/(1-P40))^2*K41^2+(P40/(1-P40)-P41/(1-P41))^2*SUMSQ(K42:K$47)) )</f>
        <v>5.7759310624292722E-10</v>
      </c>
      <c r="V41" s="345">
        <f t="shared" si="18"/>
        <v>5.8139437447721663E-10</v>
      </c>
      <c r="W41" s="340">
        <f t="shared" si="19"/>
        <v>4.8662530570253537</v>
      </c>
      <c r="X41" s="345">
        <f t="shared" si="20"/>
        <v>1.1627887489544333E-9</v>
      </c>
      <c r="Y41" s="338">
        <f t="shared" si="8"/>
        <v>-18.242745865836284</v>
      </c>
      <c r="Z41" s="346">
        <f t="shared" si="21"/>
        <v>4.8662530570253541E-2</v>
      </c>
      <c r="AA41" s="346">
        <f t="shared" si="22"/>
        <v>0.26675003274252296</v>
      </c>
      <c r="AB41" s="346">
        <f t="shared" si="9"/>
        <v>9.7325061140507083E-2</v>
      </c>
      <c r="AC41" s="336">
        <f t="shared" si="2"/>
        <v>1.5418168884624055E-12</v>
      </c>
      <c r="AD41" s="337">
        <f t="shared" si="3"/>
        <v>9.2610142949340592E-14</v>
      </c>
      <c r="AE41" s="308">
        <f t="shared" si="10"/>
        <v>6.0065591214075438</v>
      </c>
      <c r="AF41" s="337">
        <f t="shared" si="11"/>
        <v>1.8522028589868118E-13</v>
      </c>
      <c r="AG41" s="338">
        <f t="shared" si="23"/>
        <v>-27.198059597214549</v>
      </c>
      <c r="AH41" s="339">
        <f t="shared" si="24"/>
        <v>6.0065591214075439E-2</v>
      </c>
      <c r="AI41" s="340">
        <f t="shared" si="25"/>
        <v>0.22084513418827484</v>
      </c>
      <c r="AJ41" s="341">
        <f t="shared" si="12"/>
        <v>0.12013118242815088</v>
      </c>
    </row>
    <row r="42" spans="1:36" x14ac:dyDescent="0.2">
      <c r="A42" s="309">
        <v>35</v>
      </c>
      <c r="B42" s="309">
        <f t="shared" si="13"/>
        <v>37.5</v>
      </c>
      <c r="C42" s="1">
        <v>414.99</v>
      </c>
      <c r="D42" s="1">
        <v>0.9</v>
      </c>
      <c r="E42" s="326">
        <f t="shared" si="4"/>
        <v>14.531926642834307</v>
      </c>
      <c r="F42" s="327">
        <f t="shared" si="0"/>
        <v>1.9570006831400137E-2</v>
      </c>
      <c r="G42" s="309">
        <f t="shared" si="5"/>
        <v>1.5</v>
      </c>
      <c r="H42" s="1">
        <v>5400</v>
      </c>
      <c r="I42" s="324">
        <v>30</v>
      </c>
      <c r="J42" s="1">
        <v>1.8500000000000001E-3</v>
      </c>
      <c r="K42" s="1">
        <v>3.0000000000000001E-5</v>
      </c>
      <c r="L42" s="328">
        <f t="shared" si="6"/>
        <v>1.6216216216216217</v>
      </c>
      <c r="M42" s="329">
        <f t="shared" si="1"/>
        <v>5.0978792822185966E-4</v>
      </c>
      <c r="N42" s="342">
        <f>(1/$J$48)*SQRT(((1-J43/$J$48)*K42)^2+(J43/$J$48)^2*(SUMSQ(K$8:K41)+SUMSQ(K43:K$47)))</f>
        <v>1.0780090269582223E-5</v>
      </c>
      <c r="O42" s="340">
        <f t="shared" si="14"/>
        <v>2.1146225072812488</v>
      </c>
      <c r="P42" s="332">
        <f t="shared" si="7"/>
        <v>0.41695141307702488</v>
      </c>
      <c r="Q42" s="342">
        <f>SQRT(((1-P42)/$J$48)^2*SUMSQ(K$8:K42)+(P42/$J$48)^2*SUMSQ(K43:K$47))</f>
        <v>7.2753459244842668E-3</v>
      </c>
      <c r="R42" s="340">
        <f t="shared" si="15"/>
        <v>1.7448905786872262</v>
      </c>
      <c r="S42" s="343">
        <f t="shared" si="16"/>
        <v>1.0447144850861594E-8</v>
      </c>
      <c r="T42" s="344">
        <f t="shared" si="17"/>
        <v>5.8039693615897725E-11</v>
      </c>
      <c r="U42" s="344">
        <f>IF(P42&lt;=0.85, (1/(3*H42*$J$48))*SQRT( ((1-P42)*(1/SQRT(1-PI()*P42/3)-1) + (1-P41)*(1-1/SQRT(1-PI()*P41/3)))^2*SUMSQ(K$8:K41) + ( (1-P42)*(1/SQRT(1-PI()*P42/3)-1) -P41*(1-1/SQRT(1-PI()*P41/3)) )^2*K42^2 + ( P42*(1-1/SQRT(1-PI()*P42/3)) - P41*(1-1/SQRT(1-PI()*P41/3)) )^2*SUMSQ(K43:K$47) ), (1/(PI()^2*H42*$J$48))*SQRT((1+P41/(1-P41))^2*K42^2+(P41/(1-P41)-P42/(1-P42))^2*SUMSQ(K43:K$47)) )</f>
        <v>4.9512948522241099E-10</v>
      </c>
      <c r="V42" s="345">
        <f t="shared" si="18"/>
        <v>4.9851962165158253E-10</v>
      </c>
      <c r="W42" s="340">
        <f t="shared" si="19"/>
        <v>4.77182645371734</v>
      </c>
      <c r="X42" s="345">
        <f t="shared" si="20"/>
        <v>9.9703924330316507E-10</v>
      </c>
      <c r="Y42" s="338">
        <f t="shared" si="8"/>
        <v>-18.376937115880224</v>
      </c>
      <c r="Z42" s="346">
        <f t="shared" si="21"/>
        <v>4.7718264537173399E-2</v>
      </c>
      <c r="AA42" s="346">
        <f t="shared" si="22"/>
        <v>0.25966386148178194</v>
      </c>
      <c r="AB42" s="346">
        <f t="shared" si="9"/>
        <v>9.5436529074346799E-2</v>
      </c>
      <c r="AC42" s="336">
        <f t="shared" si="2"/>
        <v>1.3481998641457483E-12</v>
      </c>
      <c r="AD42" s="337">
        <f t="shared" si="3"/>
        <v>7.9952527610540484E-14</v>
      </c>
      <c r="AE42" s="308">
        <f t="shared" si="10"/>
        <v>5.9303171389355036</v>
      </c>
      <c r="AF42" s="337">
        <f t="shared" si="11"/>
        <v>1.5990505522108097E-13</v>
      </c>
      <c r="AG42" s="338">
        <f t="shared" si="23"/>
        <v>-27.332250847258486</v>
      </c>
      <c r="AH42" s="339">
        <f t="shared" si="24"/>
        <v>5.9303171389355036E-2</v>
      </c>
      <c r="AI42" s="340">
        <f t="shared" si="25"/>
        <v>0.21697141490746757</v>
      </c>
      <c r="AJ42" s="341">
        <f t="shared" si="12"/>
        <v>0.11860634277871007</v>
      </c>
    </row>
    <row r="43" spans="1:36" x14ac:dyDescent="0.2">
      <c r="A43" s="309">
        <v>36</v>
      </c>
      <c r="B43" s="309">
        <f t="shared" si="13"/>
        <v>39</v>
      </c>
      <c r="C43" s="1">
        <v>405</v>
      </c>
      <c r="D43" s="1">
        <v>0.89</v>
      </c>
      <c r="E43" s="326">
        <f t="shared" si="4"/>
        <v>14.746000147460002</v>
      </c>
      <c r="F43" s="327">
        <f t="shared" si="0"/>
        <v>1.8685968293805207E-2</v>
      </c>
      <c r="G43" s="309">
        <f t="shared" si="5"/>
        <v>1.5</v>
      </c>
      <c r="H43" s="1">
        <v>5400</v>
      </c>
      <c r="I43" s="324">
        <v>30</v>
      </c>
      <c r="J43" s="1">
        <v>1.4400000000000001E-3</v>
      </c>
      <c r="K43" s="1">
        <v>2.0000000000000002E-5</v>
      </c>
      <c r="L43" s="328">
        <f t="shared" si="6"/>
        <v>1.3888888888888891</v>
      </c>
      <c r="M43" s="329">
        <f t="shared" si="1"/>
        <v>3.9680790088620434E-4</v>
      </c>
      <c r="N43" s="342">
        <f>(1/$J$48)*SQRT(((1-J44/$J$48)*K43)^2+(J44/$J$48)^2*(SUMSQ(K$8:K42)+SUMSQ(K44:K$47)))</f>
        <v>6.3584504894770977E-6</v>
      </c>
      <c r="O43" s="340">
        <f t="shared" si="14"/>
        <v>1.6024001727981116</v>
      </c>
      <c r="P43" s="332">
        <f t="shared" si="7"/>
        <v>0.41734822097791108</v>
      </c>
      <c r="Q43" s="342">
        <f>SQRT(((1-P43)/$J$48)^2*SUMSQ(K$8:K43)+(P43/$J$48)^2*SUMSQ(K44:K$47))</f>
        <v>7.2822621264784634E-3</v>
      </c>
      <c r="R43" s="340">
        <f t="shared" si="15"/>
        <v>1.7448887428859774</v>
      </c>
      <c r="S43" s="343">
        <f t="shared" si="16"/>
        <v>8.1455788007684114E-9</v>
      </c>
      <c r="T43" s="344">
        <f t="shared" si="17"/>
        <v>4.5253215559824517E-11</v>
      </c>
      <c r="U43" s="344">
        <f>IF(P43&lt;=0.85, (1/(3*H43*$J$48))*SQRT( ((1-P43)*(1/SQRT(1-PI()*P43/3)-1) + (1-P42)*(1-1/SQRT(1-PI()*P42/3)))^2*SUMSQ(K$8:K42) + ( (1-P43)*(1/SQRT(1-PI()*P43/3)-1) -P42*(1-1/SQRT(1-PI()*P42/3)) )^2*K43^2 + ( P43*(1-1/SQRT(1-PI()*P43/3)) - P42*(1-1/SQRT(1-PI()*P42/3)) )^2*SUMSQ(K44:K$47) ), (1/(PI()^2*H43*$J$48))*SQRT((1+P42/(1-P42))^2*K43^2+(P42/(1-P42)-P43/(1-P43))^2*SUMSQ(K44:K$47)) )</f>
        <v>3.8012721926102076E-10</v>
      </c>
      <c r="V43" s="345">
        <f t="shared" si="18"/>
        <v>3.8281138481192023E-10</v>
      </c>
      <c r="W43" s="340">
        <f t="shared" si="19"/>
        <v>4.6996216496709575</v>
      </c>
      <c r="X43" s="345">
        <f t="shared" si="20"/>
        <v>7.6562276962384047E-10</v>
      </c>
      <c r="Y43" s="338">
        <f t="shared" si="8"/>
        <v>-18.625790535321624</v>
      </c>
      <c r="Z43" s="346">
        <f t="shared" si="21"/>
        <v>4.6996216496709577E-2</v>
      </c>
      <c r="AA43" s="346">
        <f t="shared" si="22"/>
        <v>0.25231796957872349</v>
      </c>
      <c r="AB43" s="346">
        <f t="shared" si="9"/>
        <v>9.3992432993419153E-2</v>
      </c>
      <c r="AC43" s="336">
        <f t="shared" si="2"/>
        <v>1.0511836860076431E-12</v>
      </c>
      <c r="AD43" s="337">
        <f t="shared" si="3"/>
        <v>6.1729438291108246E-14</v>
      </c>
      <c r="AE43" s="308">
        <f t="shared" si="10"/>
        <v>5.8723740781741371</v>
      </c>
      <c r="AF43" s="337">
        <f t="shared" si="11"/>
        <v>1.2345887658221649E-13</v>
      </c>
      <c r="AG43" s="338">
        <f t="shared" si="23"/>
        <v>-27.581104266699889</v>
      </c>
      <c r="AH43" s="339">
        <f t="shared" si="24"/>
        <v>5.872374078174137E-2</v>
      </c>
      <c r="AI43" s="340">
        <f t="shared" si="25"/>
        <v>0.21291294291157736</v>
      </c>
      <c r="AJ43" s="341">
        <f t="shared" si="12"/>
        <v>0.11744748156348274</v>
      </c>
    </row>
    <row r="44" spans="1:36" x14ac:dyDescent="0.2">
      <c r="A44" s="309">
        <v>37</v>
      </c>
      <c r="B44" s="309">
        <f t="shared" si="13"/>
        <v>40.5</v>
      </c>
      <c r="C44" s="1">
        <v>416.99</v>
      </c>
      <c r="D44" s="1">
        <v>0.53</v>
      </c>
      <c r="E44" s="326">
        <f t="shared" si="4"/>
        <v>14.489813660996321</v>
      </c>
      <c r="F44" s="327">
        <f t="shared" si="0"/>
        <v>1.0812001297613148E-2</v>
      </c>
      <c r="G44" s="309">
        <f t="shared" si="5"/>
        <v>1.5</v>
      </c>
      <c r="H44" s="1">
        <v>5400</v>
      </c>
      <c r="I44" s="324">
        <v>30</v>
      </c>
      <c r="J44" s="1">
        <v>6.6E-4</v>
      </c>
      <c r="K44" s="1">
        <v>1.0000000000000001E-5</v>
      </c>
      <c r="L44" s="328">
        <f t="shared" si="6"/>
        <v>1.5151515151515154</v>
      </c>
      <c r="M44" s="329">
        <f t="shared" si="1"/>
        <v>1.8187028790617697E-4</v>
      </c>
      <c r="N44" s="342">
        <f>(1/$J$48)*SQRT(((1-J45/$J$48)*K44)^2+(J45/$J$48)^2*(SUMSQ(K$8:K43)+SUMSQ(K45:K$47)))</f>
        <v>8.487765639592535E-6</v>
      </c>
      <c r="O44" s="340">
        <f t="shared" si="14"/>
        <v>4.6669336356751101</v>
      </c>
      <c r="P44" s="332">
        <f t="shared" si="7"/>
        <v>0.41753009126581725</v>
      </c>
      <c r="Q44" s="342">
        <f>SQRT(((1-P44)/$J$48)^2*SUMSQ(K$8:K44)+(P44/$J$48)^2*SUMSQ(K45:K$47))</f>
        <v>7.2854319837959954E-3</v>
      </c>
      <c r="R44" s="340">
        <f t="shared" si="15"/>
        <v>1.7448878862141179</v>
      </c>
      <c r="S44" s="343">
        <f t="shared" si="16"/>
        <v>3.7374161224942802E-9</v>
      </c>
      <c r="T44" s="344">
        <f t="shared" si="17"/>
        <v>2.0763422902746E-11</v>
      </c>
      <c r="U44" s="344">
        <f>IF(P44&lt;=0.85, (1/(3*H44*$J$48))*SQRT( ((1-P44)*(1/SQRT(1-PI()*P44/3)-1) + (1-P43)*(1-1/SQRT(1-PI()*P43/3)))^2*SUMSQ(K$8:K43) + ( (1-P44)*(1/SQRT(1-PI()*P44/3)-1) -P43*(1-1/SQRT(1-PI()*P43/3)) )^2*K44^2 + ( P44*(1-1/SQRT(1-PI()*P44/3)) - P43*(1-1/SQRT(1-PI()*P43/3)) )^2*SUMSQ(K45:K$47) ), (1/(PI()^2*H44*$J$48))*SQRT((1+P43/(1-P43))^2*K44^2+(P43/(1-P43)-P44/(1-P44))^2*SUMSQ(K45:K$47)) )</f>
        <v>1.7591745467042884E-10</v>
      </c>
      <c r="V44" s="345">
        <f t="shared" si="18"/>
        <v>1.771385632445986E-10</v>
      </c>
      <c r="W44" s="340">
        <f t="shared" si="19"/>
        <v>4.7395996977285932</v>
      </c>
      <c r="X44" s="345">
        <f t="shared" si="20"/>
        <v>3.542771264891972E-10</v>
      </c>
      <c r="Y44" s="338">
        <f t="shared" si="8"/>
        <v>-19.404871340623433</v>
      </c>
      <c r="Z44" s="346">
        <f t="shared" si="21"/>
        <v>4.7395996977285929E-2</v>
      </c>
      <c r="AA44" s="346">
        <f t="shared" si="22"/>
        <v>0.2442479321059142</v>
      </c>
      <c r="AB44" s="346">
        <f t="shared" si="9"/>
        <v>9.4791993954571857E-2</v>
      </c>
      <c r="AC44" s="336">
        <f t="shared" si="2"/>
        <v>4.8231205564143788E-13</v>
      </c>
      <c r="AD44" s="337">
        <f t="shared" si="3"/>
        <v>2.8477714536144149E-14</v>
      </c>
      <c r="AE44" s="308">
        <f t="shared" si="10"/>
        <v>5.9044169025115876</v>
      </c>
      <c r="AF44" s="337">
        <f t="shared" si="11"/>
        <v>5.6955429072288298E-14</v>
      </c>
      <c r="AG44" s="338">
        <f t="shared" si="23"/>
        <v>-28.360185072001698</v>
      </c>
      <c r="AH44" s="339">
        <f t="shared" si="24"/>
        <v>5.9044169025115868E-2</v>
      </c>
      <c r="AI44" s="340">
        <f t="shared" si="25"/>
        <v>0.20819387770288786</v>
      </c>
      <c r="AJ44" s="341">
        <f t="shared" si="12"/>
        <v>0.11808833805023174</v>
      </c>
    </row>
    <row r="45" spans="1:36" x14ac:dyDescent="0.2">
      <c r="A45" s="309">
        <v>38</v>
      </c>
      <c r="B45" s="309">
        <f t="shared" si="13"/>
        <v>42</v>
      </c>
      <c r="C45" s="1">
        <v>426.99</v>
      </c>
      <c r="D45" s="1">
        <v>0.53</v>
      </c>
      <c r="E45" s="326">
        <f t="shared" si="4"/>
        <v>14.282857714171453</v>
      </c>
      <c r="F45" s="327">
        <f t="shared" si="0"/>
        <v>1.0509641890900831E-2</v>
      </c>
      <c r="G45" s="309">
        <f t="shared" si="5"/>
        <v>1.5</v>
      </c>
      <c r="H45" s="1">
        <v>5400</v>
      </c>
      <c r="I45" s="324">
        <v>30</v>
      </c>
      <c r="J45" s="1">
        <v>1.67E-3</v>
      </c>
      <c r="K45" s="1">
        <v>2.0000000000000002E-5</v>
      </c>
      <c r="L45" s="328">
        <f t="shared" si="6"/>
        <v>1.1976047904191618</v>
      </c>
      <c r="M45" s="329">
        <f t="shared" si="1"/>
        <v>4.6018694061108415E-4</v>
      </c>
      <c r="N45" s="342">
        <f>(1/$J$48)*SQRT(((1-J46/$J$48)*K45)^2+(J46/$J$48)^2*(SUMSQ(K$8:K44)+SUMSQ(K46:K$47)))</f>
        <v>1.1458275363077315E-5</v>
      </c>
      <c r="O45" s="340">
        <f t="shared" si="14"/>
        <v>2.4899175426103626</v>
      </c>
      <c r="P45" s="332">
        <f t="shared" si="7"/>
        <v>0.41799027820642831</v>
      </c>
      <c r="Q45" s="342">
        <f>SQRT(((1-P45)/$J$48)^2*SUMSQ(K$8:K45)+(P45/$J$48)^2*SUMSQ(K46:K$47))</f>
        <v>7.293452819040978E-3</v>
      </c>
      <c r="R45" s="340">
        <f t="shared" si="15"/>
        <v>1.7448857543617413</v>
      </c>
      <c r="S45" s="343">
        <f t="shared" si="16"/>
        <v>9.4681085351172455E-9</v>
      </c>
      <c r="T45" s="344">
        <f t="shared" si="17"/>
        <v>5.2600602972873559E-11</v>
      </c>
      <c r="U45" s="344">
        <f>IF(P45&lt;=0.85, (1/(3*H45*$J$48))*SQRT( ((1-P45)*(1/SQRT(1-PI()*P45/3)-1) + (1-P44)*(1-1/SQRT(1-PI()*P44/3)))^2*SUMSQ(K$8:K44) + ( (1-P45)*(1/SQRT(1-PI()*P45/3)-1) -P44*(1-1/SQRT(1-PI()*P44/3)) )^2*K45^2 + ( P45*(1-1/SQRT(1-PI()*P45/3)) - P44*(1-1/SQRT(1-PI()*P44/3)) )^2*SUMSQ(K46:K$47) ), (1/(PI()^2*H45*$J$48))*SQRT((1+P44/(1-P44))^2*K45^2+(P44/(1-P44)-P45/(1-P45))^2*SUMSQ(K46:K$47)) )</f>
        <v>4.3702009915350817E-10</v>
      </c>
      <c r="V45" s="345">
        <f t="shared" si="18"/>
        <v>4.4017427287070285E-10</v>
      </c>
      <c r="W45" s="340">
        <f t="shared" si="19"/>
        <v>4.6490201420705626</v>
      </c>
      <c r="X45" s="345">
        <f t="shared" si="20"/>
        <v>8.803485457414057E-10</v>
      </c>
      <c r="Y45" s="338">
        <f t="shared" si="8"/>
        <v>-18.47533668199776</v>
      </c>
      <c r="Z45" s="346">
        <f t="shared" si="21"/>
        <v>4.6490201420705625E-2</v>
      </c>
      <c r="AA45" s="346">
        <f t="shared" si="22"/>
        <v>0.25163385231298846</v>
      </c>
      <c r="AB45" s="346">
        <f t="shared" si="9"/>
        <v>9.298040284141125E-2</v>
      </c>
      <c r="AC45" s="336">
        <f t="shared" si="2"/>
        <v>1.2218556192134664E-12</v>
      </c>
      <c r="AD45" s="337">
        <f t="shared" si="3"/>
        <v>7.1258093786106746E-14</v>
      </c>
      <c r="AE45" s="308">
        <f t="shared" si="10"/>
        <v>5.8319569567455973</v>
      </c>
      <c r="AF45" s="337">
        <f t="shared" si="11"/>
        <v>1.4251618757221349E-13</v>
      </c>
      <c r="AG45" s="338">
        <f t="shared" si="23"/>
        <v>-27.430650413376025</v>
      </c>
      <c r="AH45" s="339">
        <f t="shared" si="24"/>
        <v>5.8319569567455973E-2</v>
      </c>
      <c r="AI45" s="340">
        <f t="shared" si="25"/>
        <v>0.21260731586232301</v>
      </c>
      <c r="AJ45" s="341">
        <f t="shared" si="12"/>
        <v>0.11663913913491195</v>
      </c>
    </row>
    <row r="46" spans="1:36" x14ac:dyDescent="0.2">
      <c r="A46" s="309">
        <v>39</v>
      </c>
      <c r="B46" s="309">
        <f t="shared" si="13"/>
        <v>43.5</v>
      </c>
      <c r="C46" s="1">
        <v>436.99</v>
      </c>
      <c r="D46" s="1">
        <v>0.61</v>
      </c>
      <c r="E46" s="326">
        <f t="shared" si="4"/>
        <v>14.08173036302701</v>
      </c>
      <c r="F46" s="327">
        <f t="shared" si="0"/>
        <v>8.1757466542515964E-2</v>
      </c>
      <c r="G46" s="309">
        <f t="shared" si="5"/>
        <v>1.5</v>
      </c>
      <c r="H46" s="1">
        <v>5400</v>
      </c>
      <c r="I46" s="324">
        <v>30</v>
      </c>
      <c r="J46" s="1">
        <v>2.0899999999999998E-3</v>
      </c>
      <c r="K46" s="1">
        <v>3.0000000000000001E-5</v>
      </c>
      <c r="L46" s="328">
        <f t="shared" si="6"/>
        <v>1.4354066985645935</v>
      </c>
      <c r="M46" s="329">
        <f t="shared" si="1"/>
        <v>5.7592257836956034E-4</v>
      </c>
      <c r="N46" s="342">
        <f>(1/$J$48)*SQRT(((1-J47/$J$48)*K46)^2+(J47/$J$48)^2*(SUMSQ(K$8:K45)+SUMSQ(K47:K$47)))</f>
        <v>1.0143710499403271E-2</v>
      </c>
      <c r="O46" s="340"/>
      <c r="P46" s="332"/>
      <c r="Q46" s="342"/>
      <c r="R46" s="340"/>
      <c r="S46" s="343"/>
      <c r="T46" s="344"/>
      <c r="U46" s="344"/>
      <c r="V46" s="345"/>
      <c r="W46" s="340"/>
      <c r="X46" s="345"/>
      <c r="Y46" s="338"/>
      <c r="Z46" s="346"/>
      <c r="AA46" s="346"/>
      <c r="AB46" s="346"/>
      <c r="AC46" s="336"/>
      <c r="AD46" s="337"/>
      <c r="AE46" s="308"/>
      <c r="AF46" s="337"/>
      <c r="AG46" s="338"/>
      <c r="AH46" s="339"/>
      <c r="AI46" s="340"/>
      <c r="AJ46" s="341"/>
    </row>
    <row r="47" spans="1:36" x14ac:dyDescent="0.2">
      <c r="J47" s="338">
        <v>2.11</v>
      </c>
      <c r="K47" s="346">
        <f>IF(J47&lt;0.06,J47*0.1,IF(J47&lt;0.2,J47*0.06,J47*0.03))</f>
        <v>6.3299999999999995E-2</v>
      </c>
      <c r="L47" s="328"/>
      <c r="M47" s="329">
        <f t="shared" si="1"/>
        <v>0.58143379921520211</v>
      </c>
      <c r="N47" s="342"/>
      <c r="O47" s="340"/>
      <c r="P47" s="332"/>
      <c r="Q47" s="342"/>
      <c r="R47" s="340"/>
      <c r="S47" s="343"/>
      <c r="T47" s="344"/>
      <c r="U47" s="344"/>
      <c r="V47" s="345"/>
      <c r="W47" s="340"/>
      <c r="X47" s="345"/>
      <c r="Y47" s="338"/>
      <c r="Z47" s="346"/>
      <c r="AA47" s="346"/>
      <c r="AB47" s="346"/>
      <c r="AC47" s="336"/>
      <c r="AD47" s="337"/>
      <c r="AE47" s="308"/>
      <c r="AF47" s="337"/>
      <c r="AG47" s="338"/>
      <c r="AH47" s="339"/>
      <c r="AI47" s="340"/>
      <c r="AJ47" s="341"/>
    </row>
    <row r="48" spans="1:36" x14ac:dyDescent="0.2">
      <c r="J48" s="120">
        <f>SUM(J8:J47)</f>
        <v>3.6289600000000002</v>
      </c>
      <c r="K48" s="346">
        <f>SQRT(SUMSQ(K8:K47))</f>
        <v>6.3310942182216806E-2</v>
      </c>
      <c r="L48" s="328"/>
      <c r="M48" s="329"/>
      <c r="N48" s="342"/>
      <c r="O48" s="340"/>
      <c r="P48" s="332"/>
      <c r="Q48" s="342"/>
      <c r="R48" s="340"/>
      <c r="S48" s="343"/>
      <c r="T48" s="344"/>
      <c r="U48" s="344"/>
      <c r="V48" s="345"/>
      <c r="W48" s="340"/>
      <c r="X48" s="345"/>
      <c r="Y48" s="338"/>
      <c r="Z48" s="346"/>
      <c r="AA48" s="346"/>
      <c r="AB48" s="346"/>
      <c r="AC48" s="336"/>
      <c r="AD48" s="337"/>
      <c r="AE48" s="308"/>
      <c r="AF48" s="337"/>
      <c r="AG48" s="338"/>
      <c r="AH48" s="339"/>
      <c r="AI48" s="340"/>
      <c r="AJ48" s="341"/>
    </row>
    <row r="49" spans="11:36" x14ac:dyDescent="0.2">
      <c r="L49" s="328"/>
      <c r="M49" s="329"/>
      <c r="N49" s="342"/>
      <c r="O49" s="340"/>
      <c r="P49" s="332"/>
      <c r="Q49" s="342"/>
      <c r="R49" s="340"/>
      <c r="S49" s="343"/>
      <c r="T49" s="344"/>
      <c r="U49" s="344"/>
      <c r="V49" s="345"/>
      <c r="W49" s="340"/>
      <c r="X49" s="345"/>
      <c r="Y49" s="338"/>
      <c r="Z49" s="346"/>
      <c r="AA49" s="346"/>
      <c r="AB49" s="346"/>
      <c r="AC49" s="336"/>
      <c r="AD49" s="337"/>
      <c r="AE49" s="308"/>
      <c r="AF49" s="337"/>
      <c r="AG49" s="338"/>
      <c r="AH49" s="339"/>
      <c r="AI49" s="340"/>
      <c r="AJ49" s="341"/>
    </row>
    <row r="50" spans="11:36" x14ac:dyDescent="0.2">
      <c r="L50" s="328"/>
      <c r="M50" s="329"/>
      <c r="N50" s="342"/>
      <c r="O50" s="340"/>
      <c r="P50" s="332"/>
      <c r="Q50" s="342"/>
      <c r="R50" s="340"/>
      <c r="S50" s="343"/>
      <c r="T50" s="344"/>
      <c r="U50" s="344"/>
      <c r="V50" s="345"/>
      <c r="W50" s="340"/>
      <c r="X50" s="345"/>
      <c r="Y50" s="338"/>
      <c r="Z50" s="346"/>
      <c r="AA50" s="346"/>
      <c r="AB50" s="346"/>
      <c r="AC50" s="336"/>
      <c r="AD50" s="337"/>
      <c r="AE50" s="308"/>
      <c r="AF50" s="337"/>
      <c r="AG50" s="338"/>
      <c r="AH50" s="339"/>
      <c r="AI50" s="340"/>
      <c r="AJ50" s="341"/>
    </row>
    <row r="51" spans="11:36" x14ac:dyDescent="0.2">
      <c r="L51" s="328"/>
      <c r="M51" s="329"/>
      <c r="N51" s="342"/>
      <c r="O51" s="340"/>
      <c r="P51" s="332"/>
      <c r="Q51" s="342"/>
      <c r="R51" s="340"/>
      <c r="S51" s="343"/>
      <c r="T51" s="344"/>
      <c r="U51" s="344"/>
      <c r="V51" s="345"/>
      <c r="W51" s="340"/>
      <c r="X51" s="345"/>
      <c r="Y51" s="338"/>
      <c r="Z51" s="346"/>
      <c r="AA51" s="346"/>
      <c r="AB51" s="346"/>
      <c r="AC51" s="336"/>
      <c r="AD51" s="337"/>
      <c r="AE51" s="308"/>
      <c r="AF51" s="337"/>
      <c r="AG51" s="338"/>
      <c r="AH51" s="339"/>
      <c r="AI51" s="340"/>
      <c r="AJ51" s="341"/>
    </row>
    <row r="52" spans="11:36" x14ac:dyDescent="0.2">
      <c r="K52" s="120"/>
      <c r="L52" s="328"/>
      <c r="M52" s="329"/>
      <c r="N52" s="342"/>
      <c r="O52" s="340"/>
      <c r="P52" s="332"/>
      <c r="Q52" s="342"/>
      <c r="R52" s="340"/>
      <c r="S52" s="343"/>
      <c r="T52" s="344"/>
      <c r="U52" s="344"/>
      <c r="V52" s="345"/>
      <c r="W52" s="340"/>
      <c r="X52" s="345"/>
      <c r="Y52" s="338"/>
      <c r="Z52" s="346"/>
      <c r="AA52" s="346"/>
      <c r="AB52" s="346"/>
      <c r="AC52" s="336"/>
      <c r="AD52" s="337"/>
      <c r="AE52" s="308"/>
      <c r="AF52" s="337"/>
      <c r="AG52" s="338"/>
      <c r="AH52" s="339"/>
      <c r="AI52" s="340"/>
      <c r="AJ52" s="341"/>
    </row>
    <row r="53" spans="11:36" x14ac:dyDescent="0.2">
      <c r="L53" s="328"/>
      <c r="M53" s="329"/>
      <c r="N53" s="342"/>
      <c r="O53" s="340"/>
      <c r="P53" s="332"/>
      <c r="Q53" s="342"/>
      <c r="R53" s="340"/>
      <c r="S53" s="343"/>
      <c r="T53" s="344"/>
      <c r="U53" s="344"/>
      <c r="V53" s="345"/>
      <c r="W53" s="340"/>
      <c r="X53" s="345"/>
      <c r="Y53" s="338"/>
      <c r="Z53" s="346"/>
      <c r="AA53" s="346"/>
      <c r="AB53" s="346"/>
      <c r="AC53" s="336"/>
      <c r="AD53" s="337"/>
      <c r="AE53" s="308"/>
      <c r="AF53" s="337"/>
      <c r="AG53" s="338"/>
      <c r="AH53" s="339"/>
      <c r="AI53" s="340"/>
      <c r="AJ53" s="341"/>
    </row>
    <row r="54" spans="11:36" x14ac:dyDescent="0.2">
      <c r="L54" s="328"/>
      <c r="M54" s="329"/>
      <c r="N54" s="342"/>
      <c r="O54" s="340"/>
      <c r="P54" s="332"/>
      <c r="Q54" s="342"/>
      <c r="R54" s="340"/>
      <c r="S54" s="343"/>
      <c r="T54" s="344"/>
      <c r="U54" s="344"/>
      <c r="V54" s="345"/>
      <c r="W54" s="340"/>
      <c r="X54" s="345"/>
      <c r="Y54" s="338"/>
      <c r="Z54" s="346"/>
      <c r="AA54" s="346"/>
      <c r="AB54" s="346"/>
      <c r="AC54" s="336"/>
      <c r="AD54" s="337"/>
      <c r="AE54" s="308"/>
      <c r="AF54" s="337"/>
      <c r="AG54" s="338"/>
      <c r="AH54" s="339"/>
      <c r="AI54" s="340"/>
      <c r="AJ54" s="341"/>
    </row>
    <row r="55" spans="11:36" x14ac:dyDescent="0.2">
      <c r="L55" s="328"/>
      <c r="M55" s="329"/>
      <c r="N55" s="342"/>
      <c r="O55" s="340"/>
      <c r="P55" s="332"/>
      <c r="Q55" s="342"/>
      <c r="R55" s="340"/>
      <c r="S55" s="343"/>
      <c r="T55" s="344"/>
      <c r="U55" s="344"/>
      <c r="V55" s="345"/>
      <c r="W55" s="340"/>
      <c r="X55" s="345"/>
      <c r="Y55" s="338"/>
      <c r="Z55" s="346"/>
      <c r="AA55" s="346"/>
      <c r="AB55" s="346"/>
      <c r="AC55" s="336"/>
      <c r="AD55" s="337"/>
      <c r="AE55" s="308"/>
      <c r="AF55" s="337"/>
      <c r="AG55" s="338"/>
      <c r="AH55" s="339"/>
      <c r="AI55" s="340"/>
      <c r="AJ55" s="341"/>
    </row>
    <row r="56" spans="11:36" x14ac:dyDescent="0.2">
      <c r="L56" s="328"/>
      <c r="M56" s="329"/>
      <c r="N56" s="342"/>
      <c r="O56" s="340"/>
      <c r="P56" s="332"/>
      <c r="Q56" s="342"/>
      <c r="R56" s="340"/>
      <c r="S56" s="343"/>
      <c r="T56" s="344"/>
      <c r="U56" s="344"/>
      <c r="V56" s="345"/>
      <c r="W56" s="340"/>
      <c r="X56" s="345"/>
      <c r="Y56" s="338"/>
      <c r="Z56" s="346"/>
      <c r="AA56" s="346"/>
      <c r="AB56" s="346"/>
      <c r="AC56" s="336"/>
      <c r="AD56" s="337"/>
      <c r="AE56" s="308"/>
      <c r="AF56" s="337"/>
      <c r="AG56" s="338"/>
      <c r="AH56" s="339"/>
      <c r="AI56" s="340"/>
      <c r="AJ56" s="341"/>
    </row>
    <row r="57" spans="11:36" x14ac:dyDescent="0.2">
      <c r="L57" s="328"/>
      <c r="M57" s="329"/>
      <c r="N57" s="342"/>
      <c r="O57" s="340"/>
      <c r="P57" s="332"/>
      <c r="Q57" s="342"/>
      <c r="R57" s="340"/>
      <c r="S57" s="343"/>
      <c r="T57" s="344"/>
      <c r="U57" s="344"/>
      <c r="V57" s="345"/>
      <c r="W57" s="340"/>
      <c r="X57" s="345"/>
      <c r="Y57" s="338"/>
      <c r="Z57" s="346"/>
      <c r="AA57" s="346"/>
      <c r="AB57" s="346"/>
      <c r="AC57" s="336"/>
      <c r="AD57" s="337"/>
      <c r="AE57" s="308"/>
      <c r="AF57" s="337"/>
      <c r="AG57" s="338"/>
      <c r="AH57" s="339"/>
      <c r="AI57" s="340"/>
      <c r="AJ57" s="341"/>
    </row>
    <row r="58" spans="11:36" x14ac:dyDescent="0.2">
      <c r="L58" s="328"/>
      <c r="M58" s="329"/>
      <c r="N58" s="342"/>
      <c r="O58" s="340"/>
      <c r="P58" s="332"/>
      <c r="Q58" s="342"/>
      <c r="R58" s="340"/>
      <c r="S58" s="343"/>
      <c r="T58" s="344"/>
      <c r="U58" s="344"/>
      <c r="V58" s="345"/>
      <c r="W58" s="340"/>
      <c r="X58" s="345"/>
      <c r="Y58" s="338"/>
      <c r="Z58" s="346"/>
      <c r="AA58" s="346"/>
      <c r="AB58" s="346"/>
      <c r="AC58" s="336"/>
      <c r="AD58" s="337"/>
      <c r="AE58" s="308"/>
      <c r="AF58" s="337"/>
      <c r="AG58" s="338"/>
      <c r="AH58" s="339"/>
      <c r="AI58" s="340"/>
      <c r="AJ58" s="341"/>
    </row>
    <row r="59" spans="11:36" x14ac:dyDescent="0.2">
      <c r="L59" s="328"/>
      <c r="M59" s="329"/>
      <c r="N59" s="342"/>
      <c r="O59" s="340"/>
      <c r="P59" s="332"/>
      <c r="Q59" s="342"/>
      <c r="R59" s="340"/>
      <c r="S59" s="343"/>
      <c r="T59" s="344"/>
      <c r="U59" s="344"/>
      <c r="V59" s="345"/>
      <c r="W59" s="340"/>
      <c r="X59" s="345"/>
      <c r="Y59" s="338"/>
      <c r="Z59" s="346"/>
      <c r="AA59" s="346"/>
      <c r="AB59" s="346"/>
      <c r="AC59" s="336"/>
      <c r="AD59" s="337"/>
      <c r="AE59" s="308"/>
      <c r="AF59" s="337"/>
      <c r="AG59" s="338"/>
      <c r="AH59" s="339"/>
      <c r="AI59" s="340"/>
      <c r="AJ59" s="341"/>
    </row>
    <row r="60" spans="11:36" x14ac:dyDescent="0.2">
      <c r="L60" s="328"/>
      <c r="M60" s="329"/>
      <c r="N60" s="342"/>
      <c r="O60" s="340"/>
      <c r="P60" s="332"/>
      <c r="Q60" s="342"/>
      <c r="R60" s="340"/>
      <c r="S60" s="343"/>
      <c r="T60" s="344"/>
      <c r="U60" s="344"/>
      <c r="V60" s="345"/>
      <c r="W60" s="340"/>
      <c r="X60" s="345"/>
      <c r="Y60" s="338"/>
      <c r="Z60" s="346"/>
      <c r="AA60" s="346"/>
      <c r="AB60" s="346"/>
      <c r="AC60" s="336"/>
      <c r="AD60" s="337"/>
      <c r="AE60" s="308"/>
      <c r="AF60" s="337"/>
      <c r="AG60" s="338"/>
      <c r="AH60" s="339"/>
      <c r="AI60" s="340"/>
      <c r="AJ60" s="341"/>
    </row>
    <row r="61" spans="11:36" x14ac:dyDescent="0.2">
      <c r="L61" s="328"/>
      <c r="M61" s="329"/>
      <c r="N61" s="342"/>
      <c r="O61" s="340"/>
      <c r="P61" s="332"/>
      <c r="Q61" s="342"/>
      <c r="R61" s="340"/>
      <c r="S61" s="343"/>
      <c r="T61" s="344"/>
      <c r="U61" s="344"/>
      <c r="V61" s="345"/>
      <c r="W61" s="340"/>
      <c r="X61" s="345"/>
      <c r="Y61" s="338"/>
      <c r="Z61" s="346"/>
      <c r="AA61" s="346"/>
      <c r="AB61" s="346"/>
      <c r="AC61" s="336"/>
      <c r="AD61" s="337"/>
      <c r="AE61" s="308"/>
      <c r="AF61" s="337"/>
      <c r="AG61" s="338"/>
      <c r="AH61" s="339"/>
      <c r="AI61" s="340"/>
      <c r="AJ61" s="341"/>
    </row>
    <row r="62" spans="11:36" x14ac:dyDescent="0.2">
      <c r="L62" s="328"/>
      <c r="M62" s="329"/>
      <c r="N62" s="342"/>
      <c r="O62" s="340"/>
      <c r="P62" s="332"/>
      <c r="Q62" s="342"/>
      <c r="R62" s="340"/>
      <c r="S62" s="343"/>
      <c r="T62" s="344"/>
      <c r="U62" s="344"/>
      <c r="V62" s="345"/>
      <c r="W62" s="340"/>
      <c r="X62" s="345"/>
      <c r="Y62" s="338"/>
      <c r="Z62" s="346"/>
      <c r="AA62" s="346"/>
      <c r="AB62" s="346"/>
      <c r="AC62" s="336"/>
      <c r="AD62" s="337"/>
      <c r="AE62" s="308"/>
      <c r="AF62" s="337"/>
      <c r="AG62" s="338"/>
      <c r="AH62" s="339"/>
      <c r="AI62" s="340"/>
      <c r="AJ62" s="341"/>
    </row>
    <row r="63" spans="11:36" x14ac:dyDescent="0.2">
      <c r="L63" s="328"/>
      <c r="M63" s="329"/>
      <c r="N63" s="342"/>
      <c r="O63" s="340"/>
      <c r="P63" s="332"/>
      <c r="Q63" s="342"/>
      <c r="R63" s="340"/>
      <c r="S63" s="343"/>
      <c r="T63" s="344"/>
      <c r="U63" s="344"/>
      <c r="V63" s="345"/>
      <c r="W63" s="340"/>
      <c r="X63" s="345"/>
      <c r="Y63" s="338"/>
      <c r="Z63" s="346"/>
      <c r="AA63" s="346"/>
      <c r="AB63" s="346"/>
      <c r="AC63" s="336"/>
      <c r="AD63" s="337"/>
      <c r="AE63" s="308"/>
      <c r="AF63" s="337"/>
      <c r="AG63" s="338"/>
      <c r="AH63" s="339"/>
      <c r="AI63" s="340"/>
      <c r="AJ63" s="341"/>
    </row>
    <row r="64" spans="11:36" x14ac:dyDescent="0.2">
      <c r="L64" s="328"/>
      <c r="M64" s="329"/>
      <c r="N64" s="342"/>
      <c r="O64" s="340"/>
      <c r="P64" s="332"/>
      <c r="Q64" s="342"/>
      <c r="R64" s="340"/>
      <c r="S64" s="343"/>
      <c r="T64" s="344"/>
      <c r="U64" s="344"/>
      <c r="V64" s="345"/>
      <c r="W64" s="340"/>
      <c r="X64" s="345"/>
      <c r="Y64" s="338"/>
      <c r="Z64" s="346"/>
      <c r="AA64" s="346"/>
      <c r="AB64" s="346"/>
      <c r="AC64" s="336"/>
      <c r="AD64" s="337"/>
      <c r="AE64" s="308"/>
      <c r="AF64" s="337"/>
      <c r="AG64" s="338"/>
      <c r="AH64" s="339"/>
      <c r="AI64" s="340"/>
      <c r="AJ64" s="341"/>
    </row>
    <row r="65" spans="12:36" x14ac:dyDescent="0.2">
      <c r="L65" s="328"/>
      <c r="M65" s="329"/>
      <c r="N65" s="342"/>
      <c r="O65" s="340"/>
      <c r="P65" s="332"/>
      <c r="Q65" s="342"/>
      <c r="R65" s="340"/>
      <c r="S65" s="343"/>
      <c r="T65" s="344"/>
      <c r="U65" s="344"/>
      <c r="V65" s="345"/>
      <c r="W65" s="340"/>
      <c r="X65" s="345"/>
      <c r="Y65" s="338"/>
      <c r="Z65" s="346"/>
      <c r="AA65" s="346"/>
      <c r="AB65" s="346"/>
      <c r="AC65" s="336"/>
      <c r="AD65" s="337"/>
      <c r="AE65" s="308"/>
      <c r="AF65" s="337"/>
      <c r="AG65" s="338"/>
      <c r="AH65" s="339"/>
      <c r="AI65" s="340"/>
      <c r="AJ65" s="34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891A-9756-9847-BE63-188E87D90EDF}">
  <dimension ref="A1:AM42"/>
  <sheetViews>
    <sheetView topLeftCell="A4" zoomScale="89" zoomScaleNormal="100" workbookViewId="0">
      <selection activeCell="AC4" sqref="AC1:AJ1048576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hidden="1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620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622</v>
      </c>
      <c r="K6" s="318" t="s">
        <v>622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1</v>
      </c>
      <c r="C8" s="1">
        <v>250</v>
      </c>
      <c r="D8" s="1">
        <v>0.76</v>
      </c>
      <c r="E8" s="326">
        <f>10000/(C8+273.15)</f>
        <v>19.114976584153684</v>
      </c>
      <c r="F8" s="327">
        <f t="shared" ref="F8:F19" si="0">SQRT((((-1)*10^4/(C9+273.15)^2)*D8)^2)</f>
        <v>2.673612565767422E-2</v>
      </c>
      <c r="G8" s="309">
        <f>H8/60/60</f>
        <v>1</v>
      </c>
      <c r="H8" s="1">
        <v>3600</v>
      </c>
      <c r="I8" s="324">
        <v>30</v>
      </c>
      <c r="J8" s="1">
        <v>5.4999999999999997E-3</v>
      </c>
      <c r="K8" s="122">
        <v>5.0000000000000002E-5</v>
      </c>
      <c r="L8" s="328">
        <f>100*(K8/J8)</f>
        <v>0.90909090909090917</v>
      </c>
      <c r="M8" s="329">
        <f t="shared" ref="M8:M19" si="1">J8/$J$21</f>
        <v>3.5603314344899009E-2</v>
      </c>
      <c r="N8" s="330">
        <f>(1/$J$21)*SQRT(((1-J9/$J$21)*K8)^2+(J9/$J$21)^2*SUMSQ(K9:K$20))</f>
        <v>7.0179294002285873E-4</v>
      </c>
      <c r="O8" s="331">
        <f>100*(N8/M8)</f>
        <v>1.9711449704496589</v>
      </c>
      <c r="P8" s="332">
        <f>M8+P7</f>
        <v>3.5603314344899009E-2</v>
      </c>
      <c r="Q8" s="330">
        <f>SQRT(((1-P8)/$J$21)^2*SUMSQ(K$8:K8)+(P8/$J$21)^2*SUMSQ(K9:K$20))</f>
        <v>1.285285964190292E-3</v>
      </c>
      <c r="R8" s="331">
        <f>100*(Q8/P8)</f>
        <v>3.6100177408748428</v>
      </c>
      <c r="S8" s="333">
        <f>IF(P8&lt;=0.85, ((2*PI()-PI()^2*P8/3-2*PI()*SQRT(1-PI()*P8/3))/PI()^2/H8), ((-1)*LN((1-P8)*PI()^2/6)/PI()^2/H8 ))</f>
        <v>3.1313915809922125E-8</v>
      </c>
      <c r="T8" s="333">
        <f>IF(P8&lt;=0.85, ABS((2/PI()-P8/3-2*SQRT(1-PI()*P8/3)/PI())*(-1)*I8/H8^2), ABS((-1)*LN((1-P8)*PI()^2/6)*(-1)*I8/PI()^2/H8^2))</f>
        <v>2.6094929841597921E-10</v>
      </c>
      <c r="U8" s="333">
        <f>IF(P8&lt;=0.85, ((1/(3*H8*$J$21))*((1/SQRT(1-PI()*P8/3))-1)*SQRT(((1-P8)*K8)^2+(-P8)^2*SUMSQ(K9:K$20))),  (1/(PI()^2*H8*$J$21))*SQRT(K8^2+(P8/(1-P8))^2*SUMSQ(K9:K$20)))</f>
        <v>2.2825574872513196E-9</v>
      </c>
      <c r="V8" s="334">
        <f>SQRT(T8^2+U8^2)</f>
        <v>2.2974253456752083E-9</v>
      </c>
      <c r="W8" s="331">
        <f>100*(V8/S8)</f>
        <v>7.3367551973402385</v>
      </c>
      <c r="X8" s="334">
        <f>V8*2</f>
        <v>4.5948506913504167E-9</v>
      </c>
      <c r="Y8" s="335">
        <f>LN(S8)</f>
        <v>-17.279203243636982</v>
      </c>
      <c r="Z8" s="335">
        <f>V8/S8</f>
        <v>7.336755197340239E-2</v>
      </c>
      <c r="AA8" s="335">
        <f>ABS(100*(Z8/Y8))</f>
        <v>0.42460031830703643</v>
      </c>
      <c r="AB8" s="335">
        <f>2*Z8</f>
        <v>0.14673510394680478</v>
      </c>
      <c r="AC8" s="336">
        <f t="shared" ref="AC8:AC19" si="2">S8*($AC$3^2)*10^(-8)</f>
        <v>4.0410483097041266E-12</v>
      </c>
      <c r="AD8" s="337">
        <f t="shared" ref="AD8:AD19" si="3">AC8*SQRT((V8/S8)^2+(2*$AD$3/$AC$3)^2)</f>
        <v>3.2885869025980125E-13</v>
      </c>
      <c r="AE8" s="308">
        <f>100*AD8/AC8</f>
        <v>8.1379549328842167</v>
      </c>
      <c r="AF8" s="337">
        <f>2*AD8</f>
        <v>6.577173805196025E-13</v>
      </c>
      <c r="AG8" s="338">
        <f>LN(AC8)</f>
        <v>-26.234516975015246</v>
      </c>
      <c r="AH8" s="339">
        <f>AD8/AC8</f>
        <v>8.1379549328842171E-2</v>
      </c>
      <c r="AI8" s="340">
        <f>ABS(100*(AH8/AG8))</f>
        <v>0.31020029606927751</v>
      </c>
      <c r="AJ8" s="341">
        <f>2*AH8</f>
        <v>0.16275909865768434</v>
      </c>
    </row>
    <row r="9" spans="1:39" x14ac:dyDescent="0.2">
      <c r="A9" s="309">
        <v>2</v>
      </c>
      <c r="B9" s="309">
        <f>G9+B8</f>
        <v>2</v>
      </c>
      <c r="C9" s="1">
        <v>260.01</v>
      </c>
      <c r="D9" s="1">
        <v>0.82</v>
      </c>
      <c r="E9" s="326">
        <f t="shared" ref="E9:E19" si="4">10000/(C9+273.15)</f>
        <v>18.756095731112612</v>
      </c>
      <c r="F9" s="327">
        <f t="shared" si="0"/>
        <v>2.780060497506744E-2</v>
      </c>
      <c r="G9" s="309">
        <f t="shared" ref="G9:G19" si="5">H9/60/60</f>
        <v>1</v>
      </c>
      <c r="H9" s="1">
        <v>3600</v>
      </c>
      <c r="I9" s="324">
        <v>30</v>
      </c>
      <c r="J9" s="1">
        <v>2.7599999999999999E-3</v>
      </c>
      <c r="K9" s="122">
        <v>4.0000000000000003E-5</v>
      </c>
      <c r="L9" s="328">
        <f t="shared" ref="L9:L21" si="6">100*(K9/J9)</f>
        <v>1.4492753623188408</v>
      </c>
      <c r="M9" s="329">
        <f t="shared" si="1"/>
        <v>1.7866390471258414E-2</v>
      </c>
      <c r="N9" s="342">
        <f>(1/$J$21)*SQRT(((1-J10/$J$21)*K9)^2+(J10/$J$21)^2*(SUMSQ(K$8:K8)+SUMSQ(K10:K$20)))</f>
        <v>1.9691106355177547E-2</v>
      </c>
      <c r="O9" s="340">
        <f>100*(N9/M9)</f>
        <v>110.21311991839954</v>
      </c>
      <c r="P9" s="332">
        <f t="shared" ref="P9:P19" si="7">M9+P8</f>
        <v>5.3469704816157426E-2</v>
      </c>
      <c r="Q9" s="342">
        <f>SQRT(((1-P9)/$J$21)^2*SUMSQ(K$8:K9)+(P9/$J$21)^2*SUMSQ(K10:K$20))</f>
        <v>1.9130872334263648E-3</v>
      </c>
      <c r="R9" s="340">
        <f>100*(Q9/P9)</f>
        <v>3.5778900220303251</v>
      </c>
      <c r="S9" s="343">
        <f>IF(P9&lt;=0.85, (((-1)*PI()^2*(P9-P8)/3-2*PI()*(SQRT(1-PI()*P9/3)-SQRT(1-PI()*P8/3)))/PI()^2/H9), ((-1)*LN((1-P9)/(1-P8))/PI()^2/H9 ))</f>
        <v>4.0001397550644584E-8</v>
      </c>
      <c r="T9" s="344">
        <f>IF(P9&lt;=0.85, ABS(((-1)*(P9-P8)/3-2*(SQRT(1-PI()*P9/3)-SQRT(1-PI()*P8/3))/PI())*(-1)*I9/H9^2), ABS((-1)*LN((1-P9)/(1-P8))*(-1)*I9/PI()^2/H9^2))</f>
        <v>3.3334497958870513E-10</v>
      </c>
      <c r="U9" s="344">
        <f>IF(P9&lt;=0.85, (1/(3*H9*$J$21))*SQRT( ((1-P9)*(1/SQRT(1-PI()*P9/3)-1) + (1-P8)*(1-1/SQRT(1-PI()*P8/3)))^2*SUMSQ(K$8:K8) + ( (1-P9)*(1/SQRT(1-PI()*P9/3)-1) -P8*(1-1/SQRT(1-PI()*P8/3)) )^2*K9^2 + ( P9*(1-1/SQRT(1-PI()*P9/3)) - P8*(1-1/SQRT(1-PI()*P8/3)) )^2*SUMSQ(K10:K$20) ), (1/(PI()^2*H9*$J$21))*SQRT((1+P8/(1-P8))^2*K9^2+(P8/(1-P8)-P9/(1-P9))^2*SUMSQ(K10:K$20)) )</f>
        <v>2.9462185985065979E-9</v>
      </c>
      <c r="V9" s="345">
        <f>SQRT(T9^2+U9^2)</f>
        <v>2.9650165101737928E-9</v>
      </c>
      <c r="W9" s="340">
        <f>100*(V9/S9)</f>
        <v>7.4122822994368471</v>
      </c>
      <c r="X9" s="345">
        <f>V9*2</f>
        <v>5.9300330203475857E-9</v>
      </c>
      <c r="Y9" s="338">
        <f t="shared" ref="Y9:Y19" si="8">LN(S9)</f>
        <v>-17.034351444676705</v>
      </c>
      <c r="Z9" s="346">
        <f>V9/S9</f>
        <v>7.4122822994368467E-2</v>
      </c>
      <c r="AA9" s="346">
        <f>ABS(100*(Z9/Y9))</f>
        <v>0.43513733548999961</v>
      </c>
      <c r="AB9" s="346">
        <f t="shared" ref="AB9:AB19" si="9">2*Z9</f>
        <v>0.14824564598873693</v>
      </c>
      <c r="AC9" s="336">
        <f t="shared" si="2"/>
        <v>5.1621643533516627E-12</v>
      </c>
      <c r="AD9" s="337">
        <f t="shared" si="3"/>
        <v>4.2361295195542779E-13</v>
      </c>
      <c r="AE9" s="308">
        <f t="shared" ref="AE9:AE19" si="10">100*AD9/AC9</f>
        <v>8.2061112928414719</v>
      </c>
      <c r="AF9" s="337">
        <f t="shared" ref="AF9:AF19" si="11">2*AD9</f>
        <v>8.4722590391085558E-13</v>
      </c>
      <c r="AG9" s="338">
        <f>LN(AC9)</f>
        <v>-25.989665176054967</v>
      </c>
      <c r="AH9" s="339">
        <f>AD9/AC9</f>
        <v>8.2061112928414726E-2</v>
      </c>
      <c r="AI9" s="340">
        <f>ABS(100*(AH9/AG9))</f>
        <v>0.31574517167700961</v>
      </c>
      <c r="AJ9" s="341">
        <f t="shared" ref="AJ9:AJ19" si="12">2*AH9</f>
        <v>0.16412222585682945</v>
      </c>
    </row>
    <row r="10" spans="1:39" x14ac:dyDescent="0.2">
      <c r="A10" s="309">
        <v>3</v>
      </c>
      <c r="B10" s="309">
        <f t="shared" ref="B10:B19" si="13">G10+B9</f>
        <v>3</v>
      </c>
      <c r="C10" s="1">
        <v>269.95</v>
      </c>
      <c r="D10" s="1">
        <v>8.83</v>
      </c>
      <c r="E10" s="326">
        <f t="shared" si="4"/>
        <v>18.41281531946235</v>
      </c>
      <c r="F10" s="327">
        <f t="shared" si="0"/>
        <v>0.28857530787514607</v>
      </c>
      <c r="G10" s="309">
        <f t="shared" si="5"/>
        <v>1</v>
      </c>
      <c r="H10" s="1">
        <v>3600</v>
      </c>
      <c r="I10" s="324">
        <v>30</v>
      </c>
      <c r="J10" s="1">
        <v>8.6860000000000007E-2</v>
      </c>
      <c r="K10" s="1">
        <v>3.2000000000000003E-4</v>
      </c>
      <c r="L10" s="328">
        <f t="shared" si="6"/>
        <v>0.36840893391664747</v>
      </c>
      <c r="M10" s="329">
        <f t="shared" si="1"/>
        <v>0.5622734334541688</v>
      </c>
      <c r="N10" s="342">
        <f>(1/$J$21)*SQRT(((1-J11/$J$21)*K10)^2+(J11/$J$21)^2*(SUMSQ(K$8:K9)+SUMSQ(K11:K$20)))</f>
        <v>2.0688160432024948E-3</v>
      </c>
      <c r="O10" s="340">
        <f t="shared" ref="O10:O19" si="14">100*(N10/M10)</f>
        <v>0.36793771857462743</v>
      </c>
      <c r="P10" s="332">
        <f t="shared" si="7"/>
        <v>0.61574313827032623</v>
      </c>
      <c r="Q10" s="342">
        <f>SQRT(((1-P10)/$J$21)^2*SUMSQ(K$8:K10)+(P10/$J$21)^2*SUMSQ(K11:K$20))</f>
        <v>2.1539908191310991E-2</v>
      </c>
      <c r="R10" s="340">
        <f t="shared" ref="R10:R19" si="15">100*(Q10/P10)</f>
        <v>3.4981970325838123</v>
      </c>
      <c r="S10" s="343">
        <f t="shared" ref="S10:S19" si="16">IF(P10&lt;=0.85, (((-1)*PI()^2*(P10-P9)/3-2*PI()*(SQRT(1-PI()*P10/3)-SQRT(1-PI()*P9/3)))/PI()^2/H10), ((-1)*LN((1-P10)/(1-P9))/PI()^2/H10 ))</f>
        <v>1.4361388669870275E-5</v>
      </c>
      <c r="T10" s="344">
        <f t="shared" ref="T10:T19" si="17">IF(P10&lt;=0.85, ABS(((-1)*(P10-P9)/3-2*(SQRT(1-PI()*P10/3)-SQRT(1-PI()*P9/3))/PI())*(-1)*I10/H10^2), ABS((-1)*LN((1-P10)/(1-P9))*(-1)*I10/PI()^2/H10^2))</f>
        <v>1.1967823891558566E-7</v>
      </c>
      <c r="U10" s="344">
        <f>IF(P10&lt;=0.85, (1/(3*H10*$J$21))*SQRT( ((1-P10)*(1/SQRT(1-PI()*P10/3)-1) + (1-P9)*(1-1/SQRT(1-PI()*P9/3)))^2*SUMSQ(K$8:K9) + ( (1-P10)*(1/SQRT(1-PI()*P10/3)-1) -P9*(1-1/SQRT(1-PI()*P9/3)) )^2*K10^2 + ( P10*(1-1/SQRT(1-PI()*P10/3)) - P9*(1-1/SQRT(1-PI()*P9/3)) )^2*SUMSQ(K11:K$20) ), (1/(PI()^2*H10*$J$21))*SQRT((1+P9/(1-P9))^2*K10^2+(P9/(1-P9)-P10/(1-P10))^2*SUMSQ(K11:K$20)) )</f>
        <v>1.3469790995782847E-6</v>
      </c>
      <c r="V10" s="345">
        <f t="shared" ref="V10:V19" si="18">SQRT(T10^2+U10^2)</f>
        <v>1.3522853158896101E-6</v>
      </c>
      <c r="W10" s="340">
        <f t="shared" ref="W10:W19" si="19">100*(V10/S10)</f>
        <v>9.4161180856184235</v>
      </c>
      <c r="X10" s="345">
        <f t="shared" ref="X10:X19" si="20">V10*2</f>
        <v>2.7045706317792201E-6</v>
      </c>
      <c r="Y10" s="338">
        <f t="shared" si="8"/>
        <v>-11.150967294989766</v>
      </c>
      <c r="Z10" s="346">
        <f t="shared" ref="Z10:Z19" si="21">V10/S10</f>
        <v>9.4161180856184232E-2</v>
      </c>
      <c r="AA10" s="346">
        <f t="shared" ref="AA10:AA19" si="22">ABS(100*(Z10/Y10))</f>
        <v>0.84442163953338589</v>
      </c>
      <c r="AB10" s="346">
        <f t="shared" si="9"/>
        <v>0.18832236171236846</v>
      </c>
      <c r="AC10" s="336">
        <f t="shared" si="2"/>
        <v>1.853331463291291E-9</v>
      </c>
      <c r="AD10" s="337">
        <f t="shared" si="3"/>
        <v>1.8631430998197498E-10</v>
      </c>
      <c r="AE10" s="308">
        <f t="shared" si="10"/>
        <v>10.052940538283609</v>
      </c>
      <c r="AF10" s="337">
        <f t="shared" si="11"/>
        <v>3.7262861996394996E-10</v>
      </c>
      <c r="AG10" s="338">
        <f t="shared" ref="AG10:AG19" si="23">LN(AC10)</f>
        <v>-20.10628102636803</v>
      </c>
      <c r="AH10" s="339">
        <f t="shared" ref="AH10:AH19" si="24">AD10/AC10</f>
        <v>0.10052940538283608</v>
      </c>
      <c r="AI10" s="340">
        <f t="shared" ref="AI10:AI19" si="25">ABS(100*(AH10/AG10))</f>
        <v>0.49999005410796038</v>
      </c>
      <c r="AJ10" s="341">
        <f t="shared" si="12"/>
        <v>0.20105881076567217</v>
      </c>
    </row>
    <row r="11" spans="1:39" x14ac:dyDescent="0.2">
      <c r="A11" s="309">
        <v>4</v>
      </c>
      <c r="B11" s="309">
        <f t="shared" si="13"/>
        <v>4</v>
      </c>
      <c r="C11" s="1">
        <v>280.01</v>
      </c>
      <c r="D11" s="1">
        <v>0.84</v>
      </c>
      <c r="E11" s="326">
        <f t="shared" si="4"/>
        <v>18.077952129582762</v>
      </c>
      <c r="F11" s="327">
        <f t="shared" si="0"/>
        <v>2.6485957969932746E-2</v>
      </c>
      <c r="G11" s="309">
        <f t="shared" si="5"/>
        <v>1</v>
      </c>
      <c r="H11" s="1">
        <v>3600</v>
      </c>
      <c r="I11" s="324">
        <v>30</v>
      </c>
      <c r="J11" s="1">
        <v>2.5999999999999998E-4</v>
      </c>
      <c r="K11" s="122">
        <v>1.0000000000000001E-5</v>
      </c>
      <c r="L11" s="328">
        <f t="shared" si="6"/>
        <v>3.8461538461538471</v>
      </c>
      <c r="M11" s="329">
        <f t="shared" si="1"/>
        <v>1.6830657690315896E-3</v>
      </c>
      <c r="N11" s="342">
        <f>(1/$J$21)*SQRT(((1-J12/$J$21)*K11)^2+(J12/$J$21)^2*(SUMSQ(K$8:K10)+SUMSQ(K12:K$20)))</f>
        <v>1.076616715948189E-4</v>
      </c>
      <c r="O11" s="340">
        <f t="shared" si="14"/>
        <v>6.396759626141395</v>
      </c>
      <c r="P11" s="332">
        <f t="shared" si="7"/>
        <v>0.61742620403935777</v>
      </c>
      <c r="Q11" s="342">
        <f>SQRT(((1-P11)/$J$21)^2*SUMSQ(K$8:K11)+(P11/$J$21)^2*SUMSQ(K12:K$20))</f>
        <v>2.159854552391435E-2</v>
      </c>
      <c r="R11" s="340">
        <f t="shared" si="15"/>
        <v>3.4981582224096135</v>
      </c>
      <c r="S11" s="343">
        <f t="shared" si="16"/>
        <v>1.0596892184102954E-7</v>
      </c>
      <c r="T11" s="344">
        <f t="shared" si="17"/>
        <v>8.8307434867524592E-10</v>
      </c>
      <c r="U11" s="344">
        <f>IF(P11&lt;=0.85, (1/(3*H11*$J$21))*SQRT( ((1-P11)*(1/SQRT(1-PI()*P11/3)-1) + (1-P10)*(1-1/SQRT(1-PI()*P10/3)))^2*SUMSQ(K$8:K10) + ( (1-P11)*(1/SQRT(1-PI()*P11/3)-1) -P10*(1-1/SQRT(1-PI()*P10/3)) )^2*K11^2 + ( P11*(1-1/SQRT(1-PI()*P11/3)) - P10*(1-1/SQRT(1-PI()*P10/3)) )^2*SUMSQ(K12:K$20) ), (1/(PI()^2*H11*$J$21))*SQRT((1+P10/(1-P10))^2*K11^2+(P10/(1-P10)-P11/(1-P11))^2*SUMSQ(K12:K$20)) )</f>
        <v>1.2711688482586733E-8</v>
      </c>
      <c r="V11" s="345">
        <f t="shared" si="18"/>
        <v>1.2742324920657784E-8</v>
      </c>
      <c r="W11" s="340">
        <f t="shared" si="19"/>
        <v>12.024586736640885</v>
      </c>
      <c r="X11" s="345">
        <f t="shared" si="20"/>
        <v>2.5484649841315568E-8</v>
      </c>
      <c r="Y11" s="338">
        <f t="shared" si="8"/>
        <v>-16.060119976001953</v>
      </c>
      <c r="Z11" s="346">
        <f t="shared" si="21"/>
        <v>0.12024586736640885</v>
      </c>
      <c r="AA11" s="346">
        <f t="shared" si="22"/>
        <v>0.74872334419722786</v>
      </c>
      <c r="AB11" s="346">
        <f t="shared" si="9"/>
        <v>0.24049173473281771</v>
      </c>
      <c r="AC11" s="336">
        <f t="shared" si="2"/>
        <v>1.3675246976016125E-11</v>
      </c>
      <c r="AD11" s="337">
        <f t="shared" si="3"/>
        <v>1.713443614871438E-12</v>
      </c>
      <c r="AE11" s="308">
        <f t="shared" si="10"/>
        <v>12.529525922833452</v>
      </c>
      <c r="AF11" s="337">
        <f t="shared" si="11"/>
        <v>3.4268872297428761E-12</v>
      </c>
      <c r="AG11" s="338">
        <f t="shared" si="23"/>
        <v>-25.015433707380218</v>
      </c>
      <c r="AH11" s="339">
        <f t="shared" si="24"/>
        <v>0.12529525922833451</v>
      </c>
      <c r="AI11" s="340">
        <f t="shared" si="25"/>
        <v>0.50087182454633628</v>
      </c>
      <c r="AJ11" s="341">
        <f t="shared" si="12"/>
        <v>0.25059051845666902</v>
      </c>
    </row>
    <row r="12" spans="1:39" x14ac:dyDescent="0.2">
      <c r="A12" s="309">
        <v>5</v>
      </c>
      <c r="B12" s="309">
        <f t="shared" si="13"/>
        <v>5</v>
      </c>
      <c r="C12" s="1">
        <v>290.01</v>
      </c>
      <c r="D12" s="1">
        <v>0.8</v>
      </c>
      <c r="E12" s="326">
        <f t="shared" si="4"/>
        <v>17.756942964699199</v>
      </c>
      <c r="F12" s="327">
        <f t="shared" si="0"/>
        <v>2.4352202080261537E-2</v>
      </c>
      <c r="G12" s="309">
        <f t="shared" si="5"/>
        <v>1</v>
      </c>
      <c r="H12" s="1">
        <v>3600</v>
      </c>
      <c r="I12" s="324">
        <v>30</v>
      </c>
      <c r="J12" s="1">
        <v>3.7999999999999899E-4</v>
      </c>
      <c r="K12" s="122">
        <v>1.0000000000000001E-5</v>
      </c>
      <c r="L12" s="328">
        <f t="shared" si="6"/>
        <v>2.6315789473684283</v>
      </c>
      <c r="M12" s="329">
        <f t="shared" si="1"/>
        <v>2.4598653547384707E-3</v>
      </c>
      <c r="N12" s="342">
        <f>(1/$J$21)*SQRT(((1-J13/$J$21)*K12)^2+(J13/$J$21)^2*(SUMSQ(K$8:K11)+SUMSQ(K13:K$20)))</f>
        <v>8.3046066451008003E-5</v>
      </c>
      <c r="O12" s="340">
        <f t="shared" si="14"/>
        <v>3.3760411435136186</v>
      </c>
      <c r="P12" s="332">
        <f t="shared" si="7"/>
        <v>0.6198860693940963</v>
      </c>
      <c r="Q12" s="342">
        <f>SQRT(((1-P12)/$J$21)^2*SUMSQ(K$8:K12)+(P12/$J$21)^2*SUMSQ(K13:K$20))</f>
        <v>2.1684258739626143E-2</v>
      </c>
      <c r="R12" s="340">
        <f t="shared" si="15"/>
        <v>3.4981038952563144</v>
      </c>
      <c r="S12" s="343">
        <f t="shared" si="16"/>
        <v>1.5605474269903185E-7</v>
      </c>
      <c r="T12" s="344">
        <f t="shared" si="17"/>
        <v>1.3004561891585986E-9</v>
      </c>
      <c r="U12" s="344">
        <f>IF(P12&lt;=0.85, (1/(3*H12*$J$21))*SQRT( ((1-P12)*(1/SQRT(1-PI()*P12/3)-1) + (1-P11)*(1-1/SQRT(1-PI()*P11/3)))^2*SUMSQ(K$8:K11) + ( (1-P12)*(1/SQRT(1-PI()*P12/3)-1) -P11*(1-1/SQRT(1-PI()*P11/3)) )^2*K12^2 + ( P12*(1-1/SQRT(1-PI()*P12/3)) - P11*(1-1/SQRT(1-PI()*P11/3)) )^2*SUMSQ(K13:K$20) ), (1/(PI()^2*H12*$J$21))*SQRT((1+P11/(1-P11))^2*K12^2+(P11/(1-P11)-P12/(1-P12))^2*SUMSQ(K13:K$20)) )</f>
        <v>1.8262297178637115E-8</v>
      </c>
      <c r="V12" s="345">
        <f t="shared" si="18"/>
        <v>1.8308541300190413E-8</v>
      </c>
      <c r="W12" s="340">
        <f t="shared" si="19"/>
        <v>11.732127446777046</v>
      </c>
      <c r="X12" s="345">
        <f t="shared" si="20"/>
        <v>3.6617082600380827E-8</v>
      </c>
      <c r="Y12" s="338">
        <f t="shared" si="8"/>
        <v>-15.673058976515666</v>
      </c>
      <c r="Z12" s="346">
        <f t="shared" si="21"/>
        <v>0.11732127446777045</v>
      </c>
      <c r="AA12" s="346">
        <f t="shared" si="22"/>
        <v>0.74855377398606948</v>
      </c>
      <c r="AB12" s="346">
        <f t="shared" si="9"/>
        <v>0.2346425489355409</v>
      </c>
      <c r="AC12" s="336">
        <f t="shared" si="2"/>
        <v>2.0138802123412977E-11</v>
      </c>
      <c r="AD12" s="337">
        <f t="shared" si="3"/>
        <v>2.4668277429100316E-12</v>
      </c>
      <c r="AE12" s="308">
        <f t="shared" si="10"/>
        <v>12.249128462522336</v>
      </c>
      <c r="AF12" s="337">
        <f t="shared" si="11"/>
        <v>4.9336554858200632E-12</v>
      </c>
      <c r="AG12" s="338">
        <f t="shared" si="23"/>
        <v>-24.628372707893931</v>
      </c>
      <c r="AH12" s="339">
        <f t="shared" si="24"/>
        <v>0.12249128462522337</v>
      </c>
      <c r="AI12" s="340">
        <f t="shared" si="25"/>
        <v>0.49735841696906846</v>
      </c>
      <c r="AJ12" s="341">
        <f t="shared" si="12"/>
        <v>0.24498256925044673</v>
      </c>
    </row>
    <row r="13" spans="1:39" x14ac:dyDescent="0.2">
      <c r="A13" s="309">
        <v>6</v>
      </c>
      <c r="B13" s="309">
        <f t="shared" si="13"/>
        <v>6</v>
      </c>
      <c r="C13" s="1">
        <v>300.01</v>
      </c>
      <c r="D13" s="1">
        <v>0.77</v>
      </c>
      <c r="E13" s="326">
        <f t="shared" si="4"/>
        <v>17.447135180403379</v>
      </c>
      <c r="F13" s="327">
        <f t="shared" si="0"/>
        <v>2.2642025261574675E-2</v>
      </c>
      <c r="G13" s="309">
        <f t="shared" si="5"/>
        <v>1</v>
      </c>
      <c r="H13" s="1">
        <v>3600</v>
      </c>
      <c r="I13" s="324">
        <v>30</v>
      </c>
      <c r="J13" s="1">
        <v>2.29999999999999E-4</v>
      </c>
      <c r="K13" s="122">
        <v>1.0000000000000001E-5</v>
      </c>
      <c r="L13" s="328">
        <f t="shared" si="6"/>
        <v>4.347826086956541</v>
      </c>
      <c r="M13" s="329">
        <f t="shared" si="1"/>
        <v>1.4888658726048614E-3</v>
      </c>
      <c r="N13" s="342">
        <f>(1/$J$21)*SQRT(((1-J14/$J$21)*K13)^2+(J14/$J$21)^2*(SUMSQ(K$8:K12)+SUMSQ(K14:K$20)))</f>
        <v>6.4768795175530294E-5</v>
      </c>
      <c r="O13" s="340">
        <f t="shared" si="14"/>
        <v>4.3502102081373755</v>
      </c>
      <c r="P13" s="332">
        <f t="shared" si="7"/>
        <v>0.62137493526670118</v>
      </c>
      <c r="Q13" s="342">
        <f>SQRT(((1-P13)/$J$21)^2*SUMSQ(K$8:K13)+(P13/$J$21)^2*SUMSQ(K14:K$20))</f>
        <v>2.1736129758914199E-2</v>
      </c>
      <c r="R13" s="340">
        <f t="shared" si="15"/>
        <v>3.4980699293229147</v>
      </c>
      <c r="S13" s="343">
        <f t="shared" si="16"/>
        <v>9.5138947191022204E-8</v>
      </c>
      <c r="T13" s="344">
        <f t="shared" si="17"/>
        <v>7.9282455992518514E-10</v>
      </c>
      <c r="U13" s="344">
        <f>IF(P13&lt;=0.85, (1/(3*H13*$J$21))*SQRT( ((1-P13)*(1/SQRT(1-PI()*P13/3)-1) + (1-P12)*(1-1/SQRT(1-PI()*P12/3)))^2*SUMSQ(K$8:K12) + ( (1-P13)*(1/SQRT(1-PI()*P13/3)-1) -P12*(1-1/SQRT(1-PI()*P12/3)) )^2*K13^2 + ( P13*(1-1/SQRT(1-PI()*P13/3)) - P12*(1-1/SQRT(1-PI()*P12/3)) )^2*SUMSQ(K14:K$20) ), (1/(PI()^2*H13*$J$21))*SQRT((1+P12/(1-P12))^2*K13^2+(P12/(1-P12)-P13/(1-P13))^2*SUMSQ(K14:K$20)) )</f>
        <v>1.1642811245448332E-8</v>
      </c>
      <c r="V13" s="345">
        <f t="shared" si="18"/>
        <v>1.1669773968674745E-8</v>
      </c>
      <c r="W13" s="340">
        <f t="shared" si="19"/>
        <v>12.266032275135334</v>
      </c>
      <c r="X13" s="345">
        <f t="shared" si="20"/>
        <v>2.333954793734949E-8</v>
      </c>
      <c r="Y13" s="338">
        <f t="shared" si="8"/>
        <v>-16.16792741189564</v>
      </c>
      <c r="Z13" s="346">
        <f t="shared" si="21"/>
        <v>0.12266032275135334</v>
      </c>
      <c r="AA13" s="346">
        <f t="shared" si="22"/>
        <v>0.75866448201088132</v>
      </c>
      <c r="AB13" s="346">
        <f t="shared" si="9"/>
        <v>0.24532064550270669</v>
      </c>
      <c r="AC13" s="336">
        <f t="shared" si="2"/>
        <v>1.2277643079422538E-11</v>
      </c>
      <c r="AD13" s="337">
        <f t="shared" si="3"/>
        <v>1.5668017968014931E-12</v>
      </c>
      <c r="AE13" s="308">
        <f t="shared" si="10"/>
        <v>12.761421607274688</v>
      </c>
      <c r="AF13" s="337">
        <f t="shared" si="11"/>
        <v>3.1336035936029862E-12</v>
      </c>
      <c r="AG13" s="338">
        <f t="shared" si="23"/>
        <v>-25.123241143273901</v>
      </c>
      <c r="AH13" s="339">
        <f t="shared" si="24"/>
        <v>0.12761421607274687</v>
      </c>
      <c r="AI13" s="340">
        <f t="shared" si="25"/>
        <v>0.50795283675773761</v>
      </c>
      <c r="AJ13" s="341">
        <f t="shared" si="12"/>
        <v>0.25522843214549373</v>
      </c>
    </row>
    <row r="14" spans="1:39" x14ac:dyDescent="0.2">
      <c r="A14" s="309">
        <v>7</v>
      </c>
      <c r="B14" s="309">
        <f t="shared" si="13"/>
        <v>7</v>
      </c>
      <c r="C14" s="1">
        <v>310.01</v>
      </c>
      <c r="D14" s="1">
        <v>0.82</v>
      </c>
      <c r="E14" s="326">
        <f t="shared" si="4"/>
        <v>17.147952534467386</v>
      </c>
      <c r="F14" s="327">
        <f t="shared" si="0"/>
        <v>2.330612864643767E-2</v>
      </c>
      <c r="G14" s="309">
        <f t="shared" si="5"/>
        <v>1</v>
      </c>
      <c r="H14" s="1">
        <v>3600</v>
      </c>
      <c r="I14" s="324">
        <v>30</v>
      </c>
      <c r="J14" s="122">
        <v>1.0000000000000001E-5</v>
      </c>
      <c r="K14" s="1">
        <v>0</v>
      </c>
      <c r="L14" s="328">
        <f t="shared" si="6"/>
        <v>0</v>
      </c>
      <c r="M14" s="329">
        <f t="shared" si="1"/>
        <v>6.473329880890731E-5</v>
      </c>
      <c r="N14" s="342">
        <f>(1/$J$21)*SQRT(((1-J15/$J$21)*K14)^2+(J15/$J$21)^2*(SUMSQ(K$8:K13)+SUMSQ(K15:K$20)))</f>
        <v>7.2544576152259205E-5</v>
      </c>
      <c r="O14" s="340">
        <f t="shared" si="14"/>
        <v>112.06686124001</v>
      </c>
      <c r="P14" s="332">
        <f t="shared" si="7"/>
        <v>0.62143966856551014</v>
      </c>
      <c r="Q14" s="342">
        <f>SQRT(((1-P14)/$J$21)^2*SUMSQ(K$8:K14)+(P14/$J$21)^2*SUMSQ(K15:K$20))</f>
        <v>2.1738386054746199E-2</v>
      </c>
      <c r="R14" s="340">
        <f t="shared" si="15"/>
        <v>3.4980686226429087</v>
      </c>
      <c r="S14" s="343">
        <f t="shared" si="16"/>
        <v>4.148259958407134E-9</v>
      </c>
      <c r="T14" s="344">
        <f t="shared" si="17"/>
        <v>3.4568832986726105E-11</v>
      </c>
      <c r="U14" s="344">
        <f>IF(P14&lt;=0.85, (1/(3*H14*$J$21))*SQRT( ((1-P14)*(1/SQRT(1-PI()*P14/3)-1) + (1-P13)*(1-1/SQRT(1-PI()*P13/3)))^2*SUMSQ(K$8:K13) + ( (1-P14)*(1/SQRT(1-PI()*P14/3)-1) -P13*(1-1/SQRT(1-PI()*P13/3)) )^2*K14^2 + ( P14*(1-1/SQRT(1-PI()*P14/3)) - P13*(1-1/SQRT(1-PI()*P13/3)) )^2*SUMSQ(K15:K$20) ), (1/(PI()^2*H14*$J$21))*SQRT((1+P13/(1-P13))^2*K14^2+(P13/(1-P13)-P14/(1-P14))^2*SUMSQ(K15:K$20)) )</f>
        <v>4.753024570201596E-10</v>
      </c>
      <c r="V14" s="345">
        <f t="shared" si="18"/>
        <v>4.7655789770337967E-10</v>
      </c>
      <c r="W14" s="340">
        <f t="shared" si="19"/>
        <v>11.488139665344656</v>
      </c>
      <c r="X14" s="345">
        <f t="shared" si="20"/>
        <v>9.5311579540675934E-10</v>
      </c>
      <c r="Y14" s="338">
        <f t="shared" si="8"/>
        <v>-19.300576877760044</v>
      </c>
      <c r="Z14" s="346">
        <f t="shared" si="21"/>
        <v>0.11488139665344656</v>
      </c>
      <c r="AA14" s="346">
        <f t="shared" si="22"/>
        <v>0.59522260594098519</v>
      </c>
      <c r="AB14" s="346">
        <f t="shared" si="9"/>
        <v>0.22976279330689311</v>
      </c>
      <c r="AC14" s="336">
        <f t="shared" si="2"/>
        <v>5.3533128832845727E-13</v>
      </c>
      <c r="AD14" s="337">
        <f t="shared" si="3"/>
        <v>6.4323498685114146E-14</v>
      </c>
      <c r="AE14" s="308">
        <f t="shared" si="10"/>
        <v>12.015643413251775</v>
      </c>
      <c r="AF14" s="337">
        <f t="shared" si="11"/>
        <v>1.2864699737022829E-13</v>
      </c>
      <c r="AG14" s="338">
        <f t="shared" si="23"/>
        <v>-28.255890609138305</v>
      </c>
      <c r="AH14" s="339">
        <f t="shared" si="24"/>
        <v>0.12015643413251775</v>
      </c>
      <c r="AI14" s="340">
        <f t="shared" si="25"/>
        <v>0.42524383957537576</v>
      </c>
      <c r="AJ14" s="341">
        <f t="shared" si="12"/>
        <v>0.24031286826503551</v>
      </c>
    </row>
    <row r="15" spans="1:39" x14ac:dyDescent="0.2">
      <c r="A15" s="309">
        <v>8</v>
      </c>
      <c r="B15" s="309">
        <f t="shared" si="13"/>
        <v>8</v>
      </c>
      <c r="C15" s="1">
        <v>320.01</v>
      </c>
      <c r="D15" s="1">
        <v>0.8</v>
      </c>
      <c r="E15" s="326">
        <f t="shared" si="4"/>
        <v>16.858857643806058</v>
      </c>
      <c r="F15" s="327">
        <f t="shared" si="0"/>
        <v>2.1989984432894204E-2</v>
      </c>
      <c r="G15" s="309">
        <f t="shared" si="5"/>
        <v>1</v>
      </c>
      <c r="H15" s="1">
        <v>3600</v>
      </c>
      <c r="I15" s="324">
        <v>30</v>
      </c>
      <c r="J15" s="1">
        <v>3.2000000000000003E-4</v>
      </c>
      <c r="K15" s="122">
        <v>1.0000000000000001E-5</v>
      </c>
      <c r="L15" s="328">
        <f t="shared" si="6"/>
        <v>3.125</v>
      </c>
      <c r="M15" s="329">
        <f t="shared" si="1"/>
        <v>2.0714655618850339E-3</v>
      </c>
      <c r="N15" s="342">
        <f>(1/$J$21)*SQRT(((1-J16/$J$21)*K15)^2+(J16/$J$21)^2*(SUMSQ(K$8:K14)+SUMSQ(K16:K$20)))</f>
        <v>1.1503679440130589E-4</v>
      </c>
      <c r="O15" s="340">
        <f t="shared" si="14"/>
        <v>5.5534012497230414</v>
      </c>
      <c r="P15" s="332">
        <f t="shared" si="7"/>
        <v>0.62351113412739523</v>
      </c>
      <c r="Q15" s="342">
        <f>SQRT(((1-P15)/$J$21)^2*SUMSQ(K$8:K15)+(P15/$J$21)^2*SUMSQ(K16:K$20))</f>
        <v>2.1810564965653242E-2</v>
      </c>
      <c r="R15" s="340">
        <f t="shared" si="15"/>
        <v>3.4980233346076748</v>
      </c>
      <c r="S15" s="343">
        <f t="shared" si="16"/>
        <v>1.3326564170317265E-7</v>
      </c>
      <c r="T15" s="344">
        <f t="shared" si="17"/>
        <v>1.1105470141931057E-9</v>
      </c>
      <c r="U15" s="344">
        <f>IF(P15&lt;=0.85, (1/(3*H15*$J$21))*SQRT( ((1-P15)*(1/SQRT(1-PI()*P15/3)-1) + (1-P14)*(1-1/SQRT(1-PI()*P14/3)))^2*SUMSQ(K$8:K14) + ( (1-P15)*(1/SQRT(1-PI()*P15/3)-1) -P14*(1-1/SQRT(1-PI()*P14/3)) )^2*K15^2 + ( P15*(1-1/SQRT(1-PI()*P15/3)) - P14*(1-1/SQRT(1-PI()*P14/3)) )^2*SUMSQ(K16:K$20) ), (1/(PI()^2*H15*$J$21))*SQRT((1+P14/(1-P14))^2*K15^2+(P14/(1-P14)-P15/(1-P15))^2*SUMSQ(K16:K$20)) )</f>
        <v>1.5850671727635605E-8</v>
      </c>
      <c r="V15" s="345">
        <f t="shared" si="18"/>
        <v>1.5889528277705413E-8</v>
      </c>
      <c r="W15" s="340">
        <f t="shared" si="19"/>
        <v>11.923199464342602</v>
      </c>
      <c r="X15" s="345">
        <f t="shared" si="20"/>
        <v>3.1779056555410827E-8</v>
      </c>
      <c r="Y15" s="338">
        <f t="shared" si="8"/>
        <v>-15.830921394649538</v>
      </c>
      <c r="Z15" s="346">
        <f t="shared" si="21"/>
        <v>0.11923199464342603</v>
      </c>
      <c r="AA15" s="346">
        <f t="shared" si="22"/>
        <v>0.7531589076282289</v>
      </c>
      <c r="AB15" s="346">
        <f t="shared" si="9"/>
        <v>0.23846398928685206</v>
      </c>
      <c r="AC15" s="336">
        <f t="shared" si="2"/>
        <v>1.7197877755537749E-11</v>
      </c>
      <c r="AD15" s="337">
        <f t="shared" si="3"/>
        <v>2.1380843958109379E-12</v>
      </c>
      <c r="AE15" s="308">
        <f t="shared" si="10"/>
        <v>12.432257201749621</v>
      </c>
      <c r="AF15" s="337">
        <f t="shared" si="11"/>
        <v>4.2761687916218758E-12</v>
      </c>
      <c r="AG15" s="338">
        <f t="shared" si="23"/>
        <v>-24.786235126027801</v>
      </c>
      <c r="AH15" s="339">
        <f t="shared" si="24"/>
        <v>0.12432257201749622</v>
      </c>
      <c r="AI15" s="340">
        <f t="shared" si="25"/>
        <v>0.50157908768865911</v>
      </c>
      <c r="AJ15" s="341">
        <f t="shared" si="12"/>
        <v>0.24864514403499244</v>
      </c>
    </row>
    <row r="16" spans="1:39" x14ac:dyDescent="0.2">
      <c r="A16" s="309">
        <v>9</v>
      </c>
      <c r="B16" s="309">
        <f t="shared" si="13"/>
        <v>9</v>
      </c>
      <c r="C16" s="1">
        <v>330.01</v>
      </c>
      <c r="D16" s="1">
        <v>0.74</v>
      </c>
      <c r="E16" s="326">
        <f t="shared" si="4"/>
        <v>16.579348763180583</v>
      </c>
      <c r="F16" s="327">
        <f t="shared" si="0"/>
        <v>1.9683315535338072E-2</v>
      </c>
      <c r="G16" s="309">
        <f t="shared" si="5"/>
        <v>1</v>
      </c>
      <c r="H16" s="1">
        <v>3600</v>
      </c>
      <c r="I16" s="324">
        <v>30</v>
      </c>
      <c r="J16" s="1">
        <v>4.2000000000000002E-4</v>
      </c>
      <c r="K16" s="122">
        <v>1.0000000000000001E-5</v>
      </c>
      <c r="L16" s="328">
        <f t="shared" si="6"/>
        <v>2.3809523809523814</v>
      </c>
      <c r="M16" s="329">
        <f t="shared" si="1"/>
        <v>2.7187985499741068E-3</v>
      </c>
      <c r="N16" s="342">
        <f>(1/$J$21)*SQRT(((1-J17/$J$21)*K16)^2+(J17/$J$21)^2*(SUMSQ(K$8:K15)+SUMSQ(K17:K$20)))</f>
        <v>1.8819143072621396E-4</v>
      </c>
      <c r="O16" s="340">
        <f t="shared" si="14"/>
        <v>6.921860052044174</v>
      </c>
      <c r="P16" s="332">
        <f t="shared" si="7"/>
        <v>0.62622993267736937</v>
      </c>
      <c r="Q16" s="342">
        <f>SQRT(((1-P16)/$J$21)^2*SUMSQ(K$8:K16)+(P16/$J$21)^2*SUMSQ(K17:K$20))</f>
        <v>2.1905309795798106E-2</v>
      </c>
      <c r="R16" s="340">
        <f t="shared" si="15"/>
        <v>3.4979659471313735</v>
      </c>
      <c r="S16" s="343">
        <f t="shared" si="16"/>
        <v>1.7645678168702978E-7</v>
      </c>
      <c r="T16" s="344">
        <f t="shared" si="17"/>
        <v>1.4704731807252485E-9</v>
      </c>
      <c r="U16" s="344">
        <f>IF(P16&lt;=0.85, (1/(3*H16*$J$21))*SQRT( ((1-P16)*(1/SQRT(1-PI()*P16/3)-1) + (1-P15)*(1-1/SQRT(1-PI()*P15/3)))^2*SUMSQ(K$8:K15) + ( (1-P16)*(1/SQRT(1-PI()*P16/3)-1) -P15*(1-1/SQRT(1-PI()*P15/3)) )^2*K16^2 + ( P16*(1-1/SQRT(1-PI()*P16/3)) - P15*(1-1/SQRT(1-PI()*P15/3)) )^2*SUMSQ(K17:K$20) ), (1/(PI()^2*H16*$J$21))*SQRT((1+P15/(1-P15))^2*K16^2+(P15/(1-P15)-P16/(1-P16))^2*SUMSQ(K17:K$20)) )</f>
        <v>2.0764264842260255E-8</v>
      </c>
      <c r="V16" s="345">
        <f t="shared" si="18"/>
        <v>2.0816267336262705E-8</v>
      </c>
      <c r="W16" s="340">
        <f t="shared" si="19"/>
        <v>11.796807771992125</v>
      </c>
      <c r="X16" s="345">
        <f t="shared" si="20"/>
        <v>4.163253467252541E-8</v>
      </c>
      <c r="Y16" s="338">
        <f t="shared" si="8"/>
        <v>-15.550189853519894</v>
      </c>
      <c r="Z16" s="346">
        <f t="shared" si="21"/>
        <v>0.11796807771992125</v>
      </c>
      <c r="AA16" s="346">
        <f t="shared" si="22"/>
        <v>0.75862789349300674</v>
      </c>
      <c r="AB16" s="346">
        <f t="shared" si="9"/>
        <v>0.2359361554398425</v>
      </c>
      <c r="AC16" s="336">
        <f t="shared" si="2"/>
        <v>2.2771677093998515E-11</v>
      </c>
      <c r="AD16" s="337">
        <f t="shared" si="3"/>
        <v>2.8034423115798704E-12</v>
      </c>
      <c r="AE16" s="308">
        <f t="shared" si="10"/>
        <v>12.311092854547454</v>
      </c>
      <c r="AF16" s="337">
        <f t="shared" si="11"/>
        <v>5.6068846231597407E-12</v>
      </c>
      <c r="AG16" s="338">
        <f t="shared" si="23"/>
        <v>-24.505503584898157</v>
      </c>
      <c r="AH16" s="339">
        <f t="shared" si="24"/>
        <v>0.12311092854547454</v>
      </c>
      <c r="AI16" s="340">
        <f t="shared" si="25"/>
        <v>0.50238073304212072</v>
      </c>
      <c r="AJ16" s="341">
        <f t="shared" si="12"/>
        <v>0.24622185709094907</v>
      </c>
    </row>
    <row r="17" spans="1:39" x14ac:dyDescent="0.2">
      <c r="A17" s="309">
        <v>10</v>
      </c>
      <c r="B17" s="309">
        <f t="shared" si="13"/>
        <v>10</v>
      </c>
      <c r="C17" s="1">
        <v>340</v>
      </c>
      <c r="D17" s="1">
        <v>0.7</v>
      </c>
      <c r="E17" s="326">
        <f t="shared" si="4"/>
        <v>16.309222865530458</v>
      </c>
      <c r="F17" s="327">
        <f t="shared" si="0"/>
        <v>1.8026559289491921E-2</v>
      </c>
      <c r="G17" s="309">
        <f t="shared" si="5"/>
        <v>1</v>
      </c>
      <c r="H17" s="1">
        <v>3600</v>
      </c>
      <c r="I17" s="324">
        <v>30</v>
      </c>
      <c r="J17" s="1">
        <v>7.7999999999999999E-4</v>
      </c>
      <c r="K17" s="122">
        <v>1.0000000000000001E-5</v>
      </c>
      <c r="L17" s="328">
        <f t="shared" si="6"/>
        <v>1.2820512820512822</v>
      </c>
      <c r="M17" s="329">
        <f t="shared" si="1"/>
        <v>5.0491973070947689E-3</v>
      </c>
      <c r="N17" s="342">
        <f>(1/$J$21)*SQRT(((1-J18/$J$21)*K17)^2+(J18/$J$21)^2*(SUMSQ(K$8:K16)+SUMSQ(K18:K$20)))</f>
        <v>3.2157855984690434E-4</v>
      </c>
      <c r="O17" s="340">
        <f t="shared" si="14"/>
        <v>6.3689046057884351</v>
      </c>
      <c r="P17" s="332">
        <f t="shared" si="7"/>
        <v>0.63127912998446412</v>
      </c>
      <c r="Q17" s="342">
        <f>SQRT(((1-P17)/$J$21)^2*SUMSQ(K$8:K17)+(P17/$J$21)^2*SUMSQ(K18:K$20))</f>
        <v>2.2081293822106721E-2</v>
      </c>
      <c r="R17" s="340">
        <f t="shared" si="15"/>
        <v>3.4978653298185454</v>
      </c>
      <c r="S17" s="343">
        <f t="shared" si="16"/>
        <v>3.3243038022492533E-7</v>
      </c>
      <c r="T17" s="344">
        <f t="shared" si="17"/>
        <v>2.7702531685410448E-9</v>
      </c>
      <c r="U17" s="344">
        <f>IF(P17&lt;=0.85, (1/(3*H17*$J$21))*SQRT( ((1-P17)*(1/SQRT(1-PI()*P17/3)-1) + (1-P16)*(1-1/SQRT(1-PI()*P16/3)))^2*SUMSQ(K$8:K16) + ( (1-P17)*(1/SQRT(1-PI()*P17/3)-1) -P16*(1-1/SQRT(1-PI()*P16/3)) )^2*K17^2 + ( P17*(1-1/SQRT(1-PI()*P17/3)) - P16*(1-1/SQRT(1-PI()*P16/3)) )^2*SUMSQ(K18:K$20) ), (1/(PI()^2*H17*$J$21))*SQRT((1+P16/(1-P16))^2*K17^2+(P16/(1-P16)-P17/(1-P17))^2*SUMSQ(K18:K$20)) )</f>
        <v>3.8806220194333678E-8</v>
      </c>
      <c r="V17" s="345">
        <f t="shared" si="18"/>
        <v>3.8904974339908288E-8</v>
      </c>
      <c r="W17" s="340">
        <f t="shared" si="19"/>
        <v>11.703194609826225</v>
      </c>
      <c r="X17" s="345">
        <f t="shared" si="20"/>
        <v>7.7809948679816576E-8</v>
      </c>
      <c r="Y17" s="338">
        <f t="shared" si="8"/>
        <v>-14.916835381556316</v>
      </c>
      <c r="Z17" s="346">
        <f t="shared" si="21"/>
        <v>0.11703194609826226</v>
      </c>
      <c r="AA17" s="346">
        <f t="shared" si="22"/>
        <v>0.78456283189237674</v>
      </c>
      <c r="AB17" s="346">
        <f t="shared" si="9"/>
        <v>0.23406389219652451</v>
      </c>
      <c r="AC17" s="336">
        <f t="shared" si="2"/>
        <v>4.2900007595874527E-11</v>
      </c>
      <c r="AD17" s="337">
        <f t="shared" si="3"/>
        <v>5.2429899490122632E-12</v>
      </c>
      <c r="AE17" s="308">
        <f t="shared" si="10"/>
        <v>12.221419628644668</v>
      </c>
      <c r="AF17" s="337">
        <f t="shared" si="11"/>
        <v>1.0485979898024526E-11</v>
      </c>
      <c r="AG17" s="338">
        <f t="shared" si="23"/>
        <v>-23.872149112934579</v>
      </c>
      <c r="AH17" s="339">
        <f t="shared" si="24"/>
        <v>0.12221419628644668</v>
      </c>
      <c r="AI17" s="340">
        <f t="shared" si="25"/>
        <v>0.51195305336052765</v>
      </c>
      <c r="AJ17" s="341">
        <f t="shared" si="12"/>
        <v>0.24442839257289337</v>
      </c>
      <c r="AM17" s="322"/>
    </row>
    <row r="18" spans="1:39" x14ac:dyDescent="0.2">
      <c r="A18" s="309">
        <v>11</v>
      </c>
      <c r="B18" s="309">
        <f t="shared" si="13"/>
        <v>11</v>
      </c>
      <c r="C18" s="1">
        <v>350</v>
      </c>
      <c r="D18" s="1">
        <v>0.8</v>
      </c>
      <c r="E18" s="326">
        <f t="shared" si="4"/>
        <v>16.047500601781273</v>
      </c>
      <c r="F18" s="327">
        <f t="shared" si="0"/>
        <v>1.9959302483254091E-2</v>
      </c>
      <c r="G18" s="309">
        <f t="shared" si="5"/>
        <v>1</v>
      </c>
      <c r="H18" s="1">
        <v>3600</v>
      </c>
      <c r="I18" s="324">
        <v>30</v>
      </c>
      <c r="J18" s="1">
        <v>1.39E-3</v>
      </c>
      <c r="K18" s="122">
        <v>2.0000000000000002E-5</v>
      </c>
      <c r="L18" s="328">
        <f t="shared" si="6"/>
        <v>1.4388489208633095</v>
      </c>
      <c r="M18" s="329">
        <f t="shared" si="1"/>
        <v>8.9979285344381141E-3</v>
      </c>
      <c r="N18" s="342">
        <f>(1/$J$21)*SQRT(((1-J19/$J$21)*K18)^2+(J19/$J$21)^2*(SUMSQ(K$8:K17)+SUMSQ(K19:K$20)))</f>
        <v>3.782872534015326E-4</v>
      </c>
      <c r="O18" s="340">
        <f t="shared" si="14"/>
        <v>4.2041593457171773</v>
      </c>
      <c r="P18" s="332">
        <f t="shared" si="7"/>
        <v>0.64027705851890226</v>
      </c>
      <c r="Q18" s="342">
        <f>SQRT(((1-P18)/$J$21)^2*SUMSQ(K$8:K18)+(P18/$J$21)^2*SUMSQ(K19:K$20))</f>
        <v>2.2394876417565747E-2</v>
      </c>
      <c r="R18" s="340">
        <f t="shared" si="15"/>
        <v>3.4976852785214394</v>
      </c>
      <c r="S18" s="343">
        <f t="shared" si="16"/>
        <v>6.080336511542837E-7</v>
      </c>
      <c r="T18" s="344">
        <f t="shared" si="17"/>
        <v>5.0669470929523646E-9</v>
      </c>
      <c r="U18" s="344">
        <f>IF(P18&lt;=0.85, (1/(3*H18*$J$21))*SQRT( ((1-P18)*(1/SQRT(1-PI()*P18/3)-1) + (1-P17)*(1-1/SQRT(1-PI()*P17/3)))^2*SUMSQ(K$8:K17) + ( (1-P18)*(1/SQRT(1-PI()*P18/3)-1) -P17*(1-1/SQRT(1-PI()*P17/3)) )^2*K18^2 + ( P18*(1-1/SQRT(1-PI()*P18/3)) - P17*(1-1/SQRT(1-PI()*P17/3)) )^2*SUMSQ(K19:K$20) ), (1/(PI()^2*H18*$J$21))*SQRT((1+P17/(1-P17))^2*K18^2+(P17/(1-P17)-P18/(1-P18))^2*SUMSQ(K19:K$20)) )</f>
        <v>7.1962355124230944E-8</v>
      </c>
      <c r="V18" s="345">
        <f t="shared" si="18"/>
        <v>7.2140519182139982E-8</v>
      </c>
      <c r="W18" s="340">
        <f t="shared" si="19"/>
        <v>11.864560299448772</v>
      </c>
      <c r="X18" s="345">
        <f t="shared" si="20"/>
        <v>1.4428103836427996E-7</v>
      </c>
      <c r="Y18" s="338">
        <f t="shared" si="8"/>
        <v>-14.31303560921862</v>
      </c>
      <c r="Z18" s="346">
        <f t="shared" si="21"/>
        <v>0.11864560299448772</v>
      </c>
      <c r="AA18" s="346">
        <f t="shared" si="22"/>
        <v>0.82893389099145021</v>
      </c>
      <c r="AB18" s="346">
        <f t="shared" si="9"/>
        <v>0.23729120598897543</v>
      </c>
      <c r="AC18" s="336">
        <f t="shared" si="2"/>
        <v>7.8466499467999846E-11</v>
      </c>
      <c r="AD18" s="337">
        <f t="shared" si="3"/>
        <v>9.7110377107289616E-12</v>
      </c>
      <c r="AE18" s="308">
        <f t="shared" si="10"/>
        <v>12.376030250577587</v>
      </c>
      <c r="AF18" s="337">
        <f t="shared" si="11"/>
        <v>1.9422075421457923E-11</v>
      </c>
      <c r="AG18" s="338">
        <f t="shared" si="23"/>
        <v>-23.268349340596885</v>
      </c>
      <c r="AH18" s="339">
        <f t="shared" si="24"/>
        <v>0.12376030250577585</v>
      </c>
      <c r="AI18" s="340">
        <f t="shared" si="25"/>
        <v>0.53188260453803693</v>
      </c>
      <c r="AJ18" s="341">
        <f t="shared" si="12"/>
        <v>0.24752060501155171</v>
      </c>
    </row>
    <row r="19" spans="1:39" x14ac:dyDescent="0.2">
      <c r="A19" s="309">
        <v>12</v>
      </c>
      <c r="B19" s="309">
        <f t="shared" si="13"/>
        <v>12</v>
      </c>
      <c r="C19" s="1">
        <v>359.95</v>
      </c>
      <c r="D19" s="1">
        <v>1.1299999999999999</v>
      </c>
      <c r="E19" s="326">
        <f t="shared" si="4"/>
        <v>15.795293002685202</v>
      </c>
      <c r="F19" s="327">
        <f t="shared" si="0"/>
        <v>0.1514523560541689</v>
      </c>
      <c r="G19" s="309">
        <f t="shared" si="5"/>
        <v>1</v>
      </c>
      <c r="H19" s="1">
        <v>3600</v>
      </c>
      <c r="I19" s="324">
        <v>30</v>
      </c>
      <c r="J19" s="1">
        <v>1.57E-3</v>
      </c>
      <c r="K19" s="122">
        <v>2.9999999999999899E-5</v>
      </c>
      <c r="L19" s="328">
        <f t="shared" si="6"/>
        <v>1.9108280254777006</v>
      </c>
      <c r="M19" s="329">
        <f t="shared" si="1"/>
        <v>1.0163127912998445E-2</v>
      </c>
      <c r="N19" s="342">
        <f>(1/$J$21)*SQRT(((1-J20/$J$21)*K19)^2+(J20/$J$21)^2*(SUMSQ(K$8:K18)+SUMSQ(K20:K$20)))</f>
        <v>1.224236067784353E-2</v>
      </c>
      <c r="O19" s="340">
        <f t="shared" si="14"/>
        <v>120.45859092441202</v>
      </c>
      <c r="P19" s="332">
        <f t="shared" si="7"/>
        <v>0.65044018643190071</v>
      </c>
      <c r="Q19" s="342">
        <f>SQRT(((1-P19)/$J$21)^2*SUMSQ(K$8:K19)+(P19/$J$21)^2*SUMSQ(K20:K$20))</f>
        <v>2.2748977630575335E-2</v>
      </c>
      <c r="R19" s="340">
        <f t="shared" si="15"/>
        <v>3.4974741882675922</v>
      </c>
      <c r="S19" s="343">
        <f t="shared" si="16"/>
        <v>7.117829256610476E-7</v>
      </c>
      <c r="T19" s="344">
        <f t="shared" si="17"/>
        <v>5.93152438050873E-9</v>
      </c>
      <c r="U19" s="344">
        <f>IF(P19&lt;=0.85, (1/(3*H19*$J$21))*SQRT( ((1-P19)*(1/SQRT(1-PI()*P19/3)-1) + (1-P18)*(1-1/SQRT(1-PI()*P18/3)))^2*SUMSQ(K$8:K18) + ( (1-P19)*(1/SQRT(1-PI()*P19/3)-1) -P18*(1-1/SQRT(1-PI()*P18/3)) )^2*K19^2 + ( P19*(1-1/SQRT(1-PI()*P19/3)) - P18*(1-1/SQRT(1-PI()*P18/3)) )^2*SUMSQ(K20:K$20) ), (1/(PI()^2*H19*$J$21))*SQRT((1+P18/(1-P18))^2*K19^2+(P18/(1-P18)-P19/(1-P19))^2*SUMSQ(K20:K$20)) )</f>
        <v>8.6163359831250984E-8</v>
      </c>
      <c r="V19" s="345">
        <f t="shared" si="18"/>
        <v>8.6367282919437759E-8</v>
      </c>
      <c r="W19" s="340">
        <f t="shared" si="19"/>
        <v>12.133935755655655</v>
      </c>
      <c r="X19" s="345">
        <f t="shared" si="20"/>
        <v>1.7273456583887552E-7</v>
      </c>
      <c r="Y19" s="338">
        <f t="shared" si="8"/>
        <v>-14.155492851709237</v>
      </c>
      <c r="Z19" s="346">
        <f t="shared" si="21"/>
        <v>0.12133935755655655</v>
      </c>
      <c r="AA19" s="346">
        <f t="shared" si="22"/>
        <v>0.85718921147916893</v>
      </c>
      <c r="AB19" s="346">
        <f t="shared" si="9"/>
        <v>0.24267871511311309</v>
      </c>
      <c r="AC19" s="336">
        <f t="shared" si="2"/>
        <v>9.1855301843387913E-11</v>
      </c>
      <c r="AD19" s="337">
        <f t="shared" si="3"/>
        <v>1.160546321276559E-11</v>
      </c>
      <c r="AE19" s="308">
        <f t="shared" si="10"/>
        <v>12.634505553694387</v>
      </c>
      <c r="AF19" s="337">
        <f t="shared" si="11"/>
        <v>2.321092642553118E-11</v>
      </c>
      <c r="AG19" s="338">
        <f t="shared" si="23"/>
        <v>-23.110806583087498</v>
      </c>
      <c r="AH19" s="339">
        <f t="shared" si="24"/>
        <v>0.12634505553694389</v>
      </c>
      <c r="AI19" s="340">
        <f t="shared" si="25"/>
        <v>0.54669254005787615</v>
      </c>
      <c r="AJ19" s="341">
        <f t="shared" si="12"/>
        <v>0.25269011107388778</v>
      </c>
    </row>
    <row r="20" spans="1:39" x14ac:dyDescent="0.2">
      <c r="J20" s="338">
        <v>5.3999999999999999E-2</v>
      </c>
      <c r="K20" s="346">
        <f>IF(J20&lt;0.06,J20*0.1,IF(J20&lt;0.2,J20*0.06,J20*0.03))</f>
        <v>5.4000000000000003E-3</v>
      </c>
      <c r="L20" s="328">
        <f t="shared" si="6"/>
        <v>10</v>
      </c>
      <c r="M20" s="329"/>
      <c r="N20" s="342"/>
      <c r="O20" s="340"/>
      <c r="P20" s="332"/>
      <c r="Q20" s="342"/>
      <c r="R20" s="340"/>
      <c r="S20" s="343"/>
      <c r="T20" s="344"/>
      <c r="U20" s="344"/>
      <c r="V20" s="345"/>
      <c r="W20" s="340"/>
      <c r="X20" s="345"/>
      <c r="Y20" s="338"/>
      <c r="Z20" s="346"/>
      <c r="AA20" s="346"/>
      <c r="AB20" s="346"/>
      <c r="AC20" s="336"/>
      <c r="AD20" s="337"/>
      <c r="AE20" s="308"/>
      <c r="AF20" s="337"/>
      <c r="AG20" s="338"/>
      <c r="AH20" s="339"/>
      <c r="AI20" s="340"/>
      <c r="AJ20" s="341"/>
    </row>
    <row r="21" spans="1:39" x14ac:dyDescent="0.2">
      <c r="J21" s="120">
        <f>SUM(J8:J20)</f>
        <v>0.15448000000000001</v>
      </c>
      <c r="K21" s="346">
        <f>SQRT(SUMSQ(K8:K20))</f>
        <v>5.4100277263614835E-3</v>
      </c>
      <c r="L21" s="328">
        <f t="shared" si="6"/>
        <v>3.5020894137503129</v>
      </c>
      <c r="M21" s="329"/>
      <c r="N21" s="342"/>
      <c r="O21" s="340"/>
      <c r="P21" s="332"/>
      <c r="Q21" s="342"/>
      <c r="R21" s="340"/>
      <c r="S21" s="343"/>
      <c r="T21" s="344"/>
      <c r="U21" s="344"/>
      <c r="V21" s="345"/>
      <c r="W21" s="340"/>
      <c r="X21" s="345"/>
      <c r="Y21" s="338"/>
      <c r="Z21" s="346"/>
      <c r="AA21" s="346"/>
      <c r="AB21" s="346"/>
      <c r="AC21" s="336"/>
      <c r="AD21" s="337"/>
      <c r="AE21" s="308"/>
      <c r="AF21" s="337"/>
      <c r="AG21" s="338"/>
      <c r="AH21" s="339"/>
      <c r="AI21" s="340"/>
      <c r="AJ21" s="341"/>
    </row>
    <row r="22" spans="1:39" x14ac:dyDescent="0.2">
      <c r="K22" s="120"/>
      <c r="L22" s="328"/>
      <c r="M22" s="329"/>
      <c r="N22" s="342"/>
      <c r="O22" s="340"/>
      <c r="P22" s="332"/>
      <c r="Q22" s="342"/>
      <c r="R22" s="340"/>
      <c r="S22" s="343"/>
      <c r="T22" s="344"/>
      <c r="U22" s="344"/>
      <c r="V22" s="345"/>
      <c r="W22" s="340"/>
      <c r="X22" s="345"/>
      <c r="Y22" s="338"/>
      <c r="Z22" s="346"/>
      <c r="AA22" s="346"/>
      <c r="AB22" s="346"/>
      <c r="AC22" s="336"/>
      <c r="AD22" s="337"/>
      <c r="AE22" s="308"/>
      <c r="AF22" s="337"/>
      <c r="AG22" s="338"/>
      <c r="AH22" s="339"/>
      <c r="AI22" s="340"/>
      <c r="AJ22" s="341"/>
    </row>
    <row r="23" spans="1:39" x14ac:dyDescent="0.2">
      <c r="L23" s="328"/>
      <c r="M23" s="329"/>
      <c r="N23" s="342"/>
      <c r="O23" s="340"/>
      <c r="P23" s="332"/>
      <c r="Q23" s="342"/>
      <c r="R23" s="340"/>
      <c r="S23" s="343"/>
      <c r="T23" s="344"/>
      <c r="U23" s="344"/>
      <c r="V23" s="345"/>
      <c r="W23" s="340"/>
      <c r="X23" s="345"/>
      <c r="Y23" s="338"/>
      <c r="Z23" s="346"/>
      <c r="AA23" s="346"/>
      <c r="AB23" s="346"/>
      <c r="AC23" s="336"/>
      <c r="AD23" s="337"/>
      <c r="AE23" s="308"/>
      <c r="AF23" s="337"/>
      <c r="AG23" s="338"/>
      <c r="AH23" s="339"/>
      <c r="AI23" s="340"/>
      <c r="AJ23" s="341"/>
    </row>
    <row r="24" spans="1:39" x14ac:dyDescent="0.2">
      <c r="L24" s="328"/>
      <c r="M24" s="329"/>
      <c r="N24" s="342"/>
      <c r="O24" s="340"/>
      <c r="P24" s="332"/>
      <c r="Q24" s="342"/>
      <c r="R24" s="340"/>
      <c r="S24" s="343"/>
      <c r="T24" s="344"/>
      <c r="U24" s="344"/>
      <c r="V24" s="345"/>
      <c r="W24" s="340"/>
      <c r="X24" s="345"/>
      <c r="Y24" s="338"/>
      <c r="Z24" s="346"/>
      <c r="AA24" s="346"/>
      <c r="AB24" s="346"/>
      <c r="AC24" s="336"/>
      <c r="AD24" s="337"/>
      <c r="AE24" s="308"/>
      <c r="AF24" s="337"/>
      <c r="AG24" s="338"/>
      <c r="AH24" s="339"/>
      <c r="AI24" s="340"/>
      <c r="AJ24" s="341"/>
    </row>
    <row r="25" spans="1:39" x14ac:dyDescent="0.2">
      <c r="L25" s="328"/>
      <c r="M25" s="329"/>
      <c r="N25" s="342"/>
      <c r="O25" s="340"/>
      <c r="P25" s="332"/>
      <c r="Q25" s="342"/>
      <c r="R25" s="340"/>
      <c r="S25" s="343"/>
      <c r="T25" s="344"/>
      <c r="U25" s="344"/>
      <c r="V25" s="345"/>
      <c r="W25" s="340"/>
      <c r="X25" s="345"/>
      <c r="Y25" s="338"/>
      <c r="Z25" s="346"/>
      <c r="AA25" s="346"/>
      <c r="AB25" s="346"/>
      <c r="AC25" s="336"/>
      <c r="AD25" s="337"/>
      <c r="AE25" s="308"/>
      <c r="AF25" s="337"/>
      <c r="AG25" s="338"/>
      <c r="AH25" s="339"/>
      <c r="AI25" s="340"/>
      <c r="AJ25" s="341"/>
    </row>
    <row r="26" spans="1:39" x14ac:dyDescent="0.2">
      <c r="L26" s="328"/>
      <c r="M26" s="329"/>
      <c r="N26" s="342"/>
      <c r="O26" s="340"/>
      <c r="P26" s="332"/>
      <c r="Q26" s="342"/>
      <c r="R26" s="340"/>
      <c r="S26" s="343"/>
      <c r="T26" s="344"/>
      <c r="U26" s="344"/>
      <c r="V26" s="345"/>
      <c r="W26" s="340"/>
      <c r="X26" s="345"/>
      <c r="Y26" s="338"/>
      <c r="Z26" s="346"/>
      <c r="AA26" s="346"/>
      <c r="AB26" s="346"/>
      <c r="AC26" s="336"/>
      <c r="AD26" s="337"/>
      <c r="AE26" s="308"/>
      <c r="AF26" s="337"/>
      <c r="AG26" s="338"/>
      <c r="AH26" s="339"/>
      <c r="AI26" s="340"/>
      <c r="AJ26" s="341"/>
    </row>
    <row r="27" spans="1:39" x14ac:dyDescent="0.2">
      <c r="L27" s="328"/>
      <c r="M27" s="329"/>
      <c r="N27" s="342"/>
      <c r="O27" s="340"/>
      <c r="P27" s="332"/>
      <c r="Q27" s="342"/>
      <c r="R27" s="340"/>
      <c r="S27" s="343"/>
      <c r="T27" s="344"/>
      <c r="U27" s="344"/>
      <c r="V27" s="345"/>
      <c r="W27" s="340"/>
      <c r="X27" s="345"/>
      <c r="Y27" s="338"/>
      <c r="Z27" s="346"/>
      <c r="AA27" s="346"/>
      <c r="AB27" s="346"/>
      <c r="AC27" s="336"/>
      <c r="AD27" s="337"/>
      <c r="AE27" s="308"/>
      <c r="AF27" s="337"/>
      <c r="AG27" s="338"/>
      <c r="AH27" s="339"/>
      <c r="AI27" s="340"/>
      <c r="AJ27" s="341"/>
    </row>
    <row r="28" spans="1:39" x14ac:dyDescent="0.2">
      <c r="L28" s="328"/>
      <c r="M28" s="329"/>
      <c r="N28" s="342"/>
      <c r="O28" s="340"/>
      <c r="P28" s="332"/>
      <c r="Q28" s="342"/>
      <c r="R28" s="340"/>
      <c r="S28" s="343"/>
      <c r="T28" s="344"/>
      <c r="U28" s="344"/>
      <c r="V28" s="345"/>
      <c r="W28" s="340"/>
      <c r="X28" s="345"/>
      <c r="Y28" s="338"/>
      <c r="Z28" s="346"/>
      <c r="AA28" s="346"/>
      <c r="AB28" s="346"/>
      <c r="AC28" s="336"/>
      <c r="AD28" s="337"/>
      <c r="AE28" s="308"/>
      <c r="AF28" s="337"/>
      <c r="AG28" s="338"/>
      <c r="AH28" s="339"/>
      <c r="AI28" s="340"/>
      <c r="AJ28" s="341"/>
    </row>
    <row r="29" spans="1:39" x14ac:dyDescent="0.2">
      <c r="L29" s="328"/>
      <c r="M29" s="329"/>
      <c r="N29" s="342"/>
      <c r="O29" s="340"/>
      <c r="P29" s="332"/>
      <c r="Q29" s="342"/>
      <c r="R29" s="340"/>
      <c r="S29" s="343"/>
      <c r="T29" s="344"/>
      <c r="U29" s="344"/>
      <c r="V29" s="345"/>
      <c r="W29" s="340"/>
      <c r="X29" s="345"/>
      <c r="Y29" s="338"/>
      <c r="Z29" s="346"/>
      <c r="AA29" s="346"/>
      <c r="AB29" s="346"/>
      <c r="AC29" s="336"/>
      <c r="AD29" s="337"/>
      <c r="AE29" s="308"/>
      <c r="AF29" s="337"/>
      <c r="AG29" s="338"/>
      <c r="AH29" s="339"/>
      <c r="AI29" s="340"/>
      <c r="AJ29" s="341"/>
    </row>
    <row r="30" spans="1:39" x14ac:dyDescent="0.2">
      <c r="L30" s="328"/>
      <c r="M30" s="329"/>
      <c r="N30" s="342"/>
      <c r="O30" s="340"/>
      <c r="P30" s="332"/>
      <c r="Q30" s="342"/>
      <c r="R30" s="340"/>
      <c r="S30" s="343"/>
      <c r="T30" s="344"/>
      <c r="U30" s="344"/>
      <c r="V30" s="345"/>
      <c r="W30" s="340"/>
      <c r="X30" s="345"/>
      <c r="Y30" s="338"/>
      <c r="Z30" s="346"/>
      <c r="AA30" s="346"/>
      <c r="AB30" s="346"/>
      <c r="AC30" s="336"/>
      <c r="AD30" s="337"/>
      <c r="AE30" s="308"/>
      <c r="AF30" s="337"/>
      <c r="AG30" s="338"/>
      <c r="AH30" s="339"/>
      <c r="AI30" s="340"/>
      <c r="AJ30" s="341"/>
    </row>
    <row r="31" spans="1:39" x14ac:dyDescent="0.2">
      <c r="L31" s="328"/>
      <c r="M31" s="329"/>
      <c r="N31" s="342"/>
      <c r="O31" s="340"/>
      <c r="P31" s="332"/>
      <c r="Q31" s="342"/>
      <c r="R31" s="340"/>
      <c r="S31" s="343"/>
      <c r="T31" s="344"/>
      <c r="U31" s="344"/>
      <c r="V31" s="345"/>
      <c r="W31" s="340"/>
      <c r="X31" s="345"/>
      <c r="Y31" s="338"/>
      <c r="Z31" s="346"/>
      <c r="AA31" s="346"/>
      <c r="AB31" s="346"/>
      <c r="AC31" s="336"/>
      <c r="AD31" s="337"/>
      <c r="AE31" s="308"/>
      <c r="AF31" s="337"/>
      <c r="AG31" s="338"/>
      <c r="AH31" s="339"/>
      <c r="AI31" s="340"/>
      <c r="AJ31" s="341"/>
    </row>
    <row r="32" spans="1:39" x14ac:dyDescent="0.2">
      <c r="L32" s="328"/>
      <c r="M32" s="329"/>
      <c r="N32" s="342"/>
      <c r="O32" s="340"/>
      <c r="P32" s="332"/>
      <c r="Q32" s="342"/>
      <c r="R32" s="340"/>
      <c r="S32" s="343"/>
      <c r="T32" s="344"/>
      <c r="U32" s="344"/>
      <c r="V32" s="345"/>
      <c r="W32" s="340"/>
      <c r="X32" s="345"/>
      <c r="Y32" s="338"/>
      <c r="Z32" s="346"/>
      <c r="AA32" s="346"/>
      <c r="AB32" s="346"/>
      <c r="AC32" s="336"/>
      <c r="AD32" s="337"/>
      <c r="AE32" s="308"/>
      <c r="AF32" s="337"/>
      <c r="AG32" s="338"/>
      <c r="AH32" s="339"/>
      <c r="AI32" s="340"/>
      <c r="AJ32" s="341"/>
    </row>
    <row r="33" spans="12:36" x14ac:dyDescent="0.2">
      <c r="L33" s="328"/>
      <c r="M33" s="329"/>
      <c r="N33" s="342"/>
      <c r="O33" s="340"/>
      <c r="P33" s="332"/>
      <c r="Q33" s="342"/>
      <c r="R33" s="340"/>
      <c r="S33" s="343"/>
      <c r="T33" s="344"/>
      <c r="U33" s="344"/>
      <c r="V33" s="345"/>
      <c r="W33" s="340"/>
      <c r="X33" s="345"/>
      <c r="Y33" s="338"/>
      <c r="Z33" s="346"/>
      <c r="AA33" s="346"/>
      <c r="AB33" s="346"/>
      <c r="AC33" s="336"/>
      <c r="AD33" s="337"/>
      <c r="AE33" s="308"/>
      <c r="AF33" s="337"/>
      <c r="AG33" s="338"/>
      <c r="AH33" s="339"/>
      <c r="AI33" s="340"/>
      <c r="AJ33" s="341"/>
    </row>
    <row r="34" spans="12:36" x14ac:dyDescent="0.2">
      <c r="L34" s="328"/>
      <c r="M34" s="329"/>
      <c r="N34" s="342"/>
      <c r="O34" s="340"/>
      <c r="P34" s="332"/>
      <c r="Q34" s="342"/>
      <c r="R34" s="340"/>
      <c r="S34" s="343"/>
      <c r="T34" s="344"/>
      <c r="U34" s="344"/>
      <c r="V34" s="345"/>
      <c r="W34" s="340"/>
      <c r="X34" s="345"/>
      <c r="Y34" s="338"/>
      <c r="Z34" s="346"/>
      <c r="AA34" s="346"/>
      <c r="AB34" s="346"/>
      <c r="AC34" s="336"/>
      <c r="AD34" s="337"/>
      <c r="AE34" s="308"/>
      <c r="AF34" s="337"/>
      <c r="AG34" s="338"/>
      <c r="AH34" s="339"/>
      <c r="AI34" s="340"/>
      <c r="AJ34" s="341"/>
    </row>
    <row r="35" spans="12:36" x14ac:dyDescent="0.2">
      <c r="L35" s="328"/>
      <c r="M35" s="329"/>
      <c r="N35" s="342"/>
      <c r="O35" s="340"/>
      <c r="P35" s="332"/>
      <c r="Q35" s="342"/>
      <c r="R35" s="340"/>
      <c r="S35" s="343"/>
      <c r="T35" s="344"/>
      <c r="U35" s="344"/>
      <c r="V35" s="345"/>
      <c r="W35" s="340"/>
      <c r="X35" s="345"/>
      <c r="Y35" s="338"/>
      <c r="Z35" s="346"/>
      <c r="AA35" s="346"/>
      <c r="AB35" s="346"/>
      <c r="AC35" s="336"/>
      <c r="AD35" s="337"/>
      <c r="AE35" s="308"/>
      <c r="AF35" s="337"/>
      <c r="AG35" s="338"/>
      <c r="AH35" s="339"/>
      <c r="AI35" s="340"/>
      <c r="AJ35" s="341"/>
    </row>
    <row r="36" spans="12:36" x14ac:dyDescent="0.2">
      <c r="L36" s="328"/>
      <c r="M36" s="329"/>
      <c r="N36" s="342"/>
      <c r="O36" s="340"/>
      <c r="P36" s="332"/>
      <c r="Q36" s="342"/>
      <c r="R36" s="340"/>
      <c r="S36" s="343"/>
      <c r="T36" s="344"/>
      <c r="U36" s="344"/>
      <c r="V36" s="345"/>
      <c r="W36" s="340"/>
      <c r="X36" s="345"/>
      <c r="Y36" s="338"/>
      <c r="Z36" s="346"/>
      <c r="AA36" s="346"/>
      <c r="AB36" s="346"/>
      <c r="AC36" s="336"/>
      <c r="AD36" s="337"/>
      <c r="AE36" s="308"/>
      <c r="AF36" s="337"/>
      <c r="AG36" s="338"/>
      <c r="AH36" s="339"/>
      <c r="AI36" s="340"/>
      <c r="AJ36" s="341"/>
    </row>
    <row r="37" spans="12:36" x14ac:dyDescent="0.2">
      <c r="L37" s="328"/>
      <c r="M37" s="329"/>
      <c r="N37" s="342"/>
      <c r="O37" s="340"/>
      <c r="P37" s="332"/>
      <c r="Q37" s="342"/>
      <c r="R37" s="340"/>
      <c r="S37" s="343"/>
      <c r="T37" s="344"/>
      <c r="U37" s="344"/>
      <c r="V37" s="345"/>
      <c r="W37" s="340"/>
      <c r="X37" s="345"/>
      <c r="Y37" s="338"/>
      <c r="Z37" s="346"/>
      <c r="AA37" s="346"/>
      <c r="AB37" s="346"/>
      <c r="AC37" s="336"/>
      <c r="AD37" s="337"/>
      <c r="AE37" s="308"/>
      <c r="AF37" s="337"/>
      <c r="AG37" s="338"/>
      <c r="AH37" s="339"/>
      <c r="AI37" s="340"/>
      <c r="AJ37" s="341"/>
    </row>
    <row r="38" spans="12:36" x14ac:dyDescent="0.2">
      <c r="L38" s="328"/>
      <c r="M38" s="329"/>
      <c r="N38" s="342"/>
      <c r="O38" s="340"/>
      <c r="P38" s="332"/>
      <c r="Q38" s="342"/>
      <c r="R38" s="340"/>
      <c r="S38" s="343"/>
      <c r="T38" s="344"/>
      <c r="U38" s="344"/>
      <c r="V38" s="345"/>
      <c r="W38" s="340"/>
      <c r="X38" s="345"/>
      <c r="Y38" s="338"/>
      <c r="Z38" s="346"/>
      <c r="AA38" s="346"/>
      <c r="AB38" s="346"/>
      <c r="AC38" s="336"/>
      <c r="AD38" s="337"/>
      <c r="AE38" s="308"/>
      <c r="AF38" s="337"/>
      <c r="AG38" s="338"/>
      <c r="AH38" s="339"/>
      <c r="AI38" s="340"/>
      <c r="AJ38" s="341"/>
    </row>
    <row r="39" spans="12:36" x14ac:dyDescent="0.2">
      <c r="L39" s="328"/>
      <c r="M39" s="329"/>
      <c r="N39" s="342"/>
      <c r="O39" s="340"/>
      <c r="P39" s="332"/>
      <c r="Q39" s="342"/>
      <c r="R39" s="340"/>
      <c r="S39" s="343"/>
      <c r="T39" s="344"/>
      <c r="U39" s="344"/>
      <c r="V39" s="345"/>
      <c r="W39" s="340"/>
      <c r="X39" s="345"/>
      <c r="Y39" s="338"/>
      <c r="Z39" s="346"/>
      <c r="AA39" s="346"/>
      <c r="AB39" s="346"/>
      <c r="AC39" s="336"/>
      <c r="AD39" s="337"/>
      <c r="AE39" s="308"/>
      <c r="AF39" s="337"/>
      <c r="AG39" s="338"/>
      <c r="AH39" s="339"/>
      <c r="AI39" s="340"/>
      <c r="AJ39" s="341"/>
    </row>
    <row r="40" spans="12:36" x14ac:dyDescent="0.2">
      <c r="L40" s="328"/>
      <c r="M40" s="329"/>
      <c r="N40" s="342"/>
      <c r="O40" s="340"/>
      <c r="P40" s="332"/>
      <c r="Q40" s="342"/>
      <c r="R40" s="340"/>
      <c r="S40" s="343"/>
      <c r="T40" s="344"/>
      <c r="U40" s="344"/>
      <c r="V40" s="345"/>
      <c r="W40" s="340"/>
      <c r="X40" s="345"/>
      <c r="Y40" s="338"/>
      <c r="Z40" s="346"/>
      <c r="AA40" s="346"/>
      <c r="AB40" s="346"/>
      <c r="AC40" s="336"/>
      <c r="AD40" s="337"/>
      <c r="AE40" s="308"/>
      <c r="AF40" s="337"/>
      <c r="AG40" s="338"/>
      <c r="AH40" s="339"/>
      <c r="AI40" s="340"/>
      <c r="AJ40" s="341"/>
    </row>
    <row r="41" spans="12:36" x14ac:dyDescent="0.2">
      <c r="L41" s="328"/>
      <c r="M41" s="329"/>
      <c r="N41" s="342"/>
      <c r="O41" s="340"/>
      <c r="P41" s="332"/>
      <c r="Q41" s="342"/>
      <c r="R41" s="340"/>
      <c r="S41" s="343"/>
      <c r="T41" s="344"/>
      <c r="U41" s="344"/>
      <c r="V41" s="345"/>
      <c r="W41" s="340"/>
      <c r="X41" s="345"/>
      <c r="Y41" s="338"/>
      <c r="Z41" s="346"/>
      <c r="AA41" s="346"/>
      <c r="AB41" s="346"/>
      <c r="AC41" s="336"/>
      <c r="AD41" s="337"/>
      <c r="AE41" s="308"/>
      <c r="AF41" s="337"/>
      <c r="AG41" s="338"/>
      <c r="AH41" s="339"/>
      <c r="AI41" s="340"/>
      <c r="AJ41" s="341"/>
    </row>
    <row r="42" spans="12:36" x14ac:dyDescent="0.2">
      <c r="L42" s="328"/>
      <c r="M42" s="329"/>
      <c r="N42" s="342"/>
      <c r="O42" s="340"/>
      <c r="P42" s="332"/>
      <c r="Q42" s="342"/>
      <c r="R42" s="340"/>
      <c r="S42" s="343"/>
      <c r="T42" s="344"/>
      <c r="U42" s="344"/>
      <c r="V42" s="345"/>
      <c r="W42" s="340"/>
      <c r="X42" s="345"/>
      <c r="Y42" s="338"/>
      <c r="Z42" s="346"/>
      <c r="AA42" s="346"/>
      <c r="AB42" s="346"/>
      <c r="AC42" s="336"/>
      <c r="AD42" s="337"/>
      <c r="AE42" s="308"/>
      <c r="AF42" s="337"/>
      <c r="AG42" s="338"/>
      <c r="AH42" s="339"/>
      <c r="AI42" s="340"/>
      <c r="AJ42" s="3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0AD3-4AD1-194A-B405-3AC4931DE48E}">
  <dimension ref="A1:AM69"/>
  <sheetViews>
    <sheetView topLeftCell="A22" zoomScale="89" zoomScaleNormal="100" workbookViewId="0">
      <selection activeCell="AC4" sqref="AC1:AJ1048576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hidden="1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623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1</v>
      </c>
      <c r="C8" s="1">
        <v>279.95999999999998</v>
      </c>
      <c r="D8" s="1">
        <v>7.04</v>
      </c>
      <c r="E8" s="326">
        <f>10000/(C8+273.15)</f>
        <v>18.079586339064566</v>
      </c>
      <c r="F8" s="327">
        <f t="shared" ref="F8:F45" si="0">SQRT((((-1)*10^4/(C9+273.15)^2)*D8)^2)</f>
        <v>0.21416484091849616</v>
      </c>
      <c r="G8" s="309">
        <f>H8/60/60</f>
        <v>1</v>
      </c>
      <c r="H8" s="1">
        <v>3600</v>
      </c>
      <c r="I8" s="324">
        <v>30</v>
      </c>
      <c r="J8" s="1">
        <v>0.11072</v>
      </c>
      <c r="K8" s="1">
        <v>3.5E-4</v>
      </c>
      <c r="L8" s="328">
        <f t="shared" ref="L8:L48" si="1">100*(K8/J8)</f>
        <v>0.31611271676300579</v>
      </c>
      <c r="M8" s="329">
        <f t="shared" ref="M8:M47" si="2">J8/$J$48</f>
        <v>4.1680312903505094E-2</v>
      </c>
      <c r="N8" s="330">
        <f>(1/$J$48)*SQRT(((1-J9/$J$48)*K8)^2+(J9/$J$48)^2*SUMSQ(K9:K$47))</f>
        <v>1.5700586291934919E-4</v>
      </c>
      <c r="O8" s="331">
        <f>100*(N8/M8)</f>
        <v>0.37669070115389136</v>
      </c>
      <c r="P8" s="332">
        <f>M8+P7</f>
        <v>4.1680312903505094E-2</v>
      </c>
      <c r="Q8" s="330">
        <f>SQRT(((1-P8)/$J$48)^2*SUMSQ(K$8:K8)+(P8/$J$48)^2*SUMSQ(K9:K$47))</f>
        <v>1.5991490190580925E-4</v>
      </c>
      <c r="R8" s="331">
        <f>100*(Q8/P8)</f>
        <v>0.38367010889776992</v>
      </c>
      <c r="S8" s="333">
        <f>IF(P8&lt;=0.85, ((2*PI()-PI()^2*P8/3-2*PI()*SQRT(1-PI()*P8/3))/PI()^2/H8), ((-1)*LN((1-P8)*PI()^2/6)/PI()^2/H8 ))</f>
        <v>4.3056999061852731E-8</v>
      </c>
      <c r="T8" s="333">
        <f>IF(P8&lt;=0.85, ABS((2/PI()-P8/3-2*SQRT(1-PI()*P8/3)/PI())*(-1)*I8/H8^2), ABS((-1)*LN((1-P8)*PI()^2/6)*(-1)*I8/PI()^2/H8^2))</f>
        <v>3.5880832551551841E-10</v>
      </c>
      <c r="U8" s="333">
        <f>IF(P8&lt;=0.85, ((1/(3*H8*$J$48))*((1/SQRT(1-PI()*P8/3))-1)*SQRT(((1-P8)*K8)^2+(-P8)^2*SUMSQ(K9:K$47))),  (1/(PI()^2*H8*$J$48))*SQRT(K8^2+(P8/(1-P8))^2*SUMSQ(K9:K$47)))</f>
        <v>3.3412136901189981E-10</v>
      </c>
      <c r="V8" s="334">
        <f>SQRT(T8^2+U8^2)</f>
        <v>4.9028614470494308E-10</v>
      </c>
      <c r="W8" s="331">
        <f>100*(V8/S8)</f>
        <v>1.1386909338494111</v>
      </c>
      <c r="X8" s="334">
        <f>V8*2</f>
        <v>9.8057228940988617E-10</v>
      </c>
      <c r="Y8" s="335">
        <f>LN(S8)</f>
        <v>-16.960741039453364</v>
      </c>
      <c r="Z8" s="335">
        <f>V8/S8</f>
        <v>1.1386909338494112E-2</v>
      </c>
      <c r="AA8" s="335">
        <f>ABS(100*(Z8/Y8))</f>
        <v>6.7136862192556102E-2</v>
      </c>
      <c r="AB8" s="335">
        <f>2*Z8</f>
        <v>2.2773818676988224E-2</v>
      </c>
      <c r="AC8" s="336">
        <f t="shared" ref="AC8:AC46" si="3">S8*($AC$3^2)*10^(-8)</f>
        <v>5.5564885061324701E-12</v>
      </c>
      <c r="AD8" s="337">
        <f t="shared" ref="AD8:AD46" si="4">AC8*SQRT((V8/S8)^2+(2*$AD$3/$AC$3)^2)</f>
        <v>2.0562724507667257E-13</v>
      </c>
      <c r="AE8" s="308">
        <f>100*AD8/AC8</f>
        <v>3.7006689539577047</v>
      </c>
      <c r="AF8" s="337">
        <f>2*AD8</f>
        <v>4.1125449015334515E-13</v>
      </c>
      <c r="AG8" s="338">
        <f>LN(AC8)</f>
        <v>-25.916054770831625</v>
      </c>
      <c r="AH8" s="339">
        <f>AD8/AC8</f>
        <v>3.7006689539577045E-2</v>
      </c>
      <c r="AI8" s="340">
        <f>ABS(100*(AH8/AG8))</f>
        <v>0.14279445643566038</v>
      </c>
      <c r="AJ8" s="341">
        <f>2*AH8</f>
        <v>7.401337907915409E-2</v>
      </c>
    </row>
    <row r="9" spans="1:39" x14ac:dyDescent="0.2">
      <c r="A9" s="309">
        <v>2</v>
      </c>
      <c r="B9" s="309">
        <f>G9+B8</f>
        <v>2</v>
      </c>
      <c r="C9" s="1">
        <v>300.19</v>
      </c>
      <c r="D9" s="1">
        <v>7.52</v>
      </c>
      <c r="E9" s="326">
        <f t="shared" ref="E9:E46" si="5">10000/(C9+273.15)</f>
        <v>17.441657655143548</v>
      </c>
      <c r="F9" s="327">
        <f t="shared" si="0"/>
        <v>0.21326659081259935</v>
      </c>
      <c r="G9" s="309">
        <f t="shared" ref="G9:G46" si="6">H9/60/60</f>
        <v>1</v>
      </c>
      <c r="H9" s="1">
        <v>3600</v>
      </c>
      <c r="I9" s="324">
        <v>30</v>
      </c>
      <c r="J9" s="1">
        <v>0.10484</v>
      </c>
      <c r="K9" s="1">
        <v>4.2999999999999999E-4</v>
      </c>
      <c r="L9" s="328">
        <f t="shared" si="1"/>
        <v>0.41014879816863792</v>
      </c>
      <c r="M9" s="329">
        <f t="shared" si="2"/>
        <v>3.946679917633196E-2</v>
      </c>
      <c r="N9" s="342">
        <f>(1/$J$48)*SQRT(((1-J10/$J$48)*K9)^2+(J10/$J$48)^2*(SUMSQ(K$8:K8)+SUMSQ(K10:K$47)))</f>
        <v>2.0207201496861657E-4</v>
      </c>
      <c r="O9" s="340">
        <f>100*(N9/M9)</f>
        <v>0.51200507562264674</v>
      </c>
      <c r="P9" s="332">
        <f t="shared" ref="P9:P46" si="7">M9+P8</f>
        <v>8.1147112079837047E-2</v>
      </c>
      <c r="Q9" s="342">
        <f>SQRT(((1-P9)/$J$48)^2*SUMSQ(K$8:K9)+(P9/$J$48)^2*SUMSQ(K10:K$47))</f>
        <v>2.7038498298894158E-4</v>
      </c>
      <c r="R9" s="340">
        <f>100*(Q9/P9)</f>
        <v>0.33320345734906964</v>
      </c>
      <c r="S9" s="343">
        <f>IF(P9&lt;=0.85, (((-1)*PI()^2*(P9-P8)/3-2*PI()*(SQRT(1-PI()*P9/3)-SQRT(1-PI()*P8/3)))/PI()^2/H9), ((-1)*LN((1-P9)/(1-P8))/PI()^2/H9 ))</f>
        <v>1.237295283812324E-7</v>
      </c>
      <c r="T9" s="344">
        <f>IF(P9&lt;=0.85, ABS(((-1)*(P9-P8)/3-2*(SQRT(1-PI()*P9/3)-SQRT(1-PI()*P8/3))/PI())*(-1)*I9/H9^2), ABS((-1)*LN((1-P9)/(1-P8))*(-1)*I9/PI()^2/H9^2))</f>
        <v>1.0310794031769372E-9</v>
      </c>
      <c r="U9" s="344">
        <f>IF(P9&lt;=0.85, (1/(3*H9*$J$48))*SQRT( ((1-P9)*(1/SQRT(1-PI()*P9/3)-1) + (1-P8)*(1-1/SQRT(1-PI()*P8/3)))^2*SUMSQ(K$8:K8) + ( (1-P9)*(1/SQRT(1-PI()*P9/3)-1) -P8*(1-1/SQRT(1-PI()*P8/3)) )^2*K9^2 + ( P9*(1-1/SQRT(1-PI()*P9/3)) - P8*(1-1/SQRT(1-PI()*P8/3)) )^2*SUMSQ(K10:K$47) ), (1/(PI()^2*H9*$J$48))*SQRT((1+P8/(1-P8))^2*K9^2+(P8/(1-P8)-P9/(1-P9))^2*SUMSQ(K10:K$47)) )</f>
        <v>9.0830857221629281E-10</v>
      </c>
      <c r="V9" s="345">
        <f>SQRT(T9^2+U9^2)</f>
        <v>1.3740994134404211E-9</v>
      </c>
      <c r="W9" s="340">
        <f>100*(V9/S9)</f>
        <v>1.1105670824239946</v>
      </c>
      <c r="X9" s="345">
        <f>V9*2</f>
        <v>2.7481988268808422E-9</v>
      </c>
      <c r="Y9" s="338">
        <f t="shared" ref="Y9:Y46" si="8">LN(S9)</f>
        <v>-15.905167876404569</v>
      </c>
      <c r="Z9" s="346">
        <f>V9/S9</f>
        <v>1.1105670824239947E-2</v>
      </c>
      <c r="AA9" s="346">
        <f>ABS(100*(Z9/Y9))</f>
        <v>6.9824291768182403E-2</v>
      </c>
      <c r="AB9" s="346">
        <f t="shared" ref="AB9:AB46" si="9">2*Z9</f>
        <v>2.2211341648479894E-2</v>
      </c>
      <c r="AC9" s="336">
        <f t="shared" si="3"/>
        <v>1.5967246145786687E-11</v>
      </c>
      <c r="AD9" s="337">
        <f t="shared" si="4"/>
        <v>5.8952865184268218E-13</v>
      </c>
      <c r="AE9" s="308">
        <f t="shared" ref="AE9:AE46" si="10">100*AD9/AC9</f>
        <v>3.6921122556768649</v>
      </c>
      <c r="AF9" s="337">
        <f t="shared" ref="AF9:AF46" si="11">2*AD9</f>
        <v>1.1790573036853644E-12</v>
      </c>
      <c r="AG9" s="338">
        <f>LN(AC9)</f>
        <v>-24.86048160778283</v>
      </c>
      <c r="AH9" s="339">
        <f>AD9/AC9</f>
        <v>3.6921122556768653E-2</v>
      </c>
      <c r="AI9" s="340">
        <f>ABS(100*(AH9/AG9))</f>
        <v>0.1485133037213974</v>
      </c>
      <c r="AJ9" s="341">
        <f t="shared" ref="AJ9:AJ46" si="12">2*AH9</f>
        <v>7.3842245113537305E-2</v>
      </c>
    </row>
    <row r="10" spans="1:39" x14ac:dyDescent="0.2">
      <c r="A10" s="309">
        <v>3</v>
      </c>
      <c r="B10" s="309">
        <f t="shared" ref="B10:B46" si="13">G10+B9</f>
        <v>3</v>
      </c>
      <c r="C10" s="1">
        <v>320.66000000000003</v>
      </c>
      <c r="D10" s="1">
        <v>8.65</v>
      </c>
      <c r="E10" s="326">
        <f t="shared" si="5"/>
        <v>16.840403496067768</v>
      </c>
      <c r="F10" s="327">
        <f t="shared" si="0"/>
        <v>0.23015706669900576</v>
      </c>
      <c r="G10" s="309">
        <f t="shared" si="6"/>
        <v>1</v>
      </c>
      <c r="H10" s="1">
        <v>3600</v>
      </c>
      <c r="I10" s="324">
        <v>30</v>
      </c>
      <c r="J10" s="1">
        <v>0.14935000000000001</v>
      </c>
      <c r="K10" s="1">
        <v>4.6999999999999999E-4</v>
      </c>
      <c r="L10" s="328">
        <f t="shared" si="1"/>
        <v>0.3146970204218279</v>
      </c>
      <c r="M10" s="329">
        <f t="shared" si="2"/>
        <v>5.6222495774372168E-2</v>
      </c>
      <c r="N10" s="342">
        <f>(1/$J$48)*SQRT(((1-J11/$J$48)*K10)^2+(J11/$J$48)^2*(SUMSQ(K$8:K9)+SUMSQ(K11:K$47)))</f>
        <v>2.260610645527937E-4</v>
      </c>
      <c r="O10" s="340">
        <f t="shared" ref="O10:O47" si="14">100*(N10/M10)</f>
        <v>0.40208294107042969</v>
      </c>
      <c r="P10" s="332">
        <f t="shared" si="7"/>
        <v>0.13736960785420921</v>
      </c>
      <c r="Q10" s="342">
        <f>SQRT(((1-P10)/$J$48)^2*SUMSQ(K$8:K10)+(P10/$J$48)^2*SUMSQ(K11:K$47))</f>
        <v>3.9903377080028729E-4</v>
      </c>
      <c r="R10" s="340">
        <f t="shared" ref="R10:R46" si="15">100*(Q10/P10)</f>
        <v>0.29048184458951287</v>
      </c>
      <c r="S10" s="343">
        <f t="shared" ref="S10:S46" si="16">IF(P10&lt;=0.85, (((-1)*PI()^2*(P10-P9)/3-2*PI()*(SQRT(1-PI()*P10/3)-SQRT(1-PI()*P9/3)))/PI()^2/H10), ((-1)*LN((1-P10)/(1-P9))/PI()^2/H10 ))</f>
        <v>3.2683882087245054E-7</v>
      </c>
      <c r="T10" s="344">
        <f t="shared" ref="T10:T46" si="17">IF(P10&lt;=0.85, ABS(((-1)*(P10-P9)/3-2*(SQRT(1-PI()*P10/3)-SQRT(1-PI()*P9/3))/PI())*(-1)*I10/H10^2), ABS((-1)*LN((1-P10)/(1-P9))*(-1)*I10/PI()^2/H10^2))</f>
        <v>2.7236568406037621E-9</v>
      </c>
      <c r="U10" s="344">
        <f>IF(P10&lt;=0.85, (1/(3*H10*$J$48))*SQRT( ((1-P10)*(1/SQRT(1-PI()*P10/3)-1) + (1-P9)*(1-1/SQRT(1-PI()*P9/3)))^2*SUMSQ(K$8:K9) + ( (1-P10)*(1/SQRT(1-PI()*P10/3)-1) -P9*(1-1/SQRT(1-PI()*P9/3)) )^2*K10^2 + ( P10*(1-1/SQRT(1-PI()*P10/3)) - P9*(1-1/SQRT(1-PI()*P9/3)) )^2*SUMSQ(K11:K$47) ), (1/(PI()^2*H10*$J$48))*SQRT((1+P9/(1-P9))^2*K10^2+(P9/(1-P9)-P10/(1-P10))^2*SUMSQ(K11:K$47)) )</f>
        <v>2.0776249282553768E-9</v>
      </c>
      <c r="V10" s="345">
        <f t="shared" ref="V10:V46" si="18">SQRT(T10^2+U10^2)</f>
        <v>3.4256140950019206E-9</v>
      </c>
      <c r="W10" s="340">
        <f t="shared" ref="W10:W46" si="19">100*(V10/S10)</f>
        <v>1.0481050218752235</v>
      </c>
      <c r="X10" s="345">
        <f t="shared" ref="X10:X46" si="20">V10*2</f>
        <v>6.8512281900038411E-9</v>
      </c>
      <c r="Y10" s="338">
        <f t="shared" si="8"/>
        <v>-14.933798690096275</v>
      </c>
      <c r="Z10" s="346">
        <f t="shared" ref="Z10:Z46" si="21">V10/S10</f>
        <v>1.0481050218752236E-2</v>
      </c>
      <c r="AA10" s="346">
        <f t="shared" ref="AA10:AA46" si="22">ABS(100*(Z10/Y10))</f>
        <v>7.0183417067909246E-2</v>
      </c>
      <c r="AB10" s="346">
        <f t="shared" si="9"/>
        <v>2.0962100437504471E-2</v>
      </c>
      <c r="AC10" s="336">
        <f t="shared" si="3"/>
        <v>4.2178419098061391E-11</v>
      </c>
      <c r="AD10" s="337">
        <f t="shared" si="4"/>
        <v>1.549553709157082E-12</v>
      </c>
      <c r="AE10" s="308">
        <f t="shared" si="10"/>
        <v>3.6738069901446417</v>
      </c>
      <c r="AF10" s="337">
        <f t="shared" si="11"/>
        <v>3.0991074183141639E-12</v>
      </c>
      <c r="AG10" s="338">
        <f t="shared" ref="AG10:AG46" si="23">LN(AC10)</f>
        <v>-23.88911242147454</v>
      </c>
      <c r="AH10" s="339">
        <f t="shared" ref="AH10:AH46" si="24">AD10/AC10</f>
        <v>3.6738069901446416E-2</v>
      </c>
      <c r="AI10" s="340">
        <f t="shared" ref="AI10:AI46" si="25">ABS(100*(AH10/AG10))</f>
        <v>0.15378583035350288</v>
      </c>
      <c r="AJ10" s="341">
        <f t="shared" si="12"/>
        <v>7.3476139802892831E-2</v>
      </c>
    </row>
    <row r="11" spans="1:39" x14ac:dyDescent="0.2">
      <c r="A11" s="309">
        <v>4</v>
      </c>
      <c r="B11" s="309">
        <f t="shared" si="13"/>
        <v>4</v>
      </c>
      <c r="C11" s="1">
        <v>339.9</v>
      </c>
      <c r="D11" s="1">
        <v>2.0099999999999998</v>
      </c>
      <c r="E11" s="326">
        <f t="shared" si="5"/>
        <v>16.311883206916239</v>
      </c>
      <c r="F11" s="327">
        <f t="shared" si="0"/>
        <v>5.0141411302753604E-2</v>
      </c>
      <c r="G11" s="309">
        <f t="shared" si="6"/>
        <v>1</v>
      </c>
      <c r="H11" s="1">
        <v>3600</v>
      </c>
      <c r="I11" s="324">
        <v>30</v>
      </c>
      <c r="J11" s="1">
        <v>0.17416999999999999</v>
      </c>
      <c r="K11" s="1">
        <v>4.6000000000000001E-4</v>
      </c>
      <c r="L11" s="328">
        <f t="shared" si="1"/>
        <v>0.26410977780329564</v>
      </c>
      <c r="M11" s="329">
        <f t="shared" si="2"/>
        <v>6.5565932969684632E-2</v>
      </c>
      <c r="N11" s="342">
        <f>(1/$J$48)*SQRT(((1-J12/$J$48)*K11)^2+(J12/$J$48)^2*(SUMSQ(K$8:K10)+SUMSQ(K12:K$47)))</f>
        <v>2.6664507859026204E-4</v>
      </c>
      <c r="O11" s="340">
        <f t="shared" si="14"/>
        <v>0.40668235242461864</v>
      </c>
      <c r="P11" s="332">
        <f t="shared" si="7"/>
        <v>0.20293554082389384</v>
      </c>
      <c r="Q11" s="342">
        <f>SQRT(((1-P11)/$J$48)^2*SUMSQ(K$8:K11)+(P11/$J$48)^2*SUMSQ(K12:K$47))</f>
        <v>5.3971815721666895E-4</v>
      </c>
      <c r="R11" s="340">
        <f t="shared" si="15"/>
        <v>0.26595546301326928</v>
      </c>
      <c r="S11" s="343">
        <f t="shared" si="16"/>
        <v>6.2733746823598886E-7</v>
      </c>
      <c r="T11" s="344">
        <f t="shared" si="17"/>
        <v>5.2278122352999097E-9</v>
      </c>
      <c r="U11" s="344">
        <f>IF(P11&lt;=0.85, (1/(3*H11*$J$48))*SQRT( ((1-P11)*(1/SQRT(1-PI()*P11/3)-1) + (1-P10)*(1-1/SQRT(1-PI()*P10/3)))^2*SUMSQ(K$8:K10) + ( (1-P11)*(1/SQRT(1-PI()*P11/3)-1) -P10*(1-1/SQRT(1-PI()*P10/3)) )^2*K11^2 + ( P11*(1-1/SQRT(1-PI()*P11/3)) - P10*(1-1/SQRT(1-PI()*P10/3)) )^2*SUMSQ(K12:K$47) ), (1/(PI()^2*H11*$J$48))*SQRT((1+P10/(1-P10))^2*K11^2+(P10/(1-P10)-P11/(1-P11))^2*SUMSQ(K12:K$47)) )</f>
        <v>3.7310597329800596E-9</v>
      </c>
      <c r="V11" s="345">
        <f t="shared" si="18"/>
        <v>6.4226807096894264E-9</v>
      </c>
      <c r="W11" s="340">
        <f t="shared" si="19"/>
        <v>1.0237999537552527</v>
      </c>
      <c r="X11" s="345">
        <f t="shared" si="20"/>
        <v>1.2845361419378853E-8</v>
      </c>
      <c r="Y11" s="338">
        <f t="shared" si="8"/>
        <v>-14.281781214253954</v>
      </c>
      <c r="Z11" s="346">
        <f t="shared" si="21"/>
        <v>1.0237999537552526E-2</v>
      </c>
      <c r="AA11" s="346">
        <f t="shared" si="22"/>
        <v>7.1685732920586095E-2</v>
      </c>
      <c r="AB11" s="346">
        <f t="shared" si="9"/>
        <v>2.0475999075105052E-2</v>
      </c>
      <c r="AC11" s="336">
        <f t="shared" si="3"/>
        <v>8.0957649340867059E-11</v>
      </c>
      <c r="AD11" s="337">
        <f t="shared" si="4"/>
        <v>2.9686740615923624E-12</v>
      </c>
      <c r="AE11" s="308">
        <f t="shared" si="10"/>
        <v>3.6669469602470151</v>
      </c>
      <c r="AF11" s="337">
        <f t="shared" si="11"/>
        <v>5.9373481231847247E-12</v>
      </c>
      <c r="AG11" s="338">
        <f t="shared" si="23"/>
        <v>-23.237094945632219</v>
      </c>
      <c r="AH11" s="339">
        <f t="shared" si="24"/>
        <v>3.6669469602470153E-2</v>
      </c>
      <c r="AI11" s="340">
        <f t="shared" si="25"/>
        <v>0.15780573986664698</v>
      </c>
      <c r="AJ11" s="341">
        <f t="shared" si="12"/>
        <v>7.3338939204940307E-2</v>
      </c>
    </row>
    <row r="12" spans="1:39" x14ac:dyDescent="0.2">
      <c r="A12" s="309">
        <v>5</v>
      </c>
      <c r="B12" s="309">
        <f t="shared" si="13"/>
        <v>5</v>
      </c>
      <c r="C12" s="1">
        <v>359.99</v>
      </c>
      <c r="D12" s="1">
        <v>1.26</v>
      </c>
      <c r="E12" s="326">
        <f t="shared" si="5"/>
        <v>15.794295100609659</v>
      </c>
      <c r="F12" s="327">
        <f t="shared" si="0"/>
        <v>2.9540046702813846E-2</v>
      </c>
      <c r="G12" s="309">
        <f t="shared" si="6"/>
        <v>1</v>
      </c>
      <c r="H12" s="1">
        <v>3600</v>
      </c>
      <c r="I12" s="324">
        <v>30</v>
      </c>
      <c r="J12" s="1">
        <v>0.24318999999999999</v>
      </c>
      <c r="K12" s="1">
        <v>5.9000000000000003E-4</v>
      </c>
      <c r="L12" s="328">
        <f t="shared" si="1"/>
        <v>0.24260865989555491</v>
      </c>
      <c r="M12" s="329">
        <f t="shared" si="2"/>
        <v>9.1548367910074091E-2</v>
      </c>
      <c r="N12" s="342">
        <f>(1/$J$48)*SQRT(((1-J13/$J$48)*K12)^2+(J13/$J$48)^2*(SUMSQ(K$8:K11)+SUMSQ(K13:K$47)))</f>
        <v>3.1898290951185395E-4</v>
      </c>
      <c r="O12" s="340">
        <f t="shared" si="14"/>
        <v>0.34843101717027192</v>
      </c>
      <c r="P12" s="332">
        <f t="shared" si="7"/>
        <v>0.2944839087339679</v>
      </c>
      <c r="Q12" s="342">
        <f>SQRT(((1-P12)/$J$48)^2*SUMSQ(K$8:K12)+(P12/$J$48)^2*SUMSQ(K13:K$47))</f>
        <v>7.3864043583484265E-4</v>
      </c>
      <c r="R12" s="340">
        <f t="shared" si="15"/>
        <v>0.25082539790047365</v>
      </c>
      <c r="S12" s="343">
        <f t="shared" si="16"/>
        <v>1.3854350909692388E-6</v>
      </c>
      <c r="T12" s="344">
        <f t="shared" si="17"/>
        <v>1.1545292424743658E-8</v>
      </c>
      <c r="U12" s="344">
        <f>IF(P12&lt;=0.85, (1/(3*H12*$J$48))*SQRT( ((1-P12)*(1/SQRT(1-PI()*P12/3)-1) + (1-P11)*(1-1/SQRT(1-PI()*P11/3)))^2*SUMSQ(K$8:K11) + ( (1-P12)*(1/SQRT(1-PI()*P12/3)-1) -P11*(1-1/SQRT(1-PI()*P11/3)) )^2*K12^2 + ( P12*(1-1/SQRT(1-PI()*P12/3)) - P11*(1-1/SQRT(1-PI()*P11/3)) )^2*SUMSQ(K13:K$47) ), (1/(PI()^2*H12*$J$48))*SQRT((1+P11/(1-P11))^2*K12^2+(P11/(1-P11)-P12/(1-P12))^2*SUMSQ(K13:K$47)) )</f>
        <v>8.1702769028223257E-9</v>
      </c>
      <c r="V12" s="345">
        <f t="shared" si="18"/>
        <v>1.4143804362392576E-8</v>
      </c>
      <c r="W12" s="340">
        <f t="shared" si="19"/>
        <v>1.0208926029510115</v>
      </c>
      <c r="X12" s="345">
        <f t="shared" si="20"/>
        <v>2.8287608724785151E-8</v>
      </c>
      <c r="Y12" s="338">
        <f t="shared" si="8"/>
        <v>-13.48949632255407</v>
      </c>
      <c r="Z12" s="346">
        <f t="shared" si="21"/>
        <v>1.0208926029510115E-2</v>
      </c>
      <c r="AA12" s="346">
        <f t="shared" si="22"/>
        <v>7.5680557564192147E-2</v>
      </c>
      <c r="AB12" s="346">
        <f t="shared" si="9"/>
        <v>2.041785205902023E-2</v>
      </c>
      <c r="AC12" s="336">
        <f t="shared" si="3"/>
        <v>1.7878984431554386E-10</v>
      </c>
      <c r="AD12" s="337">
        <f t="shared" si="4"/>
        <v>6.5546793832968172E-12</v>
      </c>
      <c r="AE12" s="308">
        <f t="shared" si="10"/>
        <v>3.6661363000733691</v>
      </c>
      <c r="AF12" s="337">
        <f t="shared" si="11"/>
        <v>1.3109358766593634E-11</v>
      </c>
      <c r="AG12" s="338">
        <f t="shared" si="23"/>
        <v>-22.444810053932333</v>
      </c>
      <c r="AH12" s="339">
        <f t="shared" si="24"/>
        <v>3.6661363000733693E-2</v>
      </c>
      <c r="AI12" s="340">
        <f t="shared" si="25"/>
        <v>0.16334004570607014</v>
      </c>
      <c r="AJ12" s="341">
        <f t="shared" si="12"/>
        <v>7.3322726001467387E-2</v>
      </c>
    </row>
    <row r="13" spans="1:39" x14ac:dyDescent="0.2">
      <c r="A13" s="309">
        <v>6</v>
      </c>
      <c r="B13" s="309">
        <f t="shared" si="13"/>
        <v>6</v>
      </c>
      <c r="C13" s="1">
        <v>379.95</v>
      </c>
      <c r="D13" s="1">
        <v>1.1499999999999999</v>
      </c>
      <c r="E13" s="326">
        <f t="shared" si="5"/>
        <v>15.311590874291841</v>
      </c>
      <c r="F13" s="327">
        <f t="shared" si="0"/>
        <v>2.5380486772748661E-2</v>
      </c>
      <c r="G13" s="309">
        <f t="shared" si="6"/>
        <v>1</v>
      </c>
      <c r="H13" s="1">
        <v>3600</v>
      </c>
      <c r="I13" s="324">
        <v>30</v>
      </c>
      <c r="J13" s="1">
        <v>0.28255999999999998</v>
      </c>
      <c r="K13" s="1">
        <v>5.1999999999999995E-4</v>
      </c>
      <c r="L13" s="328">
        <f t="shared" si="1"/>
        <v>0.18403171007927518</v>
      </c>
      <c r="M13" s="329">
        <f t="shared" si="2"/>
        <v>0.10636912223640173</v>
      </c>
      <c r="N13" s="342">
        <f>(1/$J$48)*SQRT(((1-J14/$J$48)*K13)^2+(J14/$J$48)^2*(SUMSQ(K$8:K12)+SUMSQ(K14:K$47)))</f>
        <v>2.9856318845145334E-4</v>
      </c>
      <c r="O13" s="340">
        <f t="shared" si="14"/>
        <v>0.2806859567646961</v>
      </c>
      <c r="P13" s="332">
        <f t="shared" si="7"/>
        <v>0.40085303097036962</v>
      </c>
      <c r="Q13" s="342">
        <f>SQRT(((1-P13)/$J$48)^2*SUMSQ(K$8:K13)+(P13/$J$48)^2*SUMSQ(K14:K$47))</f>
        <v>9.6522478777161193E-4</v>
      </c>
      <c r="R13" s="340">
        <f t="shared" si="15"/>
        <v>0.24079268789237612</v>
      </c>
      <c r="S13" s="343">
        <f t="shared" si="16"/>
        <v>2.5135370925518365E-6</v>
      </c>
      <c r="T13" s="344">
        <f t="shared" si="17"/>
        <v>2.0946142437931965E-8</v>
      </c>
      <c r="U13" s="344">
        <f>IF(P13&lt;=0.85, (1/(3*H13*$J$48))*SQRT( ((1-P13)*(1/SQRT(1-PI()*P13/3)-1) + (1-P12)*(1-1/SQRT(1-PI()*P12/3)))^2*SUMSQ(K$8:K12) + ( (1-P13)*(1/SQRT(1-PI()*P13/3)-1) -P12*(1-1/SQRT(1-PI()*P12/3)) )^2*K13^2 + ( P13*(1-1/SQRT(1-PI()*P13/3)) - P12*(1-1/SQRT(1-PI()*P12/3)) )^2*SUMSQ(K14:K$47) ), (1/(PI()^2*H13*$J$48))*SQRT((1+P12/(1-P12))^2*K13^2+(P12/(1-P12)-P13/(1-P13))^2*SUMSQ(K14:K$47)) )</f>
        <v>1.4891677445338385E-8</v>
      </c>
      <c r="V13" s="345">
        <f t="shared" si="18"/>
        <v>2.5700251752971883E-8</v>
      </c>
      <c r="W13" s="340">
        <f t="shared" si="19"/>
        <v>1.0224735425280727</v>
      </c>
      <c r="X13" s="345">
        <f t="shared" si="20"/>
        <v>5.1400503505943766E-8</v>
      </c>
      <c r="Y13" s="338">
        <f t="shared" si="8"/>
        <v>-12.893819596591523</v>
      </c>
      <c r="Z13" s="346">
        <f t="shared" si="21"/>
        <v>1.0224735425280726E-2</v>
      </c>
      <c r="AA13" s="346">
        <f t="shared" si="22"/>
        <v>7.9299507401077884E-2</v>
      </c>
      <c r="AB13" s="346">
        <f t="shared" si="9"/>
        <v>2.0449470850561452E-2</v>
      </c>
      <c r="AC13" s="336">
        <f t="shared" si="3"/>
        <v>3.243709563789775E-10</v>
      </c>
      <c r="AD13" s="337">
        <f t="shared" si="4"/>
        <v>1.1893310400098204E-11</v>
      </c>
      <c r="AE13" s="308">
        <f t="shared" si="10"/>
        <v>3.6665768516595252</v>
      </c>
      <c r="AF13" s="337">
        <f t="shared" si="11"/>
        <v>2.3786620800196407E-11</v>
      </c>
      <c r="AG13" s="338">
        <f t="shared" si="23"/>
        <v>-21.849133327969788</v>
      </c>
      <c r="AH13" s="339">
        <f t="shared" si="24"/>
        <v>3.6665768516595247E-2</v>
      </c>
      <c r="AI13" s="340">
        <f t="shared" si="25"/>
        <v>0.16781337715422426</v>
      </c>
      <c r="AJ13" s="341">
        <f t="shared" si="12"/>
        <v>7.3331537033190494E-2</v>
      </c>
    </row>
    <row r="14" spans="1:39" x14ac:dyDescent="0.2">
      <c r="A14" s="309">
        <v>7</v>
      </c>
      <c r="B14" s="309">
        <f t="shared" si="13"/>
        <v>7</v>
      </c>
      <c r="C14" s="1">
        <v>399.98</v>
      </c>
      <c r="D14" s="1">
        <v>1.27</v>
      </c>
      <c r="E14" s="326">
        <f t="shared" si="5"/>
        <v>14.855971357687222</v>
      </c>
      <c r="F14" s="327">
        <f t="shared" si="0"/>
        <v>2.6434696479621888E-2</v>
      </c>
      <c r="G14" s="309">
        <f t="shared" si="6"/>
        <v>1</v>
      </c>
      <c r="H14" s="1">
        <v>3600</v>
      </c>
      <c r="I14" s="324">
        <v>30</v>
      </c>
      <c r="J14" s="1">
        <v>0.27292</v>
      </c>
      <c r="K14" s="1">
        <v>4.4000000000000002E-4</v>
      </c>
      <c r="L14" s="328">
        <f t="shared" si="1"/>
        <v>0.16121940495383263</v>
      </c>
      <c r="M14" s="329">
        <f t="shared" si="2"/>
        <v>0.1027401643571587</v>
      </c>
      <c r="N14" s="342">
        <f>(1/$J$48)*SQRT(((1-J15/$J$48)*K14)^2+(J15/$J$48)^2*(SUMSQ(K$8:K13)+SUMSQ(K15:K$47)))</f>
        <v>2.5429235289659978E-4</v>
      </c>
      <c r="O14" s="340">
        <f t="shared" si="14"/>
        <v>0.24751016750624971</v>
      </c>
      <c r="P14" s="332">
        <f t="shared" si="7"/>
        <v>0.50359319532752833</v>
      </c>
      <c r="Q14" s="342">
        <f>SQRT(((1-P14)/$J$48)^2*SUMSQ(K$8:K14)+(P14/$J$48)^2*SUMSQ(K15:K$47))</f>
        <v>1.1868483016250285E-3</v>
      </c>
      <c r="R14" s="340">
        <f t="shared" si="15"/>
        <v>0.23567600051726728</v>
      </c>
      <c r="S14" s="343">
        <f t="shared" si="16"/>
        <v>3.6154891389411067E-6</v>
      </c>
      <c r="T14" s="344">
        <f t="shared" si="17"/>
        <v>3.0129076157842547E-8</v>
      </c>
      <c r="U14" s="344">
        <f>IF(P14&lt;=0.85, (1/(3*H14*$J$48))*SQRT( ((1-P14)*(1/SQRT(1-PI()*P14/3)-1) + (1-P13)*(1-1/SQRT(1-PI()*P13/3)))^2*SUMSQ(K$8:K13) + ( (1-P14)*(1/SQRT(1-PI()*P14/3)-1) -P13*(1-1/SQRT(1-PI()*P13/3)) )^2*K14^2 + ( P14*(1-1/SQRT(1-PI()*P14/3)) - P13*(1-1/SQRT(1-PI()*P13/3)) )^2*SUMSQ(K15:K$47) ), (1/(PI()^2*H14*$J$48))*SQRT((1+P13/(1-P13))^2*K14^2+(P13/(1-P13)-P14/(1-P14))^2*SUMSQ(K15:K$47)) )</f>
        <v>2.2851022262383703E-8</v>
      </c>
      <c r="V14" s="345">
        <f t="shared" si="18"/>
        <v>3.7814421171836438E-8</v>
      </c>
      <c r="W14" s="340">
        <f t="shared" si="19"/>
        <v>1.0459005605784066</v>
      </c>
      <c r="X14" s="345">
        <f t="shared" si="20"/>
        <v>7.5628842343672876E-8</v>
      </c>
      <c r="Y14" s="338">
        <f t="shared" si="8"/>
        <v>-12.530283403362716</v>
      </c>
      <c r="Z14" s="346">
        <f t="shared" si="21"/>
        <v>1.0459005605784066E-2</v>
      </c>
      <c r="AA14" s="346">
        <f t="shared" si="22"/>
        <v>8.346982481639012E-2</v>
      </c>
      <c r="AB14" s="346">
        <f t="shared" si="9"/>
        <v>2.0918011211568131E-2</v>
      </c>
      <c r="AC14" s="336">
        <f t="shared" si="3"/>
        <v>4.6657742718469418E-10</v>
      </c>
      <c r="AD14" s="337">
        <f t="shared" si="4"/>
        <v>1.7138222600962489E-11</v>
      </c>
      <c r="AE14" s="308">
        <f t="shared" si="10"/>
        <v>3.6731786842697693</v>
      </c>
      <c r="AF14" s="337">
        <f t="shared" si="11"/>
        <v>3.4276445201924978E-11</v>
      </c>
      <c r="AG14" s="338">
        <f t="shared" si="23"/>
        <v>-21.485597134740981</v>
      </c>
      <c r="AH14" s="339">
        <f t="shared" si="24"/>
        <v>3.6731786842697692E-2</v>
      </c>
      <c r="AI14" s="340">
        <f t="shared" si="25"/>
        <v>0.17096004645504823</v>
      </c>
      <c r="AJ14" s="341">
        <f t="shared" si="12"/>
        <v>7.3463573685395384E-2</v>
      </c>
    </row>
    <row r="15" spans="1:39" x14ac:dyDescent="0.2">
      <c r="A15" s="309">
        <v>8</v>
      </c>
      <c r="B15" s="309">
        <f t="shared" si="13"/>
        <v>8</v>
      </c>
      <c r="C15" s="1">
        <v>419.98</v>
      </c>
      <c r="D15" s="1">
        <v>1.21</v>
      </c>
      <c r="E15" s="326">
        <f t="shared" si="5"/>
        <v>14.427308008598676</v>
      </c>
      <c r="F15" s="327">
        <f t="shared" si="0"/>
        <v>2.3793598934479694E-2</v>
      </c>
      <c r="G15" s="309">
        <f t="shared" si="6"/>
        <v>1</v>
      </c>
      <c r="H15" s="1">
        <v>3600</v>
      </c>
      <c r="I15" s="324">
        <v>30</v>
      </c>
      <c r="J15" s="1">
        <v>0.23086000000000001</v>
      </c>
      <c r="K15" s="1">
        <v>5.4000000000000001E-4</v>
      </c>
      <c r="L15" s="328">
        <f t="shared" si="1"/>
        <v>0.23390799618816599</v>
      </c>
      <c r="M15" s="329">
        <f t="shared" si="2"/>
        <v>8.6906765145440629E-2</v>
      </c>
      <c r="N15" s="342">
        <f>(1/$J$48)*SQRT(((1-J16/$J$48)*K15)^2+(J16/$J$48)^2*(SUMSQ(K$8:K14)+SUMSQ(K16:K$47)))</f>
        <v>2.5236414388890257E-4</v>
      </c>
      <c r="O15" s="340">
        <f t="shared" si="14"/>
        <v>0.29038492396600529</v>
      </c>
      <c r="P15" s="332">
        <f t="shared" si="7"/>
        <v>0.59049996047296893</v>
      </c>
      <c r="Q15" s="342">
        <f>SQRT(((1-P15)/$J$48)^2*SUMSQ(K$8:K15)+(P15/$J$48)^2*SUMSQ(K16:K$47))</f>
        <v>1.3753621020207501E-3</v>
      </c>
      <c r="R15" s="340">
        <f t="shared" si="15"/>
        <v>0.23291485081881041</v>
      </c>
      <c r="S15" s="343">
        <f t="shared" si="16"/>
        <v>4.2831728131786938E-6</v>
      </c>
      <c r="T15" s="344">
        <f t="shared" si="17"/>
        <v>3.5693106776489127E-8</v>
      </c>
      <c r="U15" s="344">
        <f>IF(P15&lt;=0.85, (1/(3*H15*$J$48))*SQRT( ((1-P15)*(1/SQRT(1-PI()*P15/3)-1) + (1-P14)*(1-1/SQRT(1-PI()*P14/3)))^2*SUMSQ(K$8:K14) + ( (1-P15)*(1/SQRT(1-PI()*P15/3)-1) -P14*(1-1/SQRT(1-PI()*P14/3)) )^2*K15^2 + ( P15*(1-1/SQRT(1-PI()*P15/3)) - P14*(1-1/SQRT(1-PI()*P14/3)) )^2*SUMSQ(K16:K$47) ), (1/(PI()^2*H15*$J$48))*SQRT((1+P14/(1-P14))^2*K15^2+(P14/(1-P14)-P15/(1-P15))^2*SUMSQ(K16:K$47)) )</f>
        <v>3.0491868891480846E-8</v>
      </c>
      <c r="V15" s="345">
        <f t="shared" si="18"/>
        <v>4.6944136373493028E-8</v>
      </c>
      <c r="W15" s="340">
        <f t="shared" si="19"/>
        <v>1.0960131290769499</v>
      </c>
      <c r="X15" s="345">
        <f t="shared" si="20"/>
        <v>9.3888272746986055E-8</v>
      </c>
      <c r="Y15" s="338">
        <f t="shared" si="8"/>
        <v>-12.360816511515864</v>
      </c>
      <c r="Z15" s="346">
        <f t="shared" si="21"/>
        <v>1.09601312907695E-2</v>
      </c>
      <c r="AA15" s="346">
        <f t="shared" si="22"/>
        <v>8.8668343879699005E-2</v>
      </c>
      <c r="AB15" s="346">
        <f t="shared" si="9"/>
        <v>2.1920262581539E-2</v>
      </c>
      <c r="AC15" s="336">
        <f t="shared" si="3"/>
        <v>5.5274173827158511E-10</v>
      </c>
      <c r="AD15" s="337">
        <f t="shared" si="4"/>
        <v>2.0383792193734213E-11</v>
      </c>
      <c r="AE15" s="308">
        <f t="shared" si="10"/>
        <v>3.6877606271373713</v>
      </c>
      <c r="AF15" s="337">
        <f t="shared" si="11"/>
        <v>4.0767584387468427E-11</v>
      </c>
      <c r="AG15" s="338">
        <f t="shared" si="23"/>
        <v>-21.316130242894129</v>
      </c>
      <c r="AH15" s="339">
        <f t="shared" si="24"/>
        <v>3.6877606271373709E-2</v>
      </c>
      <c r="AI15" s="340">
        <f t="shared" si="25"/>
        <v>0.17300328836031154</v>
      </c>
      <c r="AJ15" s="341">
        <f t="shared" si="12"/>
        <v>7.3755212542747417E-2</v>
      </c>
    </row>
    <row r="16" spans="1:39" x14ac:dyDescent="0.2">
      <c r="A16" s="309">
        <v>9</v>
      </c>
      <c r="B16" s="309">
        <f t="shared" si="13"/>
        <v>9</v>
      </c>
      <c r="C16" s="1">
        <v>439.97</v>
      </c>
      <c r="D16" s="1">
        <v>1.4</v>
      </c>
      <c r="E16" s="326">
        <f t="shared" si="5"/>
        <v>14.022885348889387</v>
      </c>
      <c r="F16" s="327">
        <f t="shared" si="0"/>
        <v>2.7528239768080276E-2</v>
      </c>
      <c r="G16" s="309">
        <f t="shared" si="6"/>
        <v>1</v>
      </c>
      <c r="H16" s="1">
        <v>3600</v>
      </c>
      <c r="I16" s="324">
        <v>30</v>
      </c>
      <c r="J16" s="1">
        <v>0.18936</v>
      </c>
      <c r="K16" s="1">
        <v>5.5999999999999995E-4</v>
      </c>
      <c r="L16" s="328">
        <f t="shared" si="1"/>
        <v>0.2957329953527672</v>
      </c>
      <c r="M16" s="329">
        <f t="shared" si="2"/>
        <v>7.1284176764881912E-2</v>
      </c>
      <c r="N16" s="342">
        <f>(1/$J$48)*SQRT(((1-J17/$J$48)*K16)^2+(J17/$J$48)^2*(SUMSQ(K$8:K15)+SUMSQ(K17:K$47)))</f>
        <v>2.1836850694424584E-4</v>
      </c>
      <c r="O16" s="340">
        <f t="shared" si="14"/>
        <v>0.3063351740239566</v>
      </c>
      <c r="P16" s="332">
        <f t="shared" si="7"/>
        <v>0.66178413723785079</v>
      </c>
      <c r="Q16" s="342">
        <f>SQRT(((1-P16)/$J$48)^2*SUMSQ(K$8:K16)+(P16/$J$48)^2*SUMSQ(K17:K$47))</f>
        <v>1.5285198219703016E-3</v>
      </c>
      <c r="R16" s="340">
        <f t="shared" si="15"/>
        <v>0.23096954670899567</v>
      </c>
      <c r="S16" s="343">
        <f t="shared" si="16"/>
        <v>4.6647933007289299E-6</v>
      </c>
      <c r="T16" s="344">
        <f t="shared" si="17"/>
        <v>3.8873277506074405E-8</v>
      </c>
      <c r="U16" s="344">
        <f>IF(P16&lt;=0.85, (1/(3*H16*$J$48))*SQRT( ((1-P16)*(1/SQRT(1-PI()*P16/3)-1) + (1-P15)*(1-1/SQRT(1-PI()*P15/3)))^2*SUMSQ(K$8:K15) + ( (1-P16)*(1/SQRT(1-PI()*P16/3)-1) -P15*(1-1/SQRT(1-PI()*P15/3)) )^2*K16^2 + ( P16*(1-1/SQRT(1-PI()*P16/3)) - P15*(1-1/SQRT(1-PI()*P15/3)) )^2*SUMSQ(K17:K$47) ), (1/(PI()^2*H16*$J$48))*SQRT((1+P15/(1-P15))^2*K16^2+(P15/(1-P15)-P16/(1-P16))^2*SUMSQ(K17:K$47)) )</f>
        <v>3.7633500196205432E-8</v>
      </c>
      <c r="V16" s="345">
        <f t="shared" si="18"/>
        <v>5.4105563864375951E-8</v>
      </c>
      <c r="W16" s="340">
        <f t="shared" si="19"/>
        <v>1.1598705532337585</v>
      </c>
      <c r="X16" s="345">
        <f t="shared" si="20"/>
        <v>1.082111277287519E-7</v>
      </c>
      <c r="Y16" s="338">
        <f t="shared" si="8"/>
        <v>-12.275467033172035</v>
      </c>
      <c r="Z16" s="346">
        <f t="shared" si="21"/>
        <v>1.1598705532337586E-2</v>
      </c>
      <c r="AA16" s="346">
        <f t="shared" si="22"/>
        <v>9.4486877778208897E-2</v>
      </c>
      <c r="AB16" s="346">
        <f t="shared" si="9"/>
        <v>2.3197411064675173E-2</v>
      </c>
      <c r="AC16" s="336">
        <f t="shared" si="3"/>
        <v>6.019897095417481E-10</v>
      </c>
      <c r="AD16" s="337">
        <f t="shared" si="4"/>
        <v>2.2317207324225229E-11</v>
      </c>
      <c r="AE16" s="308">
        <f t="shared" si="10"/>
        <v>3.7072406671558769</v>
      </c>
      <c r="AF16" s="337">
        <f t="shared" si="11"/>
        <v>4.4634414648450457E-11</v>
      </c>
      <c r="AG16" s="338">
        <f t="shared" si="23"/>
        <v>-21.2307807645503</v>
      </c>
      <c r="AH16" s="339">
        <f t="shared" si="24"/>
        <v>3.7072406671558769E-2</v>
      </c>
      <c r="AI16" s="340">
        <f t="shared" si="25"/>
        <v>0.17461631337392797</v>
      </c>
      <c r="AJ16" s="341">
        <f t="shared" si="12"/>
        <v>7.4144813343117538E-2</v>
      </c>
    </row>
    <row r="17" spans="1:39" x14ac:dyDescent="0.2">
      <c r="A17" s="309">
        <v>10</v>
      </c>
      <c r="B17" s="309">
        <f t="shared" si="13"/>
        <v>10</v>
      </c>
      <c r="C17" s="1">
        <v>439.99</v>
      </c>
      <c r="D17" s="1">
        <v>1.1399999999999999</v>
      </c>
      <c r="E17" s="326">
        <f t="shared" si="5"/>
        <v>14.022492077291977</v>
      </c>
      <c r="F17" s="327">
        <f t="shared" si="0"/>
        <v>2.306782015553056E-2</v>
      </c>
      <c r="G17" s="309">
        <f t="shared" si="6"/>
        <v>1</v>
      </c>
      <c r="H17" s="1">
        <v>3600</v>
      </c>
      <c r="I17" s="324">
        <v>30</v>
      </c>
      <c r="J17" s="1">
        <v>8.881E-2</v>
      </c>
      <c r="K17" s="1">
        <v>4.2000000000000002E-4</v>
      </c>
      <c r="L17" s="328">
        <f t="shared" si="1"/>
        <v>0.47291971624817025</v>
      </c>
      <c r="M17" s="329">
        <f t="shared" si="2"/>
        <v>3.343233913439566E-2</v>
      </c>
      <c r="N17" s="342">
        <f>(1/$J$48)*SQRT(((1-J18/$J$48)*K17)^2+(J18/$J$48)^2*(SUMSQ(K$8:K16)+SUMSQ(K18:K$47)))</f>
        <v>1.5979176593087225E-4</v>
      </c>
      <c r="O17" s="340">
        <f t="shared" si="14"/>
        <v>0.47795568622500673</v>
      </c>
      <c r="P17" s="332">
        <f t="shared" si="7"/>
        <v>0.69521647637224648</v>
      </c>
      <c r="Q17" s="342">
        <f>SQRT(((1-P17)/$J$48)^2*SUMSQ(K$8:K17)+(P17/$J$48)^2*SUMSQ(K18:K$47))</f>
        <v>1.5995128544397763E-3</v>
      </c>
      <c r="R17" s="340">
        <f t="shared" si="15"/>
        <v>0.23007407171738745</v>
      </c>
      <c r="S17" s="343">
        <f t="shared" si="16"/>
        <v>2.6606069058801544E-6</v>
      </c>
      <c r="T17" s="344">
        <f t="shared" si="17"/>
        <v>2.2171724215667952E-8</v>
      </c>
      <c r="U17" s="344">
        <f>IF(P17&lt;=0.85, (1/(3*H17*$J$48))*SQRT( ((1-P17)*(1/SQRT(1-PI()*P17/3)-1) + (1-P16)*(1-1/SQRT(1-PI()*P16/3)))^2*SUMSQ(K$8:K16) + ( (1-P17)*(1/SQRT(1-PI()*P17/3)-1) -P16*(1-1/SQRT(1-PI()*P16/3)) )^2*K17^2 + ( P17*(1-1/SQRT(1-PI()*P17/3)) - P16*(1-1/SQRT(1-PI()*P16/3)) )^2*SUMSQ(K18:K$47) ), (1/(PI()^2*H17*$J$48))*SQRT((1+P16/(1-P16))^2*K17^2+(P16/(1-P16)-P17/(1-P17))^2*SUMSQ(K18:K$47)) )</f>
        <v>2.5259082629759409E-8</v>
      </c>
      <c r="V17" s="345">
        <f t="shared" si="18"/>
        <v>3.3609620795133206E-8</v>
      </c>
      <c r="W17" s="340">
        <f t="shared" si="19"/>
        <v>1.2632313597643174</v>
      </c>
      <c r="X17" s="345">
        <f t="shared" si="20"/>
        <v>6.7219241590266412E-8</v>
      </c>
      <c r="Y17" s="338">
        <f t="shared" si="8"/>
        <v>-12.836956301089904</v>
      </c>
      <c r="Z17" s="346">
        <f t="shared" si="21"/>
        <v>1.2632313597643174E-2</v>
      </c>
      <c r="AA17" s="346">
        <f t="shared" si="22"/>
        <v>9.8405831579956735E-2</v>
      </c>
      <c r="AB17" s="346">
        <f t="shared" si="9"/>
        <v>2.5264627195286347E-2</v>
      </c>
      <c r="AC17" s="336">
        <f t="shared" si="3"/>
        <v>3.4335025696107158E-10</v>
      </c>
      <c r="AD17" s="337">
        <f t="shared" si="4"/>
        <v>1.2844277017208242E-11</v>
      </c>
      <c r="AE17" s="308">
        <f t="shared" si="10"/>
        <v>3.7408671631384571</v>
      </c>
      <c r="AF17" s="337">
        <f t="shared" si="11"/>
        <v>2.5688554034416484E-11</v>
      </c>
      <c r="AG17" s="338">
        <f t="shared" si="23"/>
        <v>-21.792270032468167</v>
      </c>
      <c r="AH17" s="339">
        <f t="shared" si="24"/>
        <v>3.7408671631384574E-2</v>
      </c>
      <c r="AI17" s="340">
        <f t="shared" si="25"/>
        <v>0.1716602794277495</v>
      </c>
      <c r="AJ17" s="341">
        <f t="shared" si="12"/>
        <v>7.4817343262769148E-2</v>
      </c>
      <c r="AM17" s="322"/>
    </row>
    <row r="18" spans="1:39" x14ac:dyDescent="0.2">
      <c r="A18" s="309">
        <v>11</v>
      </c>
      <c r="B18" s="309">
        <f t="shared" si="13"/>
        <v>11</v>
      </c>
      <c r="C18" s="1">
        <v>429.84</v>
      </c>
      <c r="D18" s="1">
        <v>2.16</v>
      </c>
      <c r="E18" s="326">
        <f t="shared" si="5"/>
        <v>14.224953413277571</v>
      </c>
      <c r="F18" s="327">
        <f t="shared" si="0"/>
        <v>4.6285721205429613E-2</v>
      </c>
      <c r="G18" s="309">
        <f t="shared" si="6"/>
        <v>1</v>
      </c>
      <c r="H18" s="1">
        <v>3600</v>
      </c>
      <c r="I18" s="324">
        <v>30</v>
      </c>
      <c r="J18" s="1">
        <v>4.061E-2</v>
      </c>
      <c r="K18" s="1">
        <v>1.9000000000000001E-4</v>
      </c>
      <c r="L18" s="328">
        <f t="shared" si="1"/>
        <v>0.46786505786752036</v>
      </c>
      <c r="M18" s="329">
        <f t="shared" si="2"/>
        <v>1.5287549738180473E-2</v>
      </c>
      <c r="N18" s="342">
        <f>(1/$J$48)*SQRT(((1-J19/$J$48)*K18)^2+(J19/$J$48)^2*(SUMSQ(K$8:K17)+SUMSQ(K19:K$47)))</f>
        <v>7.2342204699964938E-5</v>
      </c>
      <c r="O18" s="340">
        <f t="shared" si="14"/>
        <v>0.47320993840687986</v>
      </c>
      <c r="P18" s="332">
        <f t="shared" si="7"/>
        <v>0.71050402611042696</v>
      </c>
      <c r="Q18" s="342">
        <f>SQRT(((1-P18)/$J$48)^2*SUMSQ(K$8:K18)+(P18/$J$48)^2*SUMSQ(K19:K$47))</f>
        <v>1.6326887864896813E-3</v>
      </c>
      <c r="R18" s="340">
        <f t="shared" si="15"/>
        <v>0.22979303796878525</v>
      </c>
      <c r="S18" s="343">
        <f t="shared" si="16"/>
        <v>1.3399180552036221E-6</v>
      </c>
      <c r="T18" s="344">
        <f t="shared" si="17"/>
        <v>1.116598379336352E-8</v>
      </c>
      <c r="U18" s="344">
        <f>IF(P18&lt;=0.85, (1/(3*H18*$J$48))*SQRT( ((1-P18)*(1/SQRT(1-PI()*P18/3)-1) + (1-P17)*(1-1/SQRT(1-PI()*P17/3)))^2*SUMSQ(K$8:K17) + ( (1-P18)*(1/SQRT(1-PI()*P18/3)-1) -P17*(1-1/SQRT(1-PI()*P17/3)) )^2*K18^2 + ( P18*(1-1/SQRT(1-PI()*P18/3)) - P17*(1-1/SQRT(1-PI()*P17/3)) )^2*SUMSQ(K19:K$47) ), (1/(PI()^2*H18*$J$48))*SQRT((1+P17/(1-P17))^2*K18^2+(P17/(1-P17)-P18/(1-P18))^2*SUMSQ(K19:K$47)) )</f>
        <v>1.332665394863326E-8</v>
      </c>
      <c r="V18" s="345">
        <f t="shared" si="18"/>
        <v>1.7386169777736535E-8</v>
      </c>
      <c r="W18" s="340">
        <f t="shared" si="19"/>
        <v>1.2975547056938812</v>
      </c>
      <c r="X18" s="345">
        <f t="shared" si="20"/>
        <v>3.477233955547307E-8</v>
      </c>
      <c r="Y18" s="338">
        <f t="shared" si="8"/>
        <v>-13.522902098704483</v>
      </c>
      <c r="Z18" s="346">
        <f t="shared" si="21"/>
        <v>1.2975547056938812E-2</v>
      </c>
      <c r="AA18" s="346">
        <f t="shared" si="22"/>
        <v>9.5952384793068127E-2</v>
      </c>
      <c r="AB18" s="346">
        <f t="shared" si="9"/>
        <v>2.5951094113877624E-2</v>
      </c>
      <c r="AC18" s="336">
        <f t="shared" si="3"/>
        <v>1.7291588905680534E-10</v>
      </c>
      <c r="AD18" s="337">
        <f t="shared" si="4"/>
        <v>6.4888359201118546E-12</v>
      </c>
      <c r="AE18" s="308">
        <f t="shared" si="10"/>
        <v>3.7525966847269765</v>
      </c>
      <c r="AF18" s="337">
        <f t="shared" si="11"/>
        <v>1.2977671840223709E-11</v>
      </c>
      <c r="AG18" s="338">
        <f t="shared" si="23"/>
        <v>-22.478215830082746</v>
      </c>
      <c r="AH18" s="339">
        <f t="shared" si="24"/>
        <v>3.7525966847269769E-2</v>
      </c>
      <c r="AI18" s="340">
        <f t="shared" si="25"/>
        <v>0.166943707325065</v>
      </c>
      <c r="AJ18" s="341">
        <f t="shared" si="12"/>
        <v>7.5051933694539538E-2</v>
      </c>
    </row>
    <row r="19" spans="1:39" x14ac:dyDescent="0.2">
      <c r="A19" s="309">
        <v>12</v>
      </c>
      <c r="B19" s="309">
        <f t="shared" si="13"/>
        <v>12</v>
      </c>
      <c r="C19" s="1">
        <v>409.98</v>
      </c>
      <c r="D19" s="1">
        <v>1.34</v>
      </c>
      <c r="E19" s="326">
        <f t="shared" si="5"/>
        <v>14.638502188456076</v>
      </c>
      <c r="F19" s="327">
        <f t="shared" si="0"/>
        <v>3.0473374232203781E-2</v>
      </c>
      <c r="G19" s="309">
        <f t="shared" si="6"/>
        <v>1</v>
      </c>
      <c r="H19" s="1">
        <v>3600</v>
      </c>
      <c r="I19" s="324">
        <v>30</v>
      </c>
      <c r="J19" s="1">
        <v>1.49E-2</v>
      </c>
      <c r="K19" s="1">
        <v>1E-4</v>
      </c>
      <c r="L19" s="328">
        <f t="shared" si="1"/>
        <v>0.67114093959731547</v>
      </c>
      <c r="M19" s="329">
        <f t="shared" si="2"/>
        <v>5.6090739004897574E-3</v>
      </c>
      <c r="N19" s="342">
        <f>(1/$J$48)*SQRT(((1-J20/$J$48)*K19)^2+(J20/$J$48)^2*(SUMSQ(K$8:K18)+SUMSQ(K20:K$47)))</f>
        <v>3.7827973914774906E-5</v>
      </c>
      <c r="O19" s="340">
        <f t="shared" si="14"/>
        <v>0.67440676635535057</v>
      </c>
      <c r="P19" s="332">
        <f t="shared" si="7"/>
        <v>0.71611310001091666</v>
      </c>
      <c r="Q19" s="342">
        <f>SQRT(((1-P19)/$J$48)^2*SUMSQ(K$8:K19)+(P19/$J$48)^2*SUMSQ(K20:K$47))</f>
        <v>1.6449280928045979E-3</v>
      </c>
      <c r="R19" s="340">
        <f t="shared" si="15"/>
        <v>0.2297022764671561</v>
      </c>
      <c r="S19" s="343">
        <f t="shared" si="16"/>
        <v>5.1314826389734444E-7</v>
      </c>
      <c r="T19" s="344">
        <f t="shared" si="17"/>
        <v>4.2762355324778707E-9</v>
      </c>
      <c r="U19" s="344">
        <f>IF(P19&lt;=0.85, (1/(3*H19*$J$48))*SQRT( ((1-P19)*(1/SQRT(1-PI()*P19/3)-1) + (1-P18)*(1-1/SQRT(1-PI()*P18/3)))^2*SUMSQ(K$8:K18) + ( (1-P19)*(1/SQRT(1-PI()*P19/3)-1) -P18*(1-1/SQRT(1-PI()*P18/3)) )^2*K19^2 + ( P19*(1-1/SQRT(1-PI()*P19/3)) - P18*(1-1/SQRT(1-PI()*P18/3)) )^2*SUMSQ(K20:K$47) ), (1/(PI()^2*H19*$J$48))*SQRT((1+P18/(1-P18))^2*K19^2+(P18/(1-P18)-P19/(1-P19))^2*SUMSQ(K20:K$47)) )</f>
        <v>5.7703425935254056E-9</v>
      </c>
      <c r="V19" s="345">
        <f t="shared" si="18"/>
        <v>7.1821336645790573E-9</v>
      </c>
      <c r="W19" s="340">
        <f t="shared" si="19"/>
        <v>1.3996215460286243</v>
      </c>
      <c r="X19" s="345">
        <f t="shared" si="20"/>
        <v>1.4364267329158115E-8</v>
      </c>
      <c r="Y19" s="338">
        <f t="shared" si="8"/>
        <v>-14.482701020086866</v>
      </c>
      <c r="Z19" s="346">
        <f t="shared" si="21"/>
        <v>1.3996215460286242E-2</v>
      </c>
      <c r="AA19" s="346">
        <f t="shared" si="22"/>
        <v>9.6640919679789772E-2</v>
      </c>
      <c r="AB19" s="346">
        <f t="shared" si="9"/>
        <v>2.7992430920572485E-2</v>
      </c>
      <c r="AC19" s="336">
        <f t="shared" si="3"/>
        <v>6.6221578196646744E-11</v>
      </c>
      <c r="AD19" s="337">
        <f t="shared" si="4"/>
        <v>2.5092014110203571E-12</v>
      </c>
      <c r="AE19" s="308">
        <f t="shared" si="10"/>
        <v>3.789099383239126</v>
      </c>
      <c r="AF19" s="337">
        <f t="shared" si="11"/>
        <v>5.0184028220407142E-12</v>
      </c>
      <c r="AG19" s="338">
        <f t="shared" si="23"/>
        <v>-23.438014751465129</v>
      </c>
      <c r="AH19" s="339">
        <f t="shared" si="24"/>
        <v>3.7890993832391258E-2</v>
      </c>
      <c r="AI19" s="340">
        <f t="shared" si="25"/>
        <v>0.16166468975373718</v>
      </c>
      <c r="AJ19" s="341">
        <f t="shared" si="12"/>
        <v>7.5781987664782516E-2</v>
      </c>
    </row>
    <row r="20" spans="1:39" x14ac:dyDescent="0.2">
      <c r="A20" s="309">
        <v>13</v>
      </c>
      <c r="B20" s="309">
        <f t="shared" si="13"/>
        <v>13</v>
      </c>
      <c r="C20" s="1">
        <v>389.97</v>
      </c>
      <c r="D20" s="1">
        <v>1.34</v>
      </c>
      <c r="E20" s="326">
        <f t="shared" si="5"/>
        <v>15.080226806611172</v>
      </c>
      <c r="F20" s="327">
        <f t="shared" si="0"/>
        <v>3.2396176450848184E-2</v>
      </c>
      <c r="G20" s="309">
        <f t="shared" si="6"/>
        <v>1</v>
      </c>
      <c r="H20" s="1">
        <v>3600</v>
      </c>
      <c r="I20" s="324">
        <v>30</v>
      </c>
      <c r="J20" s="1">
        <v>4.9199999999999999E-3</v>
      </c>
      <c r="K20" s="1">
        <v>6.0000000000000002E-5</v>
      </c>
      <c r="L20" s="328">
        <f t="shared" si="1"/>
        <v>1.2195121951219512</v>
      </c>
      <c r="M20" s="329">
        <f t="shared" si="2"/>
        <v>1.8521237308999736E-3</v>
      </c>
      <c r="N20" s="342">
        <f>(1/$J$48)*SQRT(((1-J21/$J$48)*K20)^2+(J21/$J$48)^2*(SUMSQ(K$8:K19)+SUMSQ(K21:K$47)))</f>
        <v>2.2608748498424836E-5</v>
      </c>
      <c r="O20" s="340">
        <f t="shared" si="14"/>
        <v>1.2206932032256246</v>
      </c>
      <c r="P20" s="332">
        <f t="shared" si="7"/>
        <v>0.71796522374181659</v>
      </c>
      <c r="Q20" s="342">
        <f>SQRT(((1-P20)/$J$48)^2*SUMSQ(K$8:K20)+(P20/$J$48)^2*SUMSQ(K21:K$47))</f>
        <v>1.6489651777379566E-3</v>
      </c>
      <c r="R20" s="340">
        <f t="shared" si="15"/>
        <v>0.22967201240528767</v>
      </c>
      <c r="S20" s="343">
        <f t="shared" si="16"/>
        <v>1.720999832946757E-7</v>
      </c>
      <c r="T20" s="344">
        <f t="shared" si="17"/>
        <v>1.4341665274556312E-9</v>
      </c>
      <c r="U20" s="344">
        <f>IF(P20&lt;=0.85, (1/(3*H20*$J$48))*SQRT( ((1-P20)*(1/SQRT(1-PI()*P20/3)-1) + (1-P19)*(1-1/SQRT(1-PI()*P19/3)))^2*SUMSQ(K$8:K19) + ( (1-P20)*(1/SQRT(1-PI()*P20/3)-1) -P19*(1-1/SQRT(1-PI()*P19/3)) )^2*K20^2 + ( P20*(1-1/SQRT(1-PI()*P20/3)) - P19*(1-1/SQRT(1-PI()*P19/3)) )^2*SUMSQ(K21:K$47) ), (1/(PI()^2*H20*$J$48))*SQRT((1+P19/(1-P19))^2*K20^2+(P19/(1-P19)-P20/(1-P20))^2*SUMSQ(K21:K$47)) )</f>
        <v>2.6192026048031903E-9</v>
      </c>
      <c r="V20" s="345">
        <f t="shared" si="18"/>
        <v>2.9861439873994624E-9</v>
      </c>
      <c r="W20" s="340">
        <f t="shared" si="19"/>
        <v>1.7351216021250164</v>
      </c>
      <c r="X20" s="345">
        <f t="shared" si="20"/>
        <v>5.9722879747989248E-9</v>
      </c>
      <c r="Y20" s="338">
        <f t="shared" si="8"/>
        <v>-15.575190230796466</v>
      </c>
      <c r="Z20" s="346">
        <f t="shared" si="21"/>
        <v>1.7351216021250164E-2</v>
      </c>
      <c r="AA20" s="346">
        <f t="shared" si="22"/>
        <v>0.11140291556081289</v>
      </c>
      <c r="AB20" s="346">
        <f t="shared" si="9"/>
        <v>3.4702432042500328E-2</v>
      </c>
      <c r="AC20" s="336">
        <f t="shared" si="3"/>
        <v>2.220943400418458E-11</v>
      </c>
      <c r="AD20" s="337">
        <f t="shared" si="4"/>
        <v>8.718152181233419E-13</v>
      </c>
      <c r="AE20" s="308">
        <f t="shared" si="10"/>
        <v>3.9254274465485217</v>
      </c>
      <c r="AF20" s="337">
        <f t="shared" si="11"/>
        <v>1.7436304362466838E-12</v>
      </c>
      <c r="AG20" s="338">
        <f t="shared" si="23"/>
        <v>-24.530503962174731</v>
      </c>
      <c r="AH20" s="339">
        <f t="shared" si="24"/>
        <v>3.9254274465485219E-2</v>
      </c>
      <c r="AI20" s="340">
        <f t="shared" si="25"/>
        <v>0.16002229112787117</v>
      </c>
      <c r="AJ20" s="341">
        <f t="shared" si="12"/>
        <v>7.8508548930970437E-2</v>
      </c>
    </row>
    <row r="21" spans="1:39" x14ac:dyDescent="0.2">
      <c r="A21" s="309">
        <v>14</v>
      </c>
      <c r="B21" s="309">
        <f t="shared" si="13"/>
        <v>14</v>
      </c>
      <c r="C21" s="1">
        <v>369.99</v>
      </c>
      <c r="D21" s="1">
        <v>1.23</v>
      </c>
      <c r="E21" s="326">
        <f t="shared" si="5"/>
        <v>15.548714121342165</v>
      </c>
      <c r="F21" s="327">
        <f t="shared" si="0"/>
        <v>3.1678289965235841E-2</v>
      </c>
      <c r="G21" s="309">
        <f t="shared" si="6"/>
        <v>1</v>
      </c>
      <c r="H21" s="1">
        <v>3600</v>
      </c>
      <c r="I21" s="324">
        <v>30</v>
      </c>
      <c r="J21" s="1">
        <v>1.39E-3</v>
      </c>
      <c r="K21" s="1">
        <v>3.0000000000000001E-5</v>
      </c>
      <c r="L21" s="328">
        <f t="shared" si="1"/>
        <v>2.1582733812949639</v>
      </c>
      <c r="M21" s="329">
        <f t="shared" si="2"/>
        <v>5.2326259877052094E-4</v>
      </c>
      <c r="N21" s="342">
        <f>(1/$J$48)*SQRT(((1-J22/$J$48)*K21)^2+(J22/$J$48)^2*(SUMSQ(K$8:K20)+SUMSQ(K22:K$47)))</f>
        <v>1.1300657965650608E-5</v>
      </c>
      <c r="O21" s="340">
        <f t="shared" si="14"/>
        <v>2.1596532968729454</v>
      </c>
      <c r="P21" s="332">
        <f t="shared" si="7"/>
        <v>0.71848848634058715</v>
      </c>
      <c r="Q21" s="342">
        <f>SQRT(((1-P21)/$J$48)^2*SUMSQ(K$8:K21)+(P21/$J$48)^2*SUMSQ(K22:K$47))</f>
        <v>1.6501080304220823E-3</v>
      </c>
      <c r="R21" s="340">
        <f t="shared" si="15"/>
        <v>0.22966380976074224</v>
      </c>
      <c r="S21" s="343">
        <f t="shared" si="16"/>
        <v>4.8864805933044824E-8</v>
      </c>
      <c r="T21" s="344">
        <f t="shared" si="17"/>
        <v>4.0720671610870702E-10</v>
      </c>
      <c r="U21" s="344">
        <f>IF(P21&lt;=0.85, (1/(3*H21*$J$48))*SQRT( ((1-P21)*(1/SQRT(1-PI()*P21/3)-1) + (1-P20)*(1-1/SQRT(1-PI()*P20/3)))^2*SUMSQ(K$8:K20) + ( (1-P21)*(1/SQRT(1-PI()*P21/3)-1) -P20*(1-1/SQRT(1-PI()*P20/3)) )^2*K21^2 + ( P21*(1-1/SQRT(1-PI()*P21/3)) - P20*(1-1/SQRT(1-PI()*P20/3)) )^2*SUMSQ(K22:K$47) ), (1/(PI()^2*H21*$J$48))*SQRT((1+P20/(1-P20))^2*K21^2+(P20/(1-P20)-P21/(1-P21))^2*SUMSQ(K22:K$47)) )</f>
        <v>1.1453066248449156E-9</v>
      </c>
      <c r="V21" s="345">
        <f t="shared" si="18"/>
        <v>1.2155429134990214E-9</v>
      </c>
      <c r="W21" s="340">
        <f t="shared" si="19"/>
        <v>2.4875631659410939</v>
      </c>
      <c r="X21" s="345">
        <f t="shared" si="20"/>
        <v>2.4310858269980428E-9</v>
      </c>
      <c r="Y21" s="338">
        <f t="shared" si="8"/>
        <v>-16.834208414655471</v>
      </c>
      <c r="Z21" s="346">
        <f t="shared" si="21"/>
        <v>2.4875631659410941E-2</v>
      </c>
      <c r="AA21" s="346">
        <f t="shared" si="22"/>
        <v>0.14776834791800958</v>
      </c>
      <c r="AB21" s="346">
        <f t="shared" si="9"/>
        <v>4.9751263318821883E-2</v>
      </c>
      <c r="AC21" s="336">
        <f t="shared" si="3"/>
        <v>6.3059836597370615E-12</v>
      </c>
      <c r="AD21" s="337">
        <f t="shared" si="4"/>
        <v>2.7186253434892939E-13</v>
      </c>
      <c r="AE21" s="308">
        <f t="shared" si="10"/>
        <v>4.3111836157257839</v>
      </c>
      <c r="AF21" s="337">
        <f t="shared" si="11"/>
        <v>5.4372506869785877E-13</v>
      </c>
      <c r="AG21" s="338">
        <f t="shared" si="23"/>
        <v>-25.789522146033732</v>
      </c>
      <c r="AH21" s="339">
        <f t="shared" si="24"/>
        <v>4.3111836157257839E-2</v>
      </c>
      <c r="AI21" s="340">
        <f t="shared" si="25"/>
        <v>0.16716803015246318</v>
      </c>
      <c r="AJ21" s="341">
        <f t="shared" si="12"/>
        <v>8.6223672314515679E-2</v>
      </c>
    </row>
    <row r="22" spans="1:39" x14ac:dyDescent="0.2">
      <c r="A22" s="309">
        <v>15</v>
      </c>
      <c r="B22" s="309">
        <f t="shared" si="13"/>
        <v>15</v>
      </c>
      <c r="C22" s="1">
        <v>349.97</v>
      </c>
      <c r="D22" s="1">
        <v>1.1399999999999999</v>
      </c>
      <c r="E22" s="326">
        <f t="shared" si="5"/>
        <v>16.048273205803056</v>
      </c>
      <c r="F22" s="327">
        <f t="shared" si="0"/>
        <v>2.7999777919515825E-2</v>
      </c>
      <c r="G22" s="309">
        <f t="shared" si="6"/>
        <v>1</v>
      </c>
      <c r="H22" s="1">
        <v>3600</v>
      </c>
      <c r="I22" s="324">
        <v>30</v>
      </c>
      <c r="J22" s="1">
        <v>5.1999999999999995E-4</v>
      </c>
      <c r="K22" s="1">
        <v>1.0000000000000001E-5</v>
      </c>
      <c r="L22" s="328">
        <f t="shared" si="1"/>
        <v>1.9230769230769236</v>
      </c>
      <c r="M22" s="329">
        <f t="shared" si="2"/>
        <v>1.9575291464796467E-4</v>
      </c>
      <c r="N22" s="342">
        <f>(1/$J$48)*SQRT(((1-J23/$J$48)*K22)^2+(J23/$J$48)^2*(SUMSQ(K$8:K21)+SUMSQ(K23:K$47)))</f>
        <v>3.9330464317664918E-6</v>
      </c>
      <c r="O22" s="340">
        <f t="shared" si="14"/>
        <v>2.0091892061170826</v>
      </c>
      <c r="P22" s="332">
        <f t="shared" si="7"/>
        <v>0.71868423925523517</v>
      </c>
      <c r="Q22" s="342">
        <f>SQRT(((1-P22)/$J$48)^2*SUMSQ(K$8:K22)+(P22/$J$48)^2*SUMSQ(K23:K$47))</f>
        <v>1.6505400294351089E-3</v>
      </c>
      <c r="R22" s="340">
        <f t="shared" si="15"/>
        <v>0.22966136437687096</v>
      </c>
      <c r="S22" s="343">
        <f t="shared" si="16"/>
        <v>1.8308032510520258E-8</v>
      </c>
      <c r="T22" s="344">
        <f t="shared" si="17"/>
        <v>1.5256693758766887E-10</v>
      </c>
      <c r="U22" s="344">
        <f>IF(P22&lt;=0.85, (1/(3*H22*$J$48))*SQRT( ((1-P22)*(1/SQRT(1-PI()*P22/3)-1) + (1-P21)*(1-1/SQRT(1-PI()*P21/3)))^2*SUMSQ(K$8:K21) + ( (1-P22)*(1/SQRT(1-PI()*P22/3)-1) -P21*(1-1/SQRT(1-PI()*P21/3)) )^2*K22^2 + ( P22*(1-1/SQRT(1-PI()*P22/3)) - P21*(1-1/SQRT(1-PI()*P21/3)) )^2*SUMSQ(K23:K$47) ), (1/(PI()^2*H22*$J$48))*SQRT((1+P21/(1-P21))^2*K22^2+(P21/(1-P21)-P22/(1-P22))^2*SUMSQ(K23:K$47)) )</f>
        <v>3.9017051360275471E-10</v>
      </c>
      <c r="V22" s="345">
        <f t="shared" si="18"/>
        <v>4.1893877849862153E-10</v>
      </c>
      <c r="W22" s="340">
        <f t="shared" si="19"/>
        <v>2.2882785370732148</v>
      </c>
      <c r="X22" s="345">
        <f t="shared" si="20"/>
        <v>8.3787755699724307E-10</v>
      </c>
      <c r="Y22" s="338">
        <f t="shared" si="8"/>
        <v>-17.815925938401715</v>
      </c>
      <c r="Z22" s="346">
        <f t="shared" si="21"/>
        <v>2.2882785370732149E-2</v>
      </c>
      <c r="AA22" s="346">
        <f t="shared" si="22"/>
        <v>0.1284400566653062</v>
      </c>
      <c r="AB22" s="346">
        <f t="shared" si="9"/>
        <v>4.5765570741464298E-2</v>
      </c>
      <c r="AC22" s="336">
        <f t="shared" si="3"/>
        <v>2.3626442722696349E-12</v>
      </c>
      <c r="AD22" s="337">
        <f t="shared" si="4"/>
        <v>9.9215735736704739E-14</v>
      </c>
      <c r="AE22" s="308">
        <f t="shared" si="10"/>
        <v>4.1993514174435917</v>
      </c>
      <c r="AF22" s="337">
        <f t="shared" si="11"/>
        <v>1.9843147147340948E-13</v>
      </c>
      <c r="AG22" s="338">
        <f t="shared" si="23"/>
        <v>-26.77123966977998</v>
      </c>
      <c r="AH22" s="339">
        <f t="shared" si="24"/>
        <v>4.1993514174435913E-2</v>
      </c>
      <c r="AI22" s="340">
        <f t="shared" si="25"/>
        <v>0.1568605514440902</v>
      </c>
      <c r="AJ22" s="341">
        <f t="shared" si="12"/>
        <v>8.3987028348871826E-2</v>
      </c>
    </row>
    <row r="23" spans="1:39" x14ac:dyDescent="0.2">
      <c r="A23" s="309">
        <v>16</v>
      </c>
      <c r="B23" s="309">
        <f t="shared" si="13"/>
        <v>16</v>
      </c>
      <c r="C23" s="1">
        <v>364.93</v>
      </c>
      <c r="D23" s="1">
        <v>1.38</v>
      </c>
      <c r="E23" s="326">
        <f t="shared" si="5"/>
        <v>15.672016048144435</v>
      </c>
      <c r="F23" s="327">
        <f t="shared" si="0"/>
        <v>3.185976093438285E-2</v>
      </c>
      <c r="G23" s="309">
        <f t="shared" si="6"/>
        <v>1</v>
      </c>
      <c r="H23" s="1">
        <v>3600</v>
      </c>
      <c r="I23" s="324">
        <v>30</v>
      </c>
      <c r="J23" s="1">
        <v>1.2899999999999999E-3</v>
      </c>
      <c r="K23" s="1">
        <v>2.0000000000000002E-5</v>
      </c>
      <c r="L23" s="328">
        <f t="shared" si="1"/>
        <v>1.5503875968992249</v>
      </c>
      <c r="M23" s="329">
        <f t="shared" si="2"/>
        <v>4.856178074920662E-4</v>
      </c>
      <c r="N23" s="342">
        <f>(1/$J$48)*SQRT(((1-J24/$J$48)*K23)^2+(J24/$J$48)^2*(SUMSQ(K$8:K22)+SUMSQ(K24:K$47)))</f>
        <v>8.1322945162605033E-6</v>
      </c>
      <c r="O23" s="340">
        <f t="shared" si="14"/>
        <v>1.6746285640263234</v>
      </c>
      <c r="P23" s="332">
        <f t="shared" si="7"/>
        <v>0.71916985706272718</v>
      </c>
      <c r="Q23" s="342">
        <f>SQRT(((1-P23)/$J$48)^2*SUMSQ(K$8:K23)+(P23/$J$48)^2*SUMSQ(K24:K$47))</f>
        <v>1.6516089169639932E-3</v>
      </c>
      <c r="R23" s="340">
        <f t="shared" si="15"/>
        <v>0.22965491402957081</v>
      </c>
      <c r="S23" s="343">
        <f t="shared" si="16"/>
        <v>4.5483226868824462E-8</v>
      </c>
      <c r="T23" s="344">
        <f t="shared" si="17"/>
        <v>3.7902689057353719E-10</v>
      </c>
      <c r="U23" s="344">
        <f>IF(P23&lt;=0.85, (1/(3*H23*$J$48))*SQRT( ((1-P23)*(1/SQRT(1-PI()*P23/3)-1) + (1-P22)*(1-1/SQRT(1-PI()*P22/3)))^2*SUMSQ(K$8:K22) + ( (1-P23)*(1/SQRT(1-PI()*P23/3)-1) -P22*(1-1/SQRT(1-PI()*P22/3)) )^2*K23^2 + ( P23*(1-1/SQRT(1-PI()*P23/3)) - P22*(1-1/SQRT(1-PI()*P22/3)) )^2*SUMSQ(K24:K$47) ), (1/(PI()^2*H23*$J$48))*SQRT((1+P22/(1-P22))^2*K23^2+(P22/(1-P22)-P23/(1-P23))^2*SUMSQ(K24:K$47)) )</f>
        <v>8.1959076372141716E-10</v>
      </c>
      <c r="V23" s="345">
        <f t="shared" si="18"/>
        <v>9.0298970301731573E-10</v>
      </c>
      <c r="W23" s="340">
        <f t="shared" si="19"/>
        <v>1.9853246244413925</v>
      </c>
      <c r="X23" s="345">
        <f t="shared" si="20"/>
        <v>1.8059794060346315E-9</v>
      </c>
      <c r="Y23" s="338">
        <f t="shared" si="8"/>
        <v>-16.905922219199642</v>
      </c>
      <c r="Z23" s="346">
        <f t="shared" si="21"/>
        <v>1.9853246244413925E-2</v>
      </c>
      <c r="AA23" s="346">
        <f t="shared" si="22"/>
        <v>0.11743367789700983</v>
      </c>
      <c r="AB23" s="346">
        <f t="shared" si="9"/>
        <v>3.9706492488827849E-2</v>
      </c>
      <c r="AC23" s="336">
        <f t="shared" si="3"/>
        <v>5.8695922341310492E-12</v>
      </c>
      <c r="AD23" s="337">
        <f t="shared" si="4"/>
        <v>2.3726404560488558E-13</v>
      </c>
      <c r="AE23" s="308">
        <f t="shared" si="10"/>
        <v>4.0422577266137942</v>
      </c>
      <c r="AF23" s="337">
        <f t="shared" si="11"/>
        <v>4.7452809120977116E-13</v>
      </c>
      <c r="AG23" s="338">
        <f t="shared" si="23"/>
        <v>-25.861235950577903</v>
      </c>
      <c r="AH23" s="339">
        <f t="shared" si="24"/>
        <v>4.0422577266137946E-2</v>
      </c>
      <c r="AI23" s="340">
        <f t="shared" si="25"/>
        <v>0.15630566668734427</v>
      </c>
      <c r="AJ23" s="341">
        <f t="shared" si="12"/>
        <v>8.0845154532275892E-2</v>
      </c>
    </row>
    <row r="24" spans="1:39" x14ac:dyDescent="0.2">
      <c r="A24" s="309">
        <v>17</v>
      </c>
      <c r="B24" s="309">
        <f t="shared" si="13"/>
        <v>17</v>
      </c>
      <c r="C24" s="1">
        <v>384.99</v>
      </c>
      <c r="D24" s="1">
        <v>1.27</v>
      </c>
      <c r="E24" s="326">
        <f t="shared" si="5"/>
        <v>15.194335551706324</v>
      </c>
      <c r="F24" s="327">
        <f t="shared" si="0"/>
        <v>2.7621156012000467E-2</v>
      </c>
      <c r="G24" s="309">
        <f t="shared" si="6"/>
        <v>1</v>
      </c>
      <c r="H24" s="1">
        <v>3600</v>
      </c>
      <c r="I24" s="324">
        <v>30</v>
      </c>
      <c r="J24" s="1">
        <v>3.49E-3</v>
      </c>
      <c r="K24" s="1">
        <v>5.0000000000000002E-5</v>
      </c>
      <c r="L24" s="328">
        <f t="shared" si="1"/>
        <v>1.4326647564469914</v>
      </c>
      <c r="M24" s="329">
        <f t="shared" si="2"/>
        <v>1.3138032156180708E-3</v>
      </c>
      <c r="N24" s="342">
        <f>(1/$J$48)*SQRT(((1-J25/$J$48)*K24)^2+(J25/$J$48)^2*(SUMSQ(K$8:K23)+SUMSQ(K25:K$47)))</f>
        <v>2.0635851488516819E-5</v>
      </c>
      <c r="O24" s="340">
        <f t="shared" si="14"/>
        <v>1.5706957665504575</v>
      </c>
      <c r="P24" s="332">
        <f t="shared" si="7"/>
        <v>0.72048366027834521</v>
      </c>
      <c r="Q24" s="342">
        <f>SQRT(((1-P24)/$J$48)^2*SUMSQ(K$8:K24)+(P24/$J$48)^2*SUMSQ(K25:K$47))</f>
        <v>1.6544742819765098E-3</v>
      </c>
      <c r="R24" s="340">
        <f t="shared" si="15"/>
        <v>0.2296338380994421</v>
      </c>
      <c r="S24" s="343">
        <f t="shared" si="16"/>
        <v>1.2351949913529151E-7</v>
      </c>
      <c r="T24" s="344">
        <f t="shared" si="17"/>
        <v>1.0293291594607624E-9</v>
      </c>
      <c r="U24" s="344">
        <f>IF(P24&lt;=0.85, (1/(3*H24*$J$48))*SQRT( ((1-P24)*(1/SQRT(1-PI()*P24/3)-1) + (1-P23)*(1-1/SQRT(1-PI()*P23/3)))^2*SUMSQ(K$8:K23) + ( (1-P24)*(1/SQRT(1-PI()*P24/3)-1) -P23*(1-1/SQRT(1-PI()*P23/3)) )^2*K24^2 + ( P24*(1-1/SQRT(1-PI()*P24/3)) - P23*(1-1/SQRT(1-PI()*P23/3)) )^2*SUMSQ(K25:K$47) ), (1/(PI()^2*H24*$J$48))*SQRT((1+P23/(1-P23))^2*K24^2+(P23/(1-P23)-P24/(1-P24))^2*SUMSQ(K25:K$47)) )</f>
        <v>2.1012941730761669E-9</v>
      </c>
      <c r="V24" s="345">
        <f t="shared" si="18"/>
        <v>2.33986232935189E-9</v>
      </c>
      <c r="W24" s="340">
        <f t="shared" si="19"/>
        <v>1.8943262770107474</v>
      </c>
      <c r="X24" s="345">
        <f t="shared" si="20"/>
        <v>4.67972465870378E-9</v>
      </c>
      <c r="Y24" s="338">
        <f t="shared" si="8"/>
        <v>-15.906866805606182</v>
      </c>
      <c r="Z24" s="346">
        <f t="shared" si="21"/>
        <v>1.8943262770107473E-2</v>
      </c>
      <c r="AA24" s="346">
        <f t="shared" si="22"/>
        <v>0.11908858609057536</v>
      </c>
      <c r="AB24" s="346">
        <f t="shared" si="9"/>
        <v>3.7886525540214946E-2</v>
      </c>
      <c r="AC24" s="336">
        <f t="shared" si="3"/>
        <v>1.5940141955609714E-11</v>
      </c>
      <c r="AD24" s="337">
        <f t="shared" si="4"/>
        <v>6.3734272538788111E-13</v>
      </c>
      <c r="AE24" s="308">
        <f t="shared" si="10"/>
        <v>3.9983503733075918</v>
      </c>
      <c r="AF24" s="337">
        <f t="shared" si="11"/>
        <v>1.2746854507757622E-12</v>
      </c>
      <c r="AG24" s="338">
        <f t="shared" si="23"/>
        <v>-24.862180536984447</v>
      </c>
      <c r="AH24" s="339">
        <f t="shared" si="24"/>
        <v>3.9983503733075923E-2</v>
      </c>
      <c r="AI24" s="340">
        <f t="shared" si="25"/>
        <v>0.16082058318898185</v>
      </c>
      <c r="AJ24" s="341">
        <f t="shared" si="12"/>
        <v>7.9967007466151846E-2</v>
      </c>
    </row>
    <row r="25" spans="1:39" x14ac:dyDescent="0.2">
      <c r="A25" s="309">
        <v>18</v>
      </c>
      <c r="B25" s="309">
        <f t="shared" si="13"/>
        <v>18</v>
      </c>
      <c r="C25" s="1">
        <v>404.93</v>
      </c>
      <c r="D25" s="1">
        <v>1.46</v>
      </c>
      <c r="E25" s="326">
        <f t="shared" si="5"/>
        <v>14.747522416234075</v>
      </c>
      <c r="F25" s="327">
        <f t="shared" si="0"/>
        <v>3.0656939793612868E-2</v>
      </c>
      <c r="G25" s="309">
        <f t="shared" si="6"/>
        <v>1</v>
      </c>
      <c r="H25" s="1">
        <v>3600</v>
      </c>
      <c r="I25" s="324">
        <v>30</v>
      </c>
      <c r="J25" s="1">
        <v>9.7000000000000003E-3</v>
      </c>
      <c r="K25" s="1">
        <v>6.9999999999999994E-5</v>
      </c>
      <c r="L25" s="328">
        <f t="shared" si="1"/>
        <v>0.72164948453608246</v>
      </c>
      <c r="M25" s="329">
        <f t="shared" si="2"/>
        <v>3.6515447540101105E-3</v>
      </c>
      <c r="N25" s="342">
        <f>(1/$J$48)*SQRT(((1-J26/$J$48)*K25)^2+(J26/$J$48)^2*(SUMSQ(K$8:K24)+SUMSQ(K26:K$47)))</f>
        <v>3.0333514835074718E-5</v>
      </c>
      <c r="O25" s="340">
        <f t="shared" si="14"/>
        <v>0.83070363034062722</v>
      </c>
      <c r="P25" s="332">
        <f t="shared" si="7"/>
        <v>0.72413520503235529</v>
      </c>
      <c r="Q25" s="342">
        <f>SQRT(((1-P25)/$J$48)^2*SUMSQ(K$8:K25)+(P25/$J$48)^2*SUMSQ(K26:K$47))</f>
        <v>1.6624787704734583E-3</v>
      </c>
      <c r="R25" s="340">
        <f t="shared" si="15"/>
        <v>0.22958126589069464</v>
      </c>
      <c r="S25" s="343">
        <f t="shared" si="16"/>
        <v>3.469375376083223E-7</v>
      </c>
      <c r="T25" s="344">
        <f t="shared" si="17"/>
        <v>2.8911461467360188E-9</v>
      </c>
      <c r="U25" s="344">
        <f>IF(P25&lt;=0.85, (1/(3*H25*$J$48))*SQRT( ((1-P25)*(1/SQRT(1-PI()*P25/3)-1) + (1-P24)*(1-1/SQRT(1-PI()*P24/3)))^2*SUMSQ(K$8:K24) + ( (1-P25)*(1/SQRT(1-PI()*P25/3)-1) -P24*(1-1/SQRT(1-PI()*P24/3)) )^2*K25^2 + ( P25*(1-1/SQRT(1-PI()*P25/3)) - P24*(1-1/SQRT(1-PI()*P24/3)) )^2*SUMSQ(K26:K$47) ), (1/(PI()^2*H25*$J$48))*SQRT((1+P24/(1-P24))^2*K25^2+(P24/(1-P24)-P25/(1-P25))^2*SUMSQ(K26:K$47)) )</f>
        <v>4.0706773982847668E-9</v>
      </c>
      <c r="V25" s="345">
        <f t="shared" si="18"/>
        <v>4.9929090240753403E-9</v>
      </c>
      <c r="W25" s="340">
        <f t="shared" si="19"/>
        <v>1.4391377360013784</v>
      </c>
      <c r="X25" s="345">
        <f t="shared" si="20"/>
        <v>9.9858180481506805E-9</v>
      </c>
      <c r="Y25" s="338">
        <f t="shared" si="8"/>
        <v>-14.874121080095181</v>
      </c>
      <c r="Z25" s="346">
        <f t="shared" si="21"/>
        <v>1.4391377360013785E-2</v>
      </c>
      <c r="AA25" s="346">
        <f t="shared" si="22"/>
        <v>9.6754472298014219E-2</v>
      </c>
      <c r="AB25" s="346">
        <f t="shared" si="9"/>
        <v>2.8782754720027569E-2</v>
      </c>
      <c r="AC25" s="336">
        <f t="shared" si="3"/>
        <v>4.4772150453338943E-11</v>
      </c>
      <c r="AD25" s="337">
        <f t="shared" si="4"/>
        <v>1.7030758183554153E-12</v>
      </c>
      <c r="AE25" s="308">
        <f t="shared" si="10"/>
        <v>3.803873169170962</v>
      </c>
      <c r="AF25" s="337">
        <f t="shared" si="11"/>
        <v>3.4061516367108306E-12</v>
      </c>
      <c r="AG25" s="338">
        <f t="shared" si="23"/>
        <v>-23.829434811473444</v>
      </c>
      <c r="AH25" s="339">
        <f t="shared" si="24"/>
        <v>3.8038731691709619E-2</v>
      </c>
      <c r="AI25" s="340">
        <f t="shared" si="25"/>
        <v>0.15962918127371892</v>
      </c>
      <c r="AJ25" s="341">
        <f t="shared" si="12"/>
        <v>7.6077463383419239E-2</v>
      </c>
    </row>
    <row r="26" spans="1:39" x14ac:dyDescent="0.2">
      <c r="A26" s="309">
        <v>19</v>
      </c>
      <c r="B26" s="309">
        <f t="shared" si="13"/>
        <v>19</v>
      </c>
      <c r="C26" s="1">
        <v>416.95</v>
      </c>
      <c r="D26" s="1">
        <v>0.89</v>
      </c>
      <c r="E26" s="326">
        <f t="shared" si="5"/>
        <v>14.490653528474136</v>
      </c>
      <c r="F26" s="327">
        <f t="shared" si="0"/>
        <v>1.7654729817637608E-2</v>
      </c>
      <c r="G26" s="309">
        <f t="shared" si="6"/>
        <v>1</v>
      </c>
      <c r="H26" s="1">
        <v>3600</v>
      </c>
      <c r="I26" s="324">
        <v>30</v>
      </c>
      <c r="J26" s="1">
        <v>1.7260000000000001E-2</v>
      </c>
      <c r="K26" s="1">
        <v>1.2E-4</v>
      </c>
      <c r="L26" s="328">
        <f t="shared" si="1"/>
        <v>0.69524913093858631</v>
      </c>
      <c r="M26" s="329">
        <f t="shared" si="2"/>
        <v>6.4974909746612899E-3</v>
      </c>
      <c r="N26" s="342">
        <f>(1/$J$48)*SQRT(((1-J27/$J$48)*K26)^2+(J27/$J$48)^2*(SUMSQ(K$8:K25)+SUMSQ(K27:K$47)))</f>
        <v>5.4983987209992585E-5</v>
      </c>
      <c r="O26" s="340">
        <f t="shared" si="14"/>
        <v>0.84623414521724472</v>
      </c>
      <c r="P26" s="332">
        <f t="shared" si="7"/>
        <v>0.73063269600701652</v>
      </c>
      <c r="Q26" s="342">
        <f>SQRT(((1-P26)/$J$48)^2*SUMSQ(K$8:K26)+(P26/$J$48)^2*SUMSQ(K27:K$47))</f>
        <v>1.676618441564194E-3</v>
      </c>
      <c r="R26" s="340">
        <f t="shared" si="15"/>
        <v>0.22947487167315228</v>
      </c>
      <c r="S26" s="343">
        <f t="shared" si="16"/>
        <v>6.3087318646232435E-7</v>
      </c>
      <c r="T26" s="344">
        <f t="shared" si="17"/>
        <v>5.2572765538527029E-9</v>
      </c>
      <c r="U26" s="344">
        <f>IF(P26&lt;=0.85, (1/(3*H26*$J$48))*SQRT( ((1-P26)*(1/SQRT(1-PI()*P26/3)-1) + (1-P25)*(1-1/SQRT(1-PI()*P25/3)))^2*SUMSQ(K$8:K25) + ( (1-P26)*(1/SQRT(1-PI()*P26/3)-1) -P25*(1-1/SQRT(1-PI()*P25/3)) )^2*K26^2 + ( P26*(1-1/SQRT(1-PI()*P26/3)) - P25*(1-1/SQRT(1-PI()*P25/3)) )^2*SUMSQ(K27:K$47) ), (1/(PI()^2*H26*$J$48))*SQRT((1+P25/(1-P25))^2*K26^2+(P25/(1-P25)-P26/(1-P26))^2*SUMSQ(K27:K$47)) )</f>
        <v>7.3530773957613243E-9</v>
      </c>
      <c r="V26" s="345">
        <f t="shared" si="18"/>
        <v>9.0391760659777775E-9</v>
      </c>
      <c r="W26" s="340">
        <f t="shared" si="19"/>
        <v>1.4328039707418436</v>
      </c>
      <c r="X26" s="345">
        <f t="shared" si="20"/>
        <v>1.8078352131955555E-8</v>
      </c>
      <c r="Y26" s="338">
        <f t="shared" si="8"/>
        <v>-14.276160966928794</v>
      </c>
      <c r="Z26" s="346">
        <f t="shared" si="21"/>
        <v>1.4328039707418435E-2</v>
      </c>
      <c r="AA26" s="346">
        <f t="shared" si="22"/>
        <v>0.10036339419687001</v>
      </c>
      <c r="AB26" s="346">
        <f t="shared" si="9"/>
        <v>2.8656079414836871E-2</v>
      </c>
      <c r="AC26" s="336">
        <f t="shared" si="3"/>
        <v>8.1413932363688362E-11</v>
      </c>
      <c r="AD26" s="337">
        <f t="shared" si="4"/>
        <v>3.0949355009523231E-12</v>
      </c>
      <c r="AE26" s="308">
        <f t="shared" si="10"/>
        <v>3.8014814063111184</v>
      </c>
      <c r="AF26" s="337">
        <f t="shared" si="11"/>
        <v>6.1898710019046463E-12</v>
      </c>
      <c r="AG26" s="338">
        <f t="shared" si="23"/>
        <v>-23.231474698307057</v>
      </c>
      <c r="AH26" s="339">
        <f t="shared" si="24"/>
        <v>3.8014814063111184E-2</v>
      </c>
      <c r="AI26" s="340">
        <f t="shared" si="25"/>
        <v>0.16363495885124085</v>
      </c>
      <c r="AJ26" s="341">
        <f t="shared" si="12"/>
        <v>7.6029628126222368E-2</v>
      </c>
    </row>
    <row r="27" spans="1:39" x14ac:dyDescent="0.2">
      <c r="A27" s="309">
        <v>20</v>
      </c>
      <c r="B27" s="309">
        <f t="shared" si="13"/>
        <v>20</v>
      </c>
      <c r="C27" s="1">
        <v>436.86</v>
      </c>
      <c r="D27" s="1">
        <v>1.82</v>
      </c>
      <c r="E27" s="326">
        <f t="shared" si="5"/>
        <v>14.084308671708849</v>
      </c>
      <c r="F27" s="327">
        <f t="shared" si="0"/>
        <v>3.4143394113389958E-2</v>
      </c>
      <c r="G27" s="309">
        <f t="shared" si="6"/>
        <v>1</v>
      </c>
      <c r="H27" s="1">
        <v>3600</v>
      </c>
      <c r="I27" s="324">
        <v>30</v>
      </c>
      <c r="J27" s="1">
        <v>3.6299999999999999E-2</v>
      </c>
      <c r="K27" s="1">
        <v>2.0000000000000001E-4</v>
      </c>
      <c r="L27" s="328">
        <f t="shared" si="1"/>
        <v>0.55096418732782371</v>
      </c>
      <c r="M27" s="329">
        <f t="shared" si="2"/>
        <v>1.3665059234079072E-2</v>
      </c>
      <c r="N27" s="342">
        <f>(1/$J$48)*SQRT(((1-J28/$J$48)*K27)^2+(J28/$J$48)^2*(SUMSQ(K$8:K26)+SUMSQ(K28:K$47)))</f>
        <v>9.1270181509426045E-5</v>
      </c>
      <c r="O27" s="340">
        <f t="shared" si="14"/>
        <v>0.66790915389381411</v>
      </c>
      <c r="P27" s="332">
        <f t="shared" si="7"/>
        <v>0.74429775524109565</v>
      </c>
      <c r="Q27" s="342">
        <f>SQRT(((1-P27)/$J$48)^2*SUMSQ(K$8:K27)+(P27/$J$48)^2*SUMSQ(K28:K$47))</f>
        <v>1.7061747513005239E-3</v>
      </c>
      <c r="R27" s="340">
        <f t="shared" si="15"/>
        <v>0.22923282238676829</v>
      </c>
      <c r="S27" s="343">
        <f t="shared" si="16"/>
        <v>1.3864689828238724E-6</v>
      </c>
      <c r="T27" s="344">
        <f t="shared" si="17"/>
        <v>1.1553908190198936E-8</v>
      </c>
      <c r="U27" s="344">
        <f>IF(P27&lt;=0.85, (1/(3*H27*$J$48))*SQRT( ((1-P27)*(1/SQRT(1-PI()*P27/3)-1) + (1-P26)*(1-1/SQRT(1-PI()*P26/3)))^2*SUMSQ(K$8:K26) + ( (1-P27)*(1/SQRT(1-PI()*P27/3)-1) -P26*(1-1/SQRT(1-PI()*P26/3)) )^2*K27^2 + ( P27*(1-1/SQRT(1-PI()*P27/3)) - P26*(1-1/SQRT(1-PI()*P26/3)) )^2*SUMSQ(K28:K$47) ), (1/(PI()^2*H27*$J$48))*SQRT((1+P26/(1-P26))^2*K27^2+(P26/(1-P26)-P27/(1-P27))^2*SUMSQ(K28:K$47)) )</f>
        <v>1.5356406122151405E-8</v>
      </c>
      <c r="V27" s="345">
        <f t="shared" si="18"/>
        <v>1.9217492121918386E-8</v>
      </c>
      <c r="W27" s="340">
        <f t="shared" si="19"/>
        <v>1.3860744351292598</v>
      </c>
      <c r="X27" s="345">
        <f t="shared" si="20"/>
        <v>3.8434984243836772E-8</v>
      </c>
      <c r="Y27" s="338">
        <f t="shared" si="8"/>
        <v>-13.488750342985474</v>
      </c>
      <c r="Z27" s="346">
        <f t="shared" si="21"/>
        <v>1.3860744351292599E-2</v>
      </c>
      <c r="AA27" s="346">
        <f t="shared" si="22"/>
        <v>0.10275780927697703</v>
      </c>
      <c r="AB27" s="346">
        <f t="shared" si="9"/>
        <v>2.7721488702585197E-2</v>
      </c>
      <c r="AC27" s="336">
        <f t="shared" si="3"/>
        <v>1.7892326764582759E-10</v>
      </c>
      <c r="AD27" s="337">
        <f t="shared" si="4"/>
        <v>6.7706644957015191E-12</v>
      </c>
      <c r="AE27" s="308">
        <f t="shared" si="10"/>
        <v>3.7841162777687556</v>
      </c>
      <c r="AF27" s="337">
        <f t="shared" si="11"/>
        <v>1.3541328991403038E-11</v>
      </c>
      <c r="AG27" s="338">
        <f t="shared" si="23"/>
        <v>-22.444064074363737</v>
      </c>
      <c r="AH27" s="339">
        <f t="shared" si="24"/>
        <v>3.7841162777687558E-2</v>
      </c>
      <c r="AI27" s="340">
        <f t="shared" si="25"/>
        <v>0.16860209742900722</v>
      </c>
      <c r="AJ27" s="341">
        <f t="shared" si="12"/>
        <v>7.5682325555375116E-2</v>
      </c>
    </row>
    <row r="28" spans="1:39" x14ac:dyDescent="0.2">
      <c r="A28" s="309">
        <v>21</v>
      </c>
      <c r="B28" s="309">
        <f t="shared" si="13"/>
        <v>21</v>
      </c>
      <c r="C28" s="1">
        <v>456.95</v>
      </c>
      <c r="D28" s="1">
        <v>1.01</v>
      </c>
      <c r="E28" s="326">
        <f t="shared" si="5"/>
        <v>13.696753869332969</v>
      </c>
      <c r="F28" s="327">
        <f t="shared" si="0"/>
        <v>1.8446612496727948E-2</v>
      </c>
      <c r="G28" s="309">
        <f t="shared" si="6"/>
        <v>1</v>
      </c>
      <c r="H28" s="1">
        <v>3600</v>
      </c>
      <c r="I28" s="324">
        <v>30</v>
      </c>
      <c r="J28" s="1">
        <v>6.089E-2</v>
      </c>
      <c r="K28" s="1">
        <v>2.1000000000000001E-4</v>
      </c>
      <c r="L28" s="328">
        <f t="shared" si="1"/>
        <v>0.34488421744128755</v>
      </c>
      <c r="M28" s="329">
        <f t="shared" si="2"/>
        <v>2.2921913409451097E-2</v>
      </c>
      <c r="N28" s="342">
        <f>(1/$J$48)*SQRT(((1-J29/$J$48)*K28)^2+(J29/$J$48)^2*(SUMSQ(K$8:K27)+SUMSQ(K29:K$47)))</f>
        <v>2.029542854283086E-4</v>
      </c>
      <c r="O28" s="340">
        <f t="shared" si="14"/>
        <v>0.88541598514470898</v>
      </c>
      <c r="P28" s="332">
        <f t="shared" si="7"/>
        <v>0.76721966865054669</v>
      </c>
      <c r="Q28" s="342">
        <f>SQRT(((1-P28)/$J$48)^2*SUMSQ(K$8:K28)+(P28/$J$48)^2*SUMSQ(K29:K$47))</f>
        <v>1.7562613263109057E-3</v>
      </c>
      <c r="R28" s="340">
        <f t="shared" si="15"/>
        <v>0.2289124481649398</v>
      </c>
      <c r="S28" s="343">
        <f t="shared" si="16"/>
        <v>2.5268173121050158E-6</v>
      </c>
      <c r="T28" s="344">
        <f t="shared" si="17"/>
        <v>2.105681093420847E-8</v>
      </c>
      <c r="U28" s="344">
        <f>IF(P28&lt;=0.85, (1/(3*H28*$J$48))*SQRT( ((1-P28)*(1/SQRT(1-PI()*P28/3)-1) + (1-P27)*(1-1/SQRT(1-PI()*P27/3)))^2*SUMSQ(K$8:K27) + ( (1-P28)*(1/SQRT(1-PI()*P28/3)-1) -P27*(1-1/SQRT(1-PI()*P27/3)) )^2*K28^2 + ( P28*(1-1/SQRT(1-PI()*P28/3)) - P27*(1-1/SQRT(1-PI()*P27/3)) )^2*SUMSQ(K29:K$47) ), (1/(PI()^2*H28*$J$48))*SQRT((1+P27/(1-P27))^2*K28^2+(P27/(1-P27)-P28/(1-P28))^2*SUMSQ(K29:K$47)) )</f>
        <v>2.7231323751606438E-8</v>
      </c>
      <c r="V28" s="345">
        <f t="shared" si="18"/>
        <v>3.4422874371321843E-8</v>
      </c>
      <c r="W28" s="340">
        <f t="shared" si="19"/>
        <v>1.3623016672560779</v>
      </c>
      <c r="X28" s="345">
        <f t="shared" si="20"/>
        <v>6.8845748742643686E-8</v>
      </c>
      <c r="Y28" s="338">
        <f t="shared" si="8"/>
        <v>-12.888550026550286</v>
      </c>
      <c r="Z28" s="346">
        <f t="shared" si="21"/>
        <v>1.362301667256078E-2</v>
      </c>
      <c r="AA28" s="346">
        <f t="shared" si="22"/>
        <v>0.10569859793768499</v>
      </c>
      <c r="AB28" s="346">
        <f t="shared" si="9"/>
        <v>2.7246033345121559E-2</v>
      </c>
      <c r="AC28" s="336">
        <f t="shared" si="3"/>
        <v>3.2608476340022743E-10</v>
      </c>
      <c r="AD28" s="337">
        <f t="shared" si="4"/>
        <v>1.2311243547874057E-11</v>
      </c>
      <c r="AE28" s="308">
        <f t="shared" si="10"/>
        <v>3.7754734135687222</v>
      </c>
      <c r="AF28" s="337">
        <f t="shared" si="11"/>
        <v>2.4622487095748113E-11</v>
      </c>
      <c r="AG28" s="338">
        <f t="shared" si="23"/>
        <v>-21.843863757928549</v>
      </c>
      <c r="AH28" s="339">
        <f t="shared" si="24"/>
        <v>3.7754734135687217E-2</v>
      </c>
      <c r="AI28" s="340">
        <f t="shared" si="25"/>
        <v>0.17283908448652352</v>
      </c>
      <c r="AJ28" s="341">
        <f t="shared" si="12"/>
        <v>7.5509468271374433E-2</v>
      </c>
    </row>
    <row r="29" spans="1:39" x14ac:dyDescent="0.2">
      <c r="A29" s="309">
        <v>22</v>
      </c>
      <c r="B29" s="309">
        <f t="shared" si="13"/>
        <v>22</v>
      </c>
      <c r="C29" s="1">
        <v>466.8</v>
      </c>
      <c r="D29" s="1">
        <v>2.92</v>
      </c>
      <c r="E29" s="326">
        <f t="shared" si="5"/>
        <v>13.514426650449353</v>
      </c>
      <c r="F29" s="327">
        <f t="shared" si="0"/>
        <v>5.0571315854150874E-2</v>
      </c>
      <c r="G29" s="309">
        <f t="shared" si="6"/>
        <v>1</v>
      </c>
      <c r="H29" s="1">
        <v>3600</v>
      </c>
      <c r="I29" s="324">
        <v>30</v>
      </c>
      <c r="J29" s="1">
        <v>0.21357999999999999</v>
      </c>
      <c r="K29" s="1">
        <v>6.6E-4</v>
      </c>
      <c r="L29" s="328">
        <f t="shared" si="1"/>
        <v>0.30901769828635639</v>
      </c>
      <c r="M29" s="329">
        <f t="shared" si="2"/>
        <v>8.0401745212523648E-2</v>
      </c>
      <c r="N29" s="342">
        <f>(1/$J$48)*SQRT(((1-J30/$J$48)*K29)^2+(J30/$J$48)^2*(SUMSQ(K$8:K28)+SUMSQ(K30:K$47)))</f>
        <v>2.4845749068596224E-4</v>
      </c>
      <c r="O29" s="340">
        <f t="shared" si="14"/>
        <v>0.30902002192766043</v>
      </c>
      <c r="P29" s="332">
        <f t="shared" si="7"/>
        <v>0.84762141386307033</v>
      </c>
      <c r="Q29" s="342">
        <f>SQRT(((1-P29)/$J$48)^2*SUMSQ(K$8:K29)+(P29/$J$48)^2*SUMSQ(K30:K$47))</f>
        <v>1.9252897215287486E-3</v>
      </c>
      <c r="R29" s="340">
        <f t="shared" si="15"/>
        <v>0.22714028810977763</v>
      </c>
      <c r="S29" s="343">
        <f t="shared" si="16"/>
        <v>1.1678886920429741E-5</v>
      </c>
      <c r="T29" s="344">
        <f t="shared" si="17"/>
        <v>9.7324057670247814E-8</v>
      </c>
      <c r="U29" s="344">
        <f>IF(P29&lt;=0.85, (1/(3*H29*$J$48))*SQRT( ((1-P29)*(1/SQRT(1-PI()*P29/3)-1) + (1-P28)*(1-1/SQRT(1-PI()*P28/3)))^2*SUMSQ(K$8:K28) + ( (1-P29)*(1/SQRT(1-PI()*P29/3)-1) -P28*(1-1/SQRT(1-PI()*P28/3)) )^2*K29^2 + ( P29*(1-1/SQRT(1-PI()*P29/3)) - P28*(1-1/SQRT(1-PI()*P28/3)) )^2*SUMSQ(K30:K$47) ), (1/(PI()^2*H29*$J$48))*SQRT((1+P28/(1-P28))^2*K29^2+(P28/(1-P28)-P29/(1-P29))^2*SUMSQ(K30:K$47)) )</f>
        <v>1.5352996482432916E-7</v>
      </c>
      <c r="V29" s="345">
        <f t="shared" si="18"/>
        <v>1.8177849790434916E-7</v>
      </c>
      <c r="W29" s="340">
        <f t="shared" si="19"/>
        <v>1.5564710844692413</v>
      </c>
      <c r="X29" s="345">
        <f t="shared" si="20"/>
        <v>3.6355699580869831E-7</v>
      </c>
      <c r="Y29" s="338">
        <f t="shared" si="8"/>
        <v>-11.357727883013739</v>
      </c>
      <c r="Z29" s="346">
        <f t="shared" si="21"/>
        <v>1.5564710844692412E-2</v>
      </c>
      <c r="AA29" s="346">
        <f t="shared" si="22"/>
        <v>0.13704070924229927</v>
      </c>
      <c r="AB29" s="346">
        <f t="shared" si="9"/>
        <v>3.1129421689384824E-2</v>
      </c>
      <c r="AC29" s="336">
        <f t="shared" si="3"/>
        <v>1.50715568552669E-9</v>
      </c>
      <c r="AD29" s="337">
        <f t="shared" si="4"/>
        <v>5.8022432330080328E-11</v>
      </c>
      <c r="AE29" s="308">
        <f t="shared" si="10"/>
        <v>3.8497968648676024</v>
      </c>
      <c r="AF29" s="337">
        <f t="shared" si="11"/>
        <v>1.1604486466016066E-10</v>
      </c>
      <c r="AG29" s="338">
        <f t="shared" si="23"/>
        <v>-20.313041614392002</v>
      </c>
      <c r="AH29" s="339">
        <f t="shared" si="24"/>
        <v>3.8497968648676023E-2</v>
      </c>
      <c r="AI29" s="340">
        <f t="shared" si="25"/>
        <v>0.18952340756984326</v>
      </c>
      <c r="AJ29" s="341">
        <f t="shared" si="12"/>
        <v>7.6995937297352046E-2</v>
      </c>
    </row>
    <row r="30" spans="1:39" x14ac:dyDescent="0.2">
      <c r="A30" s="309">
        <v>23</v>
      </c>
      <c r="B30" s="309">
        <f t="shared" si="13"/>
        <v>23</v>
      </c>
      <c r="C30" s="1">
        <v>486.72</v>
      </c>
      <c r="D30" s="1">
        <v>3.1</v>
      </c>
      <c r="E30" s="326">
        <f t="shared" si="5"/>
        <v>13.160145814415623</v>
      </c>
      <c r="F30" s="327">
        <f t="shared" si="0"/>
        <v>5.0955933275371158E-2</v>
      </c>
      <c r="G30" s="309">
        <f t="shared" si="6"/>
        <v>1</v>
      </c>
      <c r="H30" s="1">
        <v>3600</v>
      </c>
      <c r="I30" s="324">
        <v>30</v>
      </c>
      <c r="J30" s="1">
        <v>5.8999999999999997E-2</v>
      </c>
      <c r="K30" s="1">
        <v>2.9999999999999997E-4</v>
      </c>
      <c r="L30" s="328">
        <f t="shared" si="1"/>
        <v>0.50847457627118642</v>
      </c>
      <c r="M30" s="329">
        <f t="shared" si="2"/>
        <v>2.2210426854288302E-2</v>
      </c>
      <c r="N30" s="342">
        <f>(1/$J$48)*SQRT(((1-J31/$J$48)*K30)^2+(J31/$J$48)^2*(SUMSQ(K$8:K29)+SUMSQ(K31:K$47)))</f>
        <v>1.2256275662328458E-4</v>
      </c>
      <c r="O30" s="340">
        <f t="shared" si="14"/>
        <v>0.55182530901976179</v>
      </c>
      <c r="P30" s="332">
        <f t="shared" si="7"/>
        <v>0.86983184071735864</v>
      </c>
      <c r="Q30" s="342">
        <f>SQRT(((1-P30)/$J$48)^2*SUMSQ(K$8:K30)+(P30/$J$48)^2*SUMSQ(K31:K$47))</f>
        <v>1.9725606413184471E-3</v>
      </c>
      <c r="R30" s="340">
        <f t="shared" si="15"/>
        <v>0.22677494073931087</v>
      </c>
      <c r="S30" s="343">
        <f t="shared" si="16"/>
        <v>4.4339550153499714E-6</v>
      </c>
      <c r="T30" s="344">
        <f t="shared" si="17"/>
        <v>3.6949625127916434E-8</v>
      </c>
      <c r="U30" s="344">
        <f>IF(P30&lt;=0.85, (1/(3*H30*$J$48))*SQRT( ((1-P30)*(1/SQRT(1-PI()*P30/3)-1) + (1-P29)*(1-1/SQRT(1-PI()*P29/3)))^2*SUMSQ(K$8:K29) + ( (1-P30)*(1/SQRT(1-PI()*P30/3)-1) -P29*(1-1/SQRT(1-PI()*P29/3)) )^2*K30^2 + ( P30*(1-1/SQRT(1-PI()*P30/3)) - P29*(1-1/SQRT(1-PI()*P29/3)) )^2*SUMSQ(K31:K$47) ), (1/(PI()^2*H30*$J$48))*SQRT((1+P29/(1-P29))^2*K30^2+(P29/(1-P29)-P30/(1-P30))^2*SUMSQ(K31:K$47)) )</f>
        <v>7.4387494684592855E-8</v>
      </c>
      <c r="V30" s="345">
        <f t="shared" si="18"/>
        <v>8.3058859627037283E-8</v>
      </c>
      <c r="W30" s="340">
        <f t="shared" si="19"/>
        <v>1.8732454285055811</v>
      </c>
      <c r="X30" s="345">
        <f t="shared" si="20"/>
        <v>1.6611771925407457E-7</v>
      </c>
      <c r="Y30" s="338">
        <f t="shared" si="8"/>
        <v>-12.326218592209537</v>
      </c>
      <c r="Z30" s="346">
        <f t="shared" si="21"/>
        <v>1.8732454285055811E-2</v>
      </c>
      <c r="AA30" s="346">
        <f t="shared" si="22"/>
        <v>0.15197243294788854</v>
      </c>
      <c r="AB30" s="346">
        <f t="shared" si="9"/>
        <v>3.7464908570111623E-2</v>
      </c>
      <c r="AC30" s="336">
        <f t="shared" si="3"/>
        <v>5.7220012114890762E-10</v>
      </c>
      <c r="AD30" s="337">
        <f t="shared" si="4"/>
        <v>2.282166373331519E-11</v>
      </c>
      <c r="AE30" s="308">
        <f t="shared" si="10"/>
        <v>3.9884059597002692</v>
      </c>
      <c r="AF30" s="337">
        <f t="shared" si="11"/>
        <v>4.5643327466630379E-11</v>
      </c>
      <c r="AG30" s="338">
        <f t="shared" si="23"/>
        <v>-21.2815323235878</v>
      </c>
      <c r="AH30" s="339">
        <f t="shared" si="24"/>
        <v>3.988405959700269E-2</v>
      </c>
      <c r="AI30" s="340">
        <f t="shared" si="25"/>
        <v>0.18741159701548565</v>
      </c>
      <c r="AJ30" s="341">
        <f t="shared" si="12"/>
        <v>7.976811919400538E-2</v>
      </c>
    </row>
    <row r="31" spans="1:39" x14ac:dyDescent="0.2">
      <c r="A31" s="309">
        <v>24</v>
      </c>
      <c r="B31" s="309">
        <f t="shared" si="13"/>
        <v>24</v>
      </c>
      <c r="C31" s="1">
        <v>506.83</v>
      </c>
      <c r="D31" s="1">
        <v>2.21</v>
      </c>
      <c r="E31" s="326">
        <f t="shared" si="5"/>
        <v>12.82084156004</v>
      </c>
      <c r="F31" s="327">
        <f t="shared" si="0"/>
        <v>3.727828686595662E-2</v>
      </c>
      <c r="G31" s="309">
        <f t="shared" si="6"/>
        <v>1</v>
      </c>
      <c r="H31" s="1">
        <v>3600</v>
      </c>
      <c r="I31" s="324">
        <v>30</v>
      </c>
      <c r="J31" s="1">
        <v>6.0080000000000001E-2</v>
      </c>
      <c r="K31" s="1">
        <v>2.3000000000000001E-4</v>
      </c>
      <c r="L31" s="328">
        <f t="shared" si="1"/>
        <v>0.38282290279627168</v>
      </c>
      <c r="M31" s="329">
        <f t="shared" si="2"/>
        <v>2.2616990600095612E-2</v>
      </c>
      <c r="N31" s="342">
        <f>(1/$J$48)*SQRT(((1-J32/$J$48)*K31)^2+(J32/$J$48)^2*(SUMSQ(K$8:K30)+SUMSQ(K32:K$47)))</f>
        <v>8.8968337520045854E-5</v>
      </c>
      <c r="O31" s="340">
        <f t="shared" si="14"/>
        <v>0.39336947648406306</v>
      </c>
      <c r="P31" s="332">
        <f t="shared" si="7"/>
        <v>0.89244883131745423</v>
      </c>
      <c r="Q31" s="342">
        <f>SQRT(((1-P31)/$J$48)^2*SUMSQ(K$8:K31)+(P31/$J$48)^2*SUMSQ(K32:K$47))</f>
        <v>2.0217335058552804E-3</v>
      </c>
      <c r="R31" s="340">
        <f t="shared" si="15"/>
        <v>0.22653775039077023</v>
      </c>
      <c r="S31" s="343">
        <f t="shared" si="16"/>
        <v>5.3717233933474929E-6</v>
      </c>
      <c r="T31" s="344">
        <f t="shared" si="17"/>
        <v>4.4764361611229115E-8</v>
      </c>
      <c r="U31" s="344">
        <f>IF(P31&lt;=0.85, (1/(3*H31*$J$48))*SQRT( ((1-P31)*(1/SQRT(1-PI()*P31/3)-1) + (1-P30)*(1-1/SQRT(1-PI()*P30/3)))^2*SUMSQ(K$8:K30) + ( (1-P31)*(1/SQRT(1-PI()*P31/3)-1) -P30*(1-1/SQRT(1-PI()*P30/3)) )^2*K31^2 + ( P31*(1-1/SQRT(1-PI()*P31/3)) - P30*(1-1/SQRT(1-PI()*P30/3)) )^2*SUMSQ(K32:K$47) ), (1/(PI()^2*H31*$J$48))*SQRT((1+P30/(1-P30))^2*K31^2+(P30/(1-P30)-P31/(1-P31))^2*SUMSQ(K32:K$47)) )</f>
        <v>1.0462884310282578E-7</v>
      </c>
      <c r="V31" s="345">
        <f t="shared" si="18"/>
        <v>1.1380264882460608E-7</v>
      </c>
      <c r="W31" s="340">
        <f t="shared" si="19"/>
        <v>2.1185500535180717</v>
      </c>
      <c r="X31" s="345">
        <f t="shared" si="20"/>
        <v>2.2760529764921216E-7</v>
      </c>
      <c r="Y31" s="338">
        <f t="shared" si="8"/>
        <v>-12.134361771070605</v>
      </c>
      <c r="Z31" s="346">
        <f t="shared" si="21"/>
        <v>2.1185500535180715E-2</v>
      </c>
      <c r="AA31" s="346">
        <f t="shared" si="22"/>
        <v>0.17459097507450971</v>
      </c>
      <c r="AB31" s="346">
        <f t="shared" si="9"/>
        <v>4.237100107036143E-2</v>
      </c>
      <c r="AC31" s="336">
        <f t="shared" si="3"/>
        <v>6.9321875522213651E-10</v>
      </c>
      <c r="AD31" s="337">
        <f t="shared" si="4"/>
        <v>2.8486642009655999E-11</v>
      </c>
      <c r="AE31" s="308">
        <f t="shared" si="10"/>
        <v>4.1093293848530799</v>
      </c>
      <c r="AF31" s="337">
        <f t="shared" si="11"/>
        <v>5.6973284019311999E-11</v>
      </c>
      <c r="AG31" s="338">
        <f t="shared" si="23"/>
        <v>-21.08967550244887</v>
      </c>
      <c r="AH31" s="339">
        <f t="shared" si="24"/>
        <v>4.1093293848530797E-2</v>
      </c>
      <c r="AI31" s="340">
        <f t="shared" si="25"/>
        <v>0.19485028986699757</v>
      </c>
      <c r="AJ31" s="341">
        <f t="shared" si="12"/>
        <v>8.2186587697061594E-2</v>
      </c>
    </row>
    <row r="32" spans="1:39" x14ac:dyDescent="0.2">
      <c r="A32" s="309">
        <v>25</v>
      </c>
      <c r="B32" s="309">
        <f t="shared" si="13"/>
        <v>25.5</v>
      </c>
      <c r="C32" s="1">
        <v>496.81</v>
      </c>
      <c r="D32" s="1">
        <v>2.44</v>
      </c>
      <c r="E32" s="326">
        <f t="shared" si="5"/>
        <v>12.987687672086862</v>
      </c>
      <c r="F32" s="327">
        <f t="shared" si="0"/>
        <v>4.3377777777777779E-2</v>
      </c>
      <c r="G32" s="309">
        <f t="shared" si="6"/>
        <v>1.5</v>
      </c>
      <c r="H32" s="1">
        <v>5400</v>
      </c>
      <c r="I32" s="324">
        <v>30</v>
      </c>
      <c r="J32" s="1">
        <v>2.691E-2</v>
      </c>
      <c r="K32" s="1">
        <v>1.2E-4</v>
      </c>
      <c r="L32" s="328">
        <f t="shared" si="1"/>
        <v>0.44593088071348941</v>
      </c>
      <c r="M32" s="329">
        <f t="shared" si="2"/>
        <v>1.0130213333032172E-2</v>
      </c>
      <c r="N32" s="342">
        <f>(1/$J$48)*SQRT(((1-J33/$J$48)*K32)^2+(J33/$J$48)^2*(SUMSQ(K$8:K31)+SUMSQ(K33:K$47)))</f>
        <v>4.6779930074319854E-5</v>
      </c>
      <c r="O32" s="340">
        <f t="shared" si="14"/>
        <v>0.46178622834903027</v>
      </c>
      <c r="P32" s="332">
        <f t="shared" si="7"/>
        <v>0.90257904465048644</v>
      </c>
      <c r="Q32" s="342">
        <f>SQRT(((1-P32)/$J$48)^2*SUMSQ(K$8:K32)+(P32/$J$48)^2*SUMSQ(K33:K$47))</f>
        <v>2.0440314428907748E-3</v>
      </c>
      <c r="R32" s="340">
        <f t="shared" si="15"/>
        <v>0.22646564364701186</v>
      </c>
      <c r="S32" s="343">
        <f t="shared" si="16"/>
        <v>1.8561550605020999E-6</v>
      </c>
      <c r="T32" s="344">
        <f t="shared" si="17"/>
        <v>1.0311972558344999E-8</v>
      </c>
      <c r="U32" s="344">
        <f>IF(P32&lt;=0.85, (1/(3*H32*$J$48))*SQRT( ((1-P32)*(1/SQRT(1-PI()*P32/3)-1) + (1-P31)*(1-1/SQRT(1-PI()*P31/3)))^2*SUMSQ(K$8:K31) + ( (1-P32)*(1/SQRT(1-PI()*P32/3)-1) -P31*(1-1/SQRT(1-PI()*P31/3)) )^2*K32^2 + ( P32*(1-1/SQRT(1-PI()*P32/3)) - P31*(1-1/SQRT(1-PI()*P31/3)) )^2*SUMSQ(K33:K$47) ), (1/(PI()^2*H32*$J$48))*SQRT((1+P31/(1-P31))^2*K32^2+(P31/(1-P31)-P32/(1-P32))^2*SUMSQ(K33:K$47)) )</f>
        <v>4.1811829466609823E-8</v>
      </c>
      <c r="V32" s="345">
        <f t="shared" si="18"/>
        <v>4.3064670687106406E-8</v>
      </c>
      <c r="W32" s="340">
        <f t="shared" si="19"/>
        <v>2.3201009227891327</v>
      </c>
      <c r="X32" s="345">
        <f t="shared" si="20"/>
        <v>8.6129341374212813E-8</v>
      </c>
      <c r="Y32" s="338">
        <f t="shared" si="8"/>
        <v>-13.197003381560849</v>
      </c>
      <c r="Z32" s="346">
        <f t="shared" si="21"/>
        <v>2.3201009227891329E-2</v>
      </c>
      <c r="AA32" s="346">
        <f t="shared" si="22"/>
        <v>0.17580513209770257</v>
      </c>
      <c r="AB32" s="346">
        <f t="shared" si="9"/>
        <v>4.6402018455782658E-2</v>
      </c>
      <c r="AC32" s="336">
        <f t="shared" si="3"/>
        <v>2.3953606809577181E-10</v>
      </c>
      <c r="AD32" s="337">
        <f t="shared" si="4"/>
        <v>1.0100700033429149E-11</v>
      </c>
      <c r="AE32" s="308">
        <f t="shared" si="10"/>
        <v>4.2167762515792253</v>
      </c>
      <c r="AF32" s="337">
        <f t="shared" si="11"/>
        <v>2.0201400066858297E-11</v>
      </c>
      <c r="AG32" s="338">
        <f t="shared" si="23"/>
        <v>-22.152317112939112</v>
      </c>
      <c r="AH32" s="339">
        <f t="shared" si="24"/>
        <v>4.2167762515792261E-2</v>
      </c>
      <c r="AI32" s="340">
        <f t="shared" si="25"/>
        <v>0.19035373275314021</v>
      </c>
      <c r="AJ32" s="341">
        <f t="shared" si="12"/>
        <v>8.4335525031584521E-2</v>
      </c>
    </row>
    <row r="33" spans="1:36" x14ac:dyDescent="0.2">
      <c r="A33" s="309">
        <v>26</v>
      </c>
      <c r="B33" s="309">
        <f t="shared" si="13"/>
        <v>27</v>
      </c>
      <c r="C33" s="1">
        <v>476.85</v>
      </c>
      <c r="D33" s="1">
        <v>2.0299999999999998</v>
      </c>
      <c r="E33" s="326">
        <f t="shared" si="5"/>
        <v>13.333333333333334</v>
      </c>
      <c r="F33" s="327">
        <f t="shared" si="0"/>
        <v>3.8092407294134475E-2</v>
      </c>
      <c r="G33" s="309">
        <f t="shared" si="6"/>
        <v>1.5</v>
      </c>
      <c r="H33" s="1">
        <v>5400</v>
      </c>
      <c r="I33" s="324">
        <v>30</v>
      </c>
      <c r="J33" s="1">
        <v>1.47E-2</v>
      </c>
      <c r="K33" s="1">
        <v>1.2E-4</v>
      </c>
      <c r="L33" s="328">
        <f t="shared" si="1"/>
        <v>0.81632653061224492</v>
      </c>
      <c r="M33" s="329">
        <f t="shared" si="2"/>
        <v>5.5337843179328475E-3</v>
      </c>
      <c r="N33" s="342">
        <f>(1/$J$48)*SQRT(((1-J34/$J$48)*K33)^2+(J34/$J$48)^2*(SUMSQ(K$8:K32)+SUMSQ(K34:K$47)))</f>
        <v>4.5771819265604826E-5</v>
      </c>
      <c r="O33" s="340">
        <f t="shared" si="14"/>
        <v>0.82713413887990028</v>
      </c>
      <c r="P33" s="332">
        <f t="shared" si="7"/>
        <v>0.90811282896841927</v>
      </c>
      <c r="Q33" s="342">
        <f>SQRT(((1-P33)/$J$48)^2*SUMSQ(K$8:K33)+(P33/$J$48)^2*SUMSQ(K34:K$47))</f>
        <v>2.0560348407360962E-3</v>
      </c>
      <c r="R33" s="340">
        <f t="shared" si="15"/>
        <v>0.22640742153942164</v>
      </c>
      <c r="S33" s="343">
        <f t="shared" si="16"/>
        <v>1.0972692462189975E-6</v>
      </c>
      <c r="T33" s="344">
        <f t="shared" si="17"/>
        <v>6.0959402567722083E-9</v>
      </c>
      <c r="U33" s="344">
        <f>IF(P33&lt;=0.85, (1/(3*H33*$J$48))*SQRT( ((1-P33)*(1/SQRT(1-PI()*P33/3)-1) + (1-P32)*(1-1/SQRT(1-PI()*P32/3)))^2*SUMSQ(K$8:K32) + ( (1-P33)*(1/SQRT(1-PI()*P33/3)-1) -P32*(1-1/SQRT(1-PI()*P32/3)) )^2*K33^2 + ( P33*(1-1/SQRT(1-PI()*P33/3)) - P32*(1-1/SQRT(1-PI()*P32/3)) )^2*SUMSQ(K34:K$47) ), (1/(PI()^2*H33*$J$48))*SQRT((1+P32/(1-P32))^2*K33^2+(P32/(1-P32)-P33/(1-P33))^2*SUMSQ(K34:K$47)) )</f>
        <v>2.7653850511021425E-8</v>
      </c>
      <c r="V33" s="345">
        <f t="shared" si="18"/>
        <v>2.8317767138318939E-8</v>
      </c>
      <c r="W33" s="340">
        <f t="shared" si="19"/>
        <v>2.5807491858445073</v>
      </c>
      <c r="X33" s="345">
        <f t="shared" si="20"/>
        <v>5.6635534276637879E-8</v>
      </c>
      <c r="Y33" s="338">
        <f t="shared" si="8"/>
        <v>-13.722685968118139</v>
      </c>
      <c r="Z33" s="346">
        <f t="shared" si="21"/>
        <v>2.5807491858445074E-2</v>
      </c>
      <c r="AA33" s="346">
        <f t="shared" si="22"/>
        <v>0.18806443518713112</v>
      </c>
      <c r="AB33" s="346">
        <f t="shared" si="9"/>
        <v>5.1614983716890148E-2</v>
      </c>
      <c r="AC33" s="336">
        <f t="shared" si="3"/>
        <v>1.4160215731686312E-10</v>
      </c>
      <c r="AD33" s="337">
        <f t="shared" si="4"/>
        <v>6.1818059439144665E-12</v>
      </c>
      <c r="AE33" s="308">
        <f t="shared" si="10"/>
        <v>4.3656156523671035</v>
      </c>
      <c r="AF33" s="337">
        <f t="shared" si="11"/>
        <v>1.2363611887828933E-11</v>
      </c>
      <c r="AG33" s="338">
        <f t="shared" si="23"/>
        <v>-22.677999699496404</v>
      </c>
      <c r="AH33" s="339">
        <f t="shared" si="24"/>
        <v>4.3656156523671039E-2</v>
      </c>
      <c r="AI33" s="340">
        <f t="shared" si="25"/>
        <v>0.19250444087729873</v>
      </c>
      <c r="AJ33" s="341">
        <f t="shared" si="12"/>
        <v>8.7312313047342077E-2</v>
      </c>
    </row>
    <row r="34" spans="1:36" x14ac:dyDescent="0.2">
      <c r="A34" s="309">
        <v>27</v>
      </c>
      <c r="B34" s="309">
        <f t="shared" si="13"/>
        <v>28.5</v>
      </c>
      <c r="C34" s="1">
        <v>456.86</v>
      </c>
      <c r="D34" s="1">
        <v>2.04</v>
      </c>
      <c r="E34" s="326">
        <f t="shared" si="5"/>
        <v>13.698442487089219</v>
      </c>
      <c r="F34" s="327">
        <f t="shared" si="0"/>
        <v>3.7458704470665474E-2</v>
      </c>
      <c r="G34" s="309">
        <f t="shared" si="6"/>
        <v>1.5</v>
      </c>
      <c r="H34" s="1">
        <v>5400</v>
      </c>
      <c r="I34" s="324">
        <v>30</v>
      </c>
      <c r="J34" s="1">
        <v>9.3399999999999993E-3</v>
      </c>
      <c r="K34" s="1">
        <v>6.0000000000000002E-5</v>
      </c>
      <c r="L34" s="328">
        <f t="shared" si="1"/>
        <v>0.64239828693790157</v>
      </c>
      <c r="M34" s="329">
        <f t="shared" si="2"/>
        <v>3.5160235054076732E-3</v>
      </c>
      <c r="N34" s="342">
        <f>(1/$J$48)*SQRT(((1-J35/$J$48)*K34)^2+(J35/$J$48)^2*(SUMSQ(K$8:K33)+SUMSQ(K35:K$47)))</f>
        <v>2.2943562639692558E-5</v>
      </c>
      <c r="O34" s="340">
        <f t="shared" si="14"/>
        <v>0.65254292539299497</v>
      </c>
      <c r="P34" s="332">
        <f t="shared" si="7"/>
        <v>0.91162885247382697</v>
      </c>
      <c r="Q34" s="342">
        <f>SQRT(((1-P34)/$J$48)^2*SUMSQ(K$8:K34)+(P34/$J$48)^2*SUMSQ(K35:K$47))</f>
        <v>2.0638192565182391E-3</v>
      </c>
      <c r="R34" s="340">
        <f t="shared" si="15"/>
        <v>0.22638810201298359</v>
      </c>
      <c r="S34" s="343">
        <f t="shared" si="16"/>
        <v>7.3206228209171061E-7</v>
      </c>
      <c r="T34" s="344">
        <f t="shared" si="17"/>
        <v>4.0670126782872807E-9</v>
      </c>
      <c r="U34" s="344">
        <f>IF(P34&lt;=0.85, (1/(3*H34*$J$48))*SQRT( ((1-P34)*(1/SQRT(1-PI()*P34/3)-1) + (1-P33)*(1-1/SQRT(1-PI()*P33/3)))^2*SUMSQ(K$8:K33) + ( (1-P34)*(1/SQRT(1-PI()*P34/3)-1) -P33*(1-1/SQRT(1-PI()*P33/3)) )^2*K34^2 + ( P34*(1-1/SQRT(1-PI()*P34/3)) - P33*(1-1/SQRT(1-PI()*P33/3)) )^2*SUMSQ(K35:K$47) ), (1/(PI()^2*H34*$J$48))*SQRT((1+P33/(1-P33))^2*K34^2+(P33/(1-P33)-P34/(1-P34))^2*SUMSQ(K35:K$47)) )</f>
        <v>1.8955018003289174E-8</v>
      </c>
      <c r="V34" s="345">
        <f t="shared" si="18"/>
        <v>1.9386420495552193E-8</v>
      </c>
      <c r="W34" s="340">
        <f t="shared" si="19"/>
        <v>2.6481927794667501</v>
      </c>
      <c r="X34" s="345">
        <f t="shared" si="20"/>
        <v>3.8772840991104385E-8</v>
      </c>
      <c r="Y34" s="338">
        <f t="shared" si="8"/>
        <v>-14.127400241779867</v>
      </c>
      <c r="Z34" s="346">
        <f t="shared" si="21"/>
        <v>2.6481927794667501E-2</v>
      </c>
      <c r="AA34" s="346">
        <f t="shared" si="22"/>
        <v>0.18745082139281929</v>
      </c>
      <c r="AB34" s="346">
        <f t="shared" si="9"/>
        <v>5.2963855589335002E-2</v>
      </c>
      <c r="AC34" s="336">
        <f t="shared" si="3"/>
        <v>9.4472344679022426E-11</v>
      </c>
      <c r="AD34" s="337">
        <f t="shared" si="4"/>
        <v>4.1622823986092607E-12</v>
      </c>
      <c r="AE34" s="308">
        <f t="shared" si="10"/>
        <v>4.4058209974050691</v>
      </c>
      <c r="AF34" s="337">
        <f t="shared" si="11"/>
        <v>8.3245647972185213E-12</v>
      </c>
      <c r="AG34" s="338">
        <f t="shared" si="23"/>
        <v>-23.082713973158132</v>
      </c>
      <c r="AH34" s="339">
        <f t="shared" si="24"/>
        <v>4.4058209974050695E-2</v>
      </c>
      <c r="AI34" s="340">
        <f t="shared" si="25"/>
        <v>0.19087101293757763</v>
      </c>
      <c r="AJ34" s="341">
        <f t="shared" si="12"/>
        <v>8.811641994810139E-2</v>
      </c>
    </row>
    <row r="35" spans="1:36" x14ac:dyDescent="0.2">
      <c r="A35" s="309">
        <v>28</v>
      </c>
      <c r="B35" s="309">
        <f t="shared" si="13"/>
        <v>30</v>
      </c>
      <c r="C35" s="1">
        <v>464.82</v>
      </c>
      <c r="D35" s="1">
        <v>2.75</v>
      </c>
      <c r="E35" s="326">
        <f t="shared" si="5"/>
        <v>13.550686342263235</v>
      </c>
      <c r="F35" s="327">
        <f t="shared" si="0"/>
        <v>4.7854802867659425E-2</v>
      </c>
      <c r="G35" s="309">
        <f t="shared" si="6"/>
        <v>1.5</v>
      </c>
      <c r="H35" s="1">
        <v>5400</v>
      </c>
      <c r="I35" s="324">
        <v>30</v>
      </c>
      <c r="J35" s="1">
        <v>4.79E-3</v>
      </c>
      <c r="K35" s="1">
        <v>8.0000000000000007E-5</v>
      </c>
      <c r="L35" s="328">
        <f t="shared" si="1"/>
        <v>1.6701461377870566</v>
      </c>
      <c r="M35" s="329">
        <f t="shared" si="2"/>
        <v>1.8031855022379824E-3</v>
      </c>
      <c r="N35" s="342">
        <f>(1/$J$48)*SQRT(((1-J36/$J$48)*K35)^2+(J36/$J$48)^2*(SUMSQ(K$8:K34)+SUMSQ(K36:K$47)))</f>
        <v>3.243556498548036E-5</v>
      </c>
      <c r="O35" s="340">
        <f t="shared" si="14"/>
        <v>1.7987924672876805</v>
      </c>
      <c r="P35" s="332">
        <f t="shared" si="7"/>
        <v>0.91343203797606498</v>
      </c>
      <c r="Q35" s="342">
        <f>SQRT(((1-P35)/$J$48)^2*SUMSQ(K$8:K35)+(P35/$J$48)^2*SUMSQ(K36:K$47))</f>
        <v>2.0676833048816892E-3</v>
      </c>
      <c r="R35" s="340">
        <f t="shared" si="15"/>
        <v>0.22636421965920461</v>
      </c>
      <c r="S35" s="343">
        <f t="shared" si="16"/>
        <v>3.8681683486438915E-7</v>
      </c>
      <c r="T35" s="344">
        <f t="shared" si="17"/>
        <v>2.148982415913273E-9</v>
      </c>
      <c r="U35" s="344">
        <f>IF(P35&lt;=0.85, (1/(3*H35*$J$48))*SQRT( ((1-P35)*(1/SQRT(1-PI()*P35/3)-1) + (1-P34)*(1-1/SQRT(1-PI()*P34/3)))^2*SUMSQ(K$8:K34) + ( (1-P35)*(1/SQRT(1-PI()*P35/3)-1) -P34*(1-1/SQRT(1-PI()*P34/3)) )^2*K35^2 + ( P35*(1-1/SQRT(1-PI()*P35/3)) - P34*(1-1/SQRT(1-PI()*P34/3)) )^2*SUMSQ(K36:K$47) ), (1/(PI()^2*H35*$J$48))*SQRT((1+P34/(1-P34))^2*K35^2+(P34/(1-P34)-P35/(1-P35))^2*SUMSQ(K36:K$47)) )</f>
        <v>1.1875766022686247E-8</v>
      </c>
      <c r="V35" s="345">
        <f t="shared" si="18"/>
        <v>1.2068634721852077E-8</v>
      </c>
      <c r="W35" s="340">
        <f t="shared" si="19"/>
        <v>3.1199869380253622</v>
      </c>
      <c r="X35" s="345">
        <f t="shared" si="20"/>
        <v>2.4137269443704153E-8</v>
      </c>
      <c r="Y35" s="338">
        <f t="shared" si="8"/>
        <v>-14.765314550880085</v>
      </c>
      <c r="Z35" s="346">
        <f t="shared" si="21"/>
        <v>3.1199869380253622E-2</v>
      </c>
      <c r="AA35" s="346">
        <f t="shared" si="22"/>
        <v>0.21130514539830078</v>
      </c>
      <c r="AB35" s="346">
        <f t="shared" si="9"/>
        <v>6.2399738760507244E-2</v>
      </c>
      <c r="AC35" s="336">
        <f t="shared" si="3"/>
        <v>4.9918557812515471E-11</v>
      </c>
      <c r="AD35" s="337">
        <f t="shared" si="4"/>
        <v>2.3484361612565672E-12</v>
      </c>
      <c r="AE35" s="308">
        <f t="shared" si="10"/>
        <v>4.7045352753916543</v>
      </c>
      <c r="AF35" s="337">
        <f t="shared" si="11"/>
        <v>4.6968723225131345E-12</v>
      </c>
      <c r="AG35" s="338">
        <f t="shared" si="23"/>
        <v>-23.720628282258346</v>
      </c>
      <c r="AH35" s="339">
        <f t="shared" si="24"/>
        <v>4.7045352753916553E-2</v>
      </c>
      <c r="AI35" s="340">
        <f t="shared" si="25"/>
        <v>0.19833097249411283</v>
      </c>
      <c r="AJ35" s="341">
        <f t="shared" si="12"/>
        <v>9.4090705507833106E-2</v>
      </c>
    </row>
    <row r="36" spans="1:36" x14ac:dyDescent="0.2">
      <c r="A36" s="309">
        <v>29</v>
      </c>
      <c r="B36" s="309">
        <f t="shared" si="13"/>
        <v>31.5</v>
      </c>
      <c r="C36" s="1">
        <v>484.91</v>
      </c>
      <c r="D36" s="1">
        <v>1.95</v>
      </c>
      <c r="E36" s="326">
        <f t="shared" si="5"/>
        <v>13.19156794976651</v>
      </c>
      <c r="F36" s="327">
        <f t="shared" si="0"/>
        <v>3.221048545161153E-2</v>
      </c>
      <c r="G36" s="309">
        <f t="shared" si="6"/>
        <v>1.5</v>
      </c>
      <c r="H36" s="1">
        <v>5400</v>
      </c>
      <c r="I36" s="324">
        <v>30</v>
      </c>
      <c r="J36" s="1">
        <v>1.401E-2</v>
      </c>
      <c r="K36" s="1">
        <v>1.3999999999999999E-4</v>
      </c>
      <c r="L36" s="328">
        <f t="shared" si="1"/>
        <v>0.9992862241256244</v>
      </c>
      <c r="M36" s="329">
        <f t="shared" si="2"/>
        <v>5.2740352581115103E-3</v>
      </c>
      <c r="N36" s="342">
        <f>(1/$J$48)*SQRT(((1-J37/$J$48)*K36)^2+(J37/$J$48)^2*(SUMSQ(K$8:K35)+SUMSQ(K37:K$47)))</f>
        <v>5.6283307341986303E-5</v>
      </c>
      <c r="O36" s="340">
        <f t="shared" si="14"/>
        <v>1.0671773051843387</v>
      </c>
      <c r="P36" s="332">
        <f t="shared" si="7"/>
        <v>0.91870607323417652</v>
      </c>
      <c r="Q36" s="342">
        <f>SQRT(((1-P36)/$J$48)^2*SUMSQ(K$8:K36)+(P36/$J$48)^2*SUMSQ(K37:K$47))</f>
        <v>2.0789595605527084E-3</v>
      </c>
      <c r="R36" s="340">
        <f t="shared" si="15"/>
        <v>0.22629213206722598</v>
      </c>
      <c r="S36" s="343">
        <f t="shared" si="16"/>
        <v>1.1794251355884589E-6</v>
      </c>
      <c r="T36" s="344">
        <f t="shared" si="17"/>
        <v>6.5523618643803274E-9</v>
      </c>
      <c r="U36" s="344">
        <f>IF(P36&lt;=0.85, (1/(3*H36*$J$48))*SQRT( ((1-P36)*(1/SQRT(1-PI()*P36/3)-1) + (1-P35)*(1-1/SQRT(1-PI()*P35/3)))^2*SUMSQ(K$8:K35) + ( (1-P36)*(1/SQRT(1-PI()*P36/3)-1) -P35*(1-1/SQRT(1-PI()*P35/3)) )^2*K36^2 + ( P36*(1-1/SQRT(1-PI()*P36/3)) - P35*(1-1/SQRT(1-PI()*P35/3)) )^2*SUMSQ(K37:K$47) ), (1/(PI()^2*H36*$J$48))*SQRT((1+P35/(1-P35))^2*K36^2+(P35/(1-P35)-P36/(1-P36))^2*SUMSQ(K37:K$47)) )</f>
        <v>3.3798354034158062E-8</v>
      </c>
      <c r="V36" s="345">
        <f t="shared" si="18"/>
        <v>3.4427636884051078E-8</v>
      </c>
      <c r="W36" s="340">
        <f t="shared" si="19"/>
        <v>2.9190184137354214</v>
      </c>
      <c r="X36" s="345">
        <f t="shared" si="20"/>
        <v>6.8855273768102157E-8</v>
      </c>
      <c r="Y36" s="338">
        <f t="shared" si="8"/>
        <v>-13.650483411424254</v>
      </c>
      <c r="Z36" s="346">
        <f t="shared" si="21"/>
        <v>2.9190184137354216E-2</v>
      </c>
      <c r="AA36" s="346">
        <f t="shared" si="22"/>
        <v>0.21383992974874866</v>
      </c>
      <c r="AB36" s="346">
        <f t="shared" si="9"/>
        <v>5.8380368274708432E-2</v>
      </c>
      <c r="AC36" s="336">
        <f t="shared" si="3"/>
        <v>1.5220434197763636E-10</v>
      </c>
      <c r="AD36" s="337">
        <f t="shared" si="4"/>
        <v>6.9614149932243952E-12</v>
      </c>
      <c r="AE36" s="308">
        <f t="shared" si="10"/>
        <v>4.5737295682716121</v>
      </c>
      <c r="AF36" s="337">
        <f t="shared" si="11"/>
        <v>1.392282998644879E-11</v>
      </c>
      <c r="AG36" s="338">
        <f t="shared" si="23"/>
        <v>-22.605797142802519</v>
      </c>
      <c r="AH36" s="339">
        <f t="shared" si="24"/>
        <v>4.5737295682716117E-2</v>
      </c>
      <c r="AI36" s="340">
        <f t="shared" si="25"/>
        <v>0.20232551585679628</v>
      </c>
      <c r="AJ36" s="341">
        <f t="shared" si="12"/>
        <v>9.1474591365432234E-2</v>
      </c>
    </row>
    <row r="37" spans="1:36" x14ac:dyDescent="0.2">
      <c r="A37" s="309">
        <v>30</v>
      </c>
      <c r="B37" s="309">
        <f t="shared" si="13"/>
        <v>33</v>
      </c>
      <c r="C37" s="1">
        <v>504.92</v>
      </c>
      <c r="D37" s="1">
        <v>1.7</v>
      </c>
      <c r="E37" s="326">
        <f t="shared" si="5"/>
        <v>12.85231405914635</v>
      </c>
      <c r="F37" s="327">
        <f t="shared" si="0"/>
        <v>2.6691798257090765E-2</v>
      </c>
      <c r="G37" s="309">
        <f t="shared" si="6"/>
        <v>1.5</v>
      </c>
      <c r="H37" s="1">
        <v>5400</v>
      </c>
      <c r="I37" s="324">
        <v>30</v>
      </c>
      <c r="J37" s="1">
        <v>2.3619999999999999E-2</v>
      </c>
      <c r="K37" s="1">
        <v>1E-4</v>
      </c>
      <c r="L37" s="328">
        <f t="shared" si="1"/>
        <v>0.42337002540220159</v>
      </c>
      <c r="M37" s="329">
        <f t="shared" si="2"/>
        <v>8.8916996999710111E-3</v>
      </c>
      <c r="N37" s="342">
        <f>(1/$J$48)*SQRT(((1-J38/$J$48)*K37)^2+(J38/$J$48)^2*(SUMSQ(K$8:K36)+SUMSQ(K38:K$47)))</f>
        <v>4.1840342232631156E-5</v>
      </c>
      <c r="O37" s="340">
        <f t="shared" si="14"/>
        <v>0.47055505296436817</v>
      </c>
      <c r="P37" s="332">
        <f t="shared" si="7"/>
        <v>0.92759777293414758</v>
      </c>
      <c r="Q37" s="342">
        <f>SQRT(((1-P37)/$J$48)^2*SUMSQ(K$8:K37)+(P37/$J$48)^2*SUMSQ(K38:K$47))</f>
        <v>2.0986342031479462E-3</v>
      </c>
      <c r="R37" s="340">
        <f t="shared" si="15"/>
        <v>0.22624398897699094</v>
      </c>
      <c r="S37" s="343">
        <f t="shared" si="16"/>
        <v>2.1734191840528154E-6</v>
      </c>
      <c r="T37" s="344">
        <f t="shared" si="17"/>
        <v>1.2074551022515641E-8</v>
      </c>
      <c r="U37" s="344">
        <f>IF(P37&lt;=0.85, (1/(3*H37*$J$48))*SQRT( ((1-P37)*(1/SQRT(1-PI()*P37/3)-1) + (1-P36)*(1-1/SQRT(1-PI()*P36/3)))^2*SUMSQ(K$8:K36) + ( (1-P37)*(1/SQRT(1-PI()*P37/3)-1) -P36*(1-1/SQRT(1-PI()*P36/3)) )^2*K37^2 + ( P37*(1-1/SQRT(1-PI()*P37/3)) - P36*(1-1/SQRT(1-PI()*P36/3)) )^2*SUMSQ(K38:K$47) ), (1/(PI()^2*H37*$J$48))*SQRT((1+P36/(1-P36))^2*K37^2+(P36/(1-P36)-P37/(1-P37))^2*SUMSQ(K38:K$47)) )</f>
        <v>6.4698669736037306E-8</v>
      </c>
      <c r="V37" s="345">
        <f t="shared" si="18"/>
        <v>6.5815747720497429E-8</v>
      </c>
      <c r="W37" s="340">
        <f t="shared" si="19"/>
        <v>3.0282123302956023</v>
      </c>
      <c r="X37" s="345">
        <f t="shared" si="20"/>
        <v>1.3163149544099486E-7</v>
      </c>
      <c r="Y37" s="338">
        <f t="shared" si="8"/>
        <v>-13.039208969609208</v>
      </c>
      <c r="Z37" s="346">
        <f t="shared" si="21"/>
        <v>3.0282123302956022E-2</v>
      </c>
      <c r="AA37" s="346">
        <f t="shared" si="22"/>
        <v>0.23223895999776736</v>
      </c>
      <c r="AB37" s="346">
        <f t="shared" si="9"/>
        <v>6.0564246605912045E-2</v>
      </c>
      <c r="AC37" s="336">
        <f t="shared" si="3"/>
        <v>2.8047887633434221E-10</v>
      </c>
      <c r="AD37" s="337">
        <f t="shared" si="4"/>
        <v>1.3025942583171703E-11</v>
      </c>
      <c r="AE37" s="308">
        <f t="shared" si="10"/>
        <v>4.6441795380142104</v>
      </c>
      <c r="AF37" s="337">
        <f t="shared" si="11"/>
        <v>2.6051885166343406E-11</v>
      </c>
      <c r="AG37" s="338">
        <f t="shared" si="23"/>
        <v>-21.994522700987471</v>
      </c>
      <c r="AH37" s="339">
        <f t="shared" si="24"/>
        <v>4.6441795380142106E-2</v>
      </c>
      <c r="AI37" s="340">
        <f t="shared" si="25"/>
        <v>0.2111516399401431</v>
      </c>
      <c r="AJ37" s="341">
        <f t="shared" si="12"/>
        <v>9.2883590760284213E-2</v>
      </c>
    </row>
    <row r="38" spans="1:36" x14ac:dyDescent="0.2">
      <c r="A38" s="309">
        <v>31</v>
      </c>
      <c r="B38" s="309">
        <f t="shared" si="13"/>
        <v>34.5</v>
      </c>
      <c r="C38" s="1">
        <v>524.91</v>
      </c>
      <c r="D38" s="1">
        <v>1.87</v>
      </c>
      <c r="E38" s="326">
        <f t="shared" si="5"/>
        <v>12.53038618650227</v>
      </c>
      <c r="F38" s="327">
        <f t="shared" si="0"/>
        <v>2.7940155652963608E-2</v>
      </c>
      <c r="G38" s="309">
        <f t="shared" si="6"/>
        <v>1.5</v>
      </c>
      <c r="H38" s="1">
        <v>5400</v>
      </c>
      <c r="I38" s="324">
        <v>30</v>
      </c>
      <c r="J38" s="1">
        <v>2.1260000000000001E-2</v>
      </c>
      <c r="K38" s="1">
        <v>1.3999999999999999E-4</v>
      </c>
      <c r="L38" s="328">
        <f t="shared" si="1"/>
        <v>0.65851364063969886</v>
      </c>
      <c r="M38" s="329">
        <f t="shared" si="2"/>
        <v>8.0032826257994804E-3</v>
      </c>
      <c r="N38" s="342">
        <f>(1/$J$48)*SQRT(((1-J39/$J$48)*K38)^2+(J39/$J$48)^2*(SUMSQ(K$8:K37)+SUMSQ(K39:K$47)))</f>
        <v>5.7794316269594982E-5</v>
      </c>
      <c r="O38" s="340">
        <f t="shared" si="14"/>
        <v>0.72213264196479221</v>
      </c>
      <c r="P38" s="332">
        <f t="shared" si="7"/>
        <v>0.9356010555599471</v>
      </c>
      <c r="Q38" s="342">
        <f>SQRT(((1-P38)/$J$48)^2*SUMSQ(K$8:K38)+(P38/$J$48)^2*SUMSQ(K39:K$47))</f>
        <v>2.1160449117137358E-3</v>
      </c>
      <c r="R38" s="340">
        <f t="shared" si="15"/>
        <v>0.22616957293269685</v>
      </c>
      <c r="S38" s="343">
        <f t="shared" si="16"/>
        <v>2.1979157279004919E-6</v>
      </c>
      <c r="T38" s="344">
        <f t="shared" si="17"/>
        <v>1.2210642932780511E-8</v>
      </c>
      <c r="U38" s="344">
        <f>IF(P38&lt;=0.85, (1/(3*H38*$J$48))*SQRT( ((1-P38)*(1/SQRT(1-PI()*P38/3)-1) + (1-P37)*(1-1/SQRT(1-PI()*P37/3)))^2*SUMSQ(K$8:K37) + ( (1-P38)*(1/SQRT(1-PI()*P38/3)-1) -P37*(1-1/SQRT(1-PI()*P37/3)) )^2*K38^2 + ( P38*(1-1/SQRT(1-PI()*P38/3)) - P37*(1-1/SQRT(1-PI()*P37/3)) )^2*SUMSQ(K39:K$47) ), (1/(PI()^2*H38*$J$48))*SQRT((1+P37/(1-P37))^2*K38^2+(P37/(1-P37)-P38/(1-P38))^2*SUMSQ(K39:K$47)) )</f>
        <v>7.4095944228179452E-8</v>
      </c>
      <c r="V38" s="345">
        <f t="shared" si="18"/>
        <v>7.5095331092534255E-8</v>
      </c>
      <c r="W38" s="340">
        <f t="shared" si="19"/>
        <v>3.4166610730006166</v>
      </c>
      <c r="X38" s="345">
        <f t="shared" si="20"/>
        <v>1.5019066218506851E-7</v>
      </c>
      <c r="Y38" s="338">
        <f t="shared" si="8"/>
        <v>-13.028001043072498</v>
      </c>
      <c r="Z38" s="346">
        <f t="shared" si="21"/>
        <v>3.4166610730006167E-2</v>
      </c>
      <c r="AA38" s="346">
        <f t="shared" si="22"/>
        <v>0.2622552041333609</v>
      </c>
      <c r="AB38" s="346">
        <f t="shared" si="9"/>
        <v>6.8333221460012333E-2</v>
      </c>
      <c r="AC38" s="336">
        <f t="shared" si="3"/>
        <v>2.8364014551926732E-10</v>
      </c>
      <c r="AD38" s="337">
        <f t="shared" si="4"/>
        <v>1.3916273129839285E-11</v>
      </c>
      <c r="AE38" s="308">
        <f t="shared" si="10"/>
        <v>4.906312928433457</v>
      </c>
      <c r="AF38" s="337">
        <f t="shared" si="11"/>
        <v>2.7832546259678569E-11</v>
      </c>
      <c r="AG38" s="338">
        <f t="shared" si="23"/>
        <v>-21.983314774450761</v>
      </c>
      <c r="AH38" s="339">
        <f t="shared" si="24"/>
        <v>4.9063129284334574E-2</v>
      </c>
      <c r="AI38" s="340">
        <f t="shared" si="25"/>
        <v>0.22318349069611765</v>
      </c>
      <c r="AJ38" s="341">
        <f t="shared" si="12"/>
        <v>9.8126258568669147E-2</v>
      </c>
    </row>
    <row r="39" spans="1:36" x14ac:dyDescent="0.2">
      <c r="A39" s="309">
        <v>32</v>
      </c>
      <c r="B39" s="309">
        <f t="shared" si="13"/>
        <v>36</v>
      </c>
      <c r="C39" s="1">
        <v>544.95000000000005</v>
      </c>
      <c r="D39" s="1">
        <v>2.0099999999999998</v>
      </c>
      <c r="E39" s="326">
        <f t="shared" si="5"/>
        <v>12.223444566678889</v>
      </c>
      <c r="F39" s="327">
        <f t="shared" si="0"/>
        <v>2.9313113900269586E-2</v>
      </c>
      <c r="G39" s="309">
        <f t="shared" si="6"/>
        <v>1.5</v>
      </c>
      <c r="H39" s="1">
        <v>5400</v>
      </c>
      <c r="I39" s="324">
        <v>30</v>
      </c>
      <c r="J39" s="1">
        <v>2.8080000000000001E-2</v>
      </c>
      <c r="K39" s="1">
        <v>2.4000000000000001E-4</v>
      </c>
      <c r="L39" s="328">
        <f t="shared" si="1"/>
        <v>0.85470085470085466</v>
      </c>
      <c r="M39" s="329">
        <f t="shared" si="2"/>
        <v>1.0570657390990093E-2</v>
      </c>
      <c r="N39" s="342">
        <f>(1/$J$48)*SQRT(((1-J40/$J$48)*K39)^2+(J40/$J$48)^2*(SUMSQ(K$8:K38)+SUMSQ(K40:K$47)))</f>
        <v>9.1635241841916067E-5</v>
      </c>
      <c r="O39" s="340">
        <f t="shared" si="14"/>
        <v>0.86688309395044261</v>
      </c>
      <c r="P39" s="332">
        <f t="shared" si="7"/>
        <v>0.94617171295093716</v>
      </c>
      <c r="Q39" s="342">
        <f>SQRT(((1-P39)/$J$48)^2*SUMSQ(K$8:K39)+(P39/$J$48)^2*SUMSQ(K40:K$47))</f>
        <v>2.1381093499295688E-3</v>
      </c>
      <c r="R39" s="340">
        <f t="shared" si="15"/>
        <v>0.22597476976575376</v>
      </c>
      <c r="S39" s="343">
        <f t="shared" si="16"/>
        <v>3.3642035056803219E-6</v>
      </c>
      <c r="T39" s="344">
        <f t="shared" si="17"/>
        <v>1.8690019476001792E-8</v>
      </c>
      <c r="U39" s="344">
        <f>IF(P39&lt;=0.85, (1/(3*H39*$J$48))*SQRT( ((1-P39)*(1/SQRT(1-PI()*P39/3)-1) + (1-P38)*(1-1/SQRT(1-PI()*P38/3)))^2*SUMSQ(K$8:K38) + ( (1-P39)*(1/SQRT(1-PI()*P39/3)-1) -P38*(1-1/SQRT(1-PI()*P38/3)) )^2*K39^2 + ( P39*(1-1/SQRT(1-PI()*P39/3)) - P38*(1-1/SQRT(1-PI()*P38/3)) )^2*SUMSQ(K40:K$47) ), (1/(PI()^2*H39*$J$48))*SQRT((1+P38/(1-P38))^2*K39^2+(P38/(1-P38)-P39/(1-P39))^2*SUMSQ(K40:K$47)) )</f>
        <v>1.3192838131363975E-7</v>
      </c>
      <c r="V39" s="345">
        <f t="shared" si="18"/>
        <v>1.3324569270355594E-7</v>
      </c>
      <c r="W39" s="340">
        <f t="shared" si="19"/>
        <v>3.9606906204864236</v>
      </c>
      <c r="X39" s="345">
        <f t="shared" si="20"/>
        <v>2.6649138540711187E-7</v>
      </c>
      <c r="Y39" s="338">
        <f t="shared" si="8"/>
        <v>-12.602319322534601</v>
      </c>
      <c r="Z39" s="346">
        <f t="shared" si="21"/>
        <v>3.9606906204864234E-2</v>
      </c>
      <c r="AA39" s="346">
        <f t="shared" si="22"/>
        <v>0.31428267441249397</v>
      </c>
      <c r="AB39" s="346">
        <f t="shared" si="9"/>
        <v>7.9213812409728468E-2</v>
      </c>
      <c r="AC39" s="336">
        <f t="shared" si="3"/>
        <v>4.341491167266432E-10</v>
      </c>
      <c r="AD39" s="337">
        <f t="shared" si="4"/>
        <v>2.3008020645143545E-11</v>
      </c>
      <c r="AE39" s="308">
        <f t="shared" si="10"/>
        <v>5.2995663836926035</v>
      </c>
      <c r="AF39" s="337">
        <f t="shared" si="11"/>
        <v>4.6016041290287089E-11</v>
      </c>
      <c r="AG39" s="338">
        <f t="shared" si="23"/>
        <v>-21.557633053912866</v>
      </c>
      <c r="AH39" s="339">
        <f t="shared" si="24"/>
        <v>5.2995663836926034E-2</v>
      </c>
      <c r="AI39" s="340">
        <f t="shared" si="25"/>
        <v>0.24583247940249608</v>
      </c>
      <c r="AJ39" s="341">
        <f t="shared" si="12"/>
        <v>0.10599132767385207</v>
      </c>
    </row>
    <row r="40" spans="1:36" x14ac:dyDescent="0.2">
      <c r="A40" s="309">
        <v>33</v>
      </c>
      <c r="B40" s="309">
        <f t="shared" si="13"/>
        <v>37.5</v>
      </c>
      <c r="C40" s="1">
        <v>554.91999999999996</v>
      </c>
      <c r="D40" s="1">
        <v>2.19</v>
      </c>
      <c r="E40" s="326">
        <f t="shared" si="5"/>
        <v>12.076273744973252</v>
      </c>
      <c r="F40" s="327">
        <f t="shared" si="0"/>
        <v>3.3701986275390547E-2</v>
      </c>
      <c r="G40" s="309">
        <f t="shared" si="6"/>
        <v>1.5</v>
      </c>
      <c r="H40" s="1">
        <v>5400</v>
      </c>
      <c r="I40" s="324">
        <v>30</v>
      </c>
      <c r="J40" s="1">
        <v>2.1579999999999998E-2</v>
      </c>
      <c r="K40" s="1">
        <v>1.1E-4</v>
      </c>
      <c r="L40" s="328">
        <f t="shared" si="1"/>
        <v>0.50973123262279896</v>
      </c>
      <c r="M40" s="329">
        <f t="shared" si="2"/>
        <v>8.1237459578905342E-3</v>
      </c>
      <c r="N40" s="342">
        <f>(1/$J$48)*SQRT(((1-J41/$J$48)*K40)^2+(J41/$J$48)^2*(SUMSQ(K$8:K39)+SUMSQ(K41:K$47)))</f>
        <v>4.201064218114327E-5</v>
      </c>
      <c r="O40" s="340">
        <f t="shared" si="14"/>
        <v>0.51713387394073607</v>
      </c>
      <c r="P40" s="332">
        <f t="shared" si="7"/>
        <v>0.95429545890882772</v>
      </c>
      <c r="Q40" s="342">
        <f>SQRT(((1-P40)/$J$48)^2*SUMSQ(K$8:K40)+(P40/$J$48)^2*SUMSQ(K41:K$47))</f>
        <v>2.1560149966459103E-3</v>
      </c>
      <c r="R40" s="340">
        <f t="shared" si="15"/>
        <v>0.22592740817515441</v>
      </c>
      <c r="S40" s="343">
        <f t="shared" si="16"/>
        <v>3.0696838108776667E-6</v>
      </c>
      <c r="T40" s="344">
        <f t="shared" si="17"/>
        <v>1.7053798949320368E-8</v>
      </c>
      <c r="U40" s="344">
        <f>IF(P40&lt;=0.85, (1/(3*H40*$J$48))*SQRT( ((1-P40)*(1/SQRT(1-PI()*P40/3)-1) + (1-P39)*(1-1/SQRT(1-PI()*P39/3)))^2*SUMSQ(K$8:K39) + ( (1-P40)*(1/SQRT(1-PI()*P40/3)-1) -P39*(1-1/SQRT(1-PI()*P39/3)) )^2*K40^2 + ( P40*(1-1/SQRT(1-PI()*P40/3)) - P39*(1-1/SQRT(1-PI()*P39/3)) )^2*SUMSQ(K41:K$47) ), (1/(PI()^2*H40*$J$48))*SQRT((1+P39/(1-P39))^2*K40^2+(P39/(1-P39)-P40/(1-P40))^2*SUMSQ(K41:K$47)) )</f>
        <v>1.4070659593784918E-7</v>
      </c>
      <c r="V40" s="345">
        <f t="shared" si="18"/>
        <v>1.4173629809974929E-7</v>
      </c>
      <c r="W40" s="340">
        <f t="shared" si="19"/>
        <v>4.6172930774660097</v>
      </c>
      <c r="X40" s="345">
        <f t="shared" si="20"/>
        <v>2.8347259619949858E-7</v>
      </c>
      <c r="Y40" s="338">
        <f t="shared" si="8"/>
        <v>-12.69393599486879</v>
      </c>
      <c r="Z40" s="346">
        <f t="shared" si="21"/>
        <v>4.6172930774660094E-2</v>
      </c>
      <c r="AA40" s="346">
        <f t="shared" si="22"/>
        <v>0.3637400629192109</v>
      </c>
      <c r="AB40" s="346">
        <f t="shared" si="9"/>
        <v>9.2345861549320188E-2</v>
      </c>
      <c r="AC40" s="336">
        <f t="shared" si="3"/>
        <v>3.9614146792023852E-10</v>
      </c>
      <c r="AD40" s="337">
        <f t="shared" si="4"/>
        <v>2.3002734384651092E-11</v>
      </c>
      <c r="AE40" s="308">
        <f t="shared" si="10"/>
        <v>5.8066969119432352</v>
      </c>
      <c r="AF40" s="337">
        <f t="shared" si="11"/>
        <v>4.6005468769302183E-11</v>
      </c>
      <c r="AG40" s="338">
        <f t="shared" si="23"/>
        <v>-21.649249726247053</v>
      </c>
      <c r="AH40" s="339">
        <f t="shared" si="24"/>
        <v>5.8066969119432349E-2</v>
      </c>
      <c r="AI40" s="340">
        <f t="shared" si="25"/>
        <v>0.26821700453218611</v>
      </c>
      <c r="AJ40" s="341">
        <f t="shared" si="12"/>
        <v>0.1161339382388647</v>
      </c>
    </row>
    <row r="41" spans="1:36" x14ac:dyDescent="0.2">
      <c r="A41" s="309">
        <v>34</v>
      </c>
      <c r="B41" s="309">
        <f t="shared" si="13"/>
        <v>39</v>
      </c>
      <c r="C41" s="1">
        <v>532.96</v>
      </c>
      <c r="D41" s="1">
        <v>0.98</v>
      </c>
      <c r="E41" s="326">
        <f t="shared" si="5"/>
        <v>12.40525486596122</v>
      </c>
      <c r="F41" s="327">
        <f t="shared" si="0"/>
        <v>1.5857998949043158E-2</v>
      </c>
      <c r="G41" s="309">
        <f t="shared" si="6"/>
        <v>1.5</v>
      </c>
      <c r="H41" s="1">
        <v>5400</v>
      </c>
      <c r="I41" s="324">
        <v>30</v>
      </c>
      <c r="J41" s="1">
        <v>8.8400000000000006E-3</v>
      </c>
      <c r="K41" s="1">
        <v>6.9999999999999994E-5</v>
      </c>
      <c r="L41" s="328">
        <f t="shared" si="1"/>
        <v>0.79185520361990924</v>
      </c>
      <c r="M41" s="329">
        <f t="shared" si="2"/>
        <v>3.3277995490153998E-3</v>
      </c>
      <c r="N41" s="342">
        <f>(1/$J$48)*SQRT(((1-J42/$J$48)*K41)^2+(J42/$J$48)^2*(SUMSQ(K$8:K40)+SUMSQ(K42:K$47)))</f>
        <v>2.6791488862809962E-5</v>
      </c>
      <c r="O41" s="340">
        <f t="shared" si="14"/>
        <v>0.8050812096160298</v>
      </c>
      <c r="P41" s="332">
        <f t="shared" si="7"/>
        <v>0.95762325845784313</v>
      </c>
      <c r="Q41" s="342">
        <f>SQRT(((1-P41)/$J$48)^2*SUMSQ(K$8:K41)+(P41/$J$48)^2*SUMSQ(K42:K$47))</f>
        <v>2.1633540060832924E-3</v>
      </c>
      <c r="R41" s="340">
        <f t="shared" si="15"/>
        <v>0.22590867410292004</v>
      </c>
      <c r="S41" s="343">
        <f t="shared" si="16"/>
        <v>1.4184589918883184E-6</v>
      </c>
      <c r="T41" s="344">
        <f t="shared" si="17"/>
        <v>7.8803277327128793E-9</v>
      </c>
      <c r="U41" s="344">
        <f>IF(P41&lt;=0.85, (1/(3*H41*$J$48))*SQRT( ((1-P41)*(1/SQRT(1-PI()*P41/3)-1) + (1-P40)*(1-1/SQRT(1-PI()*P40/3)))^2*SUMSQ(K$8:K40) + ( (1-P41)*(1/SQRT(1-PI()*P41/3)-1) -P40*(1-1/SQRT(1-PI()*P40/3)) )^2*K41^2 + ( P41*(1-1/SQRT(1-PI()*P41/3)) - P40*(1-1/SQRT(1-PI()*P40/3)) )^2*SUMSQ(K42:K$47) ), (1/(PI()^2*H41*$J$48))*SQRT((1+P40/(1-P40))^2*K41^2+(P40/(1-P40)-P41/(1-P41))^2*SUMSQ(K42:K$47)) )</f>
        <v>7.3622628466717838E-8</v>
      </c>
      <c r="V41" s="345">
        <f t="shared" si="18"/>
        <v>7.4043169756050664E-8</v>
      </c>
      <c r="W41" s="340">
        <f t="shared" si="19"/>
        <v>5.2199725321266399</v>
      </c>
      <c r="X41" s="345">
        <f t="shared" si="20"/>
        <v>1.4808633951210133E-7</v>
      </c>
      <c r="Y41" s="338">
        <f t="shared" si="8"/>
        <v>-13.465939492605475</v>
      </c>
      <c r="Z41" s="346">
        <f t="shared" si="21"/>
        <v>5.2199725321266398E-2</v>
      </c>
      <c r="AA41" s="346">
        <f t="shared" si="22"/>
        <v>0.3876426546393642</v>
      </c>
      <c r="AB41" s="346">
        <f t="shared" si="9"/>
        <v>0.1043994506425328</v>
      </c>
      <c r="AC41" s="336">
        <f t="shared" si="3"/>
        <v>1.8305156551959073E-10</v>
      </c>
      <c r="AD41" s="337">
        <f t="shared" si="4"/>
        <v>1.1525919539299392E-11</v>
      </c>
      <c r="AE41" s="308">
        <f t="shared" si="10"/>
        <v>6.2965424559921912</v>
      </c>
      <c r="AF41" s="337">
        <f t="shared" si="11"/>
        <v>2.3051839078598785E-11</v>
      </c>
      <c r="AG41" s="338">
        <f t="shared" si="23"/>
        <v>-22.421253223983737</v>
      </c>
      <c r="AH41" s="339">
        <f t="shared" si="24"/>
        <v>6.2965424559921906E-2</v>
      </c>
      <c r="AI41" s="340">
        <f t="shared" si="25"/>
        <v>0.28082919331453143</v>
      </c>
      <c r="AJ41" s="341">
        <f t="shared" si="12"/>
        <v>0.12593084911984381</v>
      </c>
    </row>
    <row r="42" spans="1:36" x14ac:dyDescent="0.2">
      <c r="A42" s="309">
        <v>35</v>
      </c>
      <c r="B42" s="309">
        <f t="shared" si="13"/>
        <v>40.5</v>
      </c>
      <c r="C42" s="1">
        <v>512.97</v>
      </c>
      <c r="D42" s="1">
        <v>1.58</v>
      </c>
      <c r="E42" s="326">
        <f t="shared" si="5"/>
        <v>12.720704218185519</v>
      </c>
      <c r="F42" s="327">
        <f t="shared" si="0"/>
        <v>2.692490575076479E-2</v>
      </c>
      <c r="G42" s="309">
        <f t="shared" si="6"/>
        <v>1.5</v>
      </c>
      <c r="H42" s="1">
        <v>5400</v>
      </c>
      <c r="I42" s="324">
        <v>30</v>
      </c>
      <c r="J42" s="1">
        <v>5.79E-3</v>
      </c>
      <c r="K42" s="1">
        <v>6.0000000000000002E-5</v>
      </c>
      <c r="L42" s="328">
        <f t="shared" si="1"/>
        <v>1.0362694300518136</v>
      </c>
      <c r="M42" s="329">
        <f t="shared" si="2"/>
        <v>2.1796334150225301E-3</v>
      </c>
      <c r="N42" s="342">
        <f>(1/$J$48)*SQRT(((1-J43/$J$48)*K42)^2+(J43/$J$48)^2*(SUMSQ(K$8:K41)+SUMSQ(K43:K$47)))</f>
        <v>2.2757869113676073E-5</v>
      </c>
      <c r="O42" s="340">
        <f t="shared" si="14"/>
        <v>1.0441145266366196</v>
      </c>
      <c r="P42" s="332">
        <f t="shared" si="7"/>
        <v>0.9598028918728656</v>
      </c>
      <c r="Q42" s="342">
        <f>SQRT(((1-P42)/$J$48)^2*SUMSQ(K$8:K42)+(P42/$J$48)^2*SUMSQ(K43:K$47))</f>
        <v>2.1681499260965491E-3</v>
      </c>
      <c r="R42" s="340">
        <f t="shared" si="15"/>
        <v>0.22589533168272008</v>
      </c>
      <c r="S42" s="343">
        <f t="shared" si="16"/>
        <v>9.907824653453433E-7</v>
      </c>
      <c r="T42" s="344">
        <f t="shared" si="17"/>
        <v>5.5043470296963521E-9</v>
      </c>
      <c r="U42" s="344">
        <f>IF(P42&lt;=0.85, (1/(3*H42*$J$48))*SQRT( ((1-P42)*(1/SQRT(1-PI()*P42/3)-1) + (1-P41)*(1-1/SQRT(1-PI()*P41/3)))^2*SUMSQ(K$8:K41) + ( (1-P42)*(1/SQRT(1-PI()*P42/3)-1) -P41*(1-1/SQRT(1-PI()*P41/3)) )^2*K42^2 + ( P42*(1-1/SQRT(1-PI()*P42/3)) - P41*(1-1/SQRT(1-PI()*P41/3)) )^2*SUMSQ(K43:K$47) ), (1/(PI()^2*H42*$J$48))*SQRT((1+P41/(1-P41))^2*K42^2+(P41/(1-P41)-P42/(1-P42))^2*SUMSQ(K43:K$47)) )</f>
        <v>5.514456220130556E-8</v>
      </c>
      <c r="V42" s="345">
        <f t="shared" si="18"/>
        <v>5.5418594141289659E-8</v>
      </c>
      <c r="W42" s="340">
        <f t="shared" si="19"/>
        <v>5.5934169285054081</v>
      </c>
      <c r="X42" s="345">
        <f t="shared" si="20"/>
        <v>1.1083718828257932E-7</v>
      </c>
      <c r="Y42" s="338">
        <f t="shared" si="8"/>
        <v>-13.824770836959202</v>
      </c>
      <c r="Z42" s="346">
        <f t="shared" si="21"/>
        <v>5.5934169285054076E-2</v>
      </c>
      <c r="AA42" s="346">
        <f t="shared" si="22"/>
        <v>0.4045938261451642</v>
      </c>
      <c r="AB42" s="346">
        <f t="shared" si="9"/>
        <v>0.11186833857010815</v>
      </c>
      <c r="AC42" s="336">
        <f t="shared" si="3"/>
        <v>1.2786008083983041E-10</v>
      </c>
      <c r="AD42" s="337">
        <f t="shared" si="4"/>
        <v>8.450830441117473E-12</v>
      </c>
      <c r="AE42" s="308">
        <f t="shared" si="10"/>
        <v>6.6094361786801779</v>
      </c>
      <c r="AF42" s="337">
        <f t="shared" si="11"/>
        <v>1.6901660882234946E-11</v>
      </c>
      <c r="AG42" s="338">
        <f t="shared" si="23"/>
        <v>-22.780084568337465</v>
      </c>
      <c r="AH42" s="339">
        <f t="shared" si="24"/>
        <v>6.6094361786801781E-2</v>
      </c>
      <c r="AI42" s="340">
        <f t="shared" si="25"/>
        <v>0.29014098515976439</v>
      </c>
      <c r="AJ42" s="341">
        <f t="shared" si="12"/>
        <v>0.13218872357360356</v>
      </c>
    </row>
    <row r="43" spans="1:36" x14ac:dyDescent="0.2">
      <c r="A43" s="309">
        <v>36</v>
      </c>
      <c r="B43" s="309">
        <f t="shared" si="13"/>
        <v>42</v>
      </c>
      <c r="C43" s="1">
        <v>492.89</v>
      </c>
      <c r="D43" s="1">
        <v>1.47</v>
      </c>
      <c r="E43" s="326">
        <f t="shared" si="5"/>
        <v>13.054148608427759</v>
      </c>
      <c r="F43" s="327">
        <f t="shared" si="0"/>
        <v>2.6412210548636253E-2</v>
      </c>
      <c r="G43" s="309">
        <f t="shared" si="6"/>
        <v>1.5</v>
      </c>
      <c r="H43" s="1">
        <v>5400</v>
      </c>
      <c r="I43" s="324">
        <v>30</v>
      </c>
      <c r="J43" s="1">
        <v>3.3899999999999998E-3</v>
      </c>
      <c r="K43" s="1">
        <v>4.0000000000000003E-5</v>
      </c>
      <c r="L43" s="328">
        <f t="shared" si="1"/>
        <v>1.1799410029498527</v>
      </c>
      <c r="M43" s="329">
        <f t="shared" si="2"/>
        <v>1.2761584243396159E-3</v>
      </c>
      <c r="N43" s="342">
        <f>(1/$J$48)*SQRT(((1-J44/$J$48)*K43)^2+(J44/$J$48)^2*(SUMSQ(K$8:K42)+SUMSQ(K44:K$47)))</f>
        <v>1.5121290293354658E-5</v>
      </c>
      <c r="O43" s="340">
        <f t="shared" si="14"/>
        <v>1.1849069837218367</v>
      </c>
      <c r="P43" s="332">
        <f t="shared" si="7"/>
        <v>0.9610790502972052</v>
      </c>
      <c r="Q43" s="342">
        <f>SQRT(((1-P43)/$J$48)^2*SUMSQ(K$8:K43)+(P43/$J$48)^2*SUMSQ(K44:K$47))</f>
        <v>2.1709734376259382E-3</v>
      </c>
      <c r="R43" s="340">
        <f t="shared" si="15"/>
        <v>0.22588916457544089</v>
      </c>
      <c r="S43" s="343">
        <f t="shared" si="16"/>
        <v>6.0534524058300954E-7</v>
      </c>
      <c r="T43" s="344">
        <f t="shared" si="17"/>
        <v>3.3630291143500532E-9</v>
      </c>
      <c r="U43" s="344">
        <f>IF(P43&lt;=0.85, (1/(3*H43*$J$48))*SQRT( ((1-P43)*(1/SQRT(1-PI()*P43/3)-1) + (1-P42)*(1-1/SQRT(1-PI()*P42/3)))^2*SUMSQ(K$8:K42) + ( (1-P43)*(1/SQRT(1-PI()*P43/3)-1) -P42*(1-1/SQRT(1-PI()*P42/3)) )^2*K43^2 + ( P43*(1-1/SQRT(1-PI()*P43/3)) - P42*(1-1/SQRT(1-PI()*P42/3)) )^2*SUMSQ(K44:K$47) ), (1/(PI()^2*H43*$J$48))*SQRT((1+P42/(1-P42))^2*K43^2+(P42/(1-P42)-P43/(1-P43))^2*SUMSQ(K44:K$47)) )</f>
        <v>3.5277054066863897E-8</v>
      </c>
      <c r="V43" s="345">
        <f t="shared" si="18"/>
        <v>3.5436993501994562E-8</v>
      </c>
      <c r="W43" s="340">
        <f t="shared" si="19"/>
        <v>5.8540137307208537</v>
      </c>
      <c r="X43" s="345">
        <f t="shared" si="20"/>
        <v>7.0873987003989124E-8</v>
      </c>
      <c r="Y43" s="338">
        <f t="shared" si="8"/>
        <v>-14.3174668960801</v>
      </c>
      <c r="Z43" s="346">
        <f t="shared" si="21"/>
        <v>5.8540137307208535E-2</v>
      </c>
      <c r="AA43" s="346">
        <f t="shared" si="22"/>
        <v>0.40887216804556337</v>
      </c>
      <c r="AB43" s="346">
        <f t="shared" si="9"/>
        <v>0.11708027461441707</v>
      </c>
      <c r="AC43" s="336">
        <f t="shared" si="3"/>
        <v>7.8119561159141145E-11</v>
      </c>
      <c r="AD43" s="337">
        <f t="shared" si="4"/>
        <v>5.3366473773128709E-12</v>
      </c>
      <c r="AE43" s="308">
        <f t="shared" si="10"/>
        <v>6.8313842245495051</v>
      </c>
      <c r="AF43" s="337">
        <f t="shared" si="11"/>
        <v>1.0673294754625742E-11</v>
      </c>
      <c r="AG43" s="338">
        <f t="shared" si="23"/>
        <v>-23.272780627458364</v>
      </c>
      <c r="AH43" s="339">
        <f t="shared" si="24"/>
        <v>6.8313842245495054E-2</v>
      </c>
      <c r="AI43" s="340">
        <f t="shared" si="25"/>
        <v>0.29353536794350671</v>
      </c>
      <c r="AJ43" s="341">
        <f t="shared" si="12"/>
        <v>0.13662768449099011</v>
      </c>
    </row>
    <row r="44" spans="1:36" x14ac:dyDescent="0.2">
      <c r="A44" s="309">
        <v>37</v>
      </c>
      <c r="B44" s="309">
        <f t="shared" si="13"/>
        <v>43.5</v>
      </c>
      <c r="C44" s="1">
        <v>472.88</v>
      </c>
      <c r="D44" s="1">
        <v>1.54</v>
      </c>
      <c r="E44" s="326">
        <f t="shared" si="5"/>
        <v>13.404286690883746</v>
      </c>
      <c r="F44" s="327">
        <f t="shared" si="0"/>
        <v>2.9207336948511423E-2</v>
      </c>
      <c r="G44" s="309">
        <f t="shared" si="6"/>
        <v>1.5</v>
      </c>
      <c r="H44" s="1">
        <v>5400</v>
      </c>
      <c r="I44" s="324">
        <v>30</v>
      </c>
      <c r="J44" s="1">
        <v>1.67E-3</v>
      </c>
      <c r="K44" s="1">
        <v>2.0000000000000002E-5</v>
      </c>
      <c r="L44" s="328">
        <f t="shared" si="1"/>
        <v>1.1976047904191618</v>
      </c>
      <c r="M44" s="329">
        <f t="shared" si="2"/>
        <v>6.286680143501943E-4</v>
      </c>
      <c r="N44" s="342">
        <f>(1/$J$48)*SQRT(((1-J45/$J$48)*K44)^2+(J45/$J$48)^2*(SUMSQ(K$8:K43)+SUMSQ(K45:K$47)))</f>
        <v>7.5753050210701111E-6</v>
      </c>
      <c r="O44" s="340">
        <f t="shared" si="14"/>
        <v>1.2049770066479555</v>
      </c>
      <c r="P44" s="332">
        <f t="shared" si="7"/>
        <v>0.96170771831155544</v>
      </c>
      <c r="Q44" s="342">
        <f>SQRT(((1-P44)/$J$48)^2*SUMSQ(K$8:K44)+(P44/$J$48)^2*SUMSQ(K45:K$47))</f>
        <v>2.1723761487602066E-3</v>
      </c>
      <c r="R44" s="340">
        <f t="shared" si="15"/>
        <v>0.22588735718729486</v>
      </c>
      <c r="S44" s="343">
        <f t="shared" si="16"/>
        <v>3.0554538183708746E-7</v>
      </c>
      <c r="T44" s="344">
        <f t="shared" si="17"/>
        <v>1.6974743435393746E-9</v>
      </c>
      <c r="U44" s="344">
        <f>IF(P44&lt;=0.85, (1/(3*H44*$J$48))*SQRT( ((1-P44)*(1/SQRT(1-PI()*P44/3)-1) + (1-P43)*(1-1/SQRT(1-PI()*P43/3)))^2*SUMSQ(K$8:K43) + ( (1-P44)*(1/SQRT(1-PI()*P44/3)-1) -P43*(1-1/SQRT(1-PI()*P43/3)) )^2*K44^2 + ( P44*(1-1/SQRT(1-PI()*P44/3)) - P43*(1-1/SQRT(1-PI()*P43/3)) )^2*SUMSQ(K45:K$47) ), (1/(PI()^2*H44*$J$48))*SQRT((1+P43/(1-P43))^2*K44^2+(P43/(1-P43)-P44/(1-P44))^2*SUMSQ(K45:K$47)) )</f>
        <v>1.8241720363935431E-8</v>
      </c>
      <c r="V44" s="345">
        <f t="shared" si="18"/>
        <v>1.8320528949323241E-8</v>
      </c>
      <c r="W44" s="340">
        <f t="shared" si="19"/>
        <v>5.9960091162796534</v>
      </c>
      <c r="X44" s="345">
        <f t="shared" si="20"/>
        <v>3.6641057898646482E-8</v>
      </c>
      <c r="Y44" s="338">
        <f t="shared" si="8"/>
        <v>-15.001167519982227</v>
      </c>
      <c r="Z44" s="346">
        <f t="shared" si="21"/>
        <v>5.9960091162796533E-2</v>
      </c>
      <c r="AA44" s="346">
        <f t="shared" si="22"/>
        <v>0.39970283034921789</v>
      </c>
      <c r="AB44" s="346">
        <f t="shared" si="9"/>
        <v>0.11992018232559307</v>
      </c>
      <c r="AC44" s="336">
        <f t="shared" si="3"/>
        <v>3.9430509307923401E-11</v>
      </c>
      <c r="AD44" s="337">
        <f t="shared" si="4"/>
        <v>2.7417805250268603E-12</v>
      </c>
      <c r="AE44" s="308">
        <f t="shared" si="10"/>
        <v>6.9534494307835653</v>
      </c>
      <c r="AF44" s="337">
        <f t="shared" si="11"/>
        <v>5.4835610500537206E-12</v>
      </c>
      <c r="AG44" s="338">
        <f t="shared" si="23"/>
        <v>-23.95648125136049</v>
      </c>
      <c r="AH44" s="339">
        <f t="shared" si="24"/>
        <v>6.9534494307835648E-2</v>
      </c>
      <c r="AI44" s="340">
        <f t="shared" si="25"/>
        <v>0.29025337059417594</v>
      </c>
      <c r="AJ44" s="341">
        <f t="shared" si="12"/>
        <v>0.1390689886156713</v>
      </c>
    </row>
    <row r="45" spans="1:36" x14ac:dyDescent="0.2">
      <c r="A45" s="309">
        <v>38</v>
      </c>
      <c r="B45" s="309">
        <f t="shared" si="13"/>
        <v>45</v>
      </c>
      <c r="C45" s="1">
        <v>452.98</v>
      </c>
      <c r="D45" s="1">
        <v>0.53</v>
      </c>
      <c r="E45" s="326">
        <f t="shared" si="5"/>
        <v>13.7716386872874</v>
      </c>
      <c r="F45" s="327">
        <f t="shared" si="0"/>
        <v>9.7803643940707116E-3</v>
      </c>
      <c r="G45" s="309">
        <f t="shared" si="6"/>
        <v>1.5</v>
      </c>
      <c r="H45" s="1">
        <v>5400</v>
      </c>
      <c r="I45" s="324">
        <v>30</v>
      </c>
      <c r="J45" s="1">
        <v>9.7000000000000005E-4</v>
      </c>
      <c r="K45" s="1">
        <v>2.0000000000000002E-5</v>
      </c>
      <c r="L45" s="328">
        <f t="shared" si="1"/>
        <v>2.0618556701030926</v>
      </c>
      <c r="M45" s="329">
        <f t="shared" si="2"/>
        <v>3.6515447540101106E-4</v>
      </c>
      <c r="N45" s="342">
        <f>(1/$J$48)*SQRT(((1-J46/$J$48)*K45)^2+(J46/$J$48)^2*(SUMSQ(K$8:K44)+SUMSQ(K46:K$47)))</f>
        <v>7.5562196384679773E-6</v>
      </c>
      <c r="O45" s="340">
        <f t="shared" si="14"/>
        <v>2.0693213824559509</v>
      </c>
      <c r="P45" s="332">
        <f t="shared" si="7"/>
        <v>0.96207287278695641</v>
      </c>
      <c r="Q45" s="342">
        <f>SQRT(((1-P45)/$J$48)^2*SUMSQ(K$8:K45)+(P45/$J$48)^2*SUMSQ(K46:K$47))</f>
        <v>2.1731858786763797E-3</v>
      </c>
      <c r="R45" s="340">
        <f t="shared" si="15"/>
        <v>0.22588578684076618</v>
      </c>
      <c r="S45" s="343">
        <f t="shared" si="16"/>
        <v>1.7978392787132746E-7</v>
      </c>
      <c r="T45" s="344">
        <f t="shared" si="17"/>
        <v>9.9879959928515236E-10</v>
      </c>
      <c r="U45" s="344">
        <f>IF(P45&lt;=0.85, (1/(3*H45*$J$48))*SQRT( ((1-P45)*(1/SQRT(1-PI()*P45/3)-1) + (1-P44)*(1-1/SQRT(1-PI()*P44/3)))^2*SUMSQ(K$8:K44) + ( (1-P45)*(1/SQRT(1-PI()*P45/3)-1) -P44*(1-1/SQRT(1-PI()*P44/3)) )^2*K45^2 + ( P45*(1-1/SQRT(1-PI()*P45/3)) - P44*(1-1/SQRT(1-PI()*P44/3)) )^2*SUMSQ(K46:K$47) ), (1/(PI()^2*H45*$J$48))*SQRT((1+P44/(1-P44))^2*K45^2+(P44/(1-P44)-P45/(1-P45))^2*SUMSQ(K46:K$47)) )</f>
        <v>1.1276223930148677E-8</v>
      </c>
      <c r="V45" s="345">
        <f t="shared" si="18"/>
        <v>1.1320372200700375E-8</v>
      </c>
      <c r="W45" s="340">
        <f t="shared" si="19"/>
        <v>6.2966541752288556</v>
      </c>
      <c r="X45" s="345">
        <f t="shared" si="20"/>
        <v>2.264074440140075E-8</v>
      </c>
      <c r="Y45" s="338">
        <f t="shared" si="8"/>
        <v>-15.531510107829083</v>
      </c>
      <c r="Z45" s="346">
        <f t="shared" si="21"/>
        <v>6.2966541752288552E-2</v>
      </c>
      <c r="AA45" s="346">
        <f t="shared" si="22"/>
        <v>0.40541158789542647</v>
      </c>
      <c r="AB45" s="346">
        <f t="shared" si="9"/>
        <v>0.1259330835045771</v>
      </c>
      <c r="AC45" s="336">
        <f t="shared" si="3"/>
        <v>2.3201043978223656E-11</v>
      </c>
      <c r="AD45" s="337">
        <f t="shared" si="4"/>
        <v>1.6737939283745931E-12</v>
      </c>
      <c r="AE45" s="308">
        <f t="shared" si="10"/>
        <v>7.2143043646898173</v>
      </c>
      <c r="AF45" s="337">
        <f t="shared" si="11"/>
        <v>3.3475878567491862E-12</v>
      </c>
      <c r="AG45" s="338">
        <f t="shared" si="23"/>
        <v>-24.486823839207347</v>
      </c>
      <c r="AH45" s="339">
        <f t="shared" si="24"/>
        <v>7.2143043646898164E-2</v>
      </c>
      <c r="AI45" s="340">
        <f t="shared" si="25"/>
        <v>0.29461984992674117</v>
      </c>
      <c r="AJ45" s="341">
        <f t="shared" si="12"/>
        <v>0.14428608729379633</v>
      </c>
    </row>
    <row r="46" spans="1:36" x14ac:dyDescent="0.2">
      <c r="A46" s="309">
        <v>39</v>
      </c>
      <c r="B46" s="309">
        <f t="shared" si="13"/>
        <v>46.5</v>
      </c>
      <c r="C46" s="1">
        <v>462.99</v>
      </c>
      <c r="D46" s="1">
        <v>0.51</v>
      </c>
      <c r="E46" s="326">
        <f t="shared" si="5"/>
        <v>13.584372537832477</v>
      </c>
      <c r="F46" s="327" t="e">
        <f>SQRT((((-1)*10^4/(#REF!+273.15)^2)*D46)^2)</f>
        <v>#REF!</v>
      </c>
      <c r="G46" s="309">
        <f t="shared" si="6"/>
        <v>1.5</v>
      </c>
      <c r="H46" s="1">
        <v>5400</v>
      </c>
      <c r="I46" s="324">
        <v>30</v>
      </c>
      <c r="J46" s="1">
        <v>7.5000000000000002E-4</v>
      </c>
      <c r="K46" s="1">
        <v>2.0000000000000002E-5</v>
      </c>
      <c r="L46" s="328">
        <f t="shared" si="1"/>
        <v>2.666666666666667</v>
      </c>
      <c r="M46" s="329">
        <f t="shared" si="2"/>
        <v>2.8233593458841061E-4</v>
      </c>
      <c r="N46" s="342" t="e">
        <f>(1/$J$48)*SQRT(((1-#REF!/$J$48)*K46)^2+(#REF!/$J$48)^2*(SUMSQ(K$8:K45)+SUMSQ(K47:K$47)))</f>
        <v>#REF!</v>
      </c>
      <c r="O46" s="340" t="e">
        <f t="shared" si="14"/>
        <v>#REF!</v>
      </c>
      <c r="P46" s="332">
        <f t="shared" si="7"/>
        <v>0.96235520872154479</v>
      </c>
      <c r="Q46" s="342">
        <f>SQRT(((1-P46)/$J$48)^2*SUMSQ(K$8:K46)+(P46/$J$48)^2*SUMSQ(K47:K$47))</f>
        <v>2.1738092380208214E-3</v>
      </c>
      <c r="R46" s="340">
        <f t="shared" si="15"/>
        <v>0.2258842907816388</v>
      </c>
      <c r="S46" s="343">
        <f t="shared" si="16"/>
        <v>1.4019877549077597E-7</v>
      </c>
      <c r="T46" s="344">
        <f t="shared" si="17"/>
        <v>7.7888208605986661E-10</v>
      </c>
      <c r="U46" s="344">
        <f>IF(P46&lt;=0.85, (1/(3*H46*$J$48))*SQRT( ((1-P46)*(1/SQRT(1-PI()*P46/3)-1) + (1-P45)*(1-1/SQRT(1-PI()*P45/3)))^2*SUMSQ(K$8:K45) + ( (1-P46)*(1/SQRT(1-PI()*P46/3)-1) -P45*(1-1/SQRT(1-PI()*P45/3)) )^2*K46^2 + ( P46*(1-1/SQRT(1-PI()*P46/3)) - P45*(1-1/SQRT(1-PI()*P45/3)) )^2*SUMSQ(K47:K$47) ), (1/(PI()^2*H46*$J$48))*SQRT((1+P45/(1-P45))^2*K46^2+(P45/(1-P45)-P46/(1-P46))^2*SUMSQ(K47:K$47)) )</f>
        <v>9.171013050297904E-9</v>
      </c>
      <c r="V46" s="345">
        <f t="shared" si="18"/>
        <v>9.2040283394130981E-9</v>
      </c>
      <c r="W46" s="340">
        <f t="shared" si="19"/>
        <v>6.5649848275733724</v>
      </c>
      <c r="X46" s="345">
        <f t="shared" si="20"/>
        <v>1.8408056678826196E-8</v>
      </c>
      <c r="Y46" s="338">
        <f t="shared" si="8"/>
        <v>-15.780204596401353</v>
      </c>
      <c r="Z46" s="346">
        <f t="shared" si="21"/>
        <v>6.5649848275733724E-2</v>
      </c>
      <c r="AA46" s="346">
        <f t="shared" si="22"/>
        <v>0.41602659759370331</v>
      </c>
      <c r="AB46" s="346">
        <f t="shared" si="9"/>
        <v>0.13129969655146745</v>
      </c>
      <c r="AC46" s="336">
        <f t="shared" si="3"/>
        <v>1.8092595897574443E-11</v>
      </c>
      <c r="AD46" s="337">
        <f t="shared" si="4"/>
        <v>1.3478359728636594E-12</v>
      </c>
      <c r="AE46" s="308">
        <f t="shared" si="10"/>
        <v>7.4496549886705594</v>
      </c>
      <c r="AF46" s="337">
        <f t="shared" si="11"/>
        <v>2.6956719457273188E-12</v>
      </c>
      <c r="AG46" s="338">
        <f t="shared" si="23"/>
        <v>-24.735518327779616</v>
      </c>
      <c r="AH46" s="339">
        <f t="shared" si="24"/>
        <v>7.4496549886705593E-2</v>
      </c>
      <c r="AI46" s="340">
        <f t="shared" si="25"/>
        <v>0.30117238256148071</v>
      </c>
      <c r="AJ46" s="341">
        <f t="shared" si="12"/>
        <v>0.14899309977341119</v>
      </c>
    </row>
    <row r="47" spans="1:36" x14ac:dyDescent="0.2">
      <c r="J47" s="338">
        <v>0.1</v>
      </c>
      <c r="K47" s="346">
        <f>IF(J47&lt;0.06,J47*0.1,IF(J47&lt;0.2,J47*0.06,J47*0.03))</f>
        <v>6.0000000000000001E-3</v>
      </c>
      <c r="L47" s="328">
        <f t="shared" si="1"/>
        <v>6</v>
      </c>
      <c r="M47" s="329">
        <f t="shared" si="2"/>
        <v>3.7644791278454749E-2</v>
      </c>
      <c r="N47" s="342">
        <f>(1/$J$48)*SQRT(((1-J48/$J$48)*K47)^2+(J48/$J$48)^2*(SUMSQ(K$8:K46)+SUMSQ(K$47:K48)))</f>
        <v>3.3348313550296471E-3</v>
      </c>
      <c r="O47" s="340">
        <f t="shared" si="14"/>
        <v>8.8586793598143068</v>
      </c>
      <c r="P47" s="332" t="e">
        <f>M47+#REF!</f>
        <v>#REF!</v>
      </c>
      <c r="Q47" s="342"/>
      <c r="R47" s="340"/>
      <c r="S47" s="343"/>
      <c r="T47" s="344"/>
      <c r="U47" s="344"/>
      <c r="V47" s="345"/>
      <c r="W47" s="340"/>
      <c r="X47" s="345"/>
      <c r="Y47" s="338"/>
      <c r="Z47" s="346"/>
      <c r="AA47" s="346"/>
      <c r="AB47" s="346"/>
      <c r="AC47" s="336"/>
      <c r="AD47" s="337"/>
      <c r="AE47" s="308"/>
      <c r="AF47" s="337"/>
      <c r="AG47" s="338"/>
      <c r="AH47" s="339"/>
      <c r="AI47" s="340"/>
      <c r="AJ47" s="341"/>
    </row>
    <row r="48" spans="1:36" x14ac:dyDescent="0.2">
      <c r="J48" s="120">
        <f>SUM(J8:J47)</f>
        <v>2.6564100000000006</v>
      </c>
      <c r="K48" s="346">
        <f>SQRT(SUMSQ(K8:K47))</f>
        <v>6.2640322476819991E-3</v>
      </c>
      <c r="L48" s="328">
        <f t="shared" si="1"/>
        <v>0.23580818652549862</v>
      </c>
      <c r="M48" s="329"/>
      <c r="N48" s="342"/>
      <c r="O48" s="340"/>
      <c r="P48" s="332"/>
      <c r="Q48" s="342"/>
      <c r="R48" s="340"/>
      <c r="S48" s="343"/>
      <c r="T48" s="344"/>
      <c r="U48" s="344"/>
      <c r="V48" s="345"/>
      <c r="W48" s="340"/>
      <c r="X48" s="345"/>
      <c r="Y48" s="338"/>
      <c r="Z48" s="346"/>
      <c r="AA48" s="346"/>
      <c r="AB48" s="346"/>
      <c r="AC48" s="336"/>
      <c r="AD48" s="337"/>
      <c r="AE48" s="308"/>
      <c r="AF48" s="337"/>
      <c r="AG48" s="338"/>
      <c r="AH48" s="339"/>
      <c r="AI48" s="340"/>
      <c r="AJ48" s="341"/>
    </row>
    <row r="49" spans="11:36" x14ac:dyDescent="0.2">
      <c r="L49" s="328"/>
      <c r="M49" s="329"/>
      <c r="N49" s="342"/>
      <c r="O49" s="340"/>
      <c r="P49" s="332"/>
      <c r="Q49" s="342"/>
      <c r="R49" s="340"/>
      <c r="S49" s="343"/>
      <c r="T49" s="344"/>
      <c r="U49" s="344"/>
      <c r="V49" s="345"/>
      <c r="W49" s="340"/>
      <c r="X49" s="345"/>
      <c r="Y49" s="338"/>
      <c r="Z49" s="346"/>
      <c r="AA49" s="346"/>
      <c r="AB49" s="346"/>
      <c r="AC49" s="336"/>
      <c r="AD49" s="337"/>
      <c r="AE49" s="308"/>
      <c r="AF49" s="337"/>
      <c r="AG49" s="338"/>
      <c r="AH49" s="339"/>
      <c r="AI49" s="340"/>
      <c r="AJ49" s="341"/>
    </row>
    <row r="50" spans="11:36" x14ac:dyDescent="0.2">
      <c r="L50" s="328"/>
      <c r="M50" s="329"/>
      <c r="N50" s="342"/>
      <c r="O50" s="340"/>
      <c r="P50" s="332"/>
      <c r="Q50" s="342"/>
      <c r="R50" s="340"/>
      <c r="S50" s="343"/>
      <c r="T50" s="344"/>
      <c r="U50" s="344"/>
      <c r="V50" s="345"/>
      <c r="W50" s="340"/>
      <c r="X50" s="345"/>
      <c r="Y50" s="338"/>
      <c r="Z50" s="346"/>
      <c r="AA50" s="346"/>
      <c r="AB50" s="346"/>
      <c r="AC50" s="336"/>
      <c r="AD50" s="337"/>
      <c r="AE50" s="308"/>
      <c r="AF50" s="337"/>
      <c r="AG50" s="338"/>
      <c r="AH50" s="339"/>
      <c r="AI50" s="340"/>
      <c r="AJ50" s="341"/>
    </row>
    <row r="51" spans="11:36" x14ac:dyDescent="0.2">
      <c r="K51" s="120"/>
      <c r="L51" s="328"/>
      <c r="M51" s="329"/>
      <c r="N51" s="342"/>
      <c r="O51" s="340"/>
      <c r="P51" s="332"/>
      <c r="Q51" s="342"/>
      <c r="R51" s="340"/>
      <c r="S51" s="343"/>
      <c r="T51" s="344"/>
      <c r="U51" s="344"/>
      <c r="V51" s="345"/>
      <c r="W51" s="340"/>
      <c r="X51" s="345"/>
      <c r="Y51" s="338"/>
      <c r="Z51" s="346"/>
      <c r="AA51" s="346"/>
      <c r="AB51" s="346"/>
      <c r="AC51" s="336"/>
      <c r="AD51" s="337"/>
      <c r="AE51" s="308"/>
      <c r="AF51" s="337"/>
      <c r="AG51" s="338"/>
      <c r="AH51" s="339"/>
      <c r="AI51" s="340"/>
      <c r="AJ51" s="341"/>
    </row>
    <row r="52" spans="11:36" x14ac:dyDescent="0.2">
      <c r="L52" s="328"/>
      <c r="M52" s="329"/>
      <c r="N52" s="342"/>
      <c r="O52" s="340"/>
      <c r="P52" s="332"/>
      <c r="Q52" s="342"/>
      <c r="R52" s="340"/>
      <c r="S52" s="343"/>
      <c r="T52" s="344"/>
      <c r="U52" s="344"/>
      <c r="V52" s="345"/>
      <c r="W52" s="340"/>
      <c r="X52" s="345"/>
      <c r="Y52" s="338"/>
      <c r="Z52" s="346"/>
      <c r="AA52" s="346"/>
      <c r="AB52" s="346"/>
      <c r="AC52" s="336"/>
      <c r="AD52" s="337"/>
      <c r="AE52" s="308"/>
      <c r="AF52" s="337"/>
      <c r="AG52" s="338"/>
      <c r="AH52" s="339"/>
      <c r="AI52" s="340"/>
      <c r="AJ52" s="341"/>
    </row>
    <row r="53" spans="11:36" x14ac:dyDescent="0.2">
      <c r="L53" s="328"/>
      <c r="M53" s="329"/>
      <c r="N53" s="342"/>
      <c r="O53" s="340"/>
      <c r="P53" s="332"/>
      <c r="Q53" s="342"/>
      <c r="R53" s="340"/>
      <c r="S53" s="343"/>
      <c r="T53" s="344"/>
      <c r="U53" s="344"/>
      <c r="V53" s="345"/>
      <c r="W53" s="340"/>
      <c r="X53" s="345"/>
      <c r="Y53" s="338"/>
      <c r="Z53" s="346"/>
      <c r="AA53" s="346"/>
      <c r="AB53" s="346"/>
      <c r="AC53" s="336"/>
      <c r="AD53" s="337"/>
      <c r="AE53" s="308"/>
      <c r="AF53" s="337"/>
      <c r="AG53" s="338"/>
      <c r="AH53" s="339"/>
      <c r="AI53" s="340"/>
      <c r="AJ53" s="341"/>
    </row>
    <row r="54" spans="11:36" x14ac:dyDescent="0.2">
      <c r="L54" s="328"/>
      <c r="M54" s="329"/>
      <c r="N54" s="342"/>
      <c r="O54" s="340"/>
      <c r="P54" s="332"/>
      <c r="Q54" s="342"/>
      <c r="R54" s="340"/>
      <c r="S54" s="343"/>
      <c r="T54" s="344"/>
      <c r="U54" s="344"/>
      <c r="V54" s="345"/>
      <c r="W54" s="340"/>
      <c r="X54" s="345"/>
      <c r="Y54" s="338"/>
      <c r="Z54" s="346"/>
      <c r="AA54" s="346"/>
      <c r="AB54" s="346"/>
      <c r="AC54" s="336"/>
      <c r="AD54" s="337"/>
      <c r="AE54" s="308"/>
      <c r="AF54" s="337"/>
      <c r="AG54" s="338"/>
      <c r="AH54" s="339"/>
      <c r="AI54" s="340"/>
      <c r="AJ54" s="341"/>
    </row>
    <row r="55" spans="11:36" x14ac:dyDescent="0.2">
      <c r="L55" s="328"/>
      <c r="M55" s="329"/>
      <c r="O55" s="340"/>
      <c r="P55" s="332"/>
      <c r="Q55" s="342"/>
      <c r="R55" s="340"/>
      <c r="S55" s="343"/>
      <c r="T55" s="344"/>
      <c r="U55" s="344"/>
      <c r="V55" s="345"/>
      <c r="W55" s="340"/>
      <c r="X55" s="345"/>
      <c r="Y55" s="338"/>
      <c r="Z55" s="346"/>
      <c r="AA55" s="346"/>
      <c r="AB55" s="346"/>
      <c r="AC55" s="336"/>
      <c r="AD55" s="337"/>
      <c r="AE55" s="308"/>
      <c r="AF55" s="337"/>
      <c r="AG55" s="338"/>
      <c r="AH55" s="339"/>
      <c r="AI55" s="340"/>
      <c r="AJ55" s="341"/>
    </row>
    <row r="56" spans="11:36" x14ac:dyDescent="0.2">
      <c r="L56" s="328"/>
      <c r="M56" s="329"/>
      <c r="O56" s="340"/>
      <c r="P56" s="332"/>
      <c r="Q56" s="342"/>
      <c r="R56" s="340"/>
      <c r="S56" s="343"/>
      <c r="T56" s="344"/>
      <c r="U56" s="344"/>
      <c r="V56" s="345"/>
      <c r="W56" s="340"/>
      <c r="X56" s="345"/>
      <c r="Y56" s="338"/>
      <c r="Z56" s="346"/>
      <c r="AA56" s="346"/>
      <c r="AB56" s="346"/>
      <c r="AC56" s="336"/>
      <c r="AD56" s="337"/>
      <c r="AE56" s="308"/>
      <c r="AF56" s="337"/>
      <c r="AG56" s="338"/>
      <c r="AH56" s="339"/>
      <c r="AI56" s="340"/>
      <c r="AJ56" s="341"/>
    </row>
    <row r="57" spans="11:36" x14ac:dyDescent="0.2">
      <c r="L57" s="328"/>
      <c r="M57" s="329"/>
      <c r="O57" s="340"/>
      <c r="P57" s="332"/>
      <c r="Q57" s="342"/>
      <c r="R57" s="340"/>
      <c r="S57" s="343"/>
      <c r="T57" s="344"/>
      <c r="U57" s="344"/>
      <c r="V57" s="345"/>
      <c r="W57" s="340"/>
      <c r="X57" s="345"/>
      <c r="Y57" s="338"/>
      <c r="Z57" s="346"/>
      <c r="AA57" s="346"/>
      <c r="AB57" s="346"/>
      <c r="AC57" s="336"/>
      <c r="AD57" s="337"/>
      <c r="AE57" s="308"/>
      <c r="AF57" s="337"/>
      <c r="AG57" s="338"/>
      <c r="AH57" s="339"/>
      <c r="AI57" s="340"/>
      <c r="AJ57" s="341"/>
    </row>
    <row r="58" spans="11:36" x14ac:dyDescent="0.2">
      <c r="L58" s="328"/>
      <c r="M58" s="329"/>
      <c r="O58" s="340"/>
      <c r="P58" s="332"/>
      <c r="Q58" s="342"/>
      <c r="R58" s="340"/>
      <c r="S58" s="343"/>
      <c r="T58" s="344"/>
      <c r="U58" s="344"/>
      <c r="V58" s="345"/>
      <c r="W58" s="340"/>
      <c r="X58" s="345"/>
      <c r="Y58" s="338"/>
      <c r="Z58" s="346"/>
      <c r="AA58" s="346"/>
      <c r="AB58" s="346"/>
      <c r="AC58" s="336"/>
      <c r="AD58" s="337"/>
      <c r="AE58" s="308"/>
      <c r="AF58" s="337"/>
      <c r="AG58" s="338"/>
      <c r="AH58" s="339"/>
      <c r="AI58" s="340"/>
      <c r="AJ58" s="341"/>
    </row>
    <row r="59" spans="11:36" x14ac:dyDescent="0.2">
      <c r="L59" s="328"/>
      <c r="M59" s="329"/>
      <c r="O59" s="340"/>
      <c r="P59" s="332"/>
      <c r="Q59" s="342"/>
      <c r="R59" s="340"/>
      <c r="S59" s="343"/>
      <c r="T59" s="344"/>
      <c r="U59" s="344"/>
      <c r="V59" s="345"/>
      <c r="W59" s="340"/>
      <c r="X59" s="345"/>
      <c r="Y59" s="338"/>
      <c r="Z59" s="346"/>
      <c r="AA59" s="346"/>
      <c r="AB59" s="346"/>
      <c r="AC59" s="336"/>
      <c r="AD59" s="337"/>
      <c r="AE59" s="308"/>
      <c r="AF59" s="337"/>
      <c r="AG59" s="338"/>
      <c r="AH59" s="339"/>
      <c r="AI59" s="340"/>
      <c r="AJ59" s="341"/>
    </row>
    <row r="60" spans="11:36" x14ac:dyDescent="0.2">
      <c r="L60" s="328"/>
      <c r="M60" s="329"/>
      <c r="O60" s="340"/>
      <c r="P60" s="332"/>
      <c r="Q60" s="342"/>
      <c r="R60" s="340"/>
      <c r="S60" s="343"/>
      <c r="T60" s="344"/>
      <c r="U60" s="344"/>
      <c r="V60" s="345"/>
      <c r="W60" s="340"/>
      <c r="X60" s="345"/>
      <c r="Y60" s="338"/>
      <c r="Z60" s="346"/>
      <c r="AA60" s="346"/>
      <c r="AB60" s="346"/>
      <c r="AC60" s="336"/>
      <c r="AD60" s="337"/>
      <c r="AE60" s="308"/>
      <c r="AF60" s="337"/>
      <c r="AG60" s="338"/>
      <c r="AH60" s="339"/>
      <c r="AI60" s="340"/>
      <c r="AJ60" s="341"/>
    </row>
    <row r="61" spans="11:36" x14ac:dyDescent="0.2">
      <c r="L61" s="328"/>
      <c r="M61" s="329"/>
      <c r="O61" s="340"/>
      <c r="P61" s="332"/>
      <c r="Q61" s="342"/>
      <c r="R61" s="340"/>
      <c r="S61" s="343"/>
      <c r="T61" s="344"/>
      <c r="U61" s="344"/>
      <c r="V61" s="345"/>
      <c r="W61" s="340"/>
      <c r="X61" s="345"/>
      <c r="Y61" s="338"/>
      <c r="Z61" s="346"/>
      <c r="AA61" s="346"/>
      <c r="AB61" s="346"/>
      <c r="AC61" s="336"/>
      <c r="AD61" s="337"/>
      <c r="AE61" s="308"/>
      <c r="AF61" s="337"/>
      <c r="AG61" s="338"/>
      <c r="AH61" s="339"/>
      <c r="AI61" s="340"/>
      <c r="AJ61" s="341"/>
    </row>
    <row r="62" spans="11:36" x14ac:dyDescent="0.2">
      <c r="L62" s="328"/>
      <c r="M62" s="329"/>
      <c r="O62" s="340"/>
      <c r="P62" s="332"/>
      <c r="Q62" s="342"/>
      <c r="R62" s="340"/>
      <c r="S62" s="343"/>
      <c r="T62" s="344"/>
      <c r="U62" s="344"/>
      <c r="V62" s="345"/>
      <c r="W62" s="340"/>
      <c r="X62" s="345"/>
      <c r="Y62" s="338"/>
      <c r="Z62" s="346"/>
      <c r="AA62" s="346"/>
      <c r="AB62" s="346"/>
      <c r="AC62" s="336"/>
      <c r="AD62" s="337"/>
      <c r="AE62" s="308"/>
      <c r="AF62" s="337"/>
      <c r="AG62" s="338"/>
      <c r="AH62" s="339"/>
      <c r="AI62" s="340"/>
      <c r="AJ62" s="341"/>
    </row>
    <row r="63" spans="11:36" x14ac:dyDescent="0.2">
      <c r="L63" s="328"/>
      <c r="M63" s="329"/>
      <c r="O63" s="340"/>
      <c r="P63" s="332"/>
      <c r="Q63" s="342"/>
      <c r="R63" s="340"/>
      <c r="S63" s="343"/>
      <c r="T63" s="344"/>
      <c r="U63" s="344"/>
      <c r="V63" s="345"/>
      <c r="W63" s="340"/>
      <c r="X63" s="345"/>
      <c r="Y63" s="338"/>
      <c r="Z63" s="346"/>
      <c r="AA63" s="346"/>
      <c r="AB63" s="346"/>
      <c r="AC63" s="336"/>
      <c r="AD63" s="337"/>
      <c r="AE63" s="308"/>
      <c r="AF63" s="337"/>
      <c r="AG63" s="338"/>
      <c r="AH63" s="339"/>
      <c r="AI63" s="340"/>
      <c r="AJ63" s="341"/>
    </row>
    <row r="64" spans="11:36" x14ac:dyDescent="0.2">
      <c r="L64" s="328"/>
      <c r="M64" s="329"/>
      <c r="O64" s="340"/>
      <c r="P64" s="332"/>
      <c r="Q64" s="342"/>
      <c r="R64" s="340"/>
      <c r="S64" s="343"/>
      <c r="T64" s="344"/>
      <c r="U64" s="344"/>
      <c r="V64" s="345"/>
      <c r="W64" s="340"/>
      <c r="X64" s="345"/>
      <c r="Y64" s="338"/>
      <c r="Z64" s="346"/>
      <c r="AA64" s="346"/>
      <c r="AB64" s="346"/>
      <c r="AC64" s="336"/>
      <c r="AD64" s="337"/>
      <c r="AE64" s="308"/>
      <c r="AF64" s="337"/>
      <c r="AG64" s="338"/>
      <c r="AH64" s="339"/>
      <c r="AI64" s="340"/>
      <c r="AJ64" s="341"/>
    </row>
    <row r="65" spans="12:36" x14ac:dyDescent="0.2">
      <c r="L65" s="328"/>
      <c r="M65" s="329"/>
      <c r="O65" s="340"/>
      <c r="P65" s="332"/>
      <c r="Q65" s="342"/>
      <c r="R65" s="340"/>
      <c r="S65" s="343"/>
      <c r="T65" s="344"/>
      <c r="U65" s="344"/>
      <c r="V65" s="345"/>
      <c r="W65" s="340"/>
      <c r="X65" s="345"/>
      <c r="Y65" s="338"/>
      <c r="Z65" s="346"/>
      <c r="AA65" s="346"/>
      <c r="AB65" s="346"/>
      <c r="AC65" s="336"/>
      <c r="AD65" s="337"/>
      <c r="AE65" s="308"/>
      <c r="AF65" s="337"/>
      <c r="AG65" s="338"/>
      <c r="AH65" s="339"/>
      <c r="AI65" s="340"/>
      <c r="AJ65" s="341"/>
    </row>
    <row r="66" spans="12:36" x14ac:dyDescent="0.2">
      <c r="L66" s="328"/>
      <c r="M66" s="329"/>
      <c r="O66" s="340"/>
      <c r="P66" s="332"/>
      <c r="Q66" s="342"/>
      <c r="R66" s="340"/>
      <c r="S66" s="343"/>
      <c r="T66" s="344"/>
      <c r="U66" s="344"/>
      <c r="V66" s="345"/>
      <c r="W66" s="340"/>
      <c r="X66" s="345"/>
      <c r="Y66" s="338"/>
      <c r="Z66" s="346"/>
      <c r="AA66" s="346"/>
      <c r="AB66" s="346"/>
      <c r="AC66" s="336"/>
      <c r="AD66" s="337"/>
      <c r="AE66" s="308"/>
      <c r="AF66" s="337"/>
      <c r="AG66" s="338"/>
      <c r="AH66" s="339"/>
      <c r="AI66" s="340"/>
      <c r="AJ66" s="341"/>
    </row>
    <row r="67" spans="12:36" x14ac:dyDescent="0.2">
      <c r="L67" s="328"/>
      <c r="M67" s="329"/>
      <c r="O67" s="340"/>
      <c r="P67" s="332"/>
      <c r="Q67" s="342"/>
      <c r="R67" s="340"/>
      <c r="S67" s="343"/>
      <c r="T67" s="344"/>
      <c r="U67" s="344"/>
      <c r="V67" s="345"/>
      <c r="W67" s="340"/>
      <c r="X67" s="345"/>
      <c r="Y67" s="338"/>
      <c r="Z67" s="346"/>
      <c r="AA67" s="346"/>
      <c r="AB67" s="346"/>
      <c r="AC67" s="336"/>
      <c r="AD67" s="337"/>
      <c r="AE67" s="308"/>
      <c r="AF67" s="337"/>
      <c r="AG67" s="338"/>
      <c r="AH67" s="339"/>
      <c r="AI67" s="340"/>
      <c r="AJ67" s="341"/>
    </row>
    <row r="68" spans="12:36" x14ac:dyDescent="0.2">
      <c r="L68" s="328"/>
      <c r="M68" s="329"/>
      <c r="O68" s="340"/>
      <c r="P68" s="332"/>
      <c r="Q68" s="342"/>
      <c r="R68" s="340"/>
      <c r="S68" s="343"/>
      <c r="T68" s="344"/>
      <c r="U68" s="344"/>
      <c r="V68" s="345"/>
      <c r="W68" s="340"/>
      <c r="X68" s="345"/>
      <c r="Y68" s="338"/>
      <c r="Z68" s="346"/>
      <c r="AA68" s="346"/>
      <c r="AB68" s="346"/>
      <c r="AC68" s="336"/>
      <c r="AD68" s="337"/>
      <c r="AE68" s="308"/>
      <c r="AF68" s="337"/>
      <c r="AG68" s="338"/>
      <c r="AH68" s="339"/>
      <c r="AI68" s="340"/>
      <c r="AJ68" s="341"/>
    </row>
    <row r="69" spans="12:36" x14ac:dyDescent="0.2">
      <c r="L69" s="328"/>
      <c r="M69" s="329"/>
      <c r="O69" s="340"/>
      <c r="P69" s="332"/>
      <c r="Q69" s="342"/>
      <c r="R69" s="340"/>
      <c r="S69" s="343"/>
      <c r="T69" s="344"/>
      <c r="U69" s="344"/>
      <c r="V69" s="345"/>
      <c r="W69" s="340"/>
      <c r="X69" s="345"/>
      <c r="Y69" s="338"/>
      <c r="Z69" s="346"/>
      <c r="AA69" s="346"/>
      <c r="AB69" s="346"/>
      <c r="AC69" s="336"/>
      <c r="AD69" s="337"/>
      <c r="AE69" s="308"/>
      <c r="AF69" s="337"/>
      <c r="AG69" s="338"/>
      <c r="AH69" s="339"/>
      <c r="AI69" s="340"/>
      <c r="AJ69" s="3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686-2507-5D40-8635-796BF2D3585C}">
  <dimension ref="A1:AM67"/>
  <sheetViews>
    <sheetView topLeftCell="A4" zoomScale="89" zoomScaleNormal="100" workbookViewId="0">
      <selection activeCell="J4" sqref="J4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hidden="1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620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1</v>
      </c>
      <c r="C8" s="1">
        <v>279.99</v>
      </c>
      <c r="D8" s="1">
        <v>0.89</v>
      </c>
      <c r="E8" s="326">
        <f>10000/(C8+273.15)</f>
        <v>18.078605777922409</v>
      </c>
      <c r="F8" s="327">
        <f t="shared" ref="F8:F43" si="0">SQRT((((-1)*10^4/(C9+273.15)^2)*D8)^2)</f>
        <v>2.7093715612176678E-2</v>
      </c>
      <c r="G8" s="309">
        <f>H8/60/60</f>
        <v>1</v>
      </c>
      <c r="H8" s="1">
        <v>3600</v>
      </c>
      <c r="I8" s="324">
        <v>30</v>
      </c>
      <c r="J8" s="1">
        <v>1.6330000000000001E-2</v>
      </c>
      <c r="K8" s="1">
        <v>1.7000000000000001E-4</v>
      </c>
      <c r="L8" s="328">
        <f t="shared" ref="L8:L44" si="1">100*(K8/J8)</f>
        <v>1.0410287813839558</v>
      </c>
      <c r="M8" s="329">
        <f t="shared" ref="M8:M44" si="2">J8/$J$46</f>
        <v>5.851159124296821E-3</v>
      </c>
      <c r="N8" s="330">
        <f>(1/$J$46)*SQRT(((1-J9/$J$46)*K8)^2+(J9/$J$46)^2*SUMSQ(K9:K$45))</f>
        <v>1.1002929114949915E-4</v>
      </c>
      <c r="O8" s="331">
        <f>100*(N8/M8)</f>
        <v>1.8804699857264986</v>
      </c>
      <c r="P8" s="332">
        <f>M8+P7</f>
        <v>5.851159124296821E-3</v>
      </c>
      <c r="Q8" s="330">
        <f>SQRT(((1-P8)/$J$46)^2*SUMSQ(K$8:K8)+(P8/$J$46)^2*SUMSQ(K9:K$45))</f>
        <v>1.2291585197768276E-4</v>
      </c>
      <c r="R8" s="331">
        <f>100*(Q8/P8)</f>
        <v>2.100709438362002</v>
      </c>
      <c r="S8" s="333">
        <f>IF(P8&lt;=0.85, ((2*PI()-PI()^2*P8/3-2*PI()*SQRT(1-PI()*P8/3))/PI()^2/H8), ((-1)*LN((1-P8)*PI()^2/6)/PI()^2/H8 ))</f>
        <v>8.3245791604243902E-10</v>
      </c>
      <c r="T8" s="333">
        <f>IF(P8&lt;=0.85, ABS((2/PI()-P8/3-2*SQRT(1-PI()*P8/3)/PI())*(-1)*I8/H8^2), ABS((-1)*LN((1-P8)*PI()^2/6)*(-1)*I8/PI()^2/H8^2))</f>
        <v>6.9371493002173205E-12</v>
      </c>
      <c r="U8" s="333">
        <f>IF(P8&lt;=0.85, ((1/(3*H8*$J$46))*((1/SQRT(1-PI()*P8/3))-1)*SQRT(((1-P8)*K8)^2+(-P8)^2*SUMSQ(K9:K$45))),  (1/(PI()^2*H8*$J$46))*SQRT(K8^2+(P8/(1-P8))^2*SUMSQ(K9:K$45)))</f>
        <v>3.5028867313886233E-11</v>
      </c>
      <c r="V8" s="334">
        <f>SQRT(T8^2+U8^2)</f>
        <v>3.5709180692188288E-11</v>
      </c>
      <c r="W8" s="331">
        <f>100*(V8/S8)</f>
        <v>4.2896079193951495</v>
      </c>
      <c r="X8" s="334">
        <f>V8*2</f>
        <v>7.1418361384376576E-11</v>
      </c>
      <c r="Y8" s="335">
        <f>LN(S8)</f>
        <v>-20.906638446652082</v>
      </c>
      <c r="Z8" s="335">
        <f>V8/S8</f>
        <v>4.2896079193951497E-2</v>
      </c>
      <c r="AA8" s="335">
        <f>ABS(100*(Z8/Y8))</f>
        <v>0.20517922717901466</v>
      </c>
      <c r="AB8" s="335">
        <f>2*Z8</f>
        <v>8.5792158387902995E-2</v>
      </c>
      <c r="AC8" s="336">
        <f t="shared" ref="AC8:AC44" si="3">S8*($AC$3^2)*10^(-8)</f>
        <v>1.0742836108211032E-13</v>
      </c>
      <c r="AD8" s="337">
        <f t="shared" ref="AD8:AD44" si="4">AC8*SQRT((V8/S8)^2+(2*$AD$3/$AC$3)^2)</f>
        <v>5.961942044861919E-15</v>
      </c>
      <c r="AE8" s="308">
        <f>100*AD8/AC8</f>
        <v>5.5496909613142567</v>
      </c>
      <c r="AF8" s="337">
        <f>2*AD8</f>
        <v>1.1923884089723838E-14</v>
      </c>
      <c r="AG8" s="338">
        <f>LN(AC8)</f>
        <v>-29.861952178030347</v>
      </c>
      <c r="AH8" s="339">
        <f>AD8/AC8</f>
        <v>5.5496909613142562E-2</v>
      </c>
      <c r="AI8" s="340">
        <f>ABS(100*(AH8/AG8))</f>
        <v>0.18584488141392189</v>
      </c>
      <c r="AJ8" s="341">
        <f>2*AH8</f>
        <v>0.11099381922628512</v>
      </c>
    </row>
    <row r="9" spans="1:39" x14ac:dyDescent="0.2">
      <c r="A9" s="309">
        <v>2</v>
      </c>
      <c r="B9" s="309">
        <f>G9+B8</f>
        <v>2</v>
      </c>
      <c r="C9" s="1">
        <v>299.99</v>
      </c>
      <c r="D9" s="1">
        <v>0.89</v>
      </c>
      <c r="E9" s="326">
        <f t="shared" ref="E9:E44" si="5">10000/(C9+273.15)</f>
        <v>17.447744006699935</v>
      </c>
      <c r="F9" s="327">
        <f t="shared" si="0"/>
        <v>2.4465480141606728E-2</v>
      </c>
      <c r="G9" s="309">
        <f t="shared" ref="G9:G44" si="6">H9/60/60</f>
        <v>1</v>
      </c>
      <c r="H9" s="1">
        <v>3600</v>
      </c>
      <c r="I9" s="324">
        <v>30</v>
      </c>
      <c r="J9" s="1">
        <v>1.4019999999999999E-2</v>
      </c>
      <c r="K9" s="1">
        <v>9.2000000000000003E-4</v>
      </c>
      <c r="L9" s="328">
        <f t="shared" si="1"/>
        <v>6.5620542082738949</v>
      </c>
      <c r="M9" s="329">
        <f t="shared" si="2"/>
        <v>5.0234691318212753E-3</v>
      </c>
      <c r="N9" s="342">
        <f>(1/$J$46)*SQRT(((1-J10/$J$46)*K9)^2+(J10/$J$46)^2*(SUMSQ(K$8:K8)+SUMSQ(K10:K$45)))</f>
        <v>3.9433665268524755E-4</v>
      </c>
      <c r="O9" s="340">
        <f>100*(N9/M9)</f>
        <v>7.8498870469276572</v>
      </c>
      <c r="P9" s="332">
        <f t="shared" ref="P9:P44" si="7">M9+P8</f>
        <v>1.0874628256118096E-2</v>
      </c>
      <c r="Q9" s="342">
        <f>SQRT(((1-P9)/$J$46)^2*SUMSQ(K$8:K9)+(P9/$J$46)^2*SUMSQ(K10:K$45))</f>
        <v>3.8658935928949579E-4</v>
      </c>
      <c r="R9" s="340">
        <f>100*(Q9/P9)</f>
        <v>3.5549662037596503</v>
      </c>
      <c r="S9" s="343">
        <f>IF(P9&lt;=0.85, (((-1)*PI()^2*(P9-P8)/3-2*PI()*(SQRT(1-PI()*P9/3)-SQRT(1-PI()*P8/3)))/PI()^2/H9), ((-1)*LN((1-P9)/(1-P8))/PI()^2/H9 ))</f>
        <v>2.0506253523436071E-9</v>
      </c>
      <c r="T9" s="344">
        <f>IF(P9&lt;=0.85, ABS(((-1)*(P9-P8)/3-2*(SQRT(1-PI()*P9/3)-SQRT(1-PI()*P8/3))/PI())*(-1)*I9/H9^2), ABS((-1)*LN((1-P9)/(1-P8))*(-1)*I9/PI()^2/H9^2))</f>
        <v>1.7088544602862542E-11</v>
      </c>
      <c r="U9" s="344">
        <f>IF(P9&lt;=0.85, (1/(3*H9*$J$46))*SQRT( ((1-P9)*(1/SQRT(1-PI()*P9/3)-1) + (1-P8)*(1-1/SQRT(1-PI()*P8/3)))^2*SUMSQ(K$8:K8) + ( (1-P9)*(1/SQRT(1-PI()*P9/3)-1) -P8*(1-1/SQRT(1-PI()*P8/3)) )^2*K9^2 + ( P9*(1-1/SQRT(1-PI()*P9/3)) - P8*(1-1/SQRT(1-PI()*P8/3)) )^2*SUMSQ(K10:K$45) ), (1/(PI()^2*H9*$J$46))*SQRT((1+P8/(1-P8))^2*K9^2+(P8/(1-P8)-P9/(1-P9))^2*SUMSQ(K10:K$45)) )</f>
        <v>1.9007808957219589E-10</v>
      </c>
      <c r="V9" s="345">
        <f>SQRT(T9^2+U9^2)</f>
        <v>1.9084469731187121E-10</v>
      </c>
      <c r="W9" s="340">
        <f>100*(V9/S9)</f>
        <v>9.3066584344019603</v>
      </c>
      <c r="X9" s="345">
        <f>V9*2</f>
        <v>3.8168939462374242E-10</v>
      </c>
      <c r="Y9" s="338">
        <f t="shared" ref="Y9:Y44" si="8">LN(S9)</f>
        <v>-20.005121040390652</v>
      </c>
      <c r="Z9" s="346">
        <f>V9/S9</f>
        <v>9.3066584344019598E-2</v>
      </c>
      <c r="AA9" s="346">
        <f>ABS(100*(Z9/Y9))</f>
        <v>0.46521380278638008</v>
      </c>
      <c r="AB9" s="346">
        <f t="shared" ref="AB9:AB44" si="9">2*Z9</f>
        <v>0.1861331686880392</v>
      </c>
      <c r="AC9" s="336">
        <f t="shared" si="3"/>
        <v>2.6463238146980155E-13</v>
      </c>
      <c r="AD9" s="337">
        <f t="shared" si="4"/>
        <v>2.6332215149503119E-14</v>
      </c>
      <c r="AE9" s="308">
        <f t="shared" ref="AE9:AE44" si="10">100*AD9/AC9</f>
        <v>9.9504886753656834</v>
      </c>
      <c r="AF9" s="337">
        <f t="shared" ref="AF9:AF44" si="11">2*AD9</f>
        <v>5.2664430299006238E-14</v>
      </c>
      <c r="AG9" s="338">
        <f>LN(AC9)</f>
        <v>-28.960434771768917</v>
      </c>
      <c r="AH9" s="339">
        <f>AD9/AC9</f>
        <v>9.9504886753656832E-2</v>
      </c>
      <c r="AI9" s="340">
        <f>ABS(100*(AH9/AG9))</f>
        <v>0.34358906396894207</v>
      </c>
      <c r="AJ9" s="341">
        <f t="shared" ref="AJ9:AJ44" si="12">2*AH9</f>
        <v>0.19900977350731366</v>
      </c>
    </row>
    <row r="10" spans="1:39" x14ac:dyDescent="0.2">
      <c r="A10" s="309">
        <v>3</v>
      </c>
      <c r="B10" s="309">
        <f t="shared" ref="B10:B44" si="13">G10+B9</f>
        <v>3</v>
      </c>
      <c r="C10" s="1">
        <v>329.99</v>
      </c>
      <c r="D10" s="1">
        <v>0.9</v>
      </c>
      <c r="E10" s="326">
        <f t="shared" si="5"/>
        <v>16.579898531020991</v>
      </c>
      <c r="F10" s="327">
        <f t="shared" si="0"/>
        <v>2.3939948420519296E-2</v>
      </c>
      <c r="G10" s="309">
        <f t="shared" si="6"/>
        <v>1</v>
      </c>
      <c r="H10" s="1">
        <v>3600</v>
      </c>
      <c r="I10" s="324">
        <v>30</v>
      </c>
      <c r="J10" s="1">
        <v>3.3959999999999997E-2</v>
      </c>
      <c r="K10" s="1">
        <v>4.0999999999999999E-4</v>
      </c>
      <c r="L10" s="328">
        <f t="shared" si="1"/>
        <v>1.2073027090694937</v>
      </c>
      <c r="M10" s="329">
        <f t="shared" si="2"/>
        <v>1.2168117811458665E-2</v>
      </c>
      <c r="N10" s="342">
        <f>(1/$J$46)*SQRT(((1-J11/$J$46)*K10)^2+(J11/$J$46)^2*(SUMSQ(K$8:K9)+SUMSQ(K11:K$45)))</f>
        <v>2.4665790888276512E-4</v>
      </c>
      <c r="O10" s="340">
        <f t="shared" ref="O10:O44" si="14">100*(N10/M10)</f>
        <v>2.0270835038307107</v>
      </c>
      <c r="P10" s="332">
        <f t="shared" si="7"/>
        <v>2.304274606757676E-2</v>
      </c>
      <c r="Q10" s="342">
        <f>SQRT(((1-P10)/$J$46)^2*SUMSQ(K$8:K10)+(P10/$J$46)^2*SUMSQ(K11:K$45))</f>
        <v>5.524744254361085E-4</v>
      </c>
      <c r="R10" s="340">
        <f t="shared" ref="R10:R44" si="15">100*(Q10/P10)</f>
        <v>2.3976067080541683</v>
      </c>
      <c r="S10" s="343">
        <f t="shared" ref="S10:S44" si="16">IF(P10&lt;=0.85, (((-1)*PI()^2*(P10-P9)/3-2*PI()*(SQRT(1-PI()*P10/3)-SQRT(1-PI()*P9/3)))/PI()^2/H10), ((-1)*LN((1-P10)/(1-P9))/PI()^2/H10 ))</f>
        <v>1.0145621078688463E-8</v>
      </c>
      <c r="T10" s="344">
        <f t="shared" ref="T10:T44" si="17">IF(P10&lt;=0.85, ABS(((-1)*(P10-P9)/3-2*(SQRT(1-PI()*P10/3)-SQRT(1-PI()*P9/3))/PI())*(-1)*I10/H10^2), ABS((-1)*LN((1-P10)/(1-P9))*(-1)*I10/PI()^2/H10^2))</f>
        <v>8.4546842322404262E-11</v>
      </c>
      <c r="U10" s="344">
        <f>IF(P10&lt;=0.85, (1/(3*H10*$J$46))*SQRT( ((1-P10)*(1/SQRT(1-PI()*P10/3)-1) + (1-P9)*(1-1/SQRT(1-PI()*P9/3)))^2*SUMSQ(K$8:K9) + ( (1-P10)*(1/SQRT(1-PI()*P10/3)-1) -P9*(1-1/SQRT(1-PI()*P9/3)) )^2*K10^2 + ( P10*(1-1/SQRT(1-PI()*P10/3)) - P9*(1-1/SQRT(1-PI()*P9/3)) )^2*SUMSQ(K11:K$45) ), (1/(PI()^2*H10*$J$46))*SQRT((1+P9/(1-P9))^2*K10^2+(P9/(1-P9)-P10/(1-P10))^2*SUMSQ(K11:K$45)) )</f>
        <v>4.5273951885440449E-10</v>
      </c>
      <c r="V10" s="345">
        <f t="shared" ref="V10:V44" si="18">SQRT(T10^2+U10^2)</f>
        <v>4.6056621725785228E-10</v>
      </c>
      <c r="W10" s="340">
        <f t="shared" ref="W10:W44" si="19">100*(V10/S10)</f>
        <v>4.5395566588358163</v>
      </c>
      <c r="X10" s="345">
        <f t="shared" ref="X10:X44" si="20">V10*2</f>
        <v>9.2113243451570456E-10</v>
      </c>
      <c r="Y10" s="338">
        <f t="shared" si="8"/>
        <v>-18.406223645366222</v>
      </c>
      <c r="Z10" s="346">
        <f t="shared" ref="Z10:Z44" si="21">V10/S10</f>
        <v>4.5395566588358166E-2</v>
      </c>
      <c r="AA10" s="346">
        <f t="shared" ref="AA10:AA44" si="22">ABS(100*(Z10/Y10))</f>
        <v>0.24663161473530465</v>
      </c>
      <c r="AB10" s="346">
        <f t="shared" si="9"/>
        <v>9.0791133176716332E-2</v>
      </c>
      <c r="AC10" s="336">
        <f t="shared" si="3"/>
        <v>1.3092883419563146E-12</v>
      </c>
      <c r="AD10" s="337">
        <f t="shared" si="4"/>
        <v>7.5219621787098419E-14</v>
      </c>
      <c r="AE10" s="308">
        <f t="shared" si="10"/>
        <v>5.7450768770083629</v>
      </c>
      <c r="AF10" s="337">
        <f t="shared" si="11"/>
        <v>1.5043924357419684E-13</v>
      </c>
      <c r="AG10" s="338">
        <f t="shared" ref="AG10:AG44" si="23">LN(AC10)</f>
        <v>-27.361537376744486</v>
      </c>
      <c r="AH10" s="339">
        <f t="shared" ref="AH10:AH44" si="24">AD10/AC10</f>
        <v>5.7450768770083635E-2</v>
      </c>
      <c r="AI10" s="340">
        <f t="shared" ref="AI10:AI44" si="25">ABS(100*(AH10/AG10))</f>
        <v>0.20996908170413342</v>
      </c>
      <c r="AJ10" s="341">
        <f t="shared" si="12"/>
        <v>0.11490153754016727</v>
      </c>
    </row>
    <row r="11" spans="1:39" x14ac:dyDescent="0.2">
      <c r="A11" s="309">
        <v>4</v>
      </c>
      <c r="B11" s="309">
        <f t="shared" si="13"/>
        <v>4</v>
      </c>
      <c r="C11" s="1">
        <v>339.99</v>
      </c>
      <c r="D11" s="1">
        <v>0.9</v>
      </c>
      <c r="E11" s="326">
        <f t="shared" si="5"/>
        <v>16.309488860619108</v>
      </c>
      <c r="F11" s="327">
        <f t="shared" si="0"/>
        <v>2.245137819526281E-2</v>
      </c>
      <c r="G11" s="309">
        <f t="shared" si="6"/>
        <v>1</v>
      </c>
      <c r="H11" s="1">
        <v>3600</v>
      </c>
      <c r="I11" s="324">
        <v>30</v>
      </c>
      <c r="J11" s="1">
        <v>3.0429999999999999E-2</v>
      </c>
      <c r="K11" s="1">
        <v>2.2000000000000001E-4</v>
      </c>
      <c r="L11" s="328">
        <f t="shared" si="1"/>
        <v>0.72297075254682885</v>
      </c>
      <c r="M11" s="329">
        <f t="shared" si="2"/>
        <v>1.0903292844602097E-2</v>
      </c>
      <c r="N11" s="342">
        <f>(1/$J$46)*SQRT(((1-J12/$J$46)*K11)^2+(J12/$J$46)^2*(SUMSQ(K$8:K10)+SUMSQ(K12:K$45)))</f>
        <v>3.437956465765772E-4</v>
      </c>
      <c r="O11" s="340">
        <f t="shared" si="14"/>
        <v>3.1531359514642441</v>
      </c>
      <c r="P11" s="332">
        <f t="shared" si="7"/>
        <v>3.3946038912178858E-2</v>
      </c>
      <c r="Q11" s="342">
        <f>SQRT(((1-P11)/$J$46)^2*SUMSQ(K$8:K11)+(P11/$J$46)^2*SUMSQ(K12:K$45))</f>
        <v>7.1816031358992727E-4</v>
      </c>
      <c r="R11" s="340">
        <f t="shared" si="15"/>
        <v>2.115593856025046</v>
      </c>
      <c r="S11" s="343">
        <f t="shared" si="16"/>
        <v>1.5412452556285948E-8</v>
      </c>
      <c r="T11" s="344">
        <f t="shared" si="17"/>
        <v>1.2843710463571638E-10</v>
      </c>
      <c r="U11" s="344">
        <f>IF(P11&lt;=0.85, (1/(3*H11*$J$46))*SQRT( ((1-P11)*(1/SQRT(1-PI()*P11/3)-1) + (1-P10)*(1-1/SQRT(1-PI()*P10/3)))^2*SUMSQ(K$8:K10) + ( (1-P11)*(1/SQRT(1-PI()*P11/3)-1) -P10*(1-1/SQRT(1-PI()*P10/3)) )^2*K11^2 + ( P11*(1-1/SQRT(1-PI()*P11/3)) - P10*(1-1/SQRT(1-PI()*P10/3)) )^2*SUMSQ(K12:K$45) ), (1/(PI()^2*H11*$J$46))*SQRT((1+P10/(1-P10))^2*K11^2+(P10/(1-P10)-P11/(1-P11))^2*SUMSQ(K12:K$45)) )</f>
        <v>6.1519992696208594E-10</v>
      </c>
      <c r="V11" s="345">
        <f t="shared" si="18"/>
        <v>6.2846403236888726E-10</v>
      </c>
      <c r="W11" s="340">
        <f t="shared" si="19"/>
        <v>4.0776380661919323</v>
      </c>
      <c r="X11" s="345">
        <f t="shared" si="20"/>
        <v>1.2569280647377745E-9</v>
      </c>
      <c r="Y11" s="338">
        <f t="shared" si="8"/>
        <v>-17.98809004672275</v>
      </c>
      <c r="Z11" s="346">
        <f t="shared" si="21"/>
        <v>4.0776380661919319E-2</v>
      </c>
      <c r="AA11" s="346">
        <f t="shared" si="22"/>
        <v>0.22668543773133029</v>
      </c>
      <c r="AB11" s="346">
        <f t="shared" si="9"/>
        <v>8.1552761323838638E-2</v>
      </c>
      <c r="AC11" s="336">
        <f t="shared" si="3"/>
        <v>1.9889708374076791E-12</v>
      </c>
      <c r="AD11" s="337">
        <f t="shared" si="4"/>
        <v>1.0715637538201047E-13</v>
      </c>
      <c r="AE11" s="308">
        <f t="shared" si="10"/>
        <v>5.3875287342911724</v>
      </c>
      <c r="AF11" s="337">
        <f t="shared" si="11"/>
        <v>2.1431275076402094E-13</v>
      </c>
      <c r="AG11" s="338">
        <f t="shared" si="23"/>
        <v>-26.943403778101015</v>
      </c>
      <c r="AH11" s="339">
        <f t="shared" si="24"/>
        <v>5.3875287342911728E-2</v>
      </c>
      <c r="AI11" s="340">
        <f t="shared" si="25"/>
        <v>0.19995724291783928</v>
      </c>
      <c r="AJ11" s="341">
        <f t="shared" si="12"/>
        <v>0.10775057468582346</v>
      </c>
    </row>
    <row r="12" spans="1:39" x14ac:dyDescent="0.2">
      <c r="A12" s="309">
        <v>5</v>
      </c>
      <c r="B12" s="309">
        <f t="shared" si="13"/>
        <v>5</v>
      </c>
      <c r="C12" s="1">
        <v>359.99</v>
      </c>
      <c r="D12" s="1">
        <v>0.79</v>
      </c>
      <c r="E12" s="326">
        <f t="shared" si="5"/>
        <v>15.794295100609659</v>
      </c>
      <c r="F12" s="327">
        <f t="shared" si="0"/>
        <v>1.8518871896448165E-2</v>
      </c>
      <c r="G12" s="309">
        <f t="shared" si="6"/>
        <v>1</v>
      </c>
      <c r="H12" s="1">
        <v>3600</v>
      </c>
      <c r="I12" s="324">
        <v>30</v>
      </c>
      <c r="J12" s="1">
        <v>5.1139999999999998E-2</v>
      </c>
      <c r="K12" s="1">
        <v>2.0000000000000001E-4</v>
      </c>
      <c r="L12" s="328">
        <f t="shared" si="1"/>
        <v>0.3910833007430583</v>
      </c>
      <c r="M12" s="329">
        <f t="shared" si="2"/>
        <v>1.8323838188398004E-2</v>
      </c>
      <c r="N12" s="342">
        <f>(1/$J$46)*SQRT(((1-J13/$J$46)*K12)^2+(J13/$J$46)^2*(SUMSQ(K$8:K11)+SUMSQ(K13:K$45)))</f>
        <v>5.0396441381606895E-4</v>
      </c>
      <c r="O12" s="340">
        <f t="shared" si="14"/>
        <v>2.7503212407494466</v>
      </c>
      <c r="P12" s="332">
        <f t="shared" si="7"/>
        <v>5.2269877100576859E-2</v>
      </c>
      <c r="Q12" s="342">
        <f>SQRT(((1-P12)/$J$46)^2*SUMSQ(K$8:K12)+(P12/$J$46)^2*SUMSQ(K13:K$45))</f>
        <v>1.0213592821658865E-3</v>
      </c>
      <c r="R12" s="340">
        <f t="shared" si="15"/>
        <v>1.9540112562357919</v>
      </c>
      <c r="S12" s="343">
        <f t="shared" si="16"/>
        <v>3.9664857358261024E-8</v>
      </c>
      <c r="T12" s="344">
        <f t="shared" si="17"/>
        <v>3.3054047798550822E-10</v>
      </c>
      <c r="U12" s="344">
        <f>IF(P12&lt;=0.85, (1/(3*H12*$J$46))*SQRT( ((1-P12)*(1/SQRT(1-PI()*P12/3)-1) + (1-P11)*(1-1/SQRT(1-PI()*P11/3)))^2*SUMSQ(K$8:K11) + ( (1-P12)*(1/SQRT(1-PI()*P12/3)-1) -P11*(1-1/SQRT(1-PI()*P11/3)) )^2*K12^2 + ( P12*(1-1/SQRT(1-PI()*P12/3)) - P11*(1-1/SQRT(1-PI()*P11/3)) )^2*SUMSQ(K13:K$45) ), (1/(PI()^2*H12*$J$46))*SQRT((1+P11/(1-P11))^2*K12^2+(P11/(1-P11)-P12/(1-P12))^2*SUMSQ(K13:K$45)) )</f>
        <v>1.5226848948643171E-9</v>
      </c>
      <c r="V12" s="345">
        <f t="shared" si="18"/>
        <v>1.5581483551430026E-9</v>
      </c>
      <c r="W12" s="340">
        <f t="shared" si="19"/>
        <v>3.928284277110822</v>
      </c>
      <c r="X12" s="345">
        <f t="shared" si="20"/>
        <v>3.1162967102860053E-9</v>
      </c>
      <c r="Y12" s="338">
        <f t="shared" si="8"/>
        <v>-17.042800246360237</v>
      </c>
      <c r="Z12" s="346">
        <f t="shared" si="21"/>
        <v>3.9282842771108217E-2</v>
      </c>
      <c r="AA12" s="346">
        <f t="shared" si="22"/>
        <v>0.23049523671732114</v>
      </c>
      <c r="AB12" s="346">
        <f t="shared" si="9"/>
        <v>7.8565685542216435E-2</v>
      </c>
      <c r="AC12" s="336">
        <f t="shared" si="3"/>
        <v>5.1187339761406411E-12</v>
      </c>
      <c r="AD12" s="337">
        <f t="shared" si="4"/>
        <v>2.700332354834397E-13</v>
      </c>
      <c r="AE12" s="308">
        <f t="shared" si="10"/>
        <v>5.2753910779914364</v>
      </c>
      <c r="AF12" s="337">
        <f t="shared" si="11"/>
        <v>5.400664709668794E-13</v>
      </c>
      <c r="AG12" s="338">
        <f t="shared" si="23"/>
        <v>-25.998113977738502</v>
      </c>
      <c r="AH12" s="339">
        <f t="shared" si="24"/>
        <v>5.275391077991437E-2</v>
      </c>
      <c r="AI12" s="340">
        <f t="shared" si="25"/>
        <v>0.20291437611622962</v>
      </c>
      <c r="AJ12" s="341">
        <f t="shared" si="12"/>
        <v>0.10550782155982874</v>
      </c>
    </row>
    <row r="13" spans="1:39" x14ac:dyDescent="0.2">
      <c r="A13" s="309">
        <v>6</v>
      </c>
      <c r="B13" s="309">
        <f t="shared" si="13"/>
        <v>6</v>
      </c>
      <c r="C13" s="1">
        <v>379.99</v>
      </c>
      <c r="D13" s="1">
        <v>0.88</v>
      </c>
      <c r="E13" s="326">
        <f t="shared" si="5"/>
        <v>15.310653152463484</v>
      </c>
      <c r="F13" s="327">
        <f t="shared" si="0"/>
        <v>1.9421012837970104E-2</v>
      </c>
      <c r="G13" s="309">
        <f t="shared" si="6"/>
        <v>1</v>
      </c>
      <c r="H13" s="1">
        <v>3600</v>
      </c>
      <c r="I13" s="324">
        <v>30</v>
      </c>
      <c r="J13" s="1">
        <v>7.6200000000000004E-2</v>
      </c>
      <c r="K13" s="1">
        <v>3.6999999999999999E-4</v>
      </c>
      <c r="L13" s="328">
        <f t="shared" si="1"/>
        <v>0.48556430446194226</v>
      </c>
      <c r="M13" s="329">
        <f t="shared" si="2"/>
        <v>2.7303020531011496E-2</v>
      </c>
      <c r="N13" s="342">
        <f>(1/$J$46)*SQRT(((1-J14/$J$46)*K13)^2+(J14/$J$46)^2*(SUMSQ(K$8:K12)+SUMSQ(K14:K$45)))</f>
        <v>6.1378567586878514E-4</v>
      </c>
      <c r="O13" s="340">
        <f t="shared" si="14"/>
        <v>2.2480504498453975</v>
      </c>
      <c r="P13" s="332">
        <f t="shared" si="7"/>
        <v>7.9572897631588355E-2</v>
      </c>
      <c r="Q13" s="342">
        <f>SQRT(((1-P13)/$J$46)^2*SUMSQ(K$8:K13)+(P13/$J$46)^2*SUMSQ(K14:K$45))</f>
        <v>1.50100379864683E-3</v>
      </c>
      <c r="R13" s="340">
        <f t="shared" si="15"/>
        <v>1.8863254240109144</v>
      </c>
      <c r="S13" s="343">
        <f t="shared" si="16"/>
        <v>9.2131021338352661E-8</v>
      </c>
      <c r="T13" s="344">
        <f t="shared" si="17"/>
        <v>7.6775851115294153E-10</v>
      </c>
      <c r="U13" s="344">
        <f>IF(P13&lt;=0.85, (1/(3*H13*$J$46))*SQRT( ((1-P13)*(1/SQRT(1-PI()*P13/3)-1) + (1-P12)*(1-1/SQRT(1-PI()*P12/3)))^2*SUMSQ(K$8:K12) + ( (1-P13)*(1/SQRT(1-PI()*P13/3)-1) -P12*(1-1/SQRT(1-PI()*P12/3)) )^2*K13^2 + ( P13*(1-1/SQRT(1-PI()*P13/3)) - P12*(1-1/SQRT(1-PI()*P12/3)) )^2*SUMSQ(K14:K$45) ), (1/(PI()^2*H13*$J$46))*SQRT((1+P12/(1-P12))^2*K13^2+(P12/(1-P12)-P13/(1-P13))^2*SUMSQ(K14:K$45)) )</f>
        <v>3.5353388252983173E-9</v>
      </c>
      <c r="V13" s="345">
        <f t="shared" si="18"/>
        <v>3.617744289071502E-9</v>
      </c>
      <c r="W13" s="340">
        <f t="shared" si="19"/>
        <v>3.9267385040542182</v>
      </c>
      <c r="X13" s="345">
        <f t="shared" si="20"/>
        <v>7.235488578143004E-9</v>
      </c>
      <c r="Y13" s="338">
        <f t="shared" si="8"/>
        <v>-16.200054128047956</v>
      </c>
      <c r="Z13" s="346">
        <f t="shared" si="21"/>
        <v>3.9267385040542183E-2</v>
      </c>
      <c r="AA13" s="346">
        <f t="shared" si="22"/>
        <v>0.24239045579827179</v>
      </c>
      <c r="AB13" s="346">
        <f t="shared" si="9"/>
        <v>7.8534770081084365E-2</v>
      </c>
      <c r="AC13" s="336">
        <f t="shared" si="3"/>
        <v>1.1889471451305877E-11</v>
      </c>
      <c r="AD13" s="337">
        <f t="shared" si="4"/>
        <v>6.2707927446514117E-13</v>
      </c>
      <c r="AE13" s="308">
        <f t="shared" si="10"/>
        <v>5.2742401294572785</v>
      </c>
      <c r="AF13" s="337">
        <f t="shared" si="11"/>
        <v>1.2541585489302823E-12</v>
      </c>
      <c r="AG13" s="338">
        <f t="shared" si="23"/>
        <v>-25.155367859426221</v>
      </c>
      <c r="AH13" s="339">
        <f t="shared" si="24"/>
        <v>5.2742401294572777E-2</v>
      </c>
      <c r="AI13" s="340">
        <f t="shared" si="25"/>
        <v>0.20966658722428158</v>
      </c>
      <c r="AJ13" s="341">
        <f t="shared" si="12"/>
        <v>0.10548480258914555</v>
      </c>
    </row>
    <row r="14" spans="1:39" x14ac:dyDescent="0.2">
      <c r="A14" s="309">
        <v>7</v>
      </c>
      <c r="B14" s="309">
        <f t="shared" si="13"/>
        <v>7</v>
      </c>
      <c r="C14" s="1">
        <v>399.99</v>
      </c>
      <c r="D14" s="1">
        <v>0.94</v>
      </c>
      <c r="E14" s="326">
        <f t="shared" si="5"/>
        <v>14.855750661080904</v>
      </c>
      <c r="F14" s="327">
        <f t="shared" si="0"/>
        <v>2.1375555198324042E-2</v>
      </c>
      <c r="G14" s="309">
        <f t="shared" si="6"/>
        <v>1</v>
      </c>
      <c r="H14" s="1">
        <v>3600</v>
      </c>
      <c r="I14" s="324">
        <v>30</v>
      </c>
      <c r="J14" s="1">
        <v>9.1639999999999999E-2</v>
      </c>
      <c r="K14" s="1">
        <v>2.9E-4</v>
      </c>
      <c r="L14" s="328">
        <f t="shared" si="1"/>
        <v>0.31645569620253167</v>
      </c>
      <c r="M14" s="329">
        <f t="shared" si="2"/>
        <v>3.2835286108423796E-2</v>
      </c>
      <c r="N14" s="342">
        <f>(1/$J$46)*SQRT(((1-J15/$J$46)*K14)^2+(J15/$J$46)^2*(SUMSQ(K$8:K13)+SUMSQ(K15:K$45)))</f>
        <v>2.5463068760296951E-4</v>
      </c>
      <c r="O14" s="340">
        <f t="shared" si="14"/>
        <v>0.77547881496194659</v>
      </c>
      <c r="P14" s="332">
        <f t="shared" si="7"/>
        <v>0.11240818374001216</v>
      </c>
      <c r="Q14" s="342">
        <f>SQRT(((1-P14)/$J$46)^2*SUMSQ(K$8:K14)+(P14/$J$46)^2*SUMSQ(K15:K$45))</f>
        <v>2.0874268064166417E-3</v>
      </c>
      <c r="R14" s="340">
        <f t="shared" si="15"/>
        <v>1.85700607995289</v>
      </c>
      <c r="S14" s="343">
        <f t="shared" si="16"/>
        <v>1.6553234904779545E-7</v>
      </c>
      <c r="T14" s="344">
        <f t="shared" si="17"/>
        <v>1.3794362420649654E-9</v>
      </c>
      <c r="U14" s="344">
        <f>IF(P14&lt;=0.85, (1/(3*H14*$J$46))*SQRT( ((1-P14)*(1/SQRT(1-PI()*P14/3)-1) + (1-P13)*(1-1/SQRT(1-PI()*P13/3)))^2*SUMSQ(K$8:K13) + ( (1-P14)*(1/SQRT(1-PI()*P14/3)-1) -P13*(1-1/SQRT(1-PI()*P13/3)) )^2*K14^2 + ( P14*(1-1/SQRT(1-PI()*P14/3)) - P13*(1-1/SQRT(1-PI()*P13/3)) )^2*SUMSQ(K15:K$45) ), (1/(PI()^2*H14*$J$46))*SQRT((1+P13/(1-P13))^2*K14^2+(P13/(1-P13)-P14/(1-P14))^2*SUMSQ(K15:K$45)) )</f>
        <v>6.3619946529571782E-9</v>
      </c>
      <c r="V14" s="345">
        <f t="shared" si="18"/>
        <v>6.5098249062611539E-9</v>
      </c>
      <c r="W14" s="340">
        <f t="shared" si="19"/>
        <v>3.9326602586794204</v>
      </c>
      <c r="X14" s="345">
        <f t="shared" si="20"/>
        <v>1.3019649812522308E-8</v>
      </c>
      <c r="Y14" s="338">
        <f t="shared" si="8"/>
        <v>-15.61409919870516</v>
      </c>
      <c r="Z14" s="346">
        <f t="shared" si="21"/>
        <v>3.9326602586794206E-2</v>
      </c>
      <c r="AA14" s="346">
        <f t="shared" si="22"/>
        <v>0.25186597117338327</v>
      </c>
      <c r="AB14" s="346">
        <f t="shared" si="9"/>
        <v>7.8653205173588411E-2</v>
      </c>
      <c r="AC14" s="336">
        <f t="shared" si="3"/>
        <v>2.136188343167838E-11</v>
      </c>
      <c r="AD14" s="337">
        <f t="shared" si="4"/>
        <v>1.1276191518654606E-12</v>
      </c>
      <c r="AE14" s="308">
        <f t="shared" si="10"/>
        <v>5.2786504311378728</v>
      </c>
      <c r="AF14" s="337">
        <f t="shared" si="11"/>
        <v>2.2552383037309212E-12</v>
      </c>
      <c r="AG14" s="338">
        <f t="shared" si="23"/>
        <v>-24.569412930083423</v>
      </c>
      <c r="AH14" s="339">
        <f t="shared" si="24"/>
        <v>5.2786504311378726E-2</v>
      </c>
      <c r="AI14" s="340">
        <f t="shared" si="25"/>
        <v>0.21484642087945685</v>
      </c>
      <c r="AJ14" s="341">
        <f t="shared" si="12"/>
        <v>0.10557300862275745</v>
      </c>
    </row>
    <row r="15" spans="1:39" x14ac:dyDescent="0.2">
      <c r="A15" s="309">
        <v>8</v>
      </c>
      <c r="B15" s="309">
        <f t="shared" si="13"/>
        <v>8</v>
      </c>
      <c r="C15" s="1">
        <v>389.99</v>
      </c>
      <c r="D15" s="1">
        <v>0.92</v>
      </c>
      <c r="E15" s="326">
        <f t="shared" si="5"/>
        <v>15.079771993847453</v>
      </c>
      <c r="F15" s="327">
        <f t="shared" si="0"/>
        <v>2.2242150996104725E-2</v>
      </c>
      <c r="G15" s="309">
        <f t="shared" si="6"/>
        <v>1</v>
      </c>
      <c r="H15" s="1">
        <v>3600</v>
      </c>
      <c r="I15" s="324">
        <v>30</v>
      </c>
      <c r="J15" s="1">
        <v>3.5580000000000001E-2</v>
      </c>
      <c r="K15" s="1">
        <v>2.2000000000000001E-4</v>
      </c>
      <c r="L15" s="328">
        <f t="shared" si="1"/>
        <v>0.61832490163012932</v>
      </c>
      <c r="M15" s="329">
        <f t="shared" si="2"/>
        <v>1.2748575728259699E-2</v>
      </c>
      <c r="N15" s="342">
        <f>(1/$J$46)*SQRT(((1-J16/$J$46)*K15)^2+(J16/$J$46)^2*(SUMSQ(K$8:K14)+SUMSQ(K16:K$45)))</f>
        <v>1.0780874556769011E-4</v>
      </c>
      <c r="O15" s="340">
        <f t="shared" si="14"/>
        <v>0.84565325465111407</v>
      </c>
      <c r="P15" s="332">
        <f t="shared" si="7"/>
        <v>0.12515675946827184</v>
      </c>
      <c r="Q15" s="342">
        <f>SQRT(((1-P15)/$J$46)^2*SUMSQ(K$8:K15)+(P15/$J$46)^2*SUMSQ(K16:K$45))</f>
        <v>2.3172656344725095E-3</v>
      </c>
      <c r="R15" s="340">
        <f t="shared" si="15"/>
        <v>1.8514905981246288</v>
      </c>
      <c r="S15" s="343">
        <f t="shared" si="16"/>
        <v>8.1070910741988172E-8</v>
      </c>
      <c r="T15" s="344">
        <f t="shared" si="17"/>
        <v>6.7559092284990264E-10</v>
      </c>
      <c r="U15" s="344">
        <f>IF(P15&lt;=0.85, (1/(3*H15*$J$46))*SQRT( ((1-P15)*(1/SQRT(1-PI()*P15/3)-1) + (1-P14)*(1-1/SQRT(1-PI()*P14/3)))^2*SUMSQ(K$8:K14) + ( (1-P15)*(1/SQRT(1-PI()*P15/3)-1) -P14*(1-1/SQRT(1-PI()*P14/3)) )^2*K15^2 + ( P15*(1-1/SQRT(1-PI()*P15/3)) - P14*(1-1/SQRT(1-PI()*P14/3)) )^2*SUMSQ(K16:K$45) ), (1/(PI()^2*H15*$J$46))*SQRT((1+P14/(1-P14))^2*K15^2+(P14/(1-P14)-P15/(1-P15))^2*SUMSQ(K16:K$45)) )</f>
        <v>3.1716298172925764E-9</v>
      </c>
      <c r="V15" s="345">
        <f t="shared" si="18"/>
        <v>3.2427856532580944E-9</v>
      </c>
      <c r="W15" s="340">
        <f t="shared" si="19"/>
        <v>3.9999373678906927</v>
      </c>
      <c r="X15" s="345">
        <f t="shared" si="20"/>
        <v>6.4855713065161889E-9</v>
      </c>
      <c r="Y15" s="338">
        <f t="shared" si="8"/>
        <v>-16.327941623990061</v>
      </c>
      <c r="Z15" s="346">
        <f t="shared" si="21"/>
        <v>3.9999373678906928E-2</v>
      </c>
      <c r="AA15" s="346">
        <f t="shared" si="22"/>
        <v>0.24497499194961159</v>
      </c>
      <c r="AB15" s="346">
        <f t="shared" si="9"/>
        <v>7.9998747357813857E-2</v>
      </c>
      <c r="AC15" s="336">
        <f t="shared" si="3"/>
        <v>1.0462168602889276E-11</v>
      </c>
      <c r="AD15" s="337">
        <f t="shared" si="4"/>
        <v>5.5752495598148999E-13</v>
      </c>
      <c r="AE15" s="308">
        <f t="shared" si="10"/>
        <v>5.3289616822608039</v>
      </c>
      <c r="AF15" s="337">
        <f t="shared" si="11"/>
        <v>1.11504991196298E-12</v>
      </c>
      <c r="AG15" s="338">
        <f t="shared" si="23"/>
        <v>-25.283255355368322</v>
      </c>
      <c r="AH15" s="339">
        <f t="shared" si="24"/>
        <v>5.3289616822608042E-2</v>
      </c>
      <c r="AI15" s="340">
        <f t="shared" si="25"/>
        <v>0.21077039358103547</v>
      </c>
      <c r="AJ15" s="341">
        <f t="shared" si="12"/>
        <v>0.10657923364521608</v>
      </c>
    </row>
    <row r="16" spans="1:39" x14ac:dyDescent="0.2">
      <c r="A16" s="309">
        <v>9</v>
      </c>
      <c r="B16" s="309">
        <f t="shared" si="13"/>
        <v>9</v>
      </c>
      <c r="C16" s="1">
        <v>369.99</v>
      </c>
      <c r="D16" s="1">
        <v>0.91</v>
      </c>
      <c r="E16" s="326">
        <f t="shared" si="5"/>
        <v>15.548714121342165</v>
      </c>
      <c r="F16" s="327">
        <f t="shared" si="0"/>
        <v>2.3435279225619342E-2</v>
      </c>
      <c r="G16" s="309">
        <f t="shared" si="6"/>
        <v>1</v>
      </c>
      <c r="H16" s="1">
        <v>3600</v>
      </c>
      <c r="I16" s="324">
        <v>30</v>
      </c>
      <c r="J16" s="1">
        <v>1.128E-2</v>
      </c>
      <c r="K16" s="1">
        <v>1.1E-4</v>
      </c>
      <c r="L16" s="328">
        <f t="shared" si="1"/>
        <v>0.97517730496453903</v>
      </c>
      <c r="M16" s="329">
        <f t="shared" si="2"/>
        <v>4.0417069762442217E-3</v>
      </c>
      <c r="N16" s="342">
        <f>(1/$J$46)*SQRT(((1-J17/$J$46)*K16)^2+(J17/$J$46)^2*(SUMSQ(K$8:K15)+SUMSQ(K17:K$45)))</f>
        <v>4.4879768591203006E-5</v>
      </c>
      <c r="O16" s="340">
        <f t="shared" si="14"/>
        <v>1.1104161893722384</v>
      </c>
      <c r="P16" s="332">
        <f t="shared" si="7"/>
        <v>0.12919846644451607</v>
      </c>
      <c r="Q16" s="342">
        <f>SQRT(((1-P16)/$J$46)^2*SUMSQ(K$8:K16)+(P16/$J$46)^2*SUMSQ(K17:K$45))</f>
        <v>2.3901835162615914E-3</v>
      </c>
      <c r="R16" s="340">
        <f t="shared" si="15"/>
        <v>1.8500092006030497</v>
      </c>
      <c r="S16" s="343">
        <f t="shared" si="16"/>
        <v>2.7722424993362205E-8</v>
      </c>
      <c r="T16" s="344">
        <f t="shared" si="17"/>
        <v>2.3102020827801857E-10</v>
      </c>
      <c r="U16" s="344">
        <f>IF(P16&lt;=0.85, (1/(3*H16*$J$46))*SQRT( ((1-P16)*(1/SQRT(1-PI()*P16/3)-1) + (1-P15)*(1-1/SQRT(1-PI()*P15/3)))^2*SUMSQ(K$8:K15) + ( (1-P16)*(1/SQRT(1-PI()*P16/3)-1) -P15*(1-1/SQRT(1-PI()*P15/3)) )^2*K16^2 + ( P16*(1-1/SQRT(1-PI()*P16/3)) - P15*(1-1/SQRT(1-PI()*P15/3)) )^2*SUMSQ(K17:K$45) ), (1/(PI()^2*H16*$J$46))*SQRT((1+P15/(1-P15))^2*K16^2+(P15/(1-P15)-P16/(1-P16))^2*SUMSQ(K17:K$45)) )</f>
        <v>1.1079631023959648E-9</v>
      </c>
      <c r="V16" s="345">
        <f t="shared" si="18"/>
        <v>1.1317917533290788E-9</v>
      </c>
      <c r="W16" s="340">
        <f t="shared" si="19"/>
        <v>4.0825856814476813</v>
      </c>
      <c r="X16" s="345">
        <f t="shared" si="20"/>
        <v>2.2635835066581575E-9</v>
      </c>
      <c r="Y16" s="338">
        <f t="shared" si="8"/>
        <v>-17.401024184727987</v>
      </c>
      <c r="Z16" s="346">
        <f t="shared" si="21"/>
        <v>4.0825856814476813E-2</v>
      </c>
      <c r="AA16" s="346">
        <f t="shared" si="22"/>
        <v>0.2346175511341892</v>
      </c>
      <c r="AB16" s="346">
        <f t="shared" si="9"/>
        <v>8.1651713628953626E-2</v>
      </c>
      <c r="AC16" s="336">
        <f t="shared" si="3"/>
        <v>3.5775678564233948E-12</v>
      </c>
      <c r="AD16" s="337">
        <f t="shared" si="4"/>
        <v>1.9287649950230236E-13</v>
      </c>
      <c r="AE16" s="308">
        <f t="shared" si="10"/>
        <v>5.391274386480176</v>
      </c>
      <c r="AF16" s="337">
        <f t="shared" si="11"/>
        <v>3.8575299900460472E-13</v>
      </c>
      <c r="AG16" s="338">
        <f t="shared" si="23"/>
        <v>-26.356337916106252</v>
      </c>
      <c r="AH16" s="339">
        <f t="shared" si="24"/>
        <v>5.3912743864801757E-2</v>
      </c>
      <c r="AI16" s="340">
        <f t="shared" si="25"/>
        <v>0.20455324270165731</v>
      </c>
      <c r="AJ16" s="341">
        <f t="shared" si="12"/>
        <v>0.10782548772960351</v>
      </c>
    </row>
    <row r="17" spans="1:39" x14ac:dyDescent="0.2">
      <c r="A17" s="309">
        <v>10</v>
      </c>
      <c r="B17" s="309">
        <f t="shared" si="13"/>
        <v>10</v>
      </c>
      <c r="C17" s="1">
        <v>349.99</v>
      </c>
      <c r="D17" s="1">
        <v>0.46</v>
      </c>
      <c r="E17" s="326">
        <f t="shared" si="5"/>
        <v>16.047758128189493</v>
      </c>
      <c r="F17" s="327">
        <f t="shared" si="0"/>
        <v>1.1296031523683905E-2</v>
      </c>
      <c r="G17" s="309">
        <f t="shared" si="6"/>
        <v>1</v>
      </c>
      <c r="H17" s="1">
        <v>3600</v>
      </c>
      <c r="I17" s="324">
        <v>30</v>
      </c>
      <c r="J17" s="1">
        <v>3.29E-3</v>
      </c>
      <c r="K17" s="1">
        <v>5.0000000000000002E-5</v>
      </c>
      <c r="L17" s="328">
        <f t="shared" si="1"/>
        <v>1.5197568389057752</v>
      </c>
      <c r="M17" s="329">
        <f t="shared" si="2"/>
        <v>1.1788312014045647E-3</v>
      </c>
      <c r="N17" s="342">
        <f>(1/$J$46)*SQRT(((1-J18/$J$46)*K17)^2+(J18/$J$46)^2*(SUMSQ(K$8:K16)+SUMSQ(K18:K$45)))</f>
        <v>5.8159604719259581E-5</v>
      </c>
      <c r="O17" s="340">
        <f t="shared" si="14"/>
        <v>4.9336668939508082</v>
      </c>
      <c r="P17" s="332">
        <f t="shared" si="7"/>
        <v>0.13037729764592063</v>
      </c>
      <c r="Q17" s="342">
        <f>SQRT(((1-P17)/$J$46)^2*SUMSQ(K$8:K17)+(P17/$J$46)^2*SUMSQ(K18:K$45))</f>
        <v>2.4114411018197088E-3</v>
      </c>
      <c r="R17" s="340">
        <f t="shared" si="15"/>
        <v>1.849586657616354</v>
      </c>
      <c r="S17" s="343">
        <f t="shared" si="16"/>
        <v>8.2709153411340734E-9</v>
      </c>
      <c r="T17" s="344">
        <f t="shared" si="17"/>
        <v>6.892429450945072E-11</v>
      </c>
      <c r="U17" s="344">
        <f>IF(P17&lt;=0.85, (1/(3*H17*$J$46))*SQRT( ((1-P17)*(1/SQRT(1-PI()*P17/3)-1) + (1-P16)*(1-1/SQRT(1-PI()*P16/3)))^2*SUMSQ(K$8:K16) + ( (1-P17)*(1/SQRT(1-PI()*P17/3)-1) -P16*(1-1/SQRT(1-PI()*P16/3)) )^2*K17^2 + ( P17*(1-1/SQRT(1-PI()*P17/3)) - P16*(1-1/SQRT(1-PI()*P16/3)) )^2*SUMSQ(K18:K$45) ), (1/(PI()^2*H17*$J$46))*SQRT((1+P16/(1-P16))^2*K17^2+(P16/(1-P16)-P17/(1-P17))^2*SUMSQ(K18:K$45)) )</f>
        <v>3.44616803466583E-10</v>
      </c>
      <c r="V17" s="345">
        <f t="shared" si="18"/>
        <v>3.5144174425521934E-10</v>
      </c>
      <c r="W17" s="340">
        <f t="shared" si="19"/>
        <v>4.2491275724632329</v>
      </c>
      <c r="X17" s="345">
        <f t="shared" si="20"/>
        <v>7.0288348851043868E-10</v>
      </c>
      <c r="Y17" s="338">
        <f t="shared" si="8"/>
        <v>-18.610520651915422</v>
      </c>
      <c r="Z17" s="346">
        <f t="shared" si="21"/>
        <v>4.2491275724632328E-2</v>
      </c>
      <c r="AA17" s="346">
        <f t="shared" si="22"/>
        <v>0.22831857592473678</v>
      </c>
      <c r="AB17" s="346">
        <f t="shared" si="9"/>
        <v>8.4982551449264657E-2</v>
      </c>
      <c r="AC17" s="336">
        <f t="shared" si="3"/>
        <v>1.0673583164072157E-12</v>
      </c>
      <c r="AD17" s="337">
        <f t="shared" si="4"/>
        <v>5.8901759173824174E-14</v>
      </c>
      <c r="AE17" s="308">
        <f t="shared" si="10"/>
        <v>5.518461632649343</v>
      </c>
      <c r="AF17" s="337">
        <f t="shared" si="11"/>
        <v>1.1780351834764835E-13</v>
      </c>
      <c r="AG17" s="338">
        <f t="shared" si="23"/>
        <v>-27.565834383293687</v>
      </c>
      <c r="AH17" s="339">
        <f t="shared" si="24"/>
        <v>5.5184616326493428E-2</v>
      </c>
      <c r="AI17" s="340">
        <f t="shared" si="25"/>
        <v>0.20019207675403486</v>
      </c>
      <c r="AJ17" s="341">
        <f t="shared" si="12"/>
        <v>0.11036923265298686</v>
      </c>
      <c r="AM17" s="322"/>
    </row>
    <row r="18" spans="1:39" x14ac:dyDescent="0.2">
      <c r="A18" s="309">
        <v>11</v>
      </c>
      <c r="B18" s="309">
        <f t="shared" si="13"/>
        <v>11</v>
      </c>
      <c r="C18" s="1">
        <v>364.99</v>
      </c>
      <c r="D18" s="1">
        <v>0.92</v>
      </c>
      <c r="E18" s="326">
        <f t="shared" si="5"/>
        <v>15.670542514181841</v>
      </c>
      <c r="F18" s="327">
        <f t="shared" si="0"/>
        <v>2.1241131582829392E-2</v>
      </c>
      <c r="G18" s="309">
        <f t="shared" si="6"/>
        <v>1</v>
      </c>
      <c r="H18" s="1">
        <v>3600</v>
      </c>
      <c r="I18" s="324">
        <v>30</v>
      </c>
      <c r="J18" s="1">
        <v>8.4499999999999992E-3</v>
      </c>
      <c r="K18" s="1">
        <v>1E-4</v>
      </c>
      <c r="L18" s="328">
        <f t="shared" si="1"/>
        <v>1.1834319526627219</v>
      </c>
      <c r="M18" s="329">
        <f t="shared" si="2"/>
        <v>3.0276971586226656E-3</v>
      </c>
      <c r="N18" s="342">
        <f>(1/$J$46)*SQRT(((1-J19/$J$46)*K18)^2+(J19/$J$46)^2*(SUMSQ(K$8:K17)+SUMSQ(K19:K$45)))</f>
        <v>1.3713814498233939E-4</v>
      </c>
      <c r="O18" s="340">
        <f t="shared" si="14"/>
        <v>4.5294538323220248</v>
      </c>
      <c r="P18" s="332">
        <f t="shared" si="7"/>
        <v>0.13340499480454329</v>
      </c>
      <c r="Q18" s="342">
        <f>SQRT(((1-P18)/$J$46)^2*SUMSQ(K$8:K18)+(P18/$J$46)^2*SUMSQ(K19:K$45))</f>
        <v>2.4661290213248963E-3</v>
      </c>
      <c r="R18" s="340">
        <f t="shared" si="15"/>
        <v>1.8486032137987902</v>
      </c>
      <c r="S18" s="343">
        <f t="shared" si="16"/>
        <v>2.1628139623822889E-8</v>
      </c>
      <c r="T18" s="344">
        <f t="shared" si="17"/>
        <v>1.8023449686519082E-10</v>
      </c>
      <c r="U18" s="344">
        <f>IF(P18&lt;=0.85, (1/(3*H18*$J$46))*SQRT( ((1-P18)*(1/SQRT(1-PI()*P18/3)-1) + (1-P17)*(1-1/SQRT(1-PI()*P17/3)))^2*SUMSQ(K$8:K17) + ( (1-P18)*(1/SQRT(1-PI()*P18/3)-1) -P17*(1-1/SQRT(1-PI()*P17/3)) )^2*K18^2 + ( P18*(1-1/SQRT(1-PI()*P18/3)) - P17*(1-1/SQRT(1-PI()*P17/3)) )^2*SUMSQ(K19:K$45) ), (1/(PI()^2*H18*$J$46))*SQRT((1+P17/(1-P17))^2*K18^2+(P17/(1-P17)-P18/(1-P18))^2*SUMSQ(K19:K$45)) )</f>
        <v>8.7815546709604016E-10</v>
      </c>
      <c r="V18" s="345">
        <f t="shared" si="18"/>
        <v>8.9646053914877537E-10</v>
      </c>
      <c r="W18" s="340">
        <f t="shared" si="19"/>
        <v>4.1448804878314416</v>
      </c>
      <c r="X18" s="345">
        <f t="shared" si="20"/>
        <v>1.7929210782975507E-9</v>
      </c>
      <c r="Y18" s="338">
        <f t="shared" si="8"/>
        <v>-17.649270609750111</v>
      </c>
      <c r="Z18" s="346">
        <f t="shared" si="21"/>
        <v>4.1448804878314413E-2</v>
      </c>
      <c r="AA18" s="346">
        <f t="shared" si="22"/>
        <v>0.2348471265176055</v>
      </c>
      <c r="AB18" s="346">
        <f t="shared" si="9"/>
        <v>8.2897609756628826E-2</v>
      </c>
      <c r="AC18" s="336">
        <f t="shared" si="3"/>
        <v>2.7911027671984942E-12</v>
      </c>
      <c r="AD18" s="337">
        <f t="shared" si="4"/>
        <v>1.5179690986825168E-13</v>
      </c>
      <c r="AE18" s="308">
        <f t="shared" si="10"/>
        <v>5.4385998126688238</v>
      </c>
      <c r="AF18" s="337">
        <f t="shared" si="11"/>
        <v>3.0359381973650336E-13</v>
      </c>
      <c r="AG18" s="338">
        <f t="shared" si="23"/>
        <v>-26.604584341128376</v>
      </c>
      <c r="AH18" s="339">
        <f t="shared" si="24"/>
        <v>5.4385998126688241E-2</v>
      </c>
      <c r="AI18" s="340">
        <f t="shared" si="25"/>
        <v>0.20442340849735513</v>
      </c>
      <c r="AJ18" s="341">
        <f t="shared" si="12"/>
        <v>0.10877199625337648</v>
      </c>
    </row>
    <row r="19" spans="1:39" x14ac:dyDescent="0.2">
      <c r="A19" s="309">
        <v>12</v>
      </c>
      <c r="B19" s="309">
        <f t="shared" si="13"/>
        <v>12</v>
      </c>
      <c r="C19" s="1">
        <v>384.97</v>
      </c>
      <c r="D19" s="1">
        <v>0.94</v>
      </c>
      <c r="E19" s="326">
        <f t="shared" si="5"/>
        <v>15.194797301404</v>
      </c>
      <c r="F19" s="327">
        <f t="shared" si="0"/>
        <v>2.0441593463232821E-2</v>
      </c>
      <c r="G19" s="309">
        <f t="shared" si="6"/>
        <v>1</v>
      </c>
      <c r="H19" s="1">
        <v>3600</v>
      </c>
      <c r="I19" s="324">
        <v>30</v>
      </c>
      <c r="J19" s="1">
        <v>2.0219999999999998E-2</v>
      </c>
      <c r="K19" s="1">
        <v>1.1E-4</v>
      </c>
      <c r="L19" s="328">
        <f t="shared" si="1"/>
        <v>0.5440158259149358</v>
      </c>
      <c r="M19" s="329">
        <f t="shared" si="2"/>
        <v>7.244974739331396E-3</v>
      </c>
      <c r="N19" s="342">
        <f>(1/$J$46)*SQRT(((1-J20/$J$46)*K19)^2+(J20/$J$46)^2*(SUMSQ(K$8:K18)+SUMSQ(K20:K$45)))</f>
        <v>2.6474190671991809E-4</v>
      </c>
      <c r="O19" s="340">
        <f t="shared" si="14"/>
        <v>3.6541453385985148</v>
      </c>
      <c r="P19" s="332">
        <f t="shared" si="7"/>
        <v>0.14064996954387468</v>
      </c>
      <c r="Q19" s="342">
        <f>SQRT(((1-P19)/$J$46)^2*SUMSQ(K$8:K19)+(P19/$J$46)^2*SUMSQ(K20:K$45))</f>
        <v>2.5968831426283114E-3</v>
      </c>
      <c r="R19" s="340">
        <f t="shared" si="15"/>
        <v>1.8463446178125433</v>
      </c>
      <c r="S19" s="343">
        <f t="shared" si="16"/>
        <v>5.4020759519848648E-8</v>
      </c>
      <c r="T19" s="344">
        <f t="shared" si="17"/>
        <v>4.5017299599873912E-10</v>
      </c>
      <c r="U19" s="344">
        <f>IF(P19&lt;=0.85, (1/(3*H19*$J$46))*SQRT( ((1-P19)*(1/SQRT(1-PI()*P19/3)-1) + (1-P18)*(1-1/SQRT(1-PI()*P18/3)))^2*SUMSQ(K$8:K18) + ( (1-P19)*(1/SQRT(1-PI()*P19/3)-1) -P18*(1-1/SQRT(1-PI()*P18/3)) )^2*K19^2 + ( P19*(1-1/SQRT(1-PI()*P19/3)) - P18*(1-1/SQRT(1-PI()*P18/3)) )^2*SUMSQ(K20:K$45) ), (1/(PI()^2*H19*$J$46))*SQRT((1+P18/(1-P18))^2*K19^2+(P18/(1-P18)-P19/(1-P19))^2*SUMSQ(K20:K$45)) )</f>
        <v>2.122785126639182E-9</v>
      </c>
      <c r="V19" s="345">
        <f t="shared" si="18"/>
        <v>2.1699936451996833E-9</v>
      </c>
      <c r="W19" s="340">
        <f t="shared" si="19"/>
        <v>4.0169624871756398</v>
      </c>
      <c r="X19" s="345">
        <f t="shared" si="20"/>
        <v>4.3399872903993667E-9</v>
      </c>
      <c r="Y19" s="338">
        <f t="shared" si="8"/>
        <v>-16.733897428705799</v>
      </c>
      <c r="Z19" s="346">
        <f t="shared" si="21"/>
        <v>4.0169624871756397E-2</v>
      </c>
      <c r="AA19" s="346">
        <f t="shared" si="22"/>
        <v>0.24004942687677941</v>
      </c>
      <c r="AB19" s="346">
        <f t="shared" si="9"/>
        <v>8.0339249743512794E-2</v>
      </c>
      <c r="AC19" s="336">
        <f t="shared" si="3"/>
        <v>6.9713574077326601E-12</v>
      </c>
      <c r="AD19" s="337">
        <f t="shared" si="4"/>
        <v>3.7239266850441346E-13</v>
      </c>
      <c r="AE19" s="308">
        <f t="shared" si="10"/>
        <v>5.3417526419080721</v>
      </c>
      <c r="AF19" s="337">
        <f t="shared" si="11"/>
        <v>7.4478533700882691E-13</v>
      </c>
      <c r="AG19" s="338">
        <f t="shared" si="23"/>
        <v>-25.68921116008406</v>
      </c>
      <c r="AH19" s="339">
        <f t="shared" si="24"/>
        <v>5.3417526419080721E-2</v>
      </c>
      <c r="AI19" s="340">
        <f t="shared" si="25"/>
        <v>0.20793758938803447</v>
      </c>
      <c r="AJ19" s="341">
        <f t="shared" si="12"/>
        <v>0.10683505283816144</v>
      </c>
    </row>
    <row r="20" spans="1:39" x14ac:dyDescent="0.2">
      <c r="A20" s="309">
        <v>13</v>
      </c>
      <c r="B20" s="309">
        <f t="shared" si="13"/>
        <v>13</v>
      </c>
      <c r="C20" s="1">
        <v>404.97</v>
      </c>
      <c r="D20" s="1">
        <v>1.04</v>
      </c>
      <c r="E20" s="326">
        <f t="shared" si="5"/>
        <v>14.746652509880256</v>
      </c>
      <c r="F20" s="327">
        <f t="shared" si="0"/>
        <v>2.1337733957553204E-2</v>
      </c>
      <c r="G20" s="309">
        <f t="shared" si="6"/>
        <v>1</v>
      </c>
      <c r="H20" s="1">
        <v>3600</v>
      </c>
      <c r="I20" s="324">
        <v>30</v>
      </c>
      <c r="J20" s="1">
        <v>3.9980000000000002E-2</v>
      </c>
      <c r="K20" s="1">
        <v>1.7000000000000001E-4</v>
      </c>
      <c r="L20" s="328">
        <f t="shared" si="1"/>
        <v>0.42521260630315161</v>
      </c>
      <c r="M20" s="329">
        <f t="shared" si="2"/>
        <v>1.4325128094879786E-2</v>
      </c>
      <c r="N20" s="342">
        <f>(1/$J$46)*SQRT(((1-J21/$J$46)*K20)^2+(J21/$J$46)^2*(SUMSQ(K$8:K19)+SUMSQ(K21:K$45)))</f>
        <v>4.3437101844779041E-4</v>
      </c>
      <c r="O20" s="340">
        <f t="shared" si="14"/>
        <v>3.0322313041169044</v>
      </c>
      <c r="P20" s="332">
        <f t="shared" si="7"/>
        <v>0.15497509763875447</v>
      </c>
      <c r="Q20" s="342">
        <f>SQRT(((1-P20)/$J$46)^2*SUMSQ(K$8:K20)+(P20/$J$46)^2*SUMSQ(K21:K$45))</f>
        <v>2.8559293939844476E-3</v>
      </c>
      <c r="R20" s="340">
        <f t="shared" si="15"/>
        <v>1.8428311628759821</v>
      </c>
      <c r="S20" s="343">
        <f t="shared" si="16"/>
        <v>1.1636706006047493E-7</v>
      </c>
      <c r="T20" s="344">
        <f t="shared" si="17"/>
        <v>9.6972550050395951E-10</v>
      </c>
      <c r="U20" s="344">
        <f>IF(P20&lt;=0.85, (1/(3*H20*$J$46))*SQRT( ((1-P20)*(1/SQRT(1-PI()*P20/3)-1) + (1-P19)*(1-1/SQRT(1-PI()*P19/3)))^2*SUMSQ(K$8:K19) + ( (1-P20)*(1/SQRT(1-PI()*P20/3)-1) -P19*(1-1/SQRT(1-PI()*P19/3)) )^2*K20^2 + ( P20*(1-1/SQRT(1-PI()*P20/3)) - P19*(1-1/SQRT(1-PI()*P19/3)) )^2*SUMSQ(K21:K$45) ), (1/(PI()^2*H20*$J$46))*SQRT((1+P19/(1-P19))^2*K20^2+(P19/(1-P19)-P20/(1-P20))^2*SUMSQ(K21:K$45)) )</f>
        <v>4.5783696387545748E-9</v>
      </c>
      <c r="V20" s="345">
        <f t="shared" si="18"/>
        <v>4.6799397533939843E-9</v>
      </c>
      <c r="W20" s="340">
        <f t="shared" si="19"/>
        <v>4.0217048973840717</v>
      </c>
      <c r="X20" s="345">
        <f t="shared" si="20"/>
        <v>9.3598795067879686E-9</v>
      </c>
      <c r="Y20" s="338">
        <f t="shared" si="8"/>
        <v>-15.966516330869243</v>
      </c>
      <c r="Z20" s="346">
        <f t="shared" si="21"/>
        <v>4.0217048973840715E-2</v>
      </c>
      <c r="AA20" s="346">
        <f t="shared" si="22"/>
        <v>0.251883680449981</v>
      </c>
      <c r="AB20" s="346">
        <f t="shared" si="9"/>
        <v>8.0434097947681429E-2</v>
      </c>
      <c r="AC20" s="336">
        <f t="shared" si="3"/>
        <v>1.5017122553980265E-11</v>
      </c>
      <c r="AD20" s="337">
        <f t="shared" si="4"/>
        <v>8.0271322781526364E-13</v>
      </c>
      <c r="AE20" s="308">
        <f t="shared" si="10"/>
        <v>5.3453198169612444</v>
      </c>
      <c r="AF20" s="337">
        <f t="shared" si="11"/>
        <v>1.6054264556305273E-12</v>
      </c>
      <c r="AG20" s="338">
        <f t="shared" si="23"/>
        <v>-24.921830062247505</v>
      </c>
      <c r="AH20" s="339">
        <f t="shared" si="24"/>
        <v>5.3453198169612443E-2</v>
      </c>
      <c r="AI20" s="340">
        <f t="shared" si="25"/>
        <v>0.21448343896135177</v>
      </c>
      <c r="AJ20" s="341">
        <f t="shared" si="12"/>
        <v>0.10690639633922489</v>
      </c>
    </row>
    <row r="21" spans="1:39" x14ac:dyDescent="0.2">
      <c r="A21" s="309">
        <v>14</v>
      </c>
      <c r="B21" s="309">
        <f t="shared" si="13"/>
        <v>14</v>
      </c>
      <c r="C21" s="1">
        <v>424.99</v>
      </c>
      <c r="D21" s="1">
        <v>1.01</v>
      </c>
      <c r="E21" s="326">
        <f t="shared" si="5"/>
        <v>14.323774601082878</v>
      </c>
      <c r="F21" s="327">
        <f t="shared" si="0"/>
        <v>1.9584078399900971E-2</v>
      </c>
      <c r="G21" s="309">
        <f t="shared" si="6"/>
        <v>1</v>
      </c>
      <c r="H21" s="1">
        <v>3600</v>
      </c>
      <c r="I21" s="324">
        <v>30</v>
      </c>
      <c r="J21" s="1">
        <v>6.5689999999999998E-2</v>
      </c>
      <c r="K21" s="1">
        <v>1.8000000000000001E-4</v>
      </c>
      <c r="L21" s="328">
        <f t="shared" si="1"/>
        <v>0.27401430963616991</v>
      </c>
      <c r="M21" s="329">
        <f t="shared" si="2"/>
        <v>2.353721021892579E-2</v>
      </c>
      <c r="N21" s="342">
        <f>(1/$J$46)*SQRT(((1-J22/$J$46)*K21)^2+(J22/$J$46)^2*(SUMSQ(K$8:K20)+SUMSQ(K22:K$45)))</f>
        <v>5.5564364492025303E-4</v>
      </c>
      <c r="O21" s="340">
        <f t="shared" si="14"/>
        <v>2.3607030729303311</v>
      </c>
      <c r="P21" s="332">
        <f t="shared" si="7"/>
        <v>0.17851230785768027</v>
      </c>
      <c r="Q21" s="342">
        <f>SQRT(((1-P21)/$J$46)^2*SUMSQ(K$8:K21)+(P21/$J$46)^2*SUMSQ(K22:K$45))</f>
        <v>3.2822763506070904E-3</v>
      </c>
      <c r="R21" s="340">
        <f t="shared" si="15"/>
        <v>1.8386835003129869</v>
      </c>
      <c r="S21" s="343">
        <f t="shared" si="16"/>
        <v>2.195426861309123E-7</v>
      </c>
      <c r="T21" s="344">
        <f t="shared" si="17"/>
        <v>1.829522384424272E-9</v>
      </c>
      <c r="U21" s="344">
        <f>IF(P21&lt;=0.85, (1/(3*H21*$J$46))*SQRT( ((1-P21)*(1/SQRT(1-PI()*P21/3)-1) + (1-P20)*(1-1/SQRT(1-PI()*P20/3)))^2*SUMSQ(K$8:K20) + ( (1-P21)*(1/SQRT(1-PI()*P21/3)-1) -P20*(1-1/SQRT(1-PI()*P20/3)) )^2*K21^2 + ( P21*(1-1/SQRT(1-PI()*P21/3)) - P20*(1-1/SQRT(1-PI()*P20/3)) )^2*SUMSQ(K22:K$45) ), (1/(PI()^2*H21*$J$46))*SQRT((1+P20/(1-P20))^2*K21^2+(P20/(1-P20)-P21/(1-P21))^2*SUMSQ(K22:K$45)) )</f>
        <v>8.6868332657498672E-9</v>
      </c>
      <c r="V21" s="345">
        <f t="shared" si="18"/>
        <v>8.877399638522983E-9</v>
      </c>
      <c r="W21" s="340">
        <f t="shared" si="19"/>
        <v>4.0435870558809821</v>
      </c>
      <c r="X21" s="345">
        <f t="shared" si="20"/>
        <v>1.7754799277045966E-8</v>
      </c>
      <c r="Y21" s="338">
        <f t="shared" si="8"/>
        <v>-15.331719153493291</v>
      </c>
      <c r="Z21" s="346">
        <f t="shared" si="21"/>
        <v>4.0435870558809824E-2</v>
      </c>
      <c r="AA21" s="346">
        <f t="shared" si="22"/>
        <v>0.26373996388785026</v>
      </c>
      <c r="AB21" s="346">
        <f t="shared" si="9"/>
        <v>8.0871741117619647E-2</v>
      </c>
      <c r="AC21" s="336">
        <f t="shared" si="3"/>
        <v>2.8331895828119778E-11</v>
      </c>
      <c r="AD21" s="337">
        <f t="shared" si="4"/>
        <v>1.5191004016746155E-12</v>
      </c>
      <c r="AE21" s="308">
        <f t="shared" si="10"/>
        <v>5.3618028630716914</v>
      </c>
      <c r="AF21" s="337">
        <f t="shared" si="11"/>
        <v>3.0382008033492311E-12</v>
      </c>
      <c r="AG21" s="338">
        <f t="shared" si="23"/>
        <v>-24.287032884871554</v>
      </c>
      <c r="AH21" s="339">
        <f t="shared" si="24"/>
        <v>5.3618028630716921E-2</v>
      </c>
      <c r="AI21" s="340">
        <f t="shared" si="25"/>
        <v>0.22076813122823127</v>
      </c>
      <c r="AJ21" s="341">
        <f t="shared" si="12"/>
        <v>0.10723605726143384</v>
      </c>
    </row>
    <row r="22" spans="1:39" x14ac:dyDescent="0.2">
      <c r="A22" s="309">
        <v>15</v>
      </c>
      <c r="B22" s="309">
        <f t="shared" si="13"/>
        <v>15</v>
      </c>
      <c r="C22" s="1">
        <v>444.99</v>
      </c>
      <c r="D22" s="1">
        <v>1.02</v>
      </c>
      <c r="E22" s="326">
        <f t="shared" si="5"/>
        <v>13.924861447628597</v>
      </c>
      <c r="F22" s="327">
        <f t="shared" si="0"/>
        <v>1.8722247980843695E-2</v>
      </c>
      <c r="G22" s="309">
        <f t="shared" si="6"/>
        <v>1</v>
      </c>
      <c r="H22" s="1">
        <v>3600</v>
      </c>
      <c r="I22" s="324">
        <v>30</v>
      </c>
      <c r="J22" s="1">
        <v>8.4290000000000004E-2</v>
      </c>
      <c r="K22" s="1">
        <v>1.9000000000000001E-4</v>
      </c>
      <c r="L22" s="328">
        <f t="shared" si="1"/>
        <v>0.22541226717285565</v>
      </c>
      <c r="M22" s="329">
        <f t="shared" si="2"/>
        <v>3.0201727041456156E-2</v>
      </c>
      <c r="N22" s="342">
        <f>(1/$J$46)*SQRT(((1-J23/$J$46)*K22)^2+(J23/$J$46)^2*(SUMSQ(K$8:K21)+SUMSQ(K23:K$45)))</f>
        <v>5.9721747497902935E-4</v>
      </c>
      <c r="O22" s="340">
        <f t="shared" si="14"/>
        <v>1.9774282250788626</v>
      </c>
      <c r="P22" s="332">
        <f t="shared" si="7"/>
        <v>0.20871403489913642</v>
      </c>
      <c r="Q22" s="342">
        <f>SQRT(((1-P22)/$J$46)^2*SUMSQ(K$8:K22)+(P22/$J$46)^2*SUMSQ(K23:K$45))</f>
        <v>3.8305035203988658E-3</v>
      </c>
      <c r="R22" s="340">
        <f t="shared" si="15"/>
        <v>1.8352879442199481</v>
      </c>
      <c r="S22" s="343">
        <f t="shared" si="16"/>
        <v>3.3562098935907434E-7</v>
      </c>
      <c r="T22" s="344">
        <f t="shared" si="17"/>
        <v>2.7968415779922838E-9</v>
      </c>
      <c r="U22" s="344">
        <f>IF(P22&lt;=0.85, (1/(3*H22*$J$46))*SQRT( ((1-P22)*(1/SQRT(1-PI()*P22/3)-1) + (1-P21)*(1-1/SQRT(1-PI()*P21/3)))^2*SUMSQ(K$8:K21) + ( (1-P22)*(1/SQRT(1-PI()*P22/3)-1) -P21*(1-1/SQRT(1-PI()*P21/3)) )^2*K22^2 + ( P22*(1-1/SQRT(1-PI()*P22/3)) - P21*(1-1/SQRT(1-PI()*P21/3)) )^2*SUMSQ(K23:K$45) ), (1/(PI()^2*H22*$J$46))*SQRT((1+P21/(1-P21))^2*K22^2+(P21/(1-P21)-P22/(1-P22))^2*SUMSQ(K23:K$45)) )</f>
        <v>1.3454240300618617E-8</v>
      </c>
      <c r="V22" s="345">
        <f t="shared" si="18"/>
        <v>1.3741866862954847E-8</v>
      </c>
      <c r="W22" s="340">
        <f t="shared" si="19"/>
        <v>4.094459911222267</v>
      </c>
      <c r="X22" s="345">
        <f t="shared" si="20"/>
        <v>2.7483733725909695E-8</v>
      </c>
      <c r="Y22" s="338">
        <f t="shared" si="8"/>
        <v>-14.907283321522803</v>
      </c>
      <c r="Z22" s="346">
        <f t="shared" si="21"/>
        <v>4.0944599112222667E-2</v>
      </c>
      <c r="AA22" s="346">
        <f t="shared" si="22"/>
        <v>0.27466170883804003</v>
      </c>
      <c r="AB22" s="346">
        <f t="shared" si="9"/>
        <v>8.1889198224445334E-2</v>
      </c>
      <c r="AC22" s="336">
        <f t="shared" si="3"/>
        <v>4.3311754428392795E-11</v>
      </c>
      <c r="AD22" s="337">
        <f t="shared" si="4"/>
        <v>2.3389524650808464E-12</v>
      </c>
      <c r="AE22" s="308">
        <f t="shared" si="10"/>
        <v>5.4002718106185927</v>
      </c>
      <c r="AF22" s="337">
        <f t="shared" si="11"/>
        <v>4.6779049301616928E-12</v>
      </c>
      <c r="AG22" s="338">
        <f t="shared" si="23"/>
        <v>-23.862597052901066</v>
      </c>
      <c r="AH22" s="339">
        <f t="shared" si="24"/>
        <v>5.4002718106185933E-2</v>
      </c>
      <c r="AI22" s="340">
        <f t="shared" si="25"/>
        <v>0.22630696058131114</v>
      </c>
      <c r="AJ22" s="341">
        <f t="shared" si="12"/>
        <v>0.10800543621237187</v>
      </c>
    </row>
    <row r="23" spans="1:39" x14ac:dyDescent="0.2">
      <c r="A23" s="309">
        <v>16</v>
      </c>
      <c r="B23" s="309">
        <f t="shared" si="13"/>
        <v>16</v>
      </c>
      <c r="C23" s="1">
        <v>464.96</v>
      </c>
      <c r="D23" s="1">
        <v>1.1200000000000001</v>
      </c>
      <c r="E23" s="326">
        <f t="shared" si="5"/>
        <v>13.548116134451506</v>
      </c>
      <c r="F23" s="327">
        <f t="shared" si="0"/>
        <v>1.9484815032710722E-2</v>
      </c>
      <c r="G23" s="309">
        <f t="shared" si="6"/>
        <v>1</v>
      </c>
      <c r="H23" s="1">
        <v>3600</v>
      </c>
      <c r="I23" s="324">
        <v>30</v>
      </c>
      <c r="J23" s="1">
        <v>9.0620000000000006E-2</v>
      </c>
      <c r="K23" s="1">
        <v>2.5999999999999998E-4</v>
      </c>
      <c r="L23" s="328">
        <f t="shared" si="1"/>
        <v>0.28691238137276531</v>
      </c>
      <c r="M23" s="329">
        <f t="shared" si="2"/>
        <v>3.2469812605252779E-2</v>
      </c>
      <c r="N23" s="342">
        <f>(1/$J$46)*SQRT(((1-J24/$J$46)*K23)^2+(J24/$J$46)^2*(SUMSQ(K$8:K22)+SUMSQ(K24:K$45)))</f>
        <v>6.2737282147585908E-4</v>
      </c>
      <c r="O23" s="340">
        <f t="shared" si="14"/>
        <v>1.9321725970613282</v>
      </c>
      <c r="P23" s="332">
        <f t="shared" si="7"/>
        <v>0.2411838475043892</v>
      </c>
      <c r="Q23" s="342">
        <f>SQRT(((1-P23)/$J$46)^2*SUMSQ(K$8:K23)+(P23/$J$46)^2*SUMSQ(K24:K$45))</f>
        <v>4.4211267596880616E-3</v>
      </c>
      <c r="R23" s="340">
        <f t="shared" si="15"/>
        <v>1.8330940506318953</v>
      </c>
      <c r="S23" s="343">
        <f t="shared" si="16"/>
        <v>4.3238307918695675E-7</v>
      </c>
      <c r="T23" s="344">
        <f t="shared" si="17"/>
        <v>3.6031923265579775E-9</v>
      </c>
      <c r="U23" s="344">
        <f>IF(P23&lt;=0.85, (1/(3*H23*$J$46))*SQRT( ((1-P23)*(1/SQRT(1-PI()*P23/3)-1) + (1-P22)*(1-1/SQRT(1-PI()*P22/3)))^2*SUMSQ(K$8:K22) + ( (1-P23)*(1/SQRT(1-PI()*P23/3)-1) -P22*(1-1/SQRT(1-PI()*P22/3)) )^2*K23^2 + ( P23*(1-1/SQRT(1-PI()*P23/3)) - P22*(1-1/SQRT(1-PI()*P22/3)) )^2*SUMSQ(K24:K$45) ), (1/(PI()^2*H23*$J$46))*SQRT((1+P22/(1-P22))^2*K23^2+(P22/(1-P22)-P23/(1-P23))^2*SUMSQ(K24:K$45)) )</f>
        <v>1.765134663136279E-8</v>
      </c>
      <c r="V23" s="345">
        <f t="shared" si="18"/>
        <v>1.801535547366992E-8</v>
      </c>
      <c r="W23" s="340">
        <f t="shared" si="19"/>
        <v>4.1665264763703478</v>
      </c>
      <c r="X23" s="345">
        <f t="shared" si="20"/>
        <v>3.603071094733984E-8</v>
      </c>
      <c r="Y23" s="338">
        <f t="shared" si="8"/>
        <v>-14.653953884262133</v>
      </c>
      <c r="Z23" s="346">
        <f t="shared" si="21"/>
        <v>4.1665264763703476E-2</v>
      </c>
      <c r="AA23" s="346">
        <f t="shared" si="22"/>
        <v>0.28432780048837608</v>
      </c>
      <c r="AB23" s="346">
        <f t="shared" si="9"/>
        <v>8.3330529527406952E-2</v>
      </c>
      <c r="AC23" s="336">
        <f t="shared" si="3"/>
        <v>5.5798863415845091E-11</v>
      </c>
      <c r="AD23" s="337">
        <f t="shared" si="4"/>
        <v>3.043892008409355E-12</v>
      </c>
      <c r="AE23" s="308">
        <f t="shared" si="10"/>
        <v>5.4551147139405485</v>
      </c>
      <c r="AF23" s="337">
        <f t="shared" si="11"/>
        <v>6.08778401681871E-12</v>
      </c>
      <c r="AG23" s="338">
        <f t="shared" si="23"/>
        <v>-23.609267615640398</v>
      </c>
      <c r="AH23" s="339">
        <f t="shared" si="24"/>
        <v>5.4551147139405481E-2</v>
      </c>
      <c r="AI23" s="340">
        <f t="shared" si="25"/>
        <v>0.23105819302614478</v>
      </c>
      <c r="AJ23" s="341">
        <f t="shared" si="12"/>
        <v>0.10910229427881096</v>
      </c>
    </row>
    <row r="24" spans="1:39" x14ac:dyDescent="0.2">
      <c r="A24" s="309">
        <v>17</v>
      </c>
      <c r="B24" s="309">
        <f t="shared" si="13"/>
        <v>17</v>
      </c>
      <c r="C24" s="1">
        <v>485.01</v>
      </c>
      <c r="D24" s="1">
        <v>9.51</v>
      </c>
      <c r="E24" s="326">
        <f t="shared" si="5"/>
        <v>13.18982800464282</v>
      </c>
      <c r="F24" s="327">
        <f t="shared" si="0"/>
        <v>0.15911016837598335</v>
      </c>
      <c r="G24" s="309">
        <f t="shared" si="6"/>
        <v>1</v>
      </c>
      <c r="H24" s="1">
        <v>3600</v>
      </c>
      <c r="I24" s="324">
        <v>30</v>
      </c>
      <c r="J24" s="1">
        <v>9.4789999999999999E-2</v>
      </c>
      <c r="K24" s="1">
        <v>3.6999999999999999E-4</v>
      </c>
      <c r="L24" s="328">
        <f t="shared" si="1"/>
        <v>0.39033653338959806</v>
      </c>
      <c r="M24" s="329">
        <f t="shared" si="2"/>
        <v>3.3963954279981362E-2</v>
      </c>
      <c r="N24" s="342">
        <f>(1/$J$46)*SQRT(((1-J25/$J$46)*K24)^2+(J25/$J$46)^2*(SUMSQ(K$8:K23)+SUMSQ(K25:K$45)))</f>
        <v>4.6323673610637893E-4</v>
      </c>
      <c r="O24" s="340">
        <f t="shared" si="14"/>
        <v>1.3639069593831554</v>
      </c>
      <c r="P24" s="332">
        <f t="shared" si="7"/>
        <v>0.27514780178437059</v>
      </c>
      <c r="Q24" s="342">
        <f>SQRT(((1-P24)/$J$46)^2*SUMSQ(K$8:K24)+(P24/$J$46)^2*SUMSQ(K25:K$45))</f>
        <v>5.0399308213326562E-3</v>
      </c>
      <c r="R24" s="340">
        <f t="shared" si="15"/>
        <v>1.8317176399913155</v>
      </c>
      <c r="S24" s="343">
        <f t="shared" si="16"/>
        <v>5.370694874158077E-7</v>
      </c>
      <c r="T24" s="344">
        <f t="shared" si="17"/>
        <v>4.4755790617983944E-9</v>
      </c>
      <c r="U24" s="344">
        <f>IF(P24&lt;=0.85, (1/(3*H24*$J$46))*SQRT( ((1-P24)*(1/SQRT(1-PI()*P24/3)-1) + (1-P23)*(1-1/SQRT(1-PI()*P23/3)))^2*SUMSQ(K$8:K23) + ( (1-P24)*(1/SQRT(1-PI()*P24/3)-1) -P23*(1-1/SQRT(1-PI()*P23/3)) )^2*K24^2 + ( P24*(1-1/SQRT(1-PI()*P24/3)) - P23*(1-1/SQRT(1-PI()*P23/3)) )^2*SUMSQ(K25:K$45) ), (1/(PI()^2*H24*$J$46))*SQRT((1+P23/(1-P23))^2*K24^2+(P23/(1-P23)-P24/(1-P24))^2*SUMSQ(K25:K$45)) )</f>
        <v>2.2403046741900836E-8</v>
      </c>
      <c r="V24" s="345">
        <f t="shared" si="18"/>
        <v>2.2845728512310607E-8</v>
      </c>
      <c r="W24" s="340">
        <f t="shared" si="19"/>
        <v>4.2537751720426975</v>
      </c>
      <c r="X24" s="345">
        <f t="shared" si="20"/>
        <v>4.5691457024621215E-8</v>
      </c>
      <c r="Y24" s="338">
        <f t="shared" si="8"/>
        <v>-14.437138351524354</v>
      </c>
      <c r="Z24" s="346">
        <f t="shared" si="21"/>
        <v>4.2537751720426974E-2</v>
      </c>
      <c r="AA24" s="346">
        <f t="shared" si="22"/>
        <v>0.29464115868873419</v>
      </c>
      <c r="AB24" s="346">
        <f t="shared" si="9"/>
        <v>8.5075503440853947E-2</v>
      </c>
      <c r="AC24" s="336">
        <f t="shared" si="3"/>
        <v>6.9308602523215013E-11</v>
      </c>
      <c r="AD24" s="337">
        <f t="shared" si="4"/>
        <v>3.8272494524126572E-12</v>
      </c>
      <c r="AE24" s="308">
        <f t="shared" si="10"/>
        <v>5.5220410065701655</v>
      </c>
      <c r="AF24" s="337">
        <f t="shared" si="11"/>
        <v>7.6544989048253144E-12</v>
      </c>
      <c r="AG24" s="338">
        <f t="shared" si="23"/>
        <v>-23.392452082902619</v>
      </c>
      <c r="AH24" s="339">
        <f t="shared" si="24"/>
        <v>5.522041006570165E-2</v>
      </c>
      <c r="AI24" s="340">
        <f t="shared" si="25"/>
        <v>0.23606080230495316</v>
      </c>
      <c r="AJ24" s="341">
        <f t="shared" si="12"/>
        <v>0.1104408201314033</v>
      </c>
    </row>
    <row r="25" spans="1:39" x14ac:dyDescent="0.2">
      <c r="A25" s="309">
        <v>18</v>
      </c>
      <c r="B25" s="309">
        <f t="shared" si="13"/>
        <v>18</v>
      </c>
      <c r="C25" s="1">
        <v>499.96</v>
      </c>
      <c r="D25" s="1">
        <v>1.07</v>
      </c>
      <c r="E25" s="326">
        <f t="shared" si="5"/>
        <v>12.93476995511635</v>
      </c>
      <c r="F25" s="327">
        <f t="shared" si="0"/>
        <v>1.8136281476851306E-2</v>
      </c>
      <c r="G25" s="309">
        <f t="shared" si="6"/>
        <v>1</v>
      </c>
      <c r="H25" s="1">
        <v>3600</v>
      </c>
      <c r="I25" s="324">
        <v>30</v>
      </c>
      <c r="J25" s="1">
        <v>6.7909999999999998E-2</v>
      </c>
      <c r="K25" s="1">
        <v>2.4000000000000001E-4</v>
      </c>
      <c r="L25" s="328">
        <f t="shared" si="1"/>
        <v>0.35340892357532028</v>
      </c>
      <c r="M25" s="329">
        <f t="shared" si="2"/>
        <v>2.4332652549356834E-2</v>
      </c>
      <c r="N25" s="342">
        <f>(1/$J$46)*SQRT(((1-J26/$J$46)*K25)^2+(J26/$J$46)^2*(SUMSQ(K$8:K24)+SUMSQ(K26:K$45)))</f>
        <v>2.3384042508589294E-4</v>
      </c>
      <c r="O25" s="340">
        <f t="shared" si="14"/>
        <v>0.9610149350202013</v>
      </c>
      <c r="P25" s="332">
        <f t="shared" si="7"/>
        <v>0.29948045433372744</v>
      </c>
      <c r="Q25" s="342">
        <f>SQRT(((1-P25)/$J$46)^2*SUMSQ(K$8:K25)+(P25/$J$46)^2*SUMSQ(K26:K$45))</f>
        <v>5.4832243917411587E-3</v>
      </c>
      <c r="R25" s="340">
        <f t="shared" si="15"/>
        <v>1.8309122723685005</v>
      </c>
      <c r="S25" s="343">
        <f t="shared" si="16"/>
        <v>4.4165045196025508E-7</v>
      </c>
      <c r="T25" s="344">
        <f t="shared" si="17"/>
        <v>3.6804204330021243E-9</v>
      </c>
      <c r="U25" s="344">
        <f>IF(P25&lt;=0.85, (1/(3*H25*$J$46))*SQRT( ((1-P25)*(1/SQRT(1-PI()*P25/3)-1) + (1-P24)*(1-1/SQRT(1-PI()*P24/3)))^2*SUMSQ(K$8:K24) + ( (1-P25)*(1/SQRT(1-PI()*P25/3)-1) -P24*(1-1/SQRT(1-PI()*P24/3)) )^2*K25^2 + ( P25*(1-1/SQRT(1-PI()*P25/3)) - P24*(1-1/SQRT(1-PI()*P24/3)) )^2*SUMSQ(K26:K$45) ), (1/(PI()^2*H25*$J$46))*SQRT((1+P24/(1-P24))^2*K25^2+(P24/(1-P24)-P25/(1-P25))^2*SUMSQ(K26:K$45)) )</f>
        <v>1.8744169498088129E-8</v>
      </c>
      <c r="V25" s="345">
        <f t="shared" si="18"/>
        <v>1.9102078021427852E-8</v>
      </c>
      <c r="W25" s="340">
        <f t="shared" si="19"/>
        <v>4.3251575848374504</v>
      </c>
      <c r="X25" s="345">
        <f t="shared" si="20"/>
        <v>3.8204156042855704E-8</v>
      </c>
      <c r="Y25" s="338">
        <f t="shared" si="8"/>
        <v>-14.632747100410938</v>
      </c>
      <c r="Z25" s="346">
        <f t="shared" si="21"/>
        <v>4.3251575848374503E-2</v>
      </c>
      <c r="AA25" s="346">
        <f t="shared" si="22"/>
        <v>0.2955806968546586</v>
      </c>
      <c r="AB25" s="346">
        <f t="shared" si="9"/>
        <v>8.6503151696749006E-2</v>
      </c>
      <c r="AC25" s="336">
        <f t="shared" si="3"/>
        <v>5.6994814165290127E-11</v>
      </c>
      <c r="AD25" s="337">
        <f t="shared" si="4"/>
        <v>3.1787230510453654E-12</v>
      </c>
      <c r="AE25" s="308">
        <f t="shared" si="10"/>
        <v>5.5772145195995915</v>
      </c>
      <c r="AF25" s="337">
        <f t="shared" si="11"/>
        <v>6.3574461020907308E-12</v>
      </c>
      <c r="AG25" s="338">
        <f t="shared" si="23"/>
        <v>-23.588060831789203</v>
      </c>
      <c r="AH25" s="339">
        <f t="shared" si="24"/>
        <v>5.5772145195995909E-2</v>
      </c>
      <c r="AI25" s="340">
        <f t="shared" si="25"/>
        <v>0.23644226455797843</v>
      </c>
      <c r="AJ25" s="341">
        <f t="shared" si="12"/>
        <v>0.11154429039199182</v>
      </c>
    </row>
    <row r="26" spans="1:39" x14ac:dyDescent="0.2">
      <c r="A26" s="309">
        <v>19</v>
      </c>
      <c r="B26" s="309">
        <f t="shared" si="13"/>
        <v>19</v>
      </c>
      <c r="C26" s="1">
        <v>494.95</v>
      </c>
      <c r="D26" s="1">
        <v>1.07</v>
      </c>
      <c r="E26" s="326">
        <f t="shared" si="5"/>
        <v>13.019138133055593</v>
      </c>
      <c r="F26" s="327">
        <f t="shared" si="0"/>
        <v>1.9117946736579929E-2</v>
      </c>
      <c r="G26" s="309">
        <f t="shared" si="6"/>
        <v>1</v>
      </c>
      <c r="H26" s="1">
        <v>3600</v>
      </c>
      <c r="I26" s="324">
        <v>30</v>
      </c>
      <c r="J26" s="1">
        <v>3.3259999999999998E-2</v>
      </c>
      <c r="K26" s="1">
        <v>1.2E-4</v>
      </c>
      <c r="L26" s="328">
        <f t="shared" si="1"/>
        <v>0.36079374624173183</v>
      </c>
      <c r="M26" s="329">
        <f t="shared" si="2"/>
        <v>1.1917302662223652E-2</v>
      </c>
      <c r="N26" s="342">
        <f>(1/$J$46)*SQRT(((1-J27/$J$46)*K26)^2+(J27/$J$46)^2*(SUMSQ(K$8:K25)+SUMSQ(K27:K$45)))</f>
        <v>9.3494226191095228E-5</v>
      </c>
      <c r="O26" s="340">
        <f t="shared" si="14"/>
        <v>0.78452506276827338</v>
      </c>
      <c r="P26" s="332">
        <f t="shared" si="7"/>
        <v>0.31139775699595107</v>
      </c>
      <c r="Q26" s="342">
        <f>SQRT(((1-P26)/$J$46)^2*SUMSQ(K$8:K26)+(P26/$J$46)^2*SUMSQ(K27:K$45))</f>
        <v>5.7003397071951796E-3</v>
      </c>
      <c r="R26" s="340">
        <f t="shared" si="15"/>
        <v>1.8305654357264038</v>
      </c>
      <c r="S26" s="343">
        <f t="shared" si="16"/>
        <v>2.3455203117841899E-7</v>
      </c>
      <c r="T26" s="344">
        <f t="shared" si="17"/>
        <v>1.9546002598201571E-9</v>
      </c>
      <c r="U26" s="344">
        <f>IF(P26&lt;=0.85, (1/(3*H26*$J$46))*SQRT( ((1-P26)*(1/SQRT(1-PI()*P26/3)-1) + (1-P25)*(1-1/SQRT(1-PI()*P25/3)))^2*SUMSQ(K$8:K25) + ( (1-P26)*(1/SQRT(1-PI()*P26/3)-1) -P25*(1-1/SQRT(1-PI()*P25/3)) )^2*K26^2 + ( P26*(1-1/SQRT(1-PI()*P26/3)) - P25*(1-1/SQRT(1-PI()*P25/3)) )^2*SUMSQ(K27:K$45) ), (1/(PI()^2*H26*$J$46))*SQRT((1+P25/(1-P25))^2*K26^2+(P25/(1-P25)-P26/(1-P26))^2*SUMSQ(K27:K$45)) )</f>
        <v>1.0074695277653439E-8</v>
      </c>
      <c r="V26" s="345">
        <f t="shared" si="18"/>
        <v>1.026255071184847E-8</v>
      </c>
      <c r="W26" s="340">
        <f t="shared" si="19"/>
        <v>4.3753834321059264</v>
      </c>
      <c r="X26" s="345">
        <f t="shared" si="20"/>
        <v>2.0525101423696941E-8</v>
      </c>
      <c r="Y26" s="338">
        <f t="shared" si="8"/>
        <v>-15.265588392314241</v>
      </c>
      <c r="Z26" s="346">
        <f t="shared" si="21"/>
        <v>4.3753834321059261E-2</v>
      </c>
      <c r="AA26" s="346">
        <f t="shared" si="22"/>
        <v>0.28661741163601651</v>
      </c>
      <c r="AB26" s="346">
        <f t="shared" si="9"/>
        <v>8.7507668642118522E-2</v>
      </c>
      <c r="AC26" s="336">
        <f t="shared" si="3"/>
        <v>3.0268845802762501E-11</v>
      </c>
      <c r="AD26" s="337">
        <f t="shared" si="4"/>
        <v>1.699975393830515E-12</v>
      </c>
      <c r="AE26" s="308">
        <f t="shared" si="10"/>
        <v>5.6162544317278389</v>
      </c>
      <c r="AF26" s="337">
        <f t="shared" si="11"/>
        <v>3.3999507876610299E-12</v>
      </c>
      <c r="AG26" s="338">
        <f t="shared" si="23"/>
        <v>-24.220902123692504</v>
      </c>
      <c r="AH26" s="339">
        <f t="shared" si="24"/>
        <v>5.6162544317278393E-2</v>
      </c>
      <c r="AI26" s="340">
        <f t="shared" si="25"/>
        <v>0.23187635221208822</v>
      </c>
      <c r="AJ26" s="341">
        <f t="shared" si="12"/>
        <v>0.11232508863455679</v>
      </c>
    </row>
    <row r="27" spans="1:39" x14ac:dyDescent="0.2">
      <c r="A27" s="309">
        <v>20</v>
      </c>
      <c r="B27" s="309">
        <f t="shared" si="13"/>
        <v>20</v>
      </c>
      <c r="C27" s="1">
        <v>474.97</v>
      </c>
      <c r="D27" s="1">
        <v>1.1399999999999999</v>
      </c>
      <c r="E27" s="326">
        <f t="shared" si="5"/>
        <v>13.366839544458108</v>
      </c>
      <c r="F27" s="327">
        <f t="shared" si="0"/>
        <v>2.1502993839952095E-2</v>
      </c>
      <c r="G27" s="309">
        <f t="shared" si="6"/>
        <v>1</v>
      </c>
      <c r="H27" s="1">
        <v>3600</v>
      </c>
      <c r="I27" s="324">
        <v>30</v>
      </c>
      <c r="J27" s="1">
        <v>1.269E-2</v>
      </c>
      <c r="K27" s="1">
        <v>1.2999999999999999E-4</v>
      </c>
      <c r="L27" s="328">
        <f t="shared" si="1"/>
        <v>1.024428684003152</v>
      </c>
      <c r="M27" s="329">
        <f t="shared" si="2"/>
        <v>4.5469203482747488E-3</v>
      </c>
      <c r="N27" s="342">
        <f>(1/$J$46)*SQRT(((1-J28/$J$46)*K27)^2+(J28/$J$46)^2*(SUMSQ(K$8:K26)+SUMSQ(K28:K$45)))</f>
        <v>5.7983829471213866E-5</v>
      </c>
      <c r="O27" s="340">
        <f t="shared" si="14"/>
        <v>1.2752330155335763</v>
      </c>
      <c r="P27" s="332">
        <f t="shared" si="7"/>
        <v>0.31594467734422582</v>
      </c>
      <c r="Q27" s="342">
        <f>SQRT(((1-P27)/$J$46)^2*SUMSQ(K$8:K27)+(P27/$J$46)^2*SUMSQ(K28:K$45))</f>
        <v>5.7832370946618228E-3</v>
      </c>
      <c r="R27" s="340">
        <f t="shared" si="15"/>
        <v>1.8304587826181071</v>
      </c>
      <c r="S27" s="343">
        <f t="shared" si="16"/>
        <v>9.2752557609331353E-8</v>
      </c>
      <c r="T27" s="344">
        <f t="shared" si="17"/>
        <v>7.729379800777611E-10</v>
      </c>
      <c r="U27" s="344">
        <f>IF(P27&lt;=0.85, (1/(3*H27*$J$46))*SQRT( ((1-P27)*(1/SQRT(1-PI()*P27/3)-1) + (1-P26)*(1-1/SQRT(1-PI()*P26/3)))^2*SUMSQ(K$8:K26) + ( (1-P27)*(1/SQRT(1-PI()*P27/3)-1) -P26*(1-1/SQRT(1-PI()*P26/3)) )^2*K27^2 + ( P27*(1-1/SQRT(1-PI()*P27/3)) - P26*(1-1/SQRT(1-PI()*P26/3)) )^2*SUMSQ(K28:K$45) ), (1/(PI()^2*H27*$J$46))*SQRT((1+P26/(1-P26))^2*K27^2+(P26/(1-P26)-P27/(1-P27))^2*SUMSQ(K28:K$45)) )</f>
        <v>4.1036003523664801E-9</v>
      </c>
      <c r="V27" s="345">
        <f t="shared" si="18"/>
        <v>4.175759688127298E-9</v>
      </c>
      <c r="W27" s="340">
        <f t="shared" si="19"/>
        <v>4.5020426344633719</v>
      </c>
      <c r="X27" s="345">
        <f t="shared" si="20"/>
        <v>8.3515193762545959E-9</v>
      </c>
      <c r="Y27" s="338">
        <f t="shared" si="8"/>
        <v>-16.193330560536296</v>
      </c>
      <c r="Z27" s="346">
        <f t="shared" si="21"/>
        <v>4.502042634463372E-2</v>
      </c>
      <c r="AA27" s="346">
        <f t="shared" si="22"/>
        <v>0.27801832474383031</v>
      </c>
      <c r="AB27" s="346">
        <f t="shared" si="9"/>
        <v>9.0040852689267439E-2</v>
      </c>
      <c r="AC27" s="336">
        <f t="shared" si="3"/>
        <v>1.1969680458461167E-11</v>
      </c>
      <c r="AD27" s="337">
        <f t="shared" si="4"/>
        <v>6.8412479650133283E-13</v>
      </c>
      <c r="AE27" s="308">
        <f t="shared" si="10"/>
        <v>5.71548086747576</v>
      </c>
      <c r="AF27" s="337">
        <f t="shared" si="11"/>
        <v>1.3682495930026657E-12</v>
      </c>
      <c r="AG27" s="338">
        <f t="shared" si="23"/>
        <v>-25.148644291914557</v>
      </c>
      <c r="AH27" s="339">
        <f t="shared" si="24"/>
        <v>5.7154808674757598E-2</v>
      </c>
      <c r="AI27" s="340">
        <f t="shared" si="25"/>
        <v>0.22726795135089339</v>
      </c>
      <c r="AJ27" s="341">
        <f t="shared" si="12"/>
        <v>0.1143096173495152</v>
      </c>
    </row>
    <row r="28" spans="1:39" x14ac:dyDescent="0.2">
      <c r="A28" s="309">
        <v>21</v>
      </c>
      <c r="B28" s="309">
        <f t="shared" si="13"/>
        <v>21</v>
      </c>
      <c r="C28" s="1">
        <v>454.97</v>
      </c>
      <c r="D28" s="1">
        <v>1.08</v>
      </c>
      <c r="E28" s="326">
        <f t="shared" si="5"/>
        <v>13.733999890128</v>
      </c>
      <c r="F28" s="327">
        <f t="shared" si="0"/>
        <v>2.1538231178795147E-2</v>
      </c>
      <c r="G28" s="309">
        <f t="shared" si="6"/>
        <v>1</v>
      </c>
      <c r="H28" s="1">
        <v>3600</v>
      </c>
      <c r="I28" s="324">
        <v>30</v>
      </c>
      <c r="J28" s="1">
        <v>5.2900000000000004E-3</v>
      </c>
      <c r="K28" s="1">
        <v>4.0000000000000003E-5</v>
      </c>
      <c r="L28" s="328">
        <f t="shared" si="1"/>
        <v>0.75614366729678639</v>
      </c>
      <c r="M28" s="329">
        <f t="shared" si="2"/>
        <v>1.8954459135046039E-3</v>
      </c>
      <c r="N28" s="342">
        <f>(1/$J$46)*SQRT(((1-J29/$J$46)*K28)^2+(J29/$J$46)^2*(SUMSQ(K$8:K27)+SUMSQ(K29:K$45)))</f>
        <v>1.6869247493511285E-5</v>
      </c>
      <c r="O28" s="340">
        <f t="shared" si="14"/>
        <v>0.88998833326352844</v>
      </c>
      <c r="P28" s="332">
        <f t="shared" si="7"/>
        <v>0.31784012325773042</v>
      </c>
      <c r="Q28" s="342">
        <f>SQRT(((1-P28)/$J$46)^2*SUMSQ(K$8:K28)+(P28/$J$46)^2*SUMSQ(K29:K$45))</f>
        <v>5.8177730066098204E-3</v>
      </c>
      <c r="R28" s="340">
        <f t="shared" si="15"/>
        <v>1.8304086176974894</v>
      </c>
      <c r="S28" s="343">
        <f t="shared" si="16"/>
        <v>3.9204838909170345E-8</v>
      </c>
      <c r="T28" s="344">
        <f t="shared" si="17"/>
        <v>3.2670699090975256E-10</v>
      </c>
      <c r="U28" s="344">
        <f>IF(P28&lt;=0.85, (1/(3*H28*$J$46))*SQRT( ((1-P28)*(1/SQRT(1-PI()*P28/3)-1) + (1-P27)*(1-1/SQRT(1-PI()*P27/3)))^2*SUMSQ(K$8:K27) + ( (1-P28)*(1/SQRT(1-PI()*P28/3)-1) -P27*(1-1/SQRT(1-PI()*P27/3)) )^2*K28^2 + ( P28*(1-1/SQRT(1-PI()*P28/3)) - P27*(1-1/SQRT(1-PI()*P27/3)) )^2*SUMSQ(K29:K$45) ), (1/(PI()^2*H28*$J$46))*SQRT((1+P27/(1-P27))^2*K28^2+(P27/(1-P27)-P28/(1-P28))^2*SUMSQ(K29:K$45)) )</f>
        <v>1.7170009846257987E-9</v>
      </c>
      <c r="V28" s="345">
        <f t="shared" si="18"/>
        <v>1.7478071515803074E-9</v>
      </c>
      <c r="W28" s="340">
        <f t="shared" si="19"/>
        <v>4.4581413932846958</v>
      </c>
      <c r="X28" s="345">
        <f t="shared" si="20"/>
        <v>3.4956143031606147E-9</v>
      </c>
      <c r="Y28" s="338">
        <f t="shared" si="8"/>
        <v>-17.05446565620781</v>
      </c>
      <c r="Z28" s="346">
        <f t="shared" si="21"/>
        <v>4.458141393284696E-2</v>
      </c>
      <c r="AA28" s="346">
        <f t="shared" si="22"/>
        <v>0.26140610225814587</v>
      </c>
      <c r="AB28" s="346">
        <f t="shared" si="9"/>
        <v>8.9162827865693919E-2</v>
      </c>
      <c r="AC28" s="336">
        <f t="shared" si="3"/>
        <v>5.0593687792928692E-12</v>
      </c>
      <c r="AD28" s="337">
        <f t="shared" si="4"/>
        <v>2.8742094737589077E-13</v>
      </c>
      <c r="AE28" s="308">
        <f t="shared" si="10"/>
        <v>5.6809645612760136</v>
      </c>
      <c r="AF28" s="337">
        <f t="shared" si="11"/>
        <v>5.7484189475178154E-13</v>
      </c>
      <c r="AG28" s="338">
        <f t="shared" si="23"/>
        <v>-26.009779387586072</v>
      </c>
      <c r="AH28" s="339">
        <f t="shared" si="24"/>
        <v>5.680964561276014E-2</v>
      </c>
      <c r="AI28" s="340">
        <f t="shared" si="25"/>
        <v>0.21841648391633112</v>
      </c>
      <c r="AJ28" s="341">
        <f t="shared" si="12"/>
        <v>0.11361929122552028</v>
      </c>
    </row>
    <row r="29" spans="1:39" x14ac:dyDescent="0.2">
      <c r="A29" s="309">
        <v>22</v>
      </c>
      <c r="B29" s="309">
        <f t="shared" si="13"/>
        <v>22</v>
      </c>
      <c r="C29" s="1">
        <v>434.97</v>
      </c>
      <c r="D29" s="1">
        <v>0.98</v>
      </c>
      <c r="E29" s="326">
        <f t="shared" si="5"/>
        <v>14.121900242896684</v>
      </c>
      <c r="F29" s="327">
        <f t="shared" si="0"/>
        <v>1.8383393734640291E-2</v>
      </c>
      <c r="G29" s="309">
        <f t="shared" si="6"/>
        <v>1</v>
      </c>
      <c r="H29" s="1">
        <v>3600</v>
      </c>
      <c r="I29" s="324">
        <v>30</v>
      </c>
      <c r="J29" s="1">
        <v>1.3600000000000001E-3</v>
      </c>
      <c r="K29" s="1">
        <v>1E-4</v>
      </c>
      <c r="L29" s="328">
        <f t="shared" si="1"/>
        <v>7.3529411764705888</v>
      </c>
      <c r="M29" s="329">
        <f t="shared" si="2"/>
        <v>4.8729800422802672E-4</v>
      </c>
      <c r="N29" s="342">
        <f>(1/$J$46)*SQRT(((1-J30/$J$46)*K29)^2+(J30/$J$46)^2*(SUMSQ(K$8:K28)+SUMSQ(K30:K$45)))</f>
        <v>4.7579941642583324E-5</v>
      </c>
      <c r="O29" s="340">
        <f t="shared" si="14"/>
        <v>9.7640337595798403</v>
      </c>
      <c r="P29" s="332">
        <f t="shared" si="7"/>
        <v>0.31832742126195845</v>
      </c>
      <c r="Q29" s="342">
        <f>SQRT(((1-P29)/$J$46)^2*SUMSQ(K$8:K29)+(P29/$J$46)^2*SUMSQ(K30:K$45))</f>
        <v>5.8266903855930608E-3</v>
      </c>
      <c r="R29" s="340">
        <f t="shared" si="15"/>
        <v>1.8304079373665245</v>
      </c>
      <c r="S29" s="343">
        <f t="shared" si="16"/>
        <v>1.0130720208218536E-8</v>
      </c>
      <c r="T29" s="344">
        <f t="shared" si="17"/>
        <v>8.4422668401821187E-11</v>
      </c>
      <c r="U29" s="344">
        <f>IF(P29&lt;=0.85, (1/(3*H29*$J$46))*SQRT( ((1-P29)*(1/SQRT(1-PI()*P29/3)-1) + (1-P28)*(1-1/SQRT(1-PI()*P28/3)))^2*SUMSQ(K$8:K28) + ( (1-P29)*(1/SQRT(1-PI()*P29/3)-1) -P28*(1-1/SQRT(1-PI()*P28/3)) )^2*K29^2 + ( P29*(1-1/SQRT(1-PI()*P29/3)) - P28*(1-1/SQRT(1-PI()*P28/3)) )^2*SUMSQ(K30:K$45) ), (1/(PI()^2*H29*$J$46))*SQRT((1+P28/(1-P28))^2*K29^2+(P28/(1-P28)-P29/(1-P29))^2*SUMSQ(K30:K$45)) )</f>
        <v>8.6375477958129951E-10</v>
      </c>
      <c r="V29" s="345">
        <f t="shared" si="18"/>
        <v>8.6787067365456192E-10</v>
      </c>
      <c r="W29" s="340">
        <f t="shared" si="19"/>
        <v>8.5667223634357477</v>
      </c>
      <c r="X29" s="345">
        <f t="shared" si="20"/>
        <v>1.7357413473091238E-9</v>
      </c>
      <c r="Y29" s="338">
        <f t="shared" si="8"/>
        <v>-18.40769342464657</v>
      </c>
      <c r="Z29" s="346">
        <f t="shared" si="21"/>
        <v>8.5667223634357484E-2</v>
      </c>
      <c r="AA29" s="346">
        <f t="shared" si="22"/>
        <v>0.46538814862950334</v>
      </c>
      <c r="AB29" s="346">
        <f t="shared" si="9"/>
        <v>0.17133444726871497</v>
      </c>
      <c r="AC29" s="336">
        <f t="shared" si="3"/>
        <v>1.3073653905825187E-12</v>
      </c>
      <c r="AD29" s="337">
        <f t="shared" si="4"/>
        <v>1.2108989163442834E-13</v>
      </c>
      <c r="AE29" s="308">
        <f t="shared" si="10"/>
        <v>9.2621307330519667</v>
      </c>
      <c r="AF29" s="337">
        <f t="shared" si="11"/>
        <v>2.4217978326885667E-13</v>
      </c>
      <c r="AG29" s="338">
        <f t="shared" si="23"/>
        <v>-27.363007156024835</v>
      </c>
      <c r="AH29" s="339">
        <f t="shared" si="24"/>
        <v>9.2621307330519653E-2</v>
      </c>
      <c r="AI29" s="340">
        <f t="shared" si="25"/>
        <v>0.33849096629763564</v>
      </c>
      <c r="AJ29" s="341">
        <f t="shared" si="12"/>
        <v>0.18524261466103931</v>
      </c>
    </row>
    <row r="30" spans="1:39" x14ac:dyDescent="0.2">
      <c r="A30" s="309">
        <v>23</v>
      </c>
      <c r="B30" s="309">
        <f t="shared" si="13"/>
        <v>23</v>
      </c>
      <c r="C30" s="1">
        <v>456.98</v>
      </c>
      <c r="D30" s="1">
        <v>0.8</v>
      </c>
      <c r="E30" s="326">
        <f t="shared" si="5"/>
        <v>13.696191089258077</v>
      </c>
      <c r="F30" s="327">
        <f t="shared" si="0"/>
        <v>1.4218051287998332E-2</v>
      </c>
      <c r="G30" s="309">
        <f t="shared" si="6"/>
        <v>1</v>
      </c>
      <c r="H30" s="1">
        <v>3600</v>
      </c>
      <c r="I30" s="324">
        <v>30</v>
      </c>
      <c r="J30" s="1">
        <v>4.79E-3</v>
      </c>
      <c r="K30" s="1">
        <v>6.0000000000000002E-5</v>
      </c>
      <c r="L30" s="328">
        <f t="shared" si="1"/>
        <v>1.2526096033402923</v>
      </c>
      <c r="M30" s="329">
        <f t="shared" si="2"/>
        <v>1.7162922354795941E-3</v>
      </c>
      <c r="N30" s="342">
        <f>(1/$J$46)*SQRT(((1-J31/$J$46)*K30)^2+(J31/$J$46)^2*(SUMSQ(K$8:K29)+SUMSQ(K31:K$45)))</f>
        <v>6.7672234553655319E-5</v>
      </c>
      <c r="O30" s="340">
        <f t="shared" si="14"/>
        <v>3.9429319293485734</v>
      </c>
      <c r="P30" s="332">
        <f t="shared" si="7"/>
        <v>0.32004371349743804</v>
      </c>
      <c r="Q30" s="342">
        <f>SQRT(((1-P30)/$J$46)^2*SUMSQ(K$8:K30)+(P30/$J$46)^2*SUMSQ(K31:K$45))</f>
        <v>5.8579712883300977E-3</v>
      </c>
      <c r="R30" s="340">
        <f t="shared" si="15"/>
        <v>1.8303659910435925</v>
      </c>
      <c r="S30" s="343">
        <f t="shared" si="16"/>
        <v>3.5849586290418336E-8</v>
      </c>
      <c r="T30" s="344">
        <f t="shared" si="17"/>
        <v>2.9874655242015295E-10</v>
      </c>
      <c r="U30" s="344">
        <f>IF(P30&lt;=0.85, (1/(3*H30*$J$46))*SQRT( ((1-P30)*(1/SQRT(1-PI()*P30/3)-1) + (1-P29)*(1-1/SQRT(1-PI()*P29/3)))^2*SUMSQ(K$8:K29) + ( (1-P30)*(1/SQRT(1-PI()*P30/3)-1) -P29*(1-1/SQRT(1-PI()*P29/3)) )^2*K30^2 + ( P30*(1-1/SQRT(1-PI()*P30/3)) - P29*(1-1/SQRT(1-PI()*P29/3)) )^2*SUMSQ(K31:K$45) ), (1/(PI()^2*H30*$J$46))*SQRT((1+P29/(1-P29))^2*K30^2+(P29/(1-P29)-P30/(1-P30))^2*SUMSQ(K31:K$45)) )</f>
        <v>1.612706165848639E-9</v>
      </c>
      <c r="V30" s="345">
        <f t="shared" si="18"/>
        <v>1.6401434937069211E-9</v>
      </c>
      <c r="W30" s="340">
        <f t="shared" si="19"/>
        <v>4.5750695152241931</v>
      </c>
      <c r="X30" s="345">
        <f t="shared" si="20"/>
        <v>3.2802869874138422E-9</v>
      </c>
      <c r="Y30" s="338">
        <f t="shared" si="8"/>
        <v>-17.143933809983594</v>
      </c>
      <c r="Z30" s="346">
        <f t="shared" si="21"/>
        <v>4.5750695152241935E-2</v>
      </c>
      <c r="AA30" s="346">
        <f t="shared" si="22"/>
        <v>0.26686229461291716</v>
      </c>
      <c r="AB30" s="346">
        <f t="shared" si="9"/>
        <v>9.1501390304483871E-2</v>
      </c>
      <c r="AC30" s="336">
        <f t="shared" si="3"/>
        <v>4.6263747709439697E-12</v>
      </c>
      <c r="AD30" s="337">
        <f t="shared" si="4"/>
        <v>2.6708889259862234E-13</v>
      </c>
      <c r="AE30" s="308">
        <f t="shared" si="10"/>
        <v>5.7731789105387428</v>
      </c>
      <c r="AF30" s="337">
        <f t="shared" si="11"/>
        <v>5.3417778519724468E-13</v>
      </c>
      <c r="AG30" s="338">
        <f t="shared" si="23"/>
        <v>-26.099247541361859</v>
      </c>
      <c r="AH30" s="339">
        <f t="shared" si="24"/>
        <v>5.7731789105387434E-2</v>
      </c>
      <c r="AI30" s="340">
        <f t="shared" si="25"/>
        <v>0.22120097146055498</v>
      </c>
      <c r="AJ30" s="341">
        <f t="shared" si="12"/>
        <v>0.11546357821077487</v>
      </c>
    </row>
    <row r="31" spans="1:39" x14ac:dyDescent="0.2">
      <c r="A31" s="309">
        <v>24</v>
      </c>
      <c r="B31" s="309">
        <f t="shared" si="13"/>
        <v>24</v>
      </c>
      <c r="C31" s="1">
        <v>476.96</v>
      </c>
      <c r="D31" s="1">
        <v>0.84</v>
      </c>
      <c r="E31" s="326">
        <f t="shared" si="5"/>
        <v>13.331378064550535</v>
      </c>
      <c r="F31" s="327">
        <f t="shared" si="0"/>
        <v>1.4164339193551406E-2</v>
      </c>
      <c r="G31" s="309">
        <f t="shared" si="6"/>
        <v>1</v>
      </c>
      <c r="H31" s="1">
        <v>3600</v>
      </c>
      <c r="I31" s="324">
        <v>30</v>
      </c>
      <c r="J31" s="1">
        <v>9.7999999999999997E-3</v>
      </c>
      <c r="K31" s="1">
        <v>1E-4</v>
      </c>
      <c r="L31" s="328">
        <f t="shared" si="1"/>
        <v>1.0204081632653061</v>
      </c>
      <c r="M31" s="329">
        <f t="shared" si="2"/>
        <v>3.5114120892901922E-3</v>
      </c>
      <c r="N31" s="342">
        <f>(1/$J$46)*SQRT(((1-J32/$J$46)*K31)^2+(J32/$J$46)^2*(SUMSQ(K$8:K30)+SUMSQ(K32:K$45)))</f>
        <v>1.2053101676399204E-4</v>
      </c>
      <c r="O31" s="340">
        <f t="shared" si="14"/>
        <v>3.4325511702716889</v>
      </c>
      <c r="P31" s="332">
        <f t="shared" si="7"/>
        <v>0.32355512558672822</v>
      </c>
      <c r="Q31" s="342">
        <f>SQRT(((1-P31)/$J$46)^2*SUMSQ(K$8:K31)+(P31/$J$46)^2*SUMSQ(K32:K$45))</f>
        <v>5.9219821538118462E-3</v>
      </c>
      <c r="R31" s="340">
        <f t="shared" si="15"/>
        <v>1.8302853781324111</v>
      </c>
      <c r="S31" s="343">
        <f t="shared" si="16"/>
        <v>7.4167701402032628E-8</v>
      </c>
      <c r="T31" s="344">
        <f t="shared" si="17"/>
        <v>6.1806417835027165E-10</v>
      </c>
      <c r="U31" s="344">
        <f>IF(P31&lt;=0.85, (1/(3*H31*$J$46))*SQRT( ((1-P31)*(1/SQRT(1-PI()*P31/3)-1) + (1-P30)*(1-1/SQRT(1-PI()*P30/3)))^2*SUMSQ(K$8:K30) + ( (1-P31)*(1/SQRT(1-PI()*P31/3)-1) -P30*(1-1/SQRT(1-PI()*P30/3)) )^2*K31^2 + ( P31*(1-1/SQRT(1-PI()*P31/3)) - P30*(1-1/SQRT(1-PI()*P30/3)) )^2*SUMSQ(K32:K$45) ), (1/(PI()^2*H31*$J$46))*SQRT((1+P30/(1-P30))^2*K31^2+(P30/(1-P30)-P31/(1-P31))^2*SUMSQ(K32:K$45)) )</f>
        <v>3.2983609810137268E-9</v>
      </c>
      <c r="V31" s="345">
        <f t="shared" si="18"/>
        <v>3.3557694333242908E-9</v>
      </c>
      <c r="W31" s="340">
        <f t="shared" si="19"/>
        <v>4.5245698193261301</v>
      </c>
      <c r="X31" s="345">
        <f t="shared" si="20"/>
        <v>6.7115388666485817E-9</v>
      </c>
      <c r="Y31" s="338">
        <f t="shared" si="8"/>
        <v>-16.416937072617468</v>
      </c>
      <c r="Z31" s="346">
        <f t="shared" si="21"/>
        <v>4.5245698193261297E-2</v>
      </c>
      <c r="AA31" s="346">
        <f t="shared" si="22"/>
        <v>0.27560377427972599</v>
      </c>
      <c r="AB31" s="346">
        <f t="shared" si="9"/>
        <v>9.0491396386522593E-2</v>
      </c>
      <c r="AC31" s="336">
        <f t="shared" si="3"/>
        <v>9.5713121988517493E-12</v>
      </c>
      <c r="AD31" s="337">
        <f t="shared" si="4"/>
        <v>5.4874650665639222E-13</v>
      </c>
      <c r="AE31" s="308">
        <f t="shared" si="10"/>
        <v>5.7332421642481188</v>
      </c>
      <c r="AF31" s="337">
        <f t="shared" si="11"/>
        <v>1.0974930133127844E-12</v>
      </c>
      <c r="AG31" s="338">
        <f t="shared" si="23"/>
        <v>-25.37225080399573</v>
      </c>
      <c r="AH31" s="339">
        <f t="shared" si="24"/>
        <v>5.7332421642481188E-2</v>
      </c>
      <c r="AI31" s="340">
        <f t="shared" si="25"/>
        <v>0.22596505956598945</v>
      </c>
      <c r="AJ31" s="341">
        <f t="shared" si="12"/>
        <v>0.11466484328496238</v>
      </c>
    </row>
    <row r="32" spans="1:39" x14ac:dyDescent="0.2">
      <c r="A32" s="309">
        <v>25</v>
      </c>
      <c r="B32" s="309">
        <f t="shared" si="13"/>
        <v>25</v>
      </c>
      <c r="C32" s="1">
        <v>496.94</v>
      </c>
      <c r="D32" s="1">
        <v>0.8</v>
      </c>
      <c r="E32" s="326">
        <f t="shared" si="5"/>
        <v>12.985495201859525</v>
      </c>
      <c r="F32" s="327">
        <f t="shared" si="0"/>
        <v>1.3809320426099168E-2</v>
      </c>
      <c r="G32" s="309">
        <f t="shared" si="6"/>
        <v>1</v>
      </c>
      <c r="H32" s="1">
        <v>3600</v>
      </c>
      <c r="I32" s="324">
        <v>30</v>
      </c>
      <c r="J32" s="1">
        <v>1.7579999999999998E-2</v>
      </c>
      <c r="K32" s="1">
        <v>1.7000000000000001E-4</v>
      </c>
      <c r="L32" s="328">
        <f t="shared" si="1"/>
        <v>0.96700796359499452</v>
      </c>
      <c r="M32" s="329">
        <f t="shared" si="2"/>
        <v>6.2990433193593444E-3</v>
      </c>
      <c r="N32" s="342">
        <f>(1/$J$46)*SQRT(((1-J33/$J$46)*K32)^2+(J33/$J$46)^2*(SUMSQ(K$8:K31)+SUMSQ(K33:K$45)))</f>
        <v>1.2251780955814762E-4</v>
      </c>
      <c r="O32" s="340">
        <f t="shared" si="14"/>
        <v>1.9450224954256787</v>
      </c>
      <c r="P32" s="332">
        <f t="shared" si="7"/>
        <v>0.32985416890608754</v>
      </c>
      <c r="Q32" s="342">
        <f>SQRT(((1-P32)/$J$46)^2*SUMSQ(K$8:K32)+(P32/$J$46)^2*SUMSQ(K33:K$45))</f>
        <v>6.0368553603312863E-3</v>
      </c>
      <c r="R32" s="340">
        <f t="shared" si="15"/>
        <v>1.8301588791045518</v>
      </c>
      <c r="S32" s="343">
        <f t="shared" si="16"/>
        <v>1.3584033776884559E-7</v>
      </c>
      <c r="T32" s="344">
        <f t="shared" si="17"/>
        <v>1.1320028147403797E-9</v>
      </c>
      <c r="U32" s="344">
        <f>IF(P32&lt;=0.85, (1/(3*H32*$J$46))*SQRT( ((1-P32)*(1/SQRT(1-PI()*P32/3)-1) + (1-P31)*(1-1/SQRT(1-PI()*P31/3)))^2*SUMSQ(K$8:K31) + ( (1-P32)*(1/SQRT(1-PI()*P32/3)-1) -P31*(1-1/SQRT(1-PI()*P31/3)) )^2*K32^2 + ( P32*(1-1/SQRT(1-PI()*P32/3)) - P31*(1-1/SQRT(1-PI()*P31/3)) )^2*SUMSQ(K33:K$45) ), (1/(PI()^2*H32*$J$46))*SQRT((1+P31/(1-P31))^2*K32^2+(P31/(1-P31)-P32/(1-P32))^2*SUMSQ(K33:K$45)) )</f>
        <v>6.0446325134500345E-9</v>
      </c>
      <c r="V32" s="345">
        <f t="shared" si="18"/>
        <v>6.1497164646215541E-9</v>
      </c>
      <c r="W32" s="340">
        <f t="shared" si="19"/>
        <v>4.5271651746672594</v>
      </c>
      <c r="X32" s="345">
        <f t="shared" si="20"/>
        <v>1.2299432929243108E-8</v>
      </c>
      <c r="Y32" s="338">
        <f t="shared" si="8"/>
        <v>-15.811785627866696</v>
      </c>
      <c r="Z32" s="346">
        <f t="shared" si="21"/>
        <v>4.5271651746672595E-2</v>
      </c>
      <c r="AA32" s="346">
        <f t="shared" si="22"/>
        <v>0.28631587103537393</v>
      </c>
      <c r="AB32" s="346">
        <f t="shared" si="9"/>
        <v>9.054330349334519E-2</v>
      </c>
      <c r="AC32" s="336">
        <f t="shared" si="3"/>
        <v>1.7530141252934416E-11</v>
      </c>
      <c r="AD32" s="337">
        <f t="shared" si="4"/>
        <v>1.0054045421659961E-12</v>
      </c>
      <c r="AE32" s="308">
        <f t="shared" si="10"/>
        <v>5.735290592696729</v>
      </c>
      <c r="AF32" s="337">
        <f t="shared" si="11"/>
        <v>2.0108090843319922E-12</v>
      </c>
      <c r="AG32" s="338">
        <f t="shared" si="23"/>
        <v>-24.767099359244959</v>
      </c>
      <c r="AH32" s="339">
        <f t="shared" si="24"/>
        <v>5.7352905926967297E-2</v>
      </c>
      <c r="AI32" s="340">
        <f t="shared" si="25"/>
        <v>0.23156892575536442</v>
      </c>
      <c r="AJ32" s="341">
        <f t="shared" si="12"/>
        <v>0.11470581185393459</v>
      </c>
    </row>
    <row r="33" spans="1:36" x14ac:dyDescent="0.2">
      <c r="A33" s="309">
        <v>26</v>
      </c>
      <c r="B33" s="309">
        <f t="shared" si="13"/>
        <v>26.5</v>
      </c>
      <c r="C33" s="1">
        <v>487.98</v>
      </c>
      <c r="D33" s="1">
        <v>0.6</v>
      </c>
      <c r="E33" s="326">
        <f t="shared" si="5"/>
        <v>13.138360069896075</v>
      </c>
      <c r="F33" s="327">
        <f t="shared" si="0"/>
        <v>1.0923516367765703E-2</v>
      </c>
      <c r="G33" s="309">
        <f t="shared" si="6"/>
        <v>1.5</v>
      </c>
      <c r="H33" s="1">
        <v>5400</v>
      </c>
      <c r="I33" s="324">
        <v>30</v>
      </c>
      <c r="J33" s="1">
        <v>1.626E-2</v>
      </c>
      <c r="K33" s="1">
        <v>1.2999999999999999E-4</v>
      </c>
      <c r="L33" s="328">
        <f t="shared" si="1"/>
        <v>0.79950799507995074</v>
      </c>
      <c r="M33" s="329">
        <f t="shared" si="2"/>
        <v>5.826077609373319E-3</v>
      </c>
      <c r="N33" s="342">
        <f>(1/$J$46)*SQRT(((1-J34/$J$46)*K33)^2+(J34/$J$46)^2*(SUMSQ(K$8:K32)+SUMSQ(K34:K$45)))</f>
        <v>6.1291941642793978E-5</v>
      </c>
      <c r="O33" s="340">
        <f t="shared" si="14"/>
        <v>1.0520275518503921</v>
      </c>
      <c r="P33" s="332">
        <f t="shared" si="7"/>
        <v>0.33568024651546086</v>
      </c>
      <c r="Q33" s="342">
        <f>SQRT(((1-P33)/$J$46)^2*SUMSQ(K$8:K33)+(P33/$J$46)^2*SUMSQ(K34:K$45))</f>
        <v>6.1430720478657741E-3</v>
      </c>
      <c r="R33" s="340">
        <f t="shared" si="15"/>
        <v>1.8300368018774185</v>
      </c>
      <c r="S33" s="343">
        <f t="shared" si="16"/>
        <v>8.5915359894331774E-8</v>
      </c>
      <c r="T33" s="344">
        <f t="shared" si="17"/>
        <v>4.7730755496851011E-10</v>
      </c>
      <c r="U33" s="344">
        <f>IF(P33&lt;=0.85, (1/(3*H33*$J$46))*SQRT( ((1-P33)*(1/SQRT(1-PI()*P33/3)-1) + (1-P32)*(1-1/SQRT(1-PI()*P32/3)))^2*SUMSQ(K$8:K32) + ( (1-P33)*(1/SQRT(1-PI()*P33/3)-1) -P32*(1-1/SQRT(1-PI()*P32/3)) )^2*K33^2 + ( P33*(1-1/SQRT(1-PI()*P33/3)) - P32*(1-1/SQRT(1-PI()*P32/3)) )^2*SUMSQ(K34:K$45) ), (1/(PI()^2*H33*$J$46))*SQRT((1+P32/(1-P32))^2*K33^2+(P32/(1-P32)-P33/(1-P33))^2*SUMSQ(K34:K$45)) )</f>
        <v>3.8104890336553316E-9</v>
      </c>
      <c r="V33" s="345">
        <f t="shared" si="18"/>
        <v>3.8402668107356238E-9</v>
      </c>
      <c r="W33" s="340">
        <f t="shared" si="19"/>
        <v>4.4698256696576832</v>
      </c>
      <c r="X33" s="345">
        <f t="shared" si="20"/>
        <v>7.6805336214712476E-9</v>
      </c>
      <c r="Y33" s="338">
        <f t="shared" si="8"/>
        <v>-16.269903212598415</v>
      </c>
      <c r="Z33" s="346">
        <f t="shared" si="21"/>
        <v>4.469825669657683E-2</v>
      </c>
      <c r="AA33" s="346">
        <f t="shared" si="22"/>
        <v>0.27472970252192552</v>
      </c>
      <c r="AB33" s="346">
        <f t="shared" si="9"/>
        <v>8.9396513393153659E-2</v>
      </c>
      <c r="AC33" s="336">
        <f t="shared" si="3"/>
        <v>1.1087342828219557E-11</v>
      </c>
      <c r="AD33" s="337">
        <f t="shared" si="4"/>
        <v>6.3088515346374337E-13</v>
      </c>
      <c r="AE33" s="308">
        <f t="shared" si="10"/>
        <v>5.6901384149321288</v>
      </c>
      <c r="AF33" s="337">
        <f t="shared" si="11"/>
        <v>1.2617703069274867E-12</v>
      </c>
      <c r="AG33" s="338">
        <f t="shared" si="23"/>
        <v>-25.22521694397668</v>
      </c>
      <c r="AH33" s="339">
        <f t="shared" si="24"/>
        <v>5.6901384149321284E-2</v>
      </c>
      <c r="AI33" s="340">
        <f t="shared" si="25"/>
        <v>0.22557341836026623</v>
      </c>
      <c r="AJ33" s="341">
        <f t="shared" si="12"/>
        <v>0.11380276829864257</v>
      </c>
    </row>
    <row r="34" spans="1:36" x14ac:dyDescent="0.2">
      <c r="A34" s="309">
        <v>27</v>
      </c>
      <c r="B34" s="309">
        <f t="shared" si="13"/>
        <v>28</v>
      </c>
      <c r="C34" s="1">
        <v>467.98</v>
      </c>
      <c r="D34" s="1">
        <v>0.78</v>
      </c>
      <c r="E34" s="326">
        <f t="shared" si="5"/>
        <v>13.492909476070325</v>
      </c>
      <c r="F34" s="327">
        <f t="shared" si="0"/>
        <v>1.4999594595572532E-2</v>
      </c>
      <c r="G34" s="309">
        <f t="shared" si="6"/>
        <v>1.5</v>
      </c>
      <c r="H34" s="1">
        <v>5400</v>
      </c>
      <c r="I34" s="324">
        <v>30</v>
      </c>
      <c r="J34" s="1">
        <v>6.1000000000000004E-3</v>
      </c>
      <c r="K34" s="1">
        <v>5.0000000000000002E-5</v>
      </c>
      <c r="L34" s="328">
        <f t="shared" si="1"/>
        <v>0.81967213114754101</v>
      </c>
      <c r="M34" s="329">
        <f t="shared" si="2"/>
        <v>2.18567487190512E-3</v>
      </c>
      <c r="N34" s="342">
        <f>(1/$J$46)*SQRT(((1-J35/$J$46)*K34)^2+(J35/$J$46)^2*(SUMSQ(K$8:K33)+SUMSQ(K35:K$45)))</f>
        <v>2.4978531970292507E-5</v>
      </c>
      <c r="O34" s="340">
        <f t="shared" si="14"/>
        <v>1.1428292602604815</v>
      </c>
      <c r="P34" s="332">
        <f t="shared" si="7"/>
        <v>0.33786592138736599</v>
      </c>
      <c r="Q34" s="342">
        <f>SQRT(((1-P34)/$J$46)^2*SUMSQ(K$8:K34)+(P34/$J$46)^2*SUMSQ(K35:K$45))</f>
        <v>6.1829082220626313E-3</v>
      </c>
      <c r="R34" s="340">
        <f t="shared" si="15"/>
        <v>1.8299887116978208</v>
      </c>
      <c r="S34" s="343">
        <f t="shared" si="16"/>
        <v>3.2771795871387932E-8</v>
      </c>
      <c r="T34" s="344">
        <f t="shared" si="17"/>
        <v>1.8206553261882181E-10</v>
      </c>
      <c r="U34" s="344">
        <f>IF(P34&lt;=0.85, (1/(3*H34*$J$46))*SQRT( ((1-P34)*(1/SQRT(1-PI()*P34/3)-1) + (1-P33)*(1-1/SQRT(1-PI()*P33/3)))^2*SUMSQ(K$8:K33) + ( (1-P34)*(1/SQRT(1-PI()*P34/3)-1) -P33*(1-1/SQRT(1-PI()*P33/3)) )^2*K34^2 + ( P34*(1-1/SQRT(1-PI()*P34/3)) - P33*(1-1/SQRT(1-PI()*P33/3)) )^2*SUMSQ(K35:K$45) ), (1/(PI()^2*H34*$J$46))*SQRT((1+P33/(1-P33))^2*K34^2+(P33/(1-P33)-P34/(1-P34))^2*SUMSQ(K35:K$45)) )</f>
        <v>1.4588189063197966E-9</v>
      </c>
      <c r="V34" s="345">
        <f t="shared" si="18"/>
        <v>1.4701362044395285E-9</v>
      </c>
      <c r="W34" s="340">
        <f t="shared" si="19"/>
        <v>4.4859799878195261</v>
      </c>
      <c r="X34" s="345">
        <f t="shared" si="20"/>
        <v>2.940272408879057E-9</v>
      </c>
      <c r="Y34" s="338">
        <f t="shared" si="8"/>
        <v>-17.233697573436764</v>
      </c>
      <c r="Z34" s="346">
        <f t="shared" si="21"/>
        <v>4.4859799878195265E-2</v>
      </c>
      <c r="AA34" s="346">
        <f t="shared" si="22"/>
        <v>0.2603028148024375</v>
      </c>
      <c r="AB34" s="346">
        <f t="shared" si="9"/>
        <v>8.9719599756390531E-2</v>
      </c>
      <c r="AC34" s="336">
        <f t="shared" si="3"/>
        <v>4.2291871484842639E-12</v>
      </c>
      <c r="AD34" s="337">
        <f t="shared" si="4"/>
        <v>2.4118365049119324E-13</v>
      </c>
      <c r="AE34" s="308">
        <f t="shared" si="10"/>
        <v>5.7028370233659018</v>
      </c>
      <c r="AF34" s="337">
        <f t="shared" si="11"/>
        <v>4.8236730098238648E-13</v>
      </c>
      <c r="AG34" s="338">
        <f t="shared" si="23"/>
        <v>-26.189011304815025</v>
      </c>
      <c r="AH34" s="339">
        <f t="shared" si="24"/>
        <v>5.7028370233659018E-2</v>
      </c>
      <c r="AI34" s="340">
        <f t="shared" si="25"/>
        <v>0.21775686592328125</v>
      </c>
      <c r="AJ34" s="341">
        <f t="shared" si="12"/>
        <v>0.11405674046731804</v>
      </c>
    </row>
    <row r="35" spans="1:36" x14ac:dyDescent="0.2">
      <c r="A35" s="309">
        <v>28</v>
      </c>
      <c r="B35" s="309">
        <f t="shared" si="13"/>
        <v>29.5</v>
      </c>
      <c r="C35" s="1">
        <v>447.97</v>
      </c>
      <c r="D35" s="1">
        <v>0.66</v>
      </c>
      <c r="E35" s="326">
        <f t="shared" si="5"/>
        <v>13.867317506101619</v>
      </c>
      <c r="F35" s="327">
        <f t="shared" si="0"/>
        <v>1.2414636281415752E-2</v>
      </c>
      <c r="G35" s="309">
        <f t="shared" si="6"/>
        <v>1.5</v>
      </c>
      <c r="H35" s="1">
        <v>5400</v>
      </c>
      <c r="I35" s="324">
        <v>30</v>
      </c>
      <c r="J35" s="1">
        <v>2.66E-3</v>
      </c>
      <c r="K35" s="1">
        <v>4.0000000000000003E-5</v>
      </c>
      <c r="L35" s="328">
        <f t="shared" si="1"/>
        <v>1.5037593984962407</v>
      </c>
      <c r="M35" s="329">
        <f t="shared" si="2"/>
        <v>9.5309756709305218E-4</v>
      </c>
      <c r="N35" s="342">
        <f>(1/$J$46)*SQRT(((1-J36/$J$46)*K35)^2+(J36/$J$46)^2*(SUMSQ(K$8:K34)+SUMSQ(K36:K$45)))</f>
        <v>2.5113255899766555E-5</v>
      </c>
      <c r="O35" s="340">
        <f t="shared" si="14"/>
        <v>2.6349092440097177</v>
      </c>
      <c r="P35" s="332">
        <f t="shared" si="7"/>
        <v>0.33881901895445904</v>
      </c>
      <c r="Q35" s="342">
        <f>SQRT(((1-P35)/$J$46)^2*SUMSQ(K$8:K35)+(P35/$J$46)^2*SUMSQ(K36:K$45))</f>
        <v>6.2002815203716357E-3</v>
      </c>
      <c r="R35" s="340">
        <f t="shared" si="15"/>
        <v>1.829968559470099</v>
      </c>
      <c r="S35" s="343">
        <f t="shared" si="16"/>
        <v>1.4383629960642984E-8</v>
      </c>
      <c r="T35" s="344">
        <f t="shared" si="17"/>
        <v>7.9909055336905496E-11</v>
      </c>
      <c r="U35" s="344">
        <f>IF(P35&lt;=0.85, (1/(3*H35*$J$46))*SQRT( ((1-P35)*(1/SQRT(1-PI()*P35/3)-1) + (1-P34)*(1-1/SQRT(1-PI()*P34/3)))^2*SUMSQ(K$8:K34) + ( (1-P35)*(1/SQRT(1-PI()*P35/3)-1) -P34*(1-1/SQRT(1-PI()*P34/3)) )^2*K35^2 + ( P35*(1-1/SQRT(1-PI()*P35/3)) - P34*(1-1/SQRT(1-PI()*P34/3)) )^2*SUMSQ(K36:K$45) ), (1/(PI()^2*H35*$J$46))*SQRT((1+P34/(1-P34))^2*K35^2+(P34/(1-P34)-P35/(1-P35))^2*SUMSQ(K36:K$45)) )</f>
        <v>6.6613828438542233E-10</v>
      </c>
      <c r="V35" s="345">
        <f t="shared" si="18"/>
        <v>6.7091405638039092E-10</v>
      </c>
      <c r="W35" s="340">
        <f t="shared" si="19"/>
        <v>4.6644279518881575</v>
      </c>
      <c r="X35" s="345">
        <f t="shared" si="20"/>
        <v>1.3418281127607818E-9</v>
      </c>
      <c r="Y35" s="338">
        <f t="shared" si="8"/>
        <v>-18.057175085309812</v>
      </c>
      <c r="Z35" s="346">
        <f t="shared" si="21"/>
        <v>4.6644279518881573E-2</v>
      </c>
      <c r="AA35" s="346">
        <f t="shared" si="22"/>
        <v>0.25831437807139856</v>
      </c>
      <c r="AB35" s="346">
        <f t="shared" si="9"/>
        <v>9.3288559037763147E-2</v>
      </c>
      <c r="AC35" s="336">
        <f t="shared" si="3"/>
        <v>1.8562016929689929E-12</v>
      </c>
      <c r="AD35" s="337">
        <f t="shared" si="4"/>
        <v>1.0848100982627779E-13</v>
      </c>
      <c r="AE35" s="308">
        <f t="shared" si="10"/>
        <v>5.8442468960774683</v>
      </c>
      <c r="AF35" s="337">
        <f t="shared" si="11"/>
        <v>2.1696201965255557E-13</v>
      </c>
      <c r="AG35" s="338">
        <f t="shared" si="23"/>
        <v>-27.012488816688073</v>
      </c>
      <c r="AH35" s="339">
        <f t="shared" si="24"/>
        <v>5.8442468960774679E-2</v>
      </c>
      <c r="AI35" s="340">
        <f t="shared" si="25"/>
        <v>0.21635351469232056</v>
      </c>
      <c r="AJ35" s="341">
        <f t="shared" si="12"/>
        <v>0.11688493792154936</v>
      </c>
    </row>
    <row r="36" spans="1:36" x14ac:dyDescent="0.2">
      <c r="A36" s="309">
        <v>29</v>
      </c>
      <c r="B36" s="309">
        <f t="shared" si="13"/>
        <v>31</v>
      </c>
      <c r="C36" s="1">
        <v>455.98</v>
      </c>
      <c r="D36" s="1">
        <v>0.38</v>
      </c>
      <c r="E36" s="326">
        <f t="shared" si="5"/>
        <v>13.71497538161919</v>
      </c>
      <c r="F36" s="327">
        <f t="shared" si="0"/>
        <v>6.7712557575112338E-3</v>
      </c>
      <c r="G36" s="309">
        <f t="shared" si="6"/>
        <v>1.5</v>
      </c>
      <c r="H36" s="1">
        <v>5400</v>
      </c>
      <c r="I36" s="324">
        <v>30</v>
      </c>
      <c r="J36" s="1">
        <v>3.15E-3</v>
      </c>
      <c r="K36" s="1">
        <v>4.0000000000000003E-5</v>
      </c>
      <c r="L36" s="328">
        <f t="shared" si="1"/>
        <v>1.26984126984127</v>
      </c>
      <c r="M36" s="329">
        <f t="shared" si="2"/>
        <v>1.1286681715575618E-3</v>
      </c>
      <c r="N36" s="342">
        <f>(1/$J$46)*SQRT(((1-J37/$J$46)*K36)^2+(J37/$J$46)^2*(SUMSQ(K$8:K35)+SUMSQ(K37:K$45)))</f>
        <v>4.7715923358118223E-5</v>
      </c>
      <c r="O36" s="340">
        <f t="shared" si="14"/>
        <v>4.2276308095292761</v>
      </c>
      <c r="P36" s="332">
        <f t="shared" si="7"/>
        <v>0.33994768712601658</v>
      </c>
      <c r="Q36" s="342">
        <f>SQRT(((1-P36)/$J$46)^2*SUMSQ(K$8:K36)+(P36/$J$46)^2*SUMSQ(K37:K$45))</f>
        <v>6.2208544713405461E-3</v>
      </c>
      <c r="R36" s="340">
        <f t="shared" si="15"/>
        <v>1.8299446376390589</v>
      </c>
      <c r="S36" s="343">
        <f t="shared" si="16"/>
        <v>1.7106525595537751E-8</v>
      </c>
      <c r="T36" s="344">
        <f t="shared" si="17"/>
        <v>9.5036253308543025E-11</v>
      </c>
      <c r="U36" s="344">
        <f>IF(P36&lt;=0.85, (1/(3*H36*$J$46))*SQRT( ((1-P36)*(1/SQRT(1-PI()*P36/3)-1) + (1-P35)*(1-1/SQRT(1-PI()*P35/3)))^2*SUMSQ(K$8:K35) + ( (1-P36)*(1/SQRT(1-PI()*P36/3)-1) -P35*(1-1/SQRT(1-PI()*P35/3)) )^2*K36^2 + ( P36*(1-1/SQRT(1-PI()*P36/3)) - P35*(1-1/SQRT(1-PI()*P35/3)) )^2*SUMSQ(K37:K$45) ), (1/(PI()^2*H36*$J$46))*SQRT((1+P35/(1-P35))^2*K36^2+(P35/(1-P35)-P36/(1-P36))^2*SUMSQ(K37:K$45)) )</f>
        <v>7.8072064007245867E-10</v>
      </c>
      <c r="V36" s="345">
        <f t="shared" si="18"/>
        <v>7.8648369803707631E-10</v>
      </c>
      <c r="W36" s="340">
        <f t="shared" si="19"/>
        <v>4.5975653772863803</v>
      </c>
      <c r="X36" s="345">
        <f t="shared" si="20"/>
        <v>1.5729673960741526E-9</v>
      </c>
      <c r="Y36" s="338">
        <f t="shared" si="8"/>
        <v>-17.883805832459675</v>
      </c>
      <c r="Z36" s="346">
        <f t="shared" si="21"/>
        <v>4.5975653772863799E-2</v>
      </c>
      <c r="AA36" s="346">
        <f t="shared" si="22"/>
        <v>0.25707980842319667</v>
      </c>
      <c r="AB36" s="346">
        <f t="shared" si="9"/>
        <v>9.1951307545727598E-2</v>
      </c>
      <c r="AC36" s="336">
        <f t="shared" si="3"/>
        <v>2.2075902854939085E-12</v>
      </c>
      <c r="AD36" s="337">
        <f t="shared" si="4"/>
        <v>1.278420491245999E-13</v>
      </c>
      <c r="AE36" s="308">
        <f t="shared" si="10"/>
        <v>5.7910224539694219</v>
      </c>
      <c r="AF36" s="337">
        <f t="shared" si="11"/>
        <v>2.5568409824919981E-13</v>
      </c>
      <c r="AG36" s="338">
        <f t="shared" si="23"/>
        <v>-26.83911956383794</v>
      </c>
      <c r="AH36" s="339">
        <f t="shared" si="24"/>
        <v>5.7910224539694216E-2</v>
      </c>
      <c r="AI36" s="340">
        <f t="shared" si="25"/>
        <v>0.21576797406469456</v>
      </c>
      <c r="AJ36" s="341">
        <f t="shared" si="12"/>
        <v>0.11582044907938843</v>
      </c>
    </row>
    <row r="37" spans="1:36" x14ac:dyDescent="0.2">
      <c r="A37" s="309">
        <v>30</v>
      </c>
      <c r="B37" s="309">
        <f t="shared" si="13"/>
        <v>32.5</v>
      </c>
      <c r="C37" s="1">
        <v>475.98</v>
      </c>
      <c r="D37" s="1">
        <v>0.7</v>
      </c>
      <c r="E37" s="326">
        <f t="shared" si="5"/>
        <v>13.34881796216945</v>
      </c>
      <c r="F37" s="327">
        <f t="shared" si="0"/>
        <v>1.1833407776061962E-2</v>
      </c>
      <c r="G37" s="309">
        <f t="shared" si="6"/>
        <v>1.5</v>
      </c>
      <c r="H37" s="1">
        <v>5400</v>
      </c>
      <c r="I37" s="324">
        <v>30</v>
      </c>
      <c r="J37" s="1">
        <v>6.9499999999999996E-3</v>
      </c>
      <c r="K37" s="1">
        <v>6.0000000000000002E-5</v>
      </c>
      <c r="L37" s="328">
        <f t="shared" si="1"/>
        <v>0.8633093525179858</v>
      </c>
      <c r="M37" s="329">
        <f t="shared" si="2"/>
        <v>2.4902361245476364E-3</v>
      </c>
      <c r="N37" s="342">
        <f>(1/$J$46)*SQRT(((1-J38/$J$46)*K37)^2+(J38/$J$46)^2*(SUMSQ(K$8:K36)+SUMSQ(K38:K$45)))</f>
        <v>9.1679084873589562E-5</v>
      </c>
      <c r="O37" s="340">
        <f t="shared" si="14"/>
        <v>3.6815418413482179</v>
      </c>
      <c r="P37" s="332">
        <f t="shared" si="7"/>
        <v>0.34243792325056421</v>
      </c>
      <c r="Q37" s="342">
        <f>SQRT(((1-P37)/$J$46)^2*SUMSQ(K$8:K37)+(P37/$J$46)^2*SUMSQ(K38:K$45))</f>
        <v>6.2662469480705193E-3</v>
      </c>
      <c r="R37" s="340">
        <f t="shared" si="15"/>
        <v>1.829892813444457</v>
      </c>
      <c r="S37" s="343">
        <f t="shared" si="16"/>
        <v>3.8025078150084348E-8</v>
      </c>
      <c r="T37" s="344">
        <f t="shared" si="17"/>
        <v>2.112504341671352E-10</v>
      </c>
      <c r="U37" s="344">
        <f>IF(P37&lt;=0.85, (1/(3*H37*$J$46))*SQRT( ((1-P37)*(1/SQRT(1-PI()*P37/3)-1) + (1-P36)*(1-1/SQRT(1-PI()*P36/3)))^2*SUMSQ(K$8:K36) + ( (1-P37)*(1/SQRT(1-PI()*P37/3)-1) -P36*(1-1/SQRT(1-PI()*P36/3)) )^2*K37^2 + ( P37*(1-1/SQRT(1-PI()*P37/3)) - P36*(1-1/SQRT(1-PI()*P36/3)) )^2*SUMSQ(K38:K$45) ), (1/(PI()^2*H37*$J$46))*SQRT((1+P36/(1-P36))^2*K37^2+(P36/(1-P36)-P37/(1-P37))^2*SUMSQ(K38:K$45)) )</f>
        <v>1.7010855272116458E-9</v>
      </c>
      <c r="V37" s="345">
        <f t="shared" si="18"/>
        <v>1.7141524777057395E-9</v>
      </c>
      <c r="W37" s="340">
        <f t="shared" si="19"/>
        <v>4.5079525436871117</v>
      </c>
      <c r="X37" s="345">
        <f t="shared" si="20"/>
        <v>3.428304955411479E-9</v>
      </c>
      <c r="Y37" s="338">
        <f t="shared" si="8"/>
        <v>-17.085019943574125</v>
      </c>
      <c r="Z37" s="346">
        <f t="shared" si="21"/>
        <v>4.5079525436871118E-2</v>
      </c>
      <c r="AA37" s="346">
        <f t="shared" si="22"/>
        <v>0.26385409900458473</v>
      </c>
      <c r="AB37" s="346">
        <f t="shared" si="9"/>
        <v>9.0159050873742236E-2</v>
      </c>
      <c r="AC37" s="336">
        <f t="shared" si="3"/>
        <v>4.907121125237125E-12</v>
      </c>
      <c r="AD37" s="337">
        <f t="shared" si="4"/>
        <v>2.8069406184852101E-13</v>
      </c>
      <c r="AE37" s="308">
        <f t="shared" si="10"/>
        <v>5.7201372186417583</v>
      </c>
      <c r="AF37" s="337">
        <f t="shared" si="11"/>
        <v>5.6138812369704202E-13</v>
      </c>
      <c r="AG37" s="338">
        <f t="shared" si="23"/>
        <v>-26.040333674952386</v>
      </c>
      <c r="AH37" s="339">
        <f t="shared" si="24"/>
        <v>5.7201372186417576E-2</v>
      </c>
      <c r="AI37" s="340">
        <f t="shared" si="25"/>
        <v>0.21966451313731933</v>
      </c>
      <c r="AJ37" s="341">
        <f t="shared" si="12"/>
        <v>0.11440274437283515</v>
      </c>
    </row>
    <row r="38" spans="1:36" x14ac:dyDescent="0.2">
      <c r="A38" s="309">
        <v>31</v>
      </c>
      <c r="B38" s="309">
        <f t="shared" si="13"/>
        <v>34</v>
      </c>
      <c r="C38" s="1">
        <v>495.97</v>
      </c>
      <c r="D38" s="1">
        <v>1.02</v>
      </c>
      <c r="E38" s="326">
        <f t="shared" si="5"/>
        <v>13.001872269606823</v>
      </c>
      <c r="F38" s="327">
        <f t="shared" si="0"/>
        <v>1.6380421685695253E-2</v>
      </c>
      <c r="G38" s="309">
        <f t="shared" si="6"/>
        <v>1.5</v>
      </c>
      <c r="H38" s="1">
        <v>5400</v>
      </c>
      <c r="I38" s="324">
        <v>30</v>
      </c>
      <c r="J38" s="1">
        <v>1.3610000000000001E-2</v>
      </c>
      <c r="K38" s="1">
        <v>1.2999999999999999E-4</v>
      </c>
      <c r="L38" s="328">
        <f t="shared" si="1"/>
        <v>0.95518001469507707</v>
      </c>
      <c r="M38" s="329">
        <f t="shared" si="2"/>
        <v>4.8765631158407671E-3</v>
      </c>
      <c r="N38" s="342">
        <f>(1/$J$46)*SQRT(((1-J39/$J$46)*K38)^2+(J39/$J$46)^2*(SUMSQ(K$8:K37)+SUMSQ(K39:K$45)))</f>
        <v>1.4468004346310619E-4</v>
      </c>
      <c r="O38" s="340">
        <f t="shared" si="14"/>
        <v>2.9668444768639466</v>
      </c>
      <c r="P38" s="332">
        <f t="shared" si="7"/>
        <v>0.347314486366405</v>
      </c>
      <c r="Q38" s="342">
        <f>SQRT(((1-P38)/$J$46)^2*SUMSQ(K$8:K38)+(P38/$J$46)^2*SUMSQ(K39:K$45))</f>
        <v>6.3551726030625227E-3</v>
      </c>
      <c r="R38" s="340">
        <f t="shared" si="15"/>
        <v>1.8298034929525027</v>
      </c>
      <c r="S38" s="343">
        <f t="shared" si="16"/>
        <v>7.559591096602832E-8</v>
      </c>
      <c r="T38" s="344">
        <f t="shared" si="17"/>
        <v>4.1997728314460197E-10</v>
      </c>
      <c r="U38" s="344">
        <f>IF(P38&lt;=0.85, (1/(3*H38*$J$46))*SQRT( ((1-P38)*(1/SQRT(1-PI()*P38/3)-1) + (1-P37)*(1-1/SQRT(1-PI()*P37/3)))^2*SUMSQ(K$8:K37) + ( (1-P38)*(1/SQRT(1-PI()*P38/3)-1) -P37*(1-1/SQRT(1-PI()*P37/3)) )^2*K38^2 + ( P38*(1-1/SQRT(1-PI()*P38/3)) - P37*(1-1/SQRT(1-PI()*P37/3)) )^2*SUMSQ(K39:K$45) ), (1/(PI()^2*H38*$J$46))*SQRT((1+P37/(1-P37))^2*K38^2+(P37/(1-P37)-P38/(1-P38))^2*SUMSQ(K39:K$45)) )</f>
        <v>3.4046396488933782E-9</v>
      </c>
      <c r="V38" s="345">
        <f t="shared" si="18"/>
        <v>3.4304448774429165E-9</v>
      </c>
      <c r="W38" s="340">
        <f t="shared" si="19"/>
        <v>4.5378709424964896</v>
      </c>
      <c r="X38" s="345">
        <f t="shared" si="20"/>
        <v>6.8608897548858331E-9</v>
      </c>
      <c r="Y38" s="338">
        <f t="shared" si="8"/>
        <v>-16.397863642974666</v>
      </c>
      <c r="Z38" s="346">
        <f t="shared" si="21"/>
        <v>4.53787094249649E-2</v>
      </c>
      <c r="AA38" s="346">
        <f t="shared" si="22"/>
        <v>0.27673549684874038</v>
      </c>
      <c r="AB38" s="346">
        <f t="shared" si="9"/>
        <v>9.07574188499298E-2</v>
      </c>
      <c r="AC38" s="336">
        <f t="shared" si="3"/>
        <v>9.755622071801568E-12</v>
      </c>
      <c r="AD38" s="337">
        <f t="shared" si="4"/>
        <v>5.6033805267237529E-13</v>
      </c>
      <c r="AE38" s="308">
        <f t="shared" si="10"/>
        <v>5.7437449764687107</v>
      </c>
      <c r="AF38" s="337">
        <f t="shared" si="11"/>
        <v>1.1206761053447506E-12</v>
      </c>
      <c r="AG38" s="338">
        <f t="shared" si="23"/>
        <v>-25.353177374352931</v>
      </c>
      <c r="AH38" s="339">
        <f t="shared" si="24"/>
        <v>5.7437449764687107E-2</v>
      </c>
      <c r="AI38" s="340">
        <f t="shared" si="25"/>
        <v>0.22654931536427608</v>
      </c>
      <c r="AJ38" s="341">
        <f t="shared" si="12"/>
        <v>0.11487489952937421</v>
      </c>
    </row>
    <row r="39" spans="1:36" x14ac:dyDescent="0.2">
      <c r="A39" s="309">
        <v>32</v>
      </c>
      <c r="B39" s="309">
        <f t="shared" si="13"/>
        <v>35.5</v>
      </c>
      <c r="C39" s="1">
        <v>515.96</v>
      </c>
      <c r="D39" s="1">
        <v>0.9</v>
      </c>
      <c r="E39" s="326">
        <f t="shared" si="5"/>
        <v>12.672504467057825</v>
      </c>
      <c r="F39" s="327">
        <f t="shared" si="0"/>
        <v>1.409348862184683E-2</v>
      </c>
      <c r="G39" s="309">
        <f t="shared" si="6"/>
        <v>1.5</v>
      </c>
      <c r="H39" s="1">
        <v>5400</v>
      </c>
      <c r="I39" s="324">
        <v>30</v>
      </c>
      <c r="J39" s="1">
        <v>2.0930000000000001E-2</v>
      </c>
      <c r="K39" s="1">
        <v>1.4999999999999999E-4</v>
      </c>
      <c r="L39" s="328">
        <f t="shared" si="1"/>
        <v>0.71667462971810791</v>
      </c>
      <c r="M39" s="329">
        <f t="shared" si="2"/>
        <v>7.4993729621269109E-3</v>
      </c>
      <c r="N39" s="342">
        <f>(1/$J$46)*SQRT(((1-J40/$J$46)*K39)^2+(J40/$J$46)^2*(SUMSQ(K$8:K38)+SUMSQ(K40:K$45)))</f>
        <v>1.5371393640153258E-4</v>
      </c>
      <c r="O39" s="340">
        <f t="shared" si="14"/>
        <v>2.0496905164980284</v>
      </c>
      <c r="P39" s="332">
        <f t="shared" si="7"/>
        <v>0.35481385932853193</v>
      </c>
      <c r="Q39" s="342">
        <f>SQRT(((1-P39)/$J$46)^2*SUMSQ(K$8:K39)+(P39/$J$46)^2*SUMSQ(K40:K$45))</f>
        <v>6.4919215422628287E-3</v>
      </c>
      <c r="R39" s="340">
        <f t="shared" si="15"/>
        <v>1.8296696624389128</v>
      </c>
      <c r="S39" s="343">
        <f t="shared" si="16"/>
        <v>1.1921598006883324E-7</v>
      </c>
      <c r="T39" s="344">
        <f t="shared" si="17"/>
        <v>6.623110003824067E-10</v>
      </c>
      <c r="U39" s="344">
        <f>IF(P39&lt;=0.85, (1/(3*H39*$J$46))*SQRT( ((1-P39)*(1/SQRT(1-PI()*P39/3)-1) + (1-P38)*(1-1/SQRT(1-PI()*P38/3)))^2*SUMSQ(K$8:K38) + ( (1-P39)*(1/SQRT(1-PI()*P39/3)-1) -P38*(1-1/SQRT(1-PI()*P38/3)) )^2*K39^2 + ( P39*(1-1/SQRT(1-PI()*P39/3)) - P38*(1-1/SQRT(1-PI()*P38/3)) )^2*SUMSQ(K40:K$45) ), (1/(PI()^2*H39*$J$46))*SQRT((1+P38/(1-P38))^2*K39^2+(P38/(1-P38)-P39/(1-P39))^2*SUMSQ(K40:K$45)) )</f>
        <v>5.3402719613632638E-9</v>
      </c>
      <c r="V39" s="345">
        <f t="shared" si="18"/>
        <v>5.3811857877748645E-9</v>
      </c>
      <c r="W39" s="340">
        <f t="shared" si="19"/>
        <v>4.5138124810682774</v>
      </c>
      <c r="X39" s="345">
        <f t="shared" si="20"/>
        <v>1.0762371575549729E-8</v>
      </c>
      <c r="Y39" s="338">
        <f t="shared" si="8"/>
        <v>-15.942329030320387</v>
      </c>
      <c r="Z39" s="346">
        <f t="shared" si="21"/>
        <v>4.5138124810682773E-2</v>
      </c>
      <c r="AA39" s="346">
        <f t="shared" si="22"/>
        <v>0.28313381768018653</v>
      </c>
      <c r="AB39" s="346">
        <f t="shared" si="9"/>
        <v>9.0276249621365545E-2</v>
      </c>
      <c r="AC39" s="336">
        <f t="shared" si="3"/>
        <v>1.5384774541490901E-11</v>
      </c>
      <c r="AD39" s="337">
        <f t="shared" si="4"/>
        <v>8.8074087780511722E-13</v>
      </c>
      <c r="AE39" s="308">
        <f t="shared" si="10"/>
        <v>5.7247564820002026</v>
      </c>
      <c r="AF39" s="337">
        <f t="shared" si="11"/>
        <v>1.7614817556102344E-12</v>
      </c>
      <c r="AG39" s="338">
        <f t="shared" si="23"/>
        <v>-24.897642761698652</v>
      </c>
      <c r="AH39" s="339">
        <f t="shared" si="24"/>
        <v>5.7247564820002018E-2</v>
      </c>
      <c r="AI39" s="340">
        <f t="shared" si="25"/>
        <v>0.22993166609358273</v>
      </c>
      <c r="AJ39" s="341">
        <f t="shared" si="12"/>
        <v>0.11449512964000404</v>
      </c>
    </row>
    <row r="40" spans="1:36" x14ac:dyDescent="0.2">
      <c r="A40" s="309">
        <v>33</v>
      </c>
      <c r="B40" s="309">
        <f t="shared" si="13"/>
        <v>37</v>
      </c>
      <c r="C40" s="1">
        <v>525.97</v>
      </c>
      <c r="D40" s="1">
        <v>0.95</v>
      </c>
      <c r="E40" s="326">
        <f t="shared" si="5"/>
        <v>12.513765141655821</v>
      </c>
      <c r="F40" s="327">
        <f t="shared" si="0"/>
        <v>1.4511371744129135E-2</v>
      </c>
      <c r="G40" s="309">
        <f t="shared" si="6"/>
        <v>1.5</v>
      </c>
      <c r="H40" s="1">
        <v>5400</v>
      </c>
      <c r="I40" s="324">
        <v>30</v>
      </c>
      <c r="J40" s="1">
        <v>2.2009999999999998E-2</v>
      </c>
      <c r="K40" s="1">
        <v>1.6000000000000001E-4</v>
      </c>
      <c r="L40" s="328">
        <f t="shared" si="1"/>
        <v>0.7269422989550206</v>
      </c>
      <c r="M40" s="329">
        <f t="shared" si="2"/>
        <v>7.8863449066609321E-3</v>
      </c>
      <c r="N40" s="342">
        <f>(1/$J$46)*SQRT(((1-J41/$J$46)*K40)^2+(J41/$J$46)^2*(SUMSQ(K$8:K39)+SUMSQ(K41:K$45)))</f>
        <v>1.5067192038386573E-4</v>
      </c>
      <c r="O40" s="340">
        <f t="shared" si="14"/>
        <v>1.9105418564258563</v>
      </c>
      <c r="P40" s="332">
        <f t="shared" si="7"/>
        <v>0.36270020423519289</v>
      </c>
      <c r="Q40" s="342">
        <f>SQRT(((1-P40)/$J$46)^2*SUMSQ(K$8:K40)+(P40/$J$46)^2*SUMSQ(K41:K$45))</f>
        <v>6.6357403387710323E-3</v>
      </c>
      <c r="R40" s="340">
        <f t="shared" si="15"/>
        <v>1.8295386275735559</v>
      </c>
      <c r="S40" s="343">
        <f t="shared" si="16"/>
        <v>1.2930503331169467E-7</v>
      </c>
      <c r="T40" s="344">
        <f t="shared" si="17"/>
        <v>7.1836129617608154E-10</v>
      </c>
      <c r="U40" s="344">
        <f>IF(P40&lt;=0.85, (1/(3*H40*$J$46))*SQRT( ((1-P40)*(1/SQRT(1-PI()*P40/3)-1) + (1-P39)*(1-1/SQRT(1-PI()*P39/3)))^2*SUMSQ(K$8:K39) + ( (1-P40)*(1/SQRT(1-PI()*P40/3)-1) -P39*(1-1/SQRT(1-PI()*P39/3)) )^2*K40^2 + ( P40*(1-1/SQRT(1-PI()*P40/3)) - P39*(1-1/SQRT(1-PI()*P39/3)) )^2*SUMSQ(K41:K$45) ), (1/(PI()^2*H40*$J$46))*SQRT((1+P39/(1-P39))^2*K40^2+(P39/(1-P39)-P40/(1-P40))^2*SUMSQ(K41:K$45)) )</f>
        <v>5.8274135982259434E-9</v>
      </c>
      <c r="V40" s="345">
        <f t="shared" si="18"/>
        <v>5.8715238393991403E-9</v>
      </c>
      <c r="W40" s="340">
        <f t="shared" si="19"/>
        <v>4.5408316204100192</v>
      </c>
      <c r="X40" s="345">
        <f t="shared" si="20"/>
        <v>1.1743047678798281E-8</v>
      </c>
      <c r="Y40" s="338">
        <f t="shared" si="8"/>
        <v>-15.861091624534954</v>
      </c>
      <c r="Z40" s="346">
        <f t="shared" si="21"/>
        <v>4.5408316204100192E-2</v>
      </c>
      <c r="AA40" s="346">
        <f t="shared" si="22"/>
        <v>0.28628745914221754</v>
      </c>
      <c r="AB40" s="346">
        <f t="shared" si="9"/>
        <v>9.0816632408200385E-2</v>
      </c>
      <c r="AC40" s="336">
        <f t="shared" si="3"/>
        <v>1.6686762826860873E-11</v>
      </c>
      <c r="AD40" s="337">
        <f t="shared" si="4"/>
        <v>9.5883546893567801E-13</v>
      </c>
      <c r="AE40" s="308">
        <f t="shared" si="10"/>
        <v>5.746084359707142</v>
      </c>
      <c r="AF40" s="337">
        <f t="shared" si="11"/>
        <v>1.917670937871356E-12</v>
      </c>
      <c r="AG40" s="338">
        <f t="shared" si="23"/>
        <v>-24.816405355913219</v>
      </c>
      <c r="AH40" s="339">
        <f t="shared" si="24"/>
        <v>5.7460843597071425E-2</v>
      </c>
      <c r="AI40" s="340">
        <f t="shared" si="25"/>
        <v>0.23154378232051134</v>
      </c>
      <c r="AJ40" s="341">
        <f t="shared" si="12"/>
        <v>0.11492168719414285</v>
      </c>
    </row>
    <row r="41" spans="1:36" x14ac:dyDescent="0.2">
      <c r="A41" s="309">
        <v>34</v>
      </c>
      <c r="B41" s="309">
        <f t="shared" si="13"/>
        <v>38.5</v>
      </c>
      <c r="C41" s="1">
        <v>535.96</v>
      </c>
      <c r="D41" s="1">
        <v>0.83</v>
      </c>
      <c r="E41" s="326">
        <f t="shared" si="5"/>
        <v>12.359258938834028</v>
      </c>
      <c r="F41" s="327">
        <f t="shared" si="0"/>
        <v>1.2374307227037569E-2</v>
      </c>
      <c r="G41" s="309">
        <f t="shared" si="6"/>
        <v>1.5</v>
      </c>
      <c r="H41" s="1">
        <v>5400</v>
      </c>
      <c r="I41" s="324">
        <v>30</v>
      </c>
      <c r="J41" s="1">
        <v>2.1299999999999999E-2</v>
      </c>
      <c r="K41" s="1">
        <v>1.6000000000000001E-4</v>
      </c>
      <c r="L41" s="328">
        <f t="shared" si="1"/>
        <v>0.75117370892018787</v>
      </c>
      <c r="M41" s="329">
        <f t="shared" si="2"/>
        <v>7.631946683865418E-3</v>
      </c>
      <c r="N41" s="342">
        <f>(1/$J$46)*SQRT(((1-J42/$J$46)*K41)^2+(J42/$J$46)^2*(SUMSQ(K$8:K40)+SUMSQ(K42:K$45)))</f>
        <v>1.5540894609499675E-4</v>
      </c>
      <c r="O41" s="340">
        <f t="shared" si="14"/>
        <v>2.0362949655235987</v>
      </c>
      <c r="P41" s="332">
        <f t="shared" si="7"/>
        <v>0.3703321509190583</v>
      </c>
      <c r="Q41" s="342">
        <f>SQRT(((1-P41)/$J$46)^2*SUMSQ(K$8:K41)+(P41/$J$46)^2*SUMSQ(K42:K$45))</f>
        <v>6.7749287638736288E-3</v>
      </c>
      <c r="R41" s="340">
        <f t="shared" si="15"/>
        <v>1.8294195486565765</v>
      </c>
      <c r="S41" s="343">
        <f t="shared" si="16"/>
        <v>1.2905208818802687E-7</v>
      </c>
      <c r="T41" s="344">
        <f t="shared" si="17"/>
        <v>7.1695604548903821E-10</v>
      </c>
      <c r="U41" s="344">
        <f>IF(P41&lt;=0.85, (1/(3*H41*$J$46))*SQRT( ((1-P41)*(1/SQRT(1-PI()*P41/3)-1) + (1-P40)*(1-1/SQRT(1-PI()*P40/3)))^2*SUMSQ(K$8:K40) + ( (1-P41)*(1/SQRT(1-PI()*P41/3)-1) -P40*(1-1/SQRT(1-PI()*P40/3)) )^2*K41^2 + ( P41*(1-1/SQRT(1-PI()*P41/3)) - P40*(1-1/SQRT(1-PI()*P40/3)) )^2*SUMSQ(K42:K$45) ), (1/(PI()^2*H41*$J$46))*SQRT((1+P40/(1-P40))^2*K41^2+(P40/(1-P40)-P41/(1-P41))^2*SUMSQ(K42:K$45)) )</f>
        <v>5.8552189970705023E-9</v>
      </c>
      <c r="V41" s="345">
        <f t="shared" si="18"/>
        <v>5.8989503706014157E-9</v>
      </c>
      <c r="W41" s="340">
        <f t="shared" si="19"/>
        <v>4.5709840525840519</v>
      </c>
      <c r="X41" s="345">
        <f t="shared" si="20"/>
        <v>1.1797900741202831E-8</v>
      </c>
      <c r="Y41" s="338">
        <f t="shared" si="8"/>
        <v>-15.863049729680414</v>
      </c>
      <c r="Z41" s="346">
        <f t="shared" si="21"/>
        <v>4.5709840525840519E-2</v>
      </c>
      <c r="AA41" s="346">
        <f t="shared" si="22"/>
        <v>0.28815291702903473</v>
      </c>
      <c r="AB41" s="346">
        <f t="shared" si="9"/>
        <v>9.1419681051681037E-2</v>
      </c>
      <c r="AC41" s="336">
        <f t="shared" si="3"/>
        <v>1.6654120359829592E-11</v>
      </c>
      <c r="AD41" s="337">
        <f t="shared" si="4"/>
        <v>9.6093305924459917E-13</v>
      </c>
      <c r="AE41" s="308">
        <f t="shared" si="10"/>
        <v>5.7699418431153431</v>
      </c>
      <c r="AF41" s="337">
        <f t="shared" si="11"/>
        <v>1.9218661184891983E-12</v>
      </c>
      <c r="AG41" s="338">
        <f t="shared" si="23"/>
        <v>-24.818363461058677</v>
      </c>
      <c r="AH41" s="339">
        <f t="shared" si="24"/>
        <v>5.7699418431153435E-2</v>
      </c>
      <c r="AI41" s="340">
        <f t="shared" si="25"/>
        <v>0.2324867976153499</v>
      </c>
      <c r="AJ41" s="341">
        <f t="shared" si="12"/>
        <v>0.11539883686230687</v>
      </c>
    </row>
    <row r="42" spans="1:36" x14ac:dyDescent="0.2">
      <c r="A42" s="309">
        <v>35</v>
      </c>
      <c r="B42" s="309">
        <f t="shared" si="13"/>
        <v>40</v>
      </c>
      <c r="C42" s="1">
        <v>545.84</v>
      </c>
      <c r="D42" s="1">
        <v>1.93</v>
      </c>
      <c r="E42" s="326">
        <f t="shared" si="5"/>
        <v>12.210161296230723</v>
      </c>
      <c r="F42" s="327">
        <f t="shared" si="0"/>
        <v>2.8077887624991735E-2</v>
      </c>
      <c r="G42" s="309">
        <f t="shared" si="6"/>
        <v>1.5</v>
      </c>
      <c r="H42" s="1">
        <v>5400</v>
      </c>
      <c r="I42" s="324">
        <v>30</v>
      </c>
      <c r="J42" s="1">
        <v>2.2079999999999999E-2</v>
      </c>
      <c r="K42" s="1">
        <v>1.3999999999999999E-4</v>
      </c>
      <c r="L42" s="328">
        <f t="shared" si="1"/>
        <v>0.63405797101449268</v>
      </c>
      <c r="M42" s="329">
        <f t="shared" si="2"/>
        <v>7.9114264215844332E-3</v>
      </c>
      <c r="N42" s="342">
        <f>(1/$J$46)*SQRT(((1-J43/$J$46)*K42)^2+(J43/$J$46)^2*(SUMSQ(K$8:K41)+SUMSQ(K43:K$45)))</f>
        <v>1.5648228579552716E-4</v>
      </c>
      <c r="O42" s="340">
        <f t="shared" si="14"/>
        <v>1.9779275879834097</v>
      </c>
      <c r="P42" s="332">
        <f t="shared" si="7"/>
        <v>0.37824357734064273</v>
      </c>
      <c r="Q42" s="342">
        <f>SQRT(((1-P42)/$J$46)^2*SUMSQ(K$8:K42)+(P42/$J$46)^2*SUMSQ(K43:K$45))</f>
        <v>6.9192049608546493E-3</v>
      </c>
      <c r="R42" s="340">
        <f t="shared" si="15"/>
        <v>1.8292987311251225</v>
      </c>
      <c r="S42" s="343">
        <f t="shared" si="16"/>
        <v>1.379279874183699E-7</v>
      </c>
      <c r="T42" s="344">
        <f t="shared" si="17"/>
        <v>7.6626659676872082E-10</v>
      </c>
      <c r="U42" s="344">
        <f>IF(P42&lt;=0.85, (1/(3*H42*$J$46))*SQRT( ((1-P42)*(1/SQRT(1-PI()*P42/3)-1) + (1-P41)*(1-1/SQRT(1-PI()*P41/3)))^2*SUMSQ(K$8:K41) + ( (1-P42)*(1/SQRT(1-PI()*P42/3)-1) -P41*(1-1/SQRT(1-PI()*P41/3)) )^2*K42^2 + ( P42*(1-1/SQRT(1-PI()*P42/3)) - P41*(1-1/SQRT(1-PI()*P41/3)) )^2*SUMSQ(K43:K$45) ), (1/(PI()^2*H42*$J$46))*SQRT((1+P41/(1-P41))^2*K42^2+(P41/(1-P41)-P42/(1-P42))^2*SUMSQ(K43:K$45)) )</f>
        <v>6.2709862577658182E-9</v>
      </c>
      <c r="V42" s="345">
        <f t="shared" si="18"/>
        <v>6.3176287594643655E-9</v>
      </c>
      <c r="W42" s="340">
        <f t="shared" si="19"/>
        <v>4.5803820368243509</v>
      </c>
      <c r="X42" s="345">
        <f t="shared" si="20"/>
        <v>1.2635257518928731E-8</v>
      </c>
      <c r="Y42" s="338">
        <f t="shared" si="8"/>
        <v>-15.796534118291691</v>
      </c>
      <c r="Z42" s="346">
        <f t="shared" si="21"/>
        <v>4.5803820368243507E-2</v>
      </c>
      <c r="AA42" s="346">
        <f t="shared" si="22"/>
        <v>0.28996120304139816</v>
      </c>
      <c r="AB42" s="346">
        <f t="shared" si="9"/>
        <v>9.1607640736487014E-2</v>
      </c>
      <c r="AC42" s="336">
        <f t="shared" si="3"/>
        <v>1.7799551605145667E-11</v>
      </c>
      <c r="AD42" s="337">
        <f t="shared" si="4"/>
        <v>1.0283494845206173E-12</v>
      </c>
      <c r="AE42" s="308">
        <f t="shared" si="10"/>
        <v>5.7773898316816696</v>
      </c>
      <c r="AF42" s="337">
        <f t="shared" si="11"/>
        <v>2.0566989690412345E-12</v>
      </c>
      <c r="AG42" s="338">
        <f t="shared" si="23"/>
        <v>-24.751847849669954</v>
      </c>
      <c r="AH42" s="339">
        <f t="shared" si="24"/>
        <v>5.7773898316816702E-2</v>
      </c>
      <c r="AI42" s="340">
        <f t="shared" si="25"/>
        <v>0.23341246547613645</v>
      </c>
      <c r="AJ42" s="341">
        <f t="shared" si="12"/>
        <v>0.1155477966336334</v>
      </c>
    </row>
    <row r="43" spans="1:36" x14ac:dyDescent="0.2">
      <c r="A43" s="309">
        <v>36</v>
      </c>
      <c r="B43" s="309">
        <f t="shared" si="13"/>
        <v>41.5</v>
      </c>
      <c r="C43" s="1">
        <v>555.92999999999995</v>
      </c>
      <c r="D43" s="1">
        <v>1.1100000000000001</v>
      </c>
      <c r="E43" s="326">
        <f t="shared" si="5"/>
        <v>12.061562213537899</v>
      </c>
      <c r="F43" s="327">
        <f t="shared" si="0"/>
        <v>1.6586825694775716E-2</v>
      </c>
      <c r="G43" s="309">
        <f t="shared" si="6"/>
        <v>1.5</v>
      </c>
      <c r="H43" s="1">
        <v>5400</v>
      </c>
      <c r="I43" s="324">
        <v>30</v>
      </c>
      <c r="J43" s="1">
        <v>2.265E-2</v>
      </c>
      <c r="K43" s="1">
        <v>1.8000000000000001E-4</v>
      </c>
      <c r="L43" s="328">
        <f t="shared" si="1"/>
        <v>0.79470198675496684</v>
      </c>
      <c r="M43" s="329">
        <f t="shared" si="2"/>
        <v>8.1156616145329451E-3</v>
      </c>
      <c r="N43" s="342">
        <f>(1/$J$46)*SQRT(((1-J44/$J$46)*K43)^2+(J44/$J$46)^2*(SUMSQ(K$8:K42)+SUMSQ(K44:K$45)))</f>
        <v>1.0461581589792737E-4</v>
      </c>
      <c r="O43" s="340">
        <f t="shared" si="14"/>
        <v>1.289060841454859</v>
      </c>
      <c r="P43" s="332">
        <f t="shared" si="7"/>
        <v>0.38635923895517565</v>
      </c>
      <c r="Q43" s="342">
        <f>SQRT(((1-P43)/$J$46)^2*SUMSQ(K$8:K43)+(P43/$J$46)^2*SUMSQ(K44:K$45))</f>
        <v>7.0672401560912335E-3</v>
      </c>
      <c r="R43" s="340">
        <f t="shared" si="15"/>
        <v>1.829188859363903</v>
      </c>
      <c r="S43" s="343">
        <f t="shared" si="16"/>
        <v>1.4596868148098269E-7</v>
      </c>
      <c r="T43" s="344">
        <f t="shared" si="17"/>
        <v>8.1093711933879254E-10</v>
      </c>
      <c r="U43" s="344">
        <f>IF(P43&lt;=0.85, (1/(3*H43*$J$46))*SQRT( ((1-P43)*(1/SQRT(1-PI()*P43/3)-1) + (1-P42)*(1-1/SQRT(1-PI()*P42/3)))^2*SUMSQ(K$8:K42) + ( (1-P43)*(1/SQRT(1-PI()*P43/3)-1) -P42*(1-1/SQRT(1-PI()*P42/3)) )^2*K43^2 + ( P43*(1-1/SQRT(1-PI()*P43/3)) - P42*(1-1/SQRT(1-PI()*P42/3)) )^2*SUMSQ(K44:K$45) ), (1/(PI()^2*H43*$J$46))*SQRT((1+P42/(1-P42))^2*K43^2+(P42/(1-P42)-P43/(1-P43))^2*SUMSQ(K44:K$45)) )</f>
        <v>6.714825378691905E-9</v>
      </c>
      <c r="V43" s="345">
        <f t="shared" si="18"/>
        <v>6.7636158138858232E-9</v>
      </c>
      <c r="W43" s="340">
        <f t="shared" si="19"/>
        <v>4.6336075281785769</v>
      </c>
      <c r="X43" s="345">
        <f t="shared" si="20"/>
        <v>1.3527231627771646E-8</v>
      </c>
      <c r="Y43" s="338">
        <f t="shared" si="8"/>
        <v>-15.739873748652951</v>
      </c>
      <c r="Z43" s="346">
        <f t="shared" si="21"/>
        <v>4.6336075281785773E-2</v>
      </c>
      <c r="AA43" s="346">
        <f t="shared" si="22"/>
        <v>0.29438657527828843</v>
      </c>
      <c r="AB43" s="346">
        <f t="shared" si="9"/>
        <v>9.2672150563571545E-2</v>
      </c>
      <c r="AC43" s="336">
        <f t="shared" si="3"/>
        <v>1.8837199957648222E-11</v>
      </c>
      <c r="AD43" s="337">
        <f t="shared" si="4"/>
        <v>1.0962643876659652E-12</v>
      </c>
      <c r="AE43" s="308">
        <f t="shared" si="10"/>
        <v>5.8196780313990528</v>
      </c>
      <c r="AF43" s="337">
        <f t="shared" si="11"/>
        <v>2.1925287753319303E-12</v>
      </c>
      <c r="AG43" s="338">
        <f t="shared" si="23"/>
        <v>-24.695187480031215</v>
      </c>
      <c r="AH43" s="339">
        <f t="shared" si="24"/>
        <v>5.8196780313990525E-2</v>
      </c>
      <c r="AI43" s="340">
        <f t="shared" si="25"/>
        <v>0.23566041100537924</v>
      </c>
      <c r="AJ43" s="341">
        <f t="shared" si="12"/>
        <v>0.11639356062798105</v>
      </c>
    </row>
    <row r="44" spans="1:36" x14ac:dyDescent="0.2">
      <c r="A44" s="309">
        <v>37</v>
      </c>
      <c r="B44" s="309">
        <f t="shared" si="13"/>
        <v>43</v>
      </c>
      <c r="C44" s="1">
        <v>544.9</v>
      </c>
      <c r="D44" s="1">
        <v>1.52</v>
      </c>
      <c r="E44" s="326">
        <f t="shared" si="5"/>
        <v>12.22419167532547</v>
      </c>
      <c r="F44" s="327" t="e">
        <f>SQRT((((-1)*10^4/(#REF!+273.15)^2)*D44)^2)</f>
        <v>#REF!</v>
      </c>
      <c r="G44" s="309">
        <f t="shared" si="6"/>
        <v>1.5</v>
      </c>
      <c r="H44" s="1">
        <v>5400</v>
      </c>
      <c r="I44" s="324">
        <v>30</v>
      </c>
      <c r="J44" s="1">
        <v>1.261E-2</v>
      </c>
      <c r="K44" s="1">
        <v>1.1E-4</v>
      </c>
      <c r="L44" s="328">
        <f t="shared" si="1"/>
        <v>0.87232355273592388</v>
      </c>
      <c r="M44" s="329">
        <f t="shared" si="2"/>
        <v>4.5182557597907473E-3</v>
      </c>
      <c r="N44" s="342">
        <f>(1/$J$46)*SQRT(((1-J45/$J$46)*K44)^2+(J45/$J$46)^2*(SUMSQ(K$8:K43)+SUMSQ(K45:K$45)))</f>
        <v>1.1135306467727776E-2</v>
      </c>
      <c r="O44" s="340">
        <f t="shared" si="14"/>
        <v>246.45144187772766</v>
      </c>
      <c r="P44" s="332">
        <f t="shared" si="7"/>
        <v>0.39087749471496641</v>
      </c>
      <c r="Q44" s="342">
        <f>SQRT(((1-P44)/$J$46)^2*SUMSQ(K$8:K44)+(P44/$J$46)^2*SUMSQ(K45:K$45))</f>
        <v>7.1496463576567991E-3</v>
      </c>
      <c r="R44" s="340">
        <f t="shared" si="15"/>
        <v>1.8291271445214377</v>
      </c>
      <c r="S44" s="343">
        <f t="shared" si="16"/>
        <v>8.3267214488359449E-8</v>
      </c>
      <c r="T44" s="344">
        <f t="shared" si="17"/>
        <v>4.6259563604644136E-10</v>
      </c>
      <c r="U44" s="344">
        <f>IF(P44&lt;=0.85, (1/(3*H44*$J$46))*SQRT( ((1-P44)*(1/SQRT(1-PI()*P44/3)-1) + (1-P43)*(1-1/SQRT(1-PI()*P43/3)))^2*SUMSQ(K$8:K43) + ( (1-P44)*(1/SQRT(1-PI()*P44/3)-1) -P43*(1-1/SQRT(1-PI()*P43/3)) )^2*K44^2 + ( P44*(1-1/SQRT(1-PI()*P44/3)) - P43*(1-1/SQRT(1-PI()*P43/3)) )^2*SUMSQ(K45:K$45) ), (1/(PI()^2*H44*$J$46))*SQRT((1+P43/(1-P43))^2*K44^2+(P43/(1-P43)-P44/(1-P44))^2*SUMSQ(K45:K$45)) )</f>
        <v>3.8614535002789563E-9</v>
      </c>
      <c r="V44" s="345">
        <f t="shared" si="18"/>
        <v>3.8890638793038375E-9</v>
      </c>
      <c r="W44" s="340">
        <f t="shared" si="19"/>
        <v>4.6705824173420849</v>
      </c>
      <c r="X44" s="345">
        <f t="shared" si="20"/>
        <v>7.778127758607675E-9</v>
      </c>
      <c r="Y44" s="338">
        <f t="shared" si="8"/>
        <v>-16.301210948821073</v>
      </c>
      <c r="Z44" s="346">
        <f t="shared" si="21"/>
        <v>4.6705824173420847E-2</v>
      </c>
      <c r="AA44" s="346">
        <f t="shared" si="22"/>
        <v>0.28651751284034932</v>
      </c>
      <c r="AB44" s="346">
        <f t="shared" si="9"/>
        <v>9.3411648346841694E-2</v>
      </c>
      <c r="AC44" s="336">
        <f t="shared" si="3"/>
        <v>1.074560072283699E-11</v>
      </c>
      <c r="AD44" s="337">
        <f t="shared" si="4"/>
        <v>6.2852738911937019E-13</v>
      </c>
      <c r="AE44" s="308">
        <f t="shared" si="10"/>
        <v>5.8491600919397468</v>
      </c>
      <c r="AF44" s="337">
        <f t="shared" si="11"/>
        <v>1.2570547782387404E-12</v>
      </c>
      <c r="AG44" s="338">
        <f t="shared" si="23"/>
        <v>-25.256524680199337</v>
      </c>
      <c r="AH44" s="339">
        <f t="shared" si="24"/>
        <v>5.8491600919397466E-2</v>
      </c>
      <c r="AI44" s="340">
        <f t="shared" si="25"/>
        <v>0.23159006102392954</v>
      </c>
      <c r="AJ44" s="341">
        <f t="shared" si="12"/>
        <v>0.11698320183879493</v>
      </c>
    </row>
    <row r="45" spans="1:36" x14ac:dyDescent="0.2">
      <c r="J45" s="338">
        <v>1.7</v>
      </c>
      <c r="K45" s="346">
        <f>IF(J45&lt;0.06,J45*0.1,IF(J45&lt;0.2,J45*0.06,J45*0.03))</f>
        <v>5.0999999999999997E-2</v>
      </c>
      <c r="L45" s="328"/>
      <c r="M45" s="329"/>
      <c r="N45" s="342"/>
      <c r="O45" s="340"/>
      <c r="P45" s="332"/>
      <c r="Q45" s="342"/>
      <c r="R45" s="340"/>
      <c r="S45" s="343"/>
      <c r="T45" s="344"/>
      <c r="U45" s="344"/>
      <c r="V45" s="345"/>
      <c r="W45" s="340"/>
      <c r="X45" s="345"/>
      <c r="Y45" s="338"/>
      <c r="Z45" s="346"/>
      <c r="AA45" s="346"/>
      <c r="AB45" s="346"/>
      <c r="AC45" s="336"/>
      <c r="AD45" s="337"/>
      <c r="AE45" s="308"/>
      <c r="AF45" s="337"/>
      <c r="AG45" s="338"/>
      <c r="AH45" s="339"/>
      <c r="AI45" s="340"/>
      <c r="AJ45" s="341"/>
    </row>
    <row r="46" spans="1:36" x14ac:dyDescent="0.2">
      <c r="J46" s="120">
        <f>SUM(J8:J45)</f>
        <v>2.7909000000000006</v>
      </c>
      <c r="K46" s="346">
        <f>SQRT(SUMSQ(K8:K45))</f>
        <v>5.1020228341315754E-2</v>
      </c>
      <c r="L46" s="328"/>
      <c r="M46" s="329"/>
      <c r="N46" s="342"/>
      <c r="O46" s="340"/>
      <c r="P46" s="332"/>
      <c r="Q46" s="342"/>
      <c r="R46" s="340"/>
      <c r="S46" s="343"/>
      <c r="T46" s="344"/>
      <c r="U46" s="344"/>
      <c r="V46" s="345"/>
      <c r="W46" s="340"/>
      <c r="X46" s="345"/>
      <c r="Y46" s="338"/>
      <c r="Z46" s="346"/>
      <c r="AA46" s="346"/>
      <c r="AB46" s="346"/>
      <c r="AC46" s="336"/>
      <c r="AD46" s="337"/>
      <c r="AE46" s="308"/>
      <c r="AF46" s="337"/>
      <c r="AG46" s="338"/>
      <c r="AH46" s="339"/>
      <c r="AI46" s="340"/>
      <c r="AJ46" s="341"/>
    </row>
    <row r="47" spans="1:36" x14ac:dyDescent="0.2">
      <c r="L47" s="328"/>
      <c r="M47" s="329"/>
      <c r="N47" s="342"/>
      <c r="O47" s="340"/>
      <c r="P47" s="332"/>
      <c r="Q47" s="342"/>
      <c r="R47" s="340"/>
      <c r="S47" s="343"/>
      <c r="T47" s="344"/>
      <c r="U47" s="344"/>
      <c r="V47" s="345"/>
      <c r="W47" s="340"/>
      <c r="X47" s="345"/>
      <c r="Y47" s="338"/>
      <c r="Z47" s="346"/>
      <c r="AA47" s="346"/>
      <c r="AB47" s="346"/>
      <c r="AC47" s="336"/>
      <c r="AD47" s="337"/>
      <c r="AE47" s="308"/>
      <c r="AF47" s="337"/>
      <c r="AG47" s="338"/>
      <c r="AH47" s="339"/>
      <c r="AI47" s="340"/>
      <c r="AJ47" s="341"/>
    </row>
    <row r="48" spans="1:36" x14ac:dyDescent="0.2">
      <c r="L48" s="328"/>
      <c r="M48" s="329"/>
      <c r="N48" s="342"/>
      <c r="O48" s="340"/>
      <c r="P48" s="332"/>
      <c r="Q48" s="342"/>
      <c r="R48" s="340"/>
      <c r="S48" s="343"/>
      <c r="T48" s="344"/>
      <c r="U48" s="344"/>
      <c r="V48" s="345"/>
      <c r="W48" s="340"/>
      <c r="X48" s="345"/>
      <c r="Y48" s="338"/>
      <c r="Z48" s="346"/>
      <c r="AA48" s="346"/>
      <c r="AB48" s="346"/>
      <c r="AC48" s="336"/>
      <c r="AD48" s="337"/>
      <c r="AE48" s="308"/>
      <c r="AF48" s="337"/>
      <c r="AG48" s="338"/>
      <c r="AH48" s="339"/>
      <c r="AI48" s="340"/>
      <c r="AJ48" s="341"/>
    </row>
    <row r="49" spans="11:36" x14ac:dyDescent="0.2">
      <c r="K49" s="120"/>
      <c r="L49" s="328"/>
      <c r="M49" s="329"/>
      <c r="N49" s="342"/>
      <c r="O49" s="340"/>
      <c r="P49" s="332"/>
      <c r="Q49" s="342"/>
      <c r="R49" s="340"/>
      <c r="S49" s="343"/>
      <c r="T49" s="344"/>
      <c r="U49" s="344"/>
      <c r="V49" s="345"/>
      <c r="W49" s="340"/>
      <c r="X49" s="345"/>
      <c r="Y49" s="338"/>
      <c r="Z49" s="346"/>
      <c r="AA49" s="346"/>
      <c r="AB49" s="346"/>
      <c r="AC49" s="336"/>
      <c r="AD49" s="337"/>
      <c r="AE49" s="308"/>
      <c r="AF49" s="337"/>
      <c r="AG49" s="338"/>
      <c r="AH49" s="339"/>
      <c r="AI49" s="340"/>
      <c r="AJ49" s="341"/>
    </row>
    <row r="50" spans="11:36" x14ac:dyDescent="0.2">
      <c r="L50" s="328"/>
      <c r="M50" s="329"/>
      <c r="N50" s="342"/>
      <c r="O50" s="340"/>
      <c r="P50" s="332"/>
      <c r="Q50" s="342"/>
      <c r="R50" s="340"/>
      <c r="S50" s="343"/>
      <c r="T50" s="344"/>
      <c r="U50" s="344"/>
      <c r="V50" s="345"/>
      <c r="W50" s="340"/>
      <c r="X50" s="345"/>
      <c r="Y50" s="338"/>
      <c r="Z50" s="346"/>
      <c r="AA50" s="346"/>
      <c r="AB50" s="346"/>
      <c r="AC50" s="336"/>
      <c r="AD50" s="337"/>
      <c r="AE50" s="308"/>
      <c r="AF50" s="337"/>
      <c r="AG50" s="338"/>
      <c r="AH50" s="339"/>
      <c r="AI50" s="340"/>
      <c r="AJ50" s="341"/>
    </row>
    <row r="51" spans="11:36" x14ac:dyDescent="0.2">
      <c r="L51" s="328"/>
      <c r="M51" s="329"/>
      <c r="N51" s="342"/>
      <c r="O51" s="340"/>
      <c r="P51" s="332"/>
      <c r="Q51" s="342"/>
      <c r="R51" s="340"/>
      <c r="S51" s="343"/>
      <c r="T51" s="344"/>
      <c r="U51" s="344"/>
      <c r="V51" s="345"/>
      <c r="W51" s="340"/>
      <c r="X51" s="345"/>
      <c r="Y51" s="338"/>
      <c r="Z51" s="346"/>
      <c r="AA51" s="346"/>
      <c r="AB51" s="346"/>
      <c r="AC51" s="336"/>
      <c r="AD51" s="337"/>
      <c r="AE51" s="308"/>
      <c r="AF51" s="337"/>
      <c r="AG51" s="338"/>
      <c r="AH51" s="339"/>
      <c r="AI51" s="340"/>
      <c r="AJ51" s="341"/>
    </row>
    <row r="52" spans="11:36" x14ac:dyDescent="0.2">
      <c r="L52" s="328"/>
      <c r="M52" s="329"/>
      <c r="N52" s="342"/>
      <c r="O52" s="340"/>
      <c r="P52" s="332"/>
      <c r="Q52" s="342"/>
      <c r="R52" s="340"/>
      <c r="S52" s="343"/>
      <c r="T52" s="344"/>
      <c r="U52" s="344"/>
      <c r="V52" s="345"/>
      <c r="W52" s="340"/>
      <c r="X52" s="345"/>
      <c r="Y52" s="338"/>
      <c r="Z52" s="346"/>
      <c r="AA52" s="346"/>
      <c r="AB52" s="346"/>
      <c r="AC52" s="336"/>
      <c r="AD52" s="337"/>
      <c r="AE52" s="308"/>
      <c r="AF52" s="337"/>
      <c r="AG52" s="338"/>
      <c r="AH52" s="339"/>
      <c r="AI52" s="340"/>
      <c r="AJ52" s="341"/>
    </row>
    <row r="53" spans="11:36" x14ac:dyDescent="0.2">
      <c r="L53" s="328"/>
      <c r="M53" s="329"/>
      <c r="O53" s="340"/>
      <c r="P53" s="332"/>
      <c r="Q53" s="342"/>
      <c r="R53" s="340"/>
      <c r="S53" s="343"/>
      <c r="T53" s="344"/>
      <c r="U53" s="344"/>
      <c r="V53" s="345"/>
      <c r="W53" s="340"/>
      <c r="X53" s="345"/>
      <c r="Y53" s="338"/>
      <c r="Z53" s="346"/>
      <c r="AA53" s="346"/>
      <c r="AB53" s="346"/>
      <c r="AC53" s="336"/>
      <c r="AD53" s="337"/>
      <c r="AE53" s="308"/>
      <c r="AF53" s="337"/>
      <c r="AG53" s="338"/>
      <c r="AH53" s="339"/>
      <c r="AI53" s="340"/>
      <c r="AJ53" s="341"/>
    </row>
    <row r="54" spans="11:36" x14ac:dyDescent="0.2">
      <c r="L54" s="328"/>
      <c r="M54" s="329"/>
      <c r="O54" s="340"/>
      <c r="P54" s="332"/>
      <c r="Q54" s="342"/>
      <c r="R54" s="340"/>
      <c r="S54" s="343"/>
      <c r="T54" s="344"/>
      <c r="U54" s="344"/>
      <c r="V54" s="345"/>
      <c r="W54" s="340"/>
      <c r="X54" s="345"/>
      <c r="Y54" s="338"/>
      <c r="Z54" s="346"/>
      <c r="AA54" s="346"/>
      <c r="AB54" s="346"/>
      <c r="AC54" s="336"/>
      <c r="AD54" s="337"/>
      <c r="AE54" s="308"/>
      <c r="AF54" s="337"/>
      <c r="AG54" s="338"/>
      <c r="AH54" s="339"/>
      <c r="AI54" s="340"/>
      <c r="AJ54" s="341"/>
    </row>
    <row r="55" spans="11:36" x14ac:dyDescent="0.2">
      <c r="L55" s="328"/>
      <c r="M55" s="329"/>
      <c r="O55" s="340"/>
      <c r="P55" s="332"/>
      <c r="Q55" s="342"/>
      <c r="R55" s="340"/>
      <c r="S55" s="343"/>
      <c r="T55" s="344"/>
      <c r="U55" s="344"/>
      <c r="V55" s="345"/>
      <c r="W55" s="340"/>
      <c r="X55" s="345"/>
      <c r="Y55" s="338"/>
      <c r="Z55" s="346"/>
      <c r="AA55" s="346"/>
      <c r="AB55" s="346"/>
      <c r="AC55" s="336"/>
      <c r="AD55" s="337"/>
      <c r="AE55" s="308"/>
      <c r="AF55" s="337"/>
      <c r="AG55" s="338"/>
      <c r="AH55" s="339"/>
      <c r="AI55" s="340"/>
      <c r="AJ55" s="341"/>
    </row>
    <row r="56" spans="11:36" x14ac:dyDescent="0.2">
      <c r="L56" s="328"/>
      <c r="M56" s="329"/>
      <c r="O56" s="340"/>
      <c r="P56" s="332"/>
      <c r="Q56" s="342"/>
      <c r="R56" s="340"/>
      <c r="S56" s="343"/>
      <c r="T56" s="344"/>
      <c r="U56" s="344"/>
      <c r="V56" s="345"/>
      <c r="W56" s="340"/>
      <c r="X56" s="345"/>
      <c r="Y56" s="338"/>
      <c r="Z56" s="346"/>
      <c r="AA56" s="346"/>
      <c r="AB56" s="346"/>
      <c r="AC56" s="336"/>
      <c r="AD56" s="337"/>
      <c r="AE56" s="308"/>
      <c r="AF56" s="337"/>
      <c r="AG56" s="338"/>
      <c r="AH56" s="339"/>
      <c r="AI56" s="340"/>
      <c r="AJ56" s="341"/>
    </row>
    <row r="57" spans="11:36" x14ac:dyDescent="0.2">
      <c r="L57" s="328"/>
      <c r="M57" s="329"/>
      <c r="O57" s="340"/>
      <c r="P57" s="332"/>
      <c r="Q57" s="342"/>
      <c r="R57" s="340"/>
      <c r="S57" s="343"/>
      <c r="T57" s="344"/>
      <c r="U57" s="344"/>
      <c r="V57" s="345"/>
      <c r="W57" s="340"/>
      <c r="X57" s="345"/>
      <c r="Y57" s="338"/>
      <c r="Z57" s="346"/>
      <c r="AA57" s="346"/>
      <c r="AB57" s="346"/>
      <c r="AC57" s="336"/>
      <c r="AD57" s="337"/>
      <c r="AE57" s="308"/>
      <c r="AF57" s="337"/>
      <c r="AG57" s="338"/>
      <c r="AH57" s="339"/>
      <c r="AI57" s="340"/>
      <c r="AJ57" s="341"/>
    </row>
    <row r="58" spans="11:36" x14ac:dyDescent="0.2">
      <c r="L58" s="328"/>
      <c r="M58" s="329"/>
      <c r="O58" s="340"/>
      <c r="P58" s="332"/>
      <c r="Q58" s="342"/>
      <c r="R58" s="340"/>
      <c r="S58" s="343"/>
      <c r="T58" s="344"/>
      <c r="U58" s="344"/>
      <c r="V58" s="345"/>
      <c r="W58" s="340"/>
      <c r="X58" s="345"/>
      <c r="Y58" s="338"/>
      <c r="Z58" s="346"/>
      <c r="AA58" s="346"/>
      <c r="AB58" s="346"/>
      <c r="AC58" s="336"/>
      <c r="AD58" s="337"/>
      <c r="AE58" s="308"/>
      <c r="AF58" s="337"/>
      <c r="AG58" s="338"/>
      <c r="AH58" s="339"/>
      <c r="AI58" s="340"/>
      <c r="AJ58" s="341"/>
    </row>
    <row r="59" spans="11:36" x14ac:dyDescent="0.2">
      <c r="L59" s="328"/>
      <c r="M59" s="329"/>
      <c r="O59" s="340"/>
      <c r="P59" s="332"/>
      <c r="Q59" s="342"/>
      <c r="R59" s="340"/>
      <c r="S59" s="343"/>
      <c r="T59" s="344"/>
      <c r="U59" s="344"/>
      <c r="V59" s="345"/>
      <c r="W59" s="340"/>
      <c r="X59" s="345"/>
      <c r="Y59" s="338"/>
      <c r="Z59" s="346"/>
      <c r="AA59" s="346"/>
      <c r="AB59" s="346"/>
      <c r="AC59" s="336"/>
      <c r="AD59" s="337"/>
      <c r="AE59" s="308"/>
      <c r="AF59" s="337"/>
      <c r="AG59" s="338"/>
      <c r="AH59" s="339"/>
      <c r="AI59" s="340"/>
      <c r="AJ59" s="341"/>
    </row>
    <row r="60" spans="11:36" x14ac:dyDescent="0.2">
      <c r="L60" s="328"/>
      <c r="M60" s="329"/>
      <c r="O60" s="340"/>
      <c r="P60" s="332"/>
      <c r="Q60" s="342"/>
      <c r="R60" s="340"/>
      <c r="S60" s="343"/>
      <c r="T60" s="344"/>
      <c r="U60" s="344"/>
      <c r="V60" s="345"/>
      <c r="W60" s="340"/>
      <c r="X60" s="345"/>
      <c r="Y60" s="338"/>
      <c r="Z60" s="346"/>
      <c r="AA60" s="346"/>
      <c r="AB60" s="346"/>
      <c r="AC60" s="336"/>
      <c r="AD60" s="337"/>
      <c r="AE60" s="308"/>
      <c r="AF60" s="337"/>
      <c r="AG60" s="338"/>
      <c r="AH60" s="339"/>
      <c r="AI60" s="340"/>
      <c r="AJ60" s="341"/>
    </row>
    <row r="61" spans="11:36" x14ac:dyDescent="0.2">
      <c r="L61" s="328"/>
      <c r="M61" s="329"/>
      <c r="O61" s="340"/>
      <c r="P61" s="332"/>
      <c r="Q61" s="342"/>
      <c r="R61" s="340"/>
      <c r="S61" s="343"/>
      <c r="T61" s="344"/>
      <c r="U61" s="344"/>
      <c r="V61" s="345"/>
      <c r="W61" s="340"/>
      <c r="X61" s="345"/>
      <c r="Y61" s="338"/>
      <c r="Z61" s="346"/>
      <c r="AA61" s="346"/>
      <c r="AB61" s="346"/>
      <c r="AC61" s="336"/>
      <c r="AD61" s="337"/>
      <c r="AE61" s="308"/>
      <c r="AF61" s="337"/>
      <c r="AG61" s="338"/>
      <c r="AH61" s="339"/>
      <c r="AI61" s="340"/>
      <c r="AJ61" s="341"/>
    </row>
    <row r="62" spans="11:36" x14ac:dyDescent="0.2">
      <c r="L62" s="328"/>
      <c r="M62" s="329"/>
      <c r="O62" s="340"/>
      <c r="P62" s="332"/>
      <c r="Q62" s="342"/>
      <c r="R62" s="340"/>
      <c r="S62" s="343"/>
      <c r="T62" s="344"/>
      <c r="U62" s="344"/>
      <c r="V62" s="345"/>
      <c r="W62" s="340"/>
      <c r="X62" s="345"/>
      <c r="Y62" s="338"/>
      <c r="Z62" s="346"/>
      <c r="AA62" s="346"/>
      <c r="AB62" s="346"/>
      <c r="AC62" s="336"/>
      <c r="AD62" s="337"/>
      <c r="AE62" s="308"/>
      <c r="AF62" s="337"/>
      <c r="AG62" s="338"/>
      <c r="AH62" s="339"/>
      <c r="AI62" s="340"/>
      <c r="AJ62" s="341"/>
    </row>
    <row r="63" spans="11:36" x14ac:dyDescent="0.2">
      <c r="L63" s="328"/>
      <c r="M63" s="329"/>
      <c r="O63" s="340"/>
      <c r="P63" s="332"/>
      <c r="Q63" s="342"/>
      <c r="R63" s="340"/>
      <c r="S63" s="343"/>
      <c r="T63" s="344"/>
      <c r="U63" s="344"/>
      <c r="V63" s="345"/>
      <c r="W63" s="340"/>
      <c r="X63" s="345"/>
      <c r="Y63" s="338"/>
      <c r="Z63" s="346"/>
      <c r="AA63" s="346"/>
      <c r="AB63" s="346"/>
      <c r="AC63" s="336"/>
      <c r="AD63" s="337"/>
      <c r="AE63" s="308"/>
      <c r="AF63" s="337"/>
      <c r="AG63" s="338"/>
      <c r="AH63" s="339"/>
      <c r="AI63" s="340"/>
      <c r="AJ63" s="341"/>
    </row>
    <row r="64" spans="11:36" x14ac:dyDescent="0.2">
      <c r="L64" s="328"/>
      <c r="M64" s="329"/>
      <c r="O64" s="340"/>
      <c r="P64" s="332"/>
      <c r="Q64" s="342"/>
      <c r="R64" s="340"/>
      <c r="S64" s="343"/>
      <c r="T64" s="344"/>
      <c r="U64" s="344"/>
      <c r="V64" s="345"/>
      <c r="W64" s="340"/>
      <c r="X64" s="345"/>
      <c r="Y64" s="338"/>
      <c r="Z64" s="346"/>
      <c r="AA64" s="346"/>
      <c r="AB64" s="346"/>
      <c r="AC64" s="336"/>
      <c r="AD64" s="337"/>
      <c r="AE64" s="308"/>
      <c r="AF64" s="337"/>
      <c r="AG64" s="338"/>
      <c r="AH64" s="339"/>
      <c r="AI64" s="340"/>
      <c r="AJ64" s="341"/>
    </row>
    <row r="65" spans="12:36" x14ac:dyDescent="0.2">
      <c r="L65" s="328"/>
      <c r="M65" s="329"/>
      <c r="O65" s="340"/>
      <c r="P65" s="332"/>
      <c r="Q65" s="342"/>
      <c r="R65" s="340"/>
      <c r="S65" s="343"/>
      <c r="T65" s="344"/>
      <c r="U65" s="344"/>
      <c r="V65" s="345"/>
      <c r="W65" s="340"/>
      <c r="X65" s="345"/>
      <c r="Y65" s="338"/>
      <c r="Z65" s="346"/>
      <c r="AA65" s="346"/>
      <c r="AB65" s="346"/>
      <c r="AC65" s="336"/>
      <c r="AD65" s="337"/>
      <c r="AE65" s="308"/>
      <c r="AF65" s="337"/>
      <c r="AG65" s="338"/>
      <c r="AH65" s="339"/>
      <c r="AI65" s="340"/>
      <c r="AJ65" s="341"/>
    </row>
    <row r="66" spans="12:36" x14ac:dyDescent="0.2">
      <c r="L66" s="328"/>
      <c r="M66" s="329"/>
      <c r="O66" s="340"/>
      <c r="P66" s="332"/>
      <c r="Q66" s="342"/>
      <c r="R66" s="340"/>
      <c r="S66" s="343"/>
      <c r="T66" s="344"/>
      <c r="U66" s="344"/>
      <c r="V66" s="345"/>
      <c r="W66" s="340"/>
      <c r="X66" s="345"/>
      <c r="Y66" s="338"/>
      <c r="Z66" s="346"/>
      <c r="AA66" s="346"/>
      <c r="AB66" s="346"/>
      <c r="AC66" s="336"/>
      <c r="AD66" s="337"/>
      <c r="AE66" s="308"/>
      <c r="AF66" s="337"/>
      <c r="AG66" s="338"/>
      <c r="AH66" s="339"/>
      <c r="AI66" s="340"/>
      <c r="AJ66" s="341"/>
    </row>
    <row r="67" spans="12:36" x14ac:dyDescent="0.2">
      <c r="L67" s="328"/>
      <c r="M67" s="329"/>
      <c r="O67" s="340"/>
      <c r="P67" s="332"/>
      <c r="Q67" s="342"/>
      <c r="R67" s="340"/>
      <c r="S67" s="343"/>
      <c r="T67" s="344"/>
      <c r="U67" s="344"/>
      <c r="V67" s="345"/>
      <c r="W67" s="340"/>
      <c r="X67" s="345"/>
      <c r="Y67" s="338"/>
      <c r="Z67" s="346"/>
      <c r="AA67" s="346"/>
      <c r="AB67" s="346"/>
      <c r="AC67" s="336"/>
      <c r="AD67" s="337"/>
      <c r="AE67" s="308"/>
      <c r="AF67" s="337"/>
      <c r="AG67" s="338"/>
      <c r="AH67" s="339"/>
      <c r="AI67" s="340"/>
      <c r="AJ67" s="3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E5C8-682F-2946-9E05-E3049526A0A8}">
  <dimension ref="A1:AM67"/>
  <sheetViews>
    <sheetView topLeftCell="A4" zoomScale="89" zoomScaleNormal="100" workbookViewId="0">
      <selection activeCell="J16" sqref="J16"/>
    </sheetView>
  </sheetViews>
  <sheetFormatPr baseColWidth="10" defaultColWidth="8.83203125" defaultRowHeight="15" x14ac:dyDescent="0.2"/>
  <cols>
    <col min="1" max="1" width="8.83203125" style="1"/>
    <col min="2" max="2" width="10" style="1" customWidth="1"/>
    <col min="3" max="6" width="11.1640625" style="1" customWidth="1"/>
    <col min="7" max="7" width="8.83203125" style="1"/>
    <col min="8" max="8" width="12.83203125" style="1" bestFit="1" customWidth="1"/>
    <col min="9" max="9" width="12.1640625" style="1" customWidth="1"/>
    <col min="10" max="10" width="10" style="1" customWidth="1"/>
    <col min="11" max="11" width="12.5" style="1" customWidth="1"/>
    <col min="12" max="13" width="10" style="1" customWidth="1"/>
    <col min="14" max="14" width="12" style="1" bestFit="1" customWidth="1"/>
    <col min="15" max="15" width="11.5" style="1" customWidth="1"/>
    <col min="16" max="16" width="12.6640625" style="1" bestFit="1" customWidth="1"/>
    <col min="17" max="22" width="10.5" style="1" customWidth="1"/>
    <col min="23" max="23" width="9.83203125" style="1" customWidth="1"/>
    <col min="24" max="24" width="10.5" style="1" customWidth="1"/>
    <col min="25" max="25" width="13.5" style="1" customWidth="1"/>
    <col min="26" max="26" width="15" style="1" customWidth="1"/>
    <col min="27" max="27" width="10.5" style="1" customWidth="1"/>
    <col min="28" max="28" width="8.83203125" style="1"/>
    <col min="29" max="32" width="0" style="1" hidden="1" customWidth="1"/>
    <col min="33" max="33" width="12.6640625" style="1" hidden="1" customWidth="1"/>
    <col min="34" max="35" width="0" style="1" hidden="1" customWidth="1"/>
    <col min="36" max="36" width="10.1640625" style="1" hidden="1" customWidth="1"/>
    <col min="37" max="16384" width="8.83203125" style="1"/>
  </cols>
  <sheetData>
    <row r="1" spans="1:39" ht="16" hidden="1" x14ac:dyDescent="0.2">
      <c r="A1" s="297" t="s">
        <v>566</v>
      </c>
      <c r="B1" s="298"/>
      <c r="C1" s="299"/>
      <c r="D1" s="299"/>
      <c r="AC1" s="300" t="s">
        <v>567</v>
      </c>
    </row>
    <row r="2" spans="1:39" hidden="1" x14ac:dyDescent="0.2">
      <c r="A2" s="301" t="s">
        <v>568</v>
      </c>
      <c r="AC2" s="302" t="s">
        <v>569</v>
      </c>
      <c r="AD2" s="303" t="s">
        <v>570</v>
      </c>
      <c r="AE2" s="304" t="s">
        <v>571</v>
      </c>
    </row>
    <row r="3" spans="1:39" hidden="1" x14ac:dyDescent="0.2">
      <c r="K3" s="305"/>
      <c r="L3" s="305"/>
      <c r="M3" s="306"/>
      <c r="N3" s="306"/>
      <c r="O3" s="306"/>
      <c r="P3" s="306"/>
      <c r="Q3" s="306"/>
      <c r="R3" s="306"/>
      <c r="S3" s="307"/>
      <c r="T3" s="307"/>
      <c r="U3" s="307"/>
      <c r="V3" s="307"/>
      <c r="W3" s="307"/>
      <c r="X3" s="307"/>
      <c r="Y3" s="307"/>
      <c r="Z3" s="307"/>
      <c r="AA3" s="307"/>
      <c r="AB3" s="306"/>
      <c r="AC3" s="1">
        <v>113.6</v>
      </c>
      <c r="AD3" s="308">
        <v>2</v>
      </c>
      <c r="AE3" s="308">
        <f>100*AD3/AC3</f>
        <v>1.7605633802816902</v>
      </c>
      <c r="AM3" s="305"/>
    </row>
    <row r="4" spans="1:39" ht="17" x14ac:dyDescent="0.2">
      <c r="C4" s="1" t="s">
        <v>572</v>
      </c>
      <c r="G4" s="1" t="s">
        <v>573</v>
      </c>
      <c r="J4" s="1" t="s">
        <v>620</v>
      </c>
      <c r="M4" s="101" t="s">
        <v>574</v>
      </c>
      <c r="P4" s="1" t="s">
        <v>575</v>
      </c>
      <c r="S4" s="309" t="s">
        <v>576</v>
      </c>
      <c r="T4" s="309"/>
      <c r="U4" s="309"/>
      <c r="V4" s="309"/>
      <c r="W4" s="309"/>
      <c r="X4" s="309"/>
      <c r="Y4" s="310" t="s">
        <v>577</v>
      </c>
      <c r="Z4" s="309"/>
      <c r="AA4" s="309"/>
      <c r="AC4" s="311" t="s">
        <v>578</v>
      </c>
      <c r="AD4" s="312"/>
      <c r="AE4" s="312"/>
      <c r="AF4" s="312"/>
      <c r="AG4" s="313" t="s">
        <v>579</v>
      </c>
      <c r="AH4" s="312"/>
      <c r="AI4" s="312"/>
      <c r="AJ4" s="314"/>
    </row>
    <row r="5" spans="1:39" ht="18" x14ac:dyDescent="0.25">
      <c r="A5" s="315" t="s">
        <v>580</v>
      </c>
      <c r="B5" s="315" t="s">
        <v>581</v>
      </c>
      <c r="C5" s="315" t="s">
        <v>582</v>
      </c>
      <c r="D5" s="316" t="s">
        <v>583</v>
      </c>
      <c r="E5" s="315" t="s">
        <v>584</v>
      </c>
      <c r="F5" s="316" t="s">
        <v>585</v>
      </c>
      <c r="G5" s="315" t="s">
        <v>586</v>
      </c>
      <c r="H5" s="315" t="s">
        <v>586</v>
      </c>
      <c r="I5" s="317" t="s">
        <v>587</v>
      </c>
      <c r="J5" s="315" t="s">
        <v>588</v>
      </c>
      <c r="K5" s="303" t="s">
        <v>589</v>
      </c>
      <c r="L5" s="318" t="s">
        <v>590</v>
      </c>
      <c r="M5" s="319" t="s">
        <v>591</v>
      </c>
      <c r="N5" s="303" t="s">
        <v>592</v>
      </c>
      <c r="O5" s="318" t="s">
        <v>590</v>
      </c>
      <c r="P5" s="315" t="s">
        <v>593</v>
      </c>
      <c r="Q5" s="303" t="s">
        <v>594</v>
      </c>
      <c r="R5" s="318" t="s">
        <v>590</v>
      </c>
      <c r="S5" s="320" t="s">
        <v>595</v>
      </c>
      <c r="T5" s="303" t="s">
        <v>596</v>
      </c>
      <c r="U5" s="303" t="s">
        <v>597</v>
      </c>
      <c r="V5" s="303" t="s">
        <v>598</v>
      </c>
      <c r="W5" s="318" t="s">
        <v>590</v>
      </c>
      <c r="X5" s="303" t="s">
        <v>599</v>
      </c>
      <c r="Y5" s="320" t="s">
        <v>600</v>
      </c>
      <c r="Z5" s="303" t="s">
        <v>601</v>
      </c>
      <c r="AA5" s="318" t="s">
        <v>590</v>
      </c>
      <c r="AB5" s="303" t="s">
        <v>602</v>
      </c>
      <c r="AC5" s="320" t="s">
        <v>603</v>
      </c>
      <c r="AD5" s="303" t="s">
        <v>5</v>
      </c>
      <c r="AE5" s="318" t="s">
        <v>6</v>
      </c>
      <c r="AF5" s="303" t="s">
        <v>599</v>
      </c>
      <c r="AG5" s="320" t="s">
        <v>604</v>
      </c>
      <c r="AH5" s="303" t="s">
        <v>5</v>
      </c>
      <c r="AI5" s="318" t="s">
        <v>6</v>
      </c>
      <c r="AJ5" s="321" t="s">
        <v>599</v>
      </c>
      <c r="AM5" s="322"/>
    </row>
    <row r="6" spans="1:39" ht="17" x14ac:dyDescent="0.2">
      <c r="A6" s="315"/>
      <c r="B6" s="315" t="s">
        <v>605</v>
      </c>
      <c r="C6" s="315" t="s">
        <v>606</v>
      </c>
      <c r="D6" s="316" t="s">
        <v>607</v>
      </c>
      <c r="E6" s="315" t="s">
        <v>608</v>
      </c>
      <c r="F6" s="316" t="s">
        <v>609</v>
      </c>
      <c r="G6" s="315" t="s">
        <v>605</v>
      </c>
      <c r="H6" s="315" t="s">
        <v>610</v>
      </c>
      <c r="I6" s="317" t="s">
        <v>610</v>
      </c>
      <c r="J6" s="315" t="s">
        <v>491</v>
      </c>
      <c r="K6" s="318" t="s">
        <v>491</v>
      </c>
      <c r="L6" s="303" t="s">
        <v>611</v>
      </c>
      <c r="M6" s="319"/>
      <c r="N6" s="303"/>
      <c r="O6" s="303" t="s">
        <v>611</v>
      </c>
      <c r="P6" s="315"/>
      <c r="Q6" s="303"/>
      <c r="R6" s="303" t="s">
        <v>611</v>
      </c>
      <c r="S6" s="320" t="s">
        <v>612</v>
      </c>
      <c r="T6" s="303" t="s">
        <v>613</v>
      </c>
      <c r="U6" s="303" t="s">
        <v>613</v>
      </c>
      <c r="V6" s="303" t="s">
        <v>613</v>
      </c>
      <c r="W6" s="303" t="s">
        <v>611</v>
      </c>
      <c r="X6" s="303" t="s">
        <v>613</v>
      </c>
      <c r="Y6" s="320" t="s">
        <v>614</v>
      </c>
      <c r="Z6" s="303" t="s">
        <v>615</v>
      </c>
      <c r="AA6" s="303" t="s">
        <v>611</v>
      </c>
      <c r="AB6" s="303" t="s">
        <v>615</v>
      </c>
      <c r="AC6" s="320" t="s">
        <v>616</v>
      </c>
      <c r="AD6" s="316" t="s">
        <v>617</v>
      </c>
      <c r="AE6" s="303" t="s">
        <v>611</v>
      </c>
      <c r="AF6" s="303" t="s">
        <v>615</v>
      </c>
      <c r="AG6" s="320" t="s">
        <v>618</v>
      </c>
      <c r="AH6" s="316" t="s">
        <v>619</v>
      </c>
      <c r="AI6" s="303" t="s">
        <v>611</v>
      </c>
      <c r="AJ6" s="323" t="s">
        <v>619</v>
      </c>
      <c r="AM6" s="322"/>
    </row>
    <row r="7" spans="1:39" ht="13.5" customHeight="1" x14ac:dyDescent="0.2">
      <c r="K7" s="324"/>
      <c r="L7" s="324"/>
      <c r="M7" s="101"/>
      <c r="N7" s="324"/>
      <c r="O7" s="324"/>
      <c r="Q7" s="324"/>
      <c r="R7" s="324"/>
      <c r="S7" s="324"/>
      <c r="T7" s="324"/>
      <c r="U7" s="324"/>
      <c r="V7" s="324"/>
      <c r="W7" s="324"/>
      <c r="X7" s="324"/>
      <c r="Y7" s="309"/>
      <c r="Z7" s="309"/>
      <c r="AA7" s="309"/>
      <c r="AC7" s="309"/>
      <c r="AD7" s="309"/>
      <c r="AE7" s="309"/>
      <c r="AF7" s="309"/>
      <c r="AG7" s="309"/>
      <c r="AH7" s="309"/>
      <c r="AI7" s="309"/>
      <c r="AJ7" s="325"/>
    </row>
    <row r="8" spans="1:39" x14ac:dyDescent="0.2">
      <c r="A8" s="309">
        <v>1</v>
      </c>
      <c r="B8" s="309">
        <f>G8</f>
        <v>1</v>
      </c>
      <c r="C8" s="1">
        <v>240</v>
      </c>
      <c r="D8" s="1">
        <v>0.91</v>
      </c>
      <c r="E8" s="326">
        <f>10000/(C8+273.15)</f>
        <v>19.48747929455325</v>
      </c>
      <c r="F8" s="327">
        <f t="shared" ref="F8:F45" si="0">SQRT((((-1)*10^4/(C9+273.15)^2)*D8)^2)</f>
        <v>2.9740999444161968E-2</v>
      </c>
      <c r="G8" s="309">
        <f>H8/60/60</f>
        <v>1</v>
      </c>
      <c r="H8" s="1">
        <v>3600</v>
      </c>
      <c r="I8" s="324">
        <v>30</v>
      </c>
      <c r="J8" s="1">
        <v>8.6099999999999996E-3</v>
      </c>
      <c r="K8" s="1">
        <v>1.2E-4</v>
      </c>
      <c r="L8" s="328">
        <f t="shared" ref="L8:L45" si="1">100*(K8/J8)</f>
        <v>1.3937282229965158</v>
      </c>
      <c r="M8" s="329">
        <f t="shared" ref="M8:M44" si="2">J8/$J$46</f>
        <v>5.0647058823529408E-3</v>
      </c>
      <c r="N8" s="330">
        <f>(1/$J$46)*SQRT(((1-J9/$J$46)*K8)^2+(J9/$J$46)^2*SUMSQ(K9:K$45))</f>
        <v>7.0110024989803214E-5</v>
      </c>
      <c r="O8" s="331">
        <f>100*(N8/M8)</f>
        <v>1.3842862076964633</v>
      </c>
      <c r="P8" s="332">
        <f>M8+P7</f>
        <v>5.0647058823529408E-3</v>
      </c>
      <c r="Q8" s="330">
        <f>SQRT(((1-P8)/$J$46)^2*SUMSQ(K$8:K8)+(P8/$J$46)^2*SUMSQ(K9:K$45))</f>
        <v>7.0293920550606106E-5</v>
      </c>
      <c r="R8" s="331">
        <f>100*(Q8/P8)</f>
        <v>1.3879171304997722</v>
      </c>
      <c r="S8" s="333">
        <f>IF(P8&lt;=0.85, ((2*PI()-PI()^2*P8/3-2*PI()*SQRT(1-PI()*P8/3))/PI()^2/H8), ((-1)*LN((1-P8)*PI()^2/6)/PI()^2/H8 ))</f>
        <v>6.2345817343856959E-10</v>
      </c>
      <c r="T8" s="333">
        <f>IF(P8&lt;=0.85, ABS((2/PI()-P8/3-2*SQRT(1-PI()*P8/3)/PI())*(-1)*I8/H8^2), ABS((-1)*LN((1-P8)*PI()^2/6)*(-1)*I8/PI()^2/H8^2))</f>
        <v>5.1954847787655038E-12</v>
      </c>
      <c r="U8" s="333">
        <f>IF(P8&lt;=0.85, ((1/(3*H8*$J$46))*((1/SQRT(1-PI()*P8/3))-1)*SQRT(((1-P8)*K8)^2+(-P8)^2*SUMSQ(K9:K$45))),  (1/(PI()^2*H8*$J$46))*SQRT(K8^2+(P8/(1-P8))^2*SUMSQ(K9:K$45)))</f>
        <v>1.7329204148808001E-11</v>
      </c>
      <c r="V8" s="334">
        <f>SQRT(T8^2+U8^2)</f>
        <v>1.8091279073560513E-11</v>
      </c>
      <c r="W8" s="331">
        <f>100*(V8/S8)</f>
        <v>2.9017630763875255</v>
      </c>
      <c r="X8" s="334">
        <f>V8*2</f>
        <v>3.6182558147121027E-11</v>
      </c>
      <c r="Y8" s="335">
        <f>LN(S8)</f>
        <v>-21.195739436557343</v>
      </c>
      <c r="Z8" s="335">
        <f>V8/S8</f>
        <v>2.9017630763875257E-2</v>
      </c>
      <c r="AA8" s="335">
        <f>ABS(100*(Z8/Y8))</f>
        <v>0.13690313022921538</v>
      </c>
      <c r="AB8" s="335">
        <f>2*Z8</f>
        <v>5.8035261527750515E-2</v>
      </c>
      <c r="AC8" s="336">
        <f t="shared" ref="AC8:AC45" si="3">S8*($AC$3^2)*10^(-8)</f>
        <v>8.0457027898978028E-14</v>
      </c>
      <c r="AD8" s="337">
        <f t="shared" ref="AD8:AD45" si="4">AC8*SQRT((V8/S8)^2+(2*$AD$3/$AC$3)^2)</f>
        <v>3.671042024205017E-15</v>
      </c>
      <c r="AE8" s="308">
        <f>100*AD8/AC8</f>
        <v>4.5627363079013845</v>
      </c>
      <c r="AF8" s="337">
        <f>2*AD8</f>
        <v>7.3420840484100339E-15</v>
      </c>
      <c r="AG8" s="338">
        <f>LN(AC8)</f>
        <v>-30.151053167935604</v>
      </c>
      <c r="AH8" s="339">
        <f>AD8/AC8</f>
        <v>4.5627363079013848E-2</v>
      </c>
      <c r="AI8" s="340">
        <f>ABS(100*(AH8/AG8))</f>
        <v>0.15132925150202267</v>
      </c>
      <c r="AJ8" s="341">
        <f>2*AH8</f>
        <v>9.1254726158027696E-2</v>
      </c>
    </row>
    <row r="9" spans="1:39" x14ac:dyDescent="0.2">
      <c r="A9" s="309">
        <v>2</v>
      </c>
      <c r="B9" s="309">
        <f>G9+B8</f>
        <v>2</v>
      </c>
      <c r="C9" s="1">
        <v>280</v>
      </c>
      <c r="D9" s="1">
        <v>0.85</v>
      </c>
      <c r="E9" s="326">
        <f t="shared" ref="E9:E45" si="5">10000/(C9+273.15)</f>
        <v>18.078278947844165</v>
      </c>
      <c r="F9" s="327">
        <f t="shared" si="0"/>
        <v>2.5875117595750435E-2</v>
      </c>
      <c r="G9" s="309">
        <f t="shared" ref="G9:G45" si="6">H9/60/60</f>
        <v>1</v>
      </c>
      <c r="H9" s="1">
        <v>3600</v>
      </c>
      <c r="I9" s="324">
        <v>30</v>
      </c>
      <c r="J9" s="1">
        <v>1.882E-2</v>
      </c>
      <c r="K9" s="1">
        <v>1.4999999999999999E-4</v>
      </c>
      <c r="L9" s="328">
        <f t="shared" si="1"/>
        <v>0.79702444208289047</v>
      </c>
      <c r="M9" s="329">
        <f t="shared" si="2"/>
        <v>1.1070588235294119E-2</v>
      </c>
      <c r="N9" s="342">
        <f>(1/$J$46)*SQRT(((1-J10/$J$46)*K9)^2+(J10/$J$46)^2*(SUMSQ(K$8:K8)+SUMSQ(K10:K$45)))</f>
        <v>8.7438335471429497E-5</v>
      </c>
      <c r="O9" s="340">
        <f>100*(N9/M9)</f>
        <v>0.78982555951875733</v>
      </c>
      <c r="P9" s="332">
        <f t="shared" ref="P9:P45" si="7">M9+P8</f>
        <v>1.613529411764706E-2</v>
      </c>
      <c r="Q9" s="342">
        <f>SQRT(((1-P9)/$J$46)^2*SUMSQ(K$8:K9)+(P9/$J$46)^2*SUMSQ(K10:K$45))</f>
        <v>1.1156862395709296E-4</v>
      </c>
      <c r="R9" s="340">
        <f>100*(Q9/P9)</f>
        <v>0.69145702051424729</v>
      </c>
      <c r="S9" s="343">
        <f>IF(P9&lt;=0.85, (((-1)*PI()^2*(P9-P8)/3-2*PI()*(SQRT(1-PI()*P9/3)-SQRT(1-PI()*P8/3)))/PI()^2/H9), ((-1)*LN((1-P9)/(1-P8))/PI()^2/H9 ))</f>
        <v>5.7414364099607949E-9</v>
      </c>
      <c r="T9" s="344">
        <f>IF(P9&lt;=0.85, ABS(((-1)*(P9-P8)/3-2*(SQRT(1-PI()*P9/3)-SQRT(1-PI()*P8/3))/PI())*(-1)*I9/H9^2), ABS((-1)*LN((1-P9)/(1-P8))*(-1)*I9/PI()^2/H9^2))</f>
        <v>4.7845303416339917E-11</v>
      </c>
      <c r="U9" s="344">
        <f>IF(P9&lt;=0.85, (1/(3*H9*$J$46))*SQRT( ((1-P9)*(1/SQRT(1-PI()*P9/3)-1) + (1-P8)*(1-1/SQRT(1-PI()*P8/3)))^2*SUMSQ(K$8:K8) + ( (1-P9)*(1/SQRT(1-PI()*P9/3)-1) -P8*(1-1/SQRT(1-PI()*P8/3)) )^2*K9^2 + ( P9*(1-1/SQRT(1-PI()*P9/3)) - P8*(1-1/SQRT(1-PI()*P8/3)) )^2*SUMSQ(K10:K$45) ), (1/(PI()^2*H9*$J$46))*SQRT((1+P8/(1-P8))^2*K9^2+(P8/(1-P8)-P9/(1-P9))^2*SUMSQ(K10:K$45)) )</f>
        <v>7.8825128291412853E-11</v>
      </c>
      <c r="V9" s="345">
        <f>SQRT(T9^2+U9^2)</f>
        <v>9.2209402498656954E-11</v>
      </c>
      <c r="W9" s="340">
        <f>100*(V9/S9)</f>
        <v>1.6060336806775957</v>
      </c>
      <c r="X9" s="345">
        <f>V9*2</f>
        <v>1.8441880499731391E-10</v>
      </c>
      <c r="Y9" s="338">
        <f t="shared" ref="Y9:Y45" si="8">LN(S9)</f>
        <v>-18.975556412283385</v>
      </c>
      <c r="Z9" s="346">
        <f>V9/S9</f>
        <v>1.6060336806775957E-2</v>
      </c>
      <c r="AA9" s="346">
        <f>ABS(100*(Z9/Y9))</f>
        <v>8.4636974314912156E-2</v>
      </c>
      <c r="AB9" s="346">
        <f t="shared" ref="AB9:AB45" si="9">2*Z9</f>
        <v>3.2120673613551913E-2</v>
      </c>
      <c r="AC9" s="336">
        <f t="shared" si="3"/>
        <v>7.4093007213087658E-13</v>
      </c>
      <c r="AD9" s="337">
        <f t="shared" si="4"/>
        <v>2.8674738394910387E-14</v>
      </c>
      <c r="AE9" s="308">
        <f t="shared" ref="AE9:AE45" si="10">100*AD9/AC9</f>
        <v>3.8701004957786798</v>
      </c>
      <c r="AF9" s="337">
        <f t="shared" ref="AF9:AF45" si="11">2*AD9</f>
        <v>5.7349476789820775E-14</v>
      </c>
      <c r="AG9" s="338">
        <f>LN(AC9)</f>
        <v>-27.930870143661647</v>
      </c>
      <c r="AH9" s="339">
        <f>AD9/AC9</f>
        <v>3.8701004957786805E-2</v>
      </c>
      <c r="AI9" s="340">
        <f>ABS(100*(AH9/AG9))</f>
        <v>0.13855996880415566</v>
      </c>
      <c r="AJ9" s="341">
        <f t="shared" ref="AJ9:AJ45" si="12">2*AH9</f>
        <v>7.7402009915573611E-2</v>
      </c>
    </row>
    <row r="10" spans="1:39" x14ac:dyDescent="0.2">
      <c r="A10" s="309">
        <v>3</v>
      </c>
      <c r="B10" s="309">
        <f t="shared" ref="B10:B45" si="13">G10+B9</f>
        <v>3</v>
      </c>
      <c r="C10" s="1">
        <v>300</v>
      </c>
      <c r="D10" s="1">
        <v>0.95</v>
      </c>
      <c r="E10" s="326">
        <f t="shared" si="5"/>
        <v>17.447439588240428</v>
      </c>
      <c r="F10" s="327">
        <f t="shared" si="0"/>
        <v>2.7001913135286E-2</v>
      </c>
      <c r="G10" s="309">
        <f t="shared" si="6"/>
        <v>1</v>
      </c>
      <c r="H10" s="1">
        <v>3600</v>
      </c>
      <c r="I10" s="324">
        <v>30</v>
      </c>
      <c r="J10" s="1">
        <v>2.1309999999999999E-2</v>
      </c>
      <c r="K10" s="1">
        <v>1E-4</v>
      </c>
      <c r="L10" s="328">
        <f t="shared" si="1"/>
        <v>0.46926325668700147</v>
      </c>
      <c r="M10" s="329">
        <f t="shared" si="2"/>
        <v>1.2535294117647059E-2</v>
      </c>
      <c r="N10" s="342">
        <f>(1/$J$46)*SQRT(((1-J11/$J$46)*K10)^2+(J11/$J$46)^2*(SUMSQ(K$8:K9)+SUMSQ(K11:K$45)))</f>
        <v>5.8808474317715879E-5</v>
      </c>
      <c r="O10" s="340">
        <f t="shared" ref="O10:O45" si="14">100*(N10/M10)</f>
        <v>0.46914315504512899</v>
      </c>
      <c r="P10" s="332">
        <f t="shared" si="7"/>
        <v>2.8670588235294121E-2</v>
      </c>
      <c r="Q10" s="342">
        <f>SQRT(((1-P10)/$J$46)^2*SUMSQ(K$8:K10)+(P10/$J$46)^2*SUMSQ(K11:K$45))</f>
        <v>1.2484585553575051E-4</v>
      </c>
      <c r="R10" s="340">
        <f t="shared" ref="R10:R45" si="15">100*(Q10/P10)</f>
        <v>0.43544922940249459</v>
      </c>
      <c r="S10" s="343">
        <f t="shared" ref="S10:S45" si="16">IF(P10&lt;=0.85, (((-1)*PI()^2*(P10-P9)/3-2*PI()*(SQRT(1-PI()*P10/3)-SQRT(1-PI()*P9/3)))/PI()^2/H10), ((-1)*LN((1-P10)/(1-P9))/PI()^2/H10 ))</f>
        <v>1.3865870598447893E-8</v>
      </c>
      <c r="T10" s="344">
        <f t="shared" ref="T10:T45" si="17">IF(P10&lt;=0.85, ABS(((-1)*(P10-P9)/3-2*(SQRT(1-PI()*P10/3)-SQRT(1-PI()*P9/3))/PI())*(-1)*I10/H10^2), ABS((-1)*LN((1-P10)/(1-P9))*(-1)*I10/PI()^2/H10^2))</f>
        <v>1.1554892165373245E-10</v>
      </c>
      <c r="U10" s="344">
        <f>IF(P10&lt;=0.85, (1/(3*H10*$J$46))*SQRT( ((1-P10)*(1/SQRT(1-PI()*P10/3)-1) + (1-P9)*(1-1/SQRT(1-PI()*P9/3)))^2*SUMSQ(K$8:K9) + ( (1-P10)*(1/SQRT(1-PI()*P10/3)-1) -P9*(1-1/SQRT(1-PI()*P9/3)) )^2*K10^2 + ( P10*(1-1/SQRT(1-PI()*P10/3)) - P9*(1-1/SQRT(1-PI()*P9/3)) )^2*SUMSQ(K11:K$45) ), (1/(PI()^2*H10*$J$46))*SQRT((1+P9/(1-P9))^2*K10^2+(P9/(1-P9)-P10/(1-P10))^2*SUMSQ(K11:K$45)) )</f>
        <v>1.0775611426222183E-10</v>
      </c>
      <c r="V10" s="345">
        <f t="shared" ref="V10:V45" si="18">SQRT(T10^2+U10^2)</f>
        <v>1.5799662482544812E-10</v>
      </c>
      <c r="W10" s="340">
        <f t="shared" ref="W10:W45" si="19">100*(V10/S10)</f>
        <v>1.1394641519525923</v>
      </c>
      <c r="X10" s="345">
        <f t="shared" ref="X10:X45" si="20">V10*2</f>
        <v>3.1599324965089624E-10</v>
      </c>
      <c r="Y10" s="338">
        <f t="shared" si="8"/>
        <v>-18.093835368761027</v>
      </c>
      <c r="Z10" s="346">
        <f t="shared" ref="Z10:Z45" si="21">V10/S10</f>
        <v>1.1394641519525923E-2</v>
      </c>
      <c r="AA10" s="346">
        <f t="shared" ref="AA10:AA45" si="22">ABS(100*(Z10/Y10))</f>
        <v>6.2975269130605388E-2</v>
      </c>
      <c r="AB10" s="346">
        <f t="shared" si="9"/>
        <v>2.2789283039051846E-2</v>
      </c>
      <c r="AC10" s="336">
        <f t="shared" si="3"/>
        <v>1.7893850543814611E-12</v>
      </c>
      <c r="AD10" s="337">
        <f t="shared" si="4"/>
        <v>6.6223475755209658E-14</v>
      </c>
      <c r="AE10" s="308">
        <f t="shared" si="10"/>
        <v>3.7009069452690384</v>
      </c>
      <c r="AF10" s="337">
        <f t="shared" si="11"/>
        <v>1.3244695151041932E-13</v>
      </c>
      <c r="AG10" s="338">
        <f t="shared" ref="AG10:AG45" si="23">LN(AC10)</f>
        <v>-27.049149100139289</v>
      </c>
      <c r="AH10" s="339">
        <f t="shared" ref="AH10:AH45" si="24">AD10/AC10</f>
        <v>3.7009069452690384E-2</v>
      </c>
      <c r="AI10" s="340">
        <f t="shared" ref="AI10:AI45" si="25">ABS(100*(AH10/AG10))</f>
        <v>0.13682156623736386</v>
      </c>
      <c r="AJ10" s="341">
        <f t="shared" si="12"/>
        <v>7.4018138905380768E-2</v>
      </c>
    </row>
    <row r="11" spans="1:39" x14ac:dyDescent="0.2">
      <c r="A11" s="309">
        <v>4</v>
      </c>
      <c r="B11" s="309">
        <f t="shared" si="13"/>
        <v>4</v>
      </c>
      <c r="C11" s="1">
        <v>320</v>
      </c>
      <c r="D11" s="1">
        <v>0.91</v>
      </c>
      <c r="E11" s="326">
        <f t="shared" si="5"/>
        <v>16.859141869678833</v>
      </c>
      <c r="F11" s="327">
        <f t="shared" si="0"/>
        <v>2.4205947847413953E-2</v>
      </c>
      <c r="G11" s="309">
        <f t="shared" si="6"/>
        <v>1</v>
      </c>
      <c r="H11" s="1">
        <v>3600</v>
      </c>
      <c r="I11" s="324">
        <v>30</v>
      </c>
      <c r="J11" s="1">
        <v>3.3059999999999999E-2</v>
      </c>
      <c r="K11" s="1">
        <v>1.9000000000000001E-4</v>
      </c>
      <c r="L11" s="328">
        <f t="shared" si="1"/>
        <v>0.57471264367816099</v>
      </c>
      <c r="M11" s="329">
        <f t="shared" si="2"/>
        <v>1.9447058823529411E-2</v>
      </c>
      <c r="N11" s="342">
        <f>(1/$J$46)*SQRT(((1-J12/$J$46)*K11)^2+(J12/$J$46)^2*(SUMSQ(K$8:K10)+SUMSQ(K12:K$45)))</f>
        <v>1.0978024237714682E-4</v>
      </c>
      <c r="O11" s="340">
        <f t="shared" si="14"/>
        <v>0.56450820339125707</v>
      </c>
      <c r="P11" s="332">
        <f t="shared" si="7"/>
        <v>4.8117647058823529E-2</v>
      </c>
      <c r="Q11" s="342">
        <f>SQRT(((1-P11)/$J$46)^2*SUMSQ(K$8:K11)+(P11/$J$46)^2*SUMSQ(K12:K$45))</f>
        <v>1.6361220569701684E-4</v>
      </c>
      <c r="R11" s="340">
        <f t="shared" si="15"/>
        <v>0.34002536636299341</v>
      </c>
      <c r="S11" s="343">
        <f t="shared" si="16"/>
        <v>3.7354071350637723E-8</v>
      </c>
      <c r="T11" s="344">
        <f t="shared" si="17"/>
        <v>3.1128392792198196E-10</v>
      </c>
      <c r="U11" s="344">
        <f>IF(P11&lt;=0.85, (1/(3*H11*$J$46))*SQRT( ((1-P11)*(1/SQRT(1-PI()*P11/3)-1) + (1-P10)*(1-1/SQRT(1-PI()*P10/3)))^2*SUMSQ(K$8:K10) + ( (1-P11)*(1/SQRT(1-PI()*P11/3)-1) -P10*(1-1/SQRT(1-PI()*P10/3)) )^2*K11^2 + ( P11*(1-1/SQRT(1-PI()*P11/3)) - P10*(1-1/SQRT(1-PI()*P10/3)) )^2*SUMSQ(K12:K$45) ), (1/(PI()^2*H11*$J$46))*SQRT((1+P10/(1-P10))^2*K11^2+(P10/(1-P10)-P11/(1-P11))^2*SUMSQ(K12:K$45)) )</f>
        <v>2.9106664639546078E-10</v>
      </c>
      <c r="V11" s="345">
        <f t="shared" si="18"/>
        <v>4.2616601979327008E-10</v>
      </c>
      <c r="W11" s="340">
        <f t="shared" si="19"/>
        <v>1.1408823841259659</v>
      </c>
      <c r="X11" s="345">
        <f t="shared" si="20"/>
        <v>8.5233203958654016E-10</v>
      </c>
      <c r="Y11" s="338">
        <f t="shared" si="8"/>
        <v>-17.102823925936413</v>
      </c>
      <c r="Z11" s="346">
        <f t="shared" si="21"/>
        <v>1.1408823841259659E-2</v>
      </c>
      <c r="AA11" s="346">
        <f t="shared" si="22"/>
        <v>6.6707251917376004E-2</v>
      </c>
      <c r="AB11" s="346">
        <f t="shared" si="9"/>
        <v>2.2817647682519319E-2</v>
      </c>
      <c r="AC11" s="336">
        <f t="shared" si="3"/>
        <v>4.8205279661712577E-12</v>
      </c>
      <c r="AD11" s="337">
        <f t="shared" si="4"/>
        <v>1.7842431529900751E-13</v>
      </c>
      <c r="AE11" s="308">
        <f t="shared" si="10"/>
        <v>3.7013438476267662</v>
      </c>
      <c r="AF11" s="337">
        <f t="shared" si="11"/>
        <v>3.5684863059801503E-13</v>
      </c>
      <c r="AG11" s="338">
        <f t="shared" si="23"/>
        <v>-26.058137657314674</v>
      </c>
      <c r="AH11" s="339">
        <f t="shared" si="24"/>
        <v>3.701343847626766E-2</v>
      </c>
      <c r="AI11" s="340">
        <f t="shared" si="25"/>
        <v>0.14204176431571566</v>
      </c>
      <c r="AJ11" s="341">
        <f t="shared" si="12"/>
        <v>7.402687695253532E-2</v>
      </c>
    </row>
    <row r="12" spans="1:39" x14ac:dyDescent="0.2">
      <c r="A12" s="309">
        <v>5</v>
      </c>
      <c r="B12" s="309">
        <f t="shared" si="13"/>
        <v>5</v>
      </c>
      <c r="C12" s="1">
        <v>339.99</v>
      </c>
      <c r="D12" s="1">
        <v>0.93</v>
      </c>
      <c r="E12" s="326">
        <f t="shared" si="5"/>
        <v>16.309488860619108</v>
      </c>
      <c r="F12" s="327">
        <f t="shared" si="0"/>
        <v>2.3200490333432258E-2</v>
      </c>
      <c r="G12" s="309">
        <f t="shared" si="6"/>
        <v>1</v>
      </c>
      <c r="H12" s="1">
        <v>3600</v>
      </c>
      <c r="I12" s="324">
        <v>30</v>
      </c>
      <c r="J12" s="1">
        <v>5.4269999999999999E-2</v>
      </c>
      <c r="K12" s="1">
        <v>2.2000000000000001E-4</v>
      </c>
      <c r="L12" s="328">
        <f t="shared" si="1"/>
        <v>0.40538050488299249</v>
      </c>
      <c r="M12" s="329">
        <f t="shared" si="2"/>
        <v>3.1923529411764705E-2</v>
      </c>
      <c r="N12" s="342">
        <f>(1/$J$46)*SQRT(((1-J13/$J$46)*K12)^2+(J13/$J$46)^2*(SUMSQ(K$8:K11)+SUMSQ(K13:K$45)))</f>
        <v>1.2629016630253588E-4</v>
      </c>
      <c r="O12" s="340">
        <f t="shared" si="14"/>
        <v>0.39560214246233832</v>
      </c>
      <c r="P12" s="332">
        <f t="shared" si="7"/>
        <v>8.0041176470588227E-2</v>
      </c>
      <c r="Q12" s="342">
        <f>SQRT(((1-P12)/$J$46)^2*SUMSQ(K$8:K12)+(P12/$J$46)^2*SUMSQ(K13:K$45))</f>
        <v>2.0109322920460471E-4</v>
      </c>
      <c r="R12" s="340">
        <f t="shared" si="15"/>
        <v>0.25123722322909386</v>
      </c>
      <c r="S12" s="343">
        <f t="shared" si="16"/>
        <v>1.0458614428880226E-7</v>
      </c>
      <c r="T12" s="344">
        <f t="shared" si="17"/>
        <v>8.7155120240668367E-10</v>
      </c>
      <c r="U12" s="344">
        <f>IF(P12&lt;=0.85, (1/(3*H12*$J$46))*SQRT( ((1-P12)*(1/SQRT(1-PI()*P12/3)-1) + (1-P11)*(1-1/SQRT(1-PI()*P11/3)))^2*SUMSQ(K$8:K11) + ( (1-P12)*(1/SQRT(1-PI()*P12/3)-1) -P11*(1-1/SQRT(1-PI()*P11/3)) )^2*K12^2 + ( P12*(1-1/SQRT(1-PI()*P12/3)) - P11*(1-1/SQRT(1-PI()*P11/3)) )^2*SUMSQ(K13:K$45) ), (1/(PI()^2*H12*$J$46))*SQRT((1+P11/(1-P11))^2*K12^2+(P11/(1-P11)-P12/(1-P12))^2*SUMSQ(K13:K$45)) )</f>
        <v>5.8085654141969339E-10</v>
      </c>
      <c r="V12" s="345">
        <f t="shared" si="18"/>
        <v>1.0473756824208704E-9</v>
      </c>
      <c r="W12" s="340">
        <f t="shared" si="19"/>
        <v>1.0014478395232416</v>
      </c>
      <c r="X12" s="345">
        <f t="shared" si="20"/>
        <v>2.0947513648417407E-9</v>
      </c>
      <c r="Y12" s="338">
        <f t="shared" si="8"/>
        <v>-16.073254757867872</v>
      </c>
      <c r="Z12" s="346">
        <f t="shared" si="21"/>
        <v>1.0014478395232415E-2</v>
      </c>
      <c r="AA12" s="346">
        <f t="shared" si="22"/>
        <v>6.2305230310185429E-2</v>
      </c>
      <c r="AB12" s="346">
        <f t="shared" si="9"/>
        <v>2.002895679046483E-2</v>
      </c>
      <c r="AC12" s="336">
        <f t="shared" si="3"/>
        <v>1.3496800086012216E-11</v>
      </c>
      <c r="AD12" s="337">
        <f t="shared" si="4"/>
        <v>4.9408670613048228E-13</v>
      </c>
      <c r="AE12" s="308">
        <f t="shared" si="10"/>
        <v>3.6607692414629658</v>
      </c>
      <c r="AF12" s="337">
        <f t="shared" si="11"/>
        <v>9.8817341226096456E-13</v>
      </c>
      <c r="AG12" s="338">
        <f t="shared" si="23"/>
        <v>-25.028568489246133</v>
      </c>
      <c r="AH12" s="339">
        <f t="shared" si="24"/>
        <v>3.6607692414629654E-2</v>
      </c>
      <c r="AI12" s="340">
        <f t="shared" si="25"/>
        <v>0.14626362842269086</v>
      </c>
      <c r="AJ12" s="341">
        <f t="shared" si="12"/>
        <v>7.3215384829259308E-2</v>
      </c>
    </row>
    <row r="13" spans="1:39" x14ac:dyDescent="0.2">
      <c r="A13" s="309">
        <v>6</v>
      </c>
      <c r="B13" s="309">
        <f t="shared" si="13"/>
        <v>6</v>
      </c>
      <c r="C13" s="1">
        <v>359.98</v>
      </c>
      <c r="D13" s="1">
        <v>0.97</v>
      </c>
      <c r="E13" s="326">
        <f t="shared" si="5"/>
        <v>15.794544564307488</v>
      </c>
      <c r="F13" s="327">
        <f t="shared" si="0"/>
        <v>2.2739754316281058E-2</v>
      </c>
      <c r="G13" s="309">
        <f t="shared" si="6"/>
        <v>1</v>
      </c>
      <c r="H13" s="1">
        <v>3600</v>
      </c>
      <c r="I13" s="324">
        <v>30</v>
      </c>
      <c r="J13" s="1">
        <v>8.3049999999999999E-2</v>
      </c>
      <c r="K13" s="1">
        <v>2.5999999999999998E-4</v>
      </c>
      <c r="L13" s="328">
        <f t="shared" si="1"/>
        <v>0.3130644190246839</v>
      </c>
      <c r="M13" s="329">
        <f t="shared" si="2"/>
        <v>4.8852941176470592E-2</v>
      </c>
      <c r="N13" s="342">
        <f>(1/$J$46)*SQRT(((1-J14/$J$46)*K13)^2+(J14/$J$46)^2*(SUMSQ(K$8:K12)+SUMSQ(K14:K$45)))</f>
        <v>1.47805330769728E-4</v>
      </c>
      <c r="O13" s="340">
        <f t="shared" si="14"/>
        <v>0.30255155004038237</v>
      </c>
      <c r="P13" s="332">
        <f t="shared" si="7"/>
        <v>0.12889411764705883</v>
      </c>
      <c r="Q13" s="342">
        <f>SQRT(((1-P13)/$J$46)^2*SUMSQ(K$8:K13)+(P13/$J$46)^2*SUMSQ(K14:K$45))</f>
        <v>2.3862450325819607E-4</v>
      </c>
      <c r="R13" s="340">
        <f t="shared" si="15"/>
        <v>0.18513219037008641</v>
      </c>
      <c r="S13" s="343">
        <f t="shared" si="16"/>
        <v>2.7026998324853814E-7</v>
      </c>
      <c r="T13" s="344">
        <f t="shared" si="17"/>
        <v>2.2522498604044787E-9</v>
      </c>
      <c r="U13" s="344">
        <f>IF(P13&lt;=0.85, (1/(3*H13*$J$46))*SQRT( ((1-P13)*(1/SQRT(1-PI()*P13/3)-1) + (1-P12)*(1-1/SQRT(1-PI()*P12/3)))^2*SUMSQ(K$8:K12) + ( (1-P13)*(1/SQRT(1-PI()*P13/3)-1) -P12*(1-1/SQRT(1-PI()*P12/3)) )^2*K13^2 + ( P13*(1-1/SQRT(1-PI()*P13/3)) - P12*(1-1/SQRT(1-PI()*P12/3)) )^2*SUMSQ(K14:K$45) ), (1/(PI()^2*H13*$J$46))*SQRT((1+P12/(1-P12))^2*K13^2+(P12/(1-P12)-P13/(1-P13))^2*SUMSQ(K14:K$45)) )</f>
        <v>1.1306405854137267E-9</v>
      </c>
      <c r="V13" s="345">
        <f t="shared" si="18"/>
        <v>2.5201145940366855E-9</v>
      </c>
      <c r="W13" s="340">
        <f t="shared" si="19"/>
        <v>0.93244339003018628</v>
      </c>
      <c r="X13" s="345">
        <f t="shared" si="20"/>
        <v>5.040229188073371E-9</v>
      </c>
      <c r="Y13" s="338">
        <f t="shared" si="8"/>
        <v>-15.123844439595425</v>
      </c>
      <c r="Z13" s="346">
        <f t="shared" si="21"/>
        <v>9.3244339003018626E-3</v>
      </c>
      <c r="AA13" s="346">
        <f t="shared" si="22"/>
        <v>6.1653860151389517E-2</v>
      </c>
      <c r="AB13" s="346">
        <f t="shared" si="9"/>
        <v>1.8648867800603725E-2</v>
      </c>
      <c r="AC13" s="336">
        <f t="shared" si="3"/>
        <v>3.4878233230230544E-11</v>
      </c>
      <c r="AD13" s="337">
        <f t="shared" si="4"/>
        <v>1.2704385964097427E-12</v>
      </c>
      <c r="AE13" s="308">
        <f t="shared" si="10"/>
        <v>3.6424969923894999</v>
      </c>
      <c r="AF13" s="337">
        <f t="shared" si="11"/>
        <v>2.5408771928194854E-12</v>
      </c>
      <c r="AG13" s="338">
        <f t="shared" si="23"/>
        <v>-24.079158170973688</v>
      </c>
      <c r="AH13" s="339">
        <f t="shared" si="24"/>
        <v>3.6424969923894997E-2</v>
      </c>
      <c r="AI13" s="340">
        <f t="shared" si="25"/>
        <v>0.15127177480732534</v>
      </c>
      <c r="AJ13" s="341">
        <f t="shared" si="12"/>
        <v>7.2849939847789993E-2</v>
      </c>
    </row>
    <row r="14" spans="1:39" x14ac:dyDescent="0.2">
      <c r="A14" s="309">
        <v>7</v>
      </c>
      <c r="B14" s="309">
        <f t="shared" si="13"/>
        <v>7</v>
      </c>
      <c r="C14" s="1">
        <v>379.97</v>
      </c>
      <c r="D14" s="1">
        <v>1.48</v>
      </c>
      <c r="E14" s="326">
        <f t="shared" si="5"/>
        <v>15.311121999020088</v>
      </c>
      <c r="F14" s="327">
        <f t="shared" si="0"/>
        <v>3.266455349723589E-2</v>
      </c>
      <c r="G14" s="309">
        <f t="shared" si="6"/>
        <v>1</v>
      </c>
      <c r="H14" s="1">
        <v>3600</v>
      </c>
      <c r="I14" s="324">
        <v>30</v>
      </c>
      <c r="J14" s="1">
        <v>0.10272000000000001</v>
      </c>
      <c r="K14" s="1">
        <v>2.1000000000000001E-4</v>
      </c>
      <c r="L14" s="328">
        <f t="shared" si="1"/>
        <v>0.20443925233644858</v>
      </c>
      <c r="M14" s="329">
        <f t="shared" si="2"/>
        <v>6.0423529411764709E-2</v>
      </c>
      <c r="N14" s="342">
        <f>(1/$J$46)*SQRT(((1-J15/$J$46)*K14)^2+(J15/$J$46)^2*(SUMSQ(K$8:K13)+SUMSQ(K15:K$45)))</f>
        <v>1.2180846770876272E-4</v>
      </c>
      <c r="O14" s="340">
        <f t="shared" si="14"/>
        <v>0.20159111672984487</v>
      </c>
      <c r="P14" s="332">
        <f t="shared" si="7"/>
        <v>0.18931764705882353</v>
      </c>
      <c r="Q14" s="342">
        <f>SQRT(((1-P14)/$J$46)^2*SUMSQ(K$8:K14)+(P14/$J$46)^2*SUMSQ(K15:K$45))</f>
        <v>2.546650999432118E-4</v>
      </c>
      <c r="R14" s="340">
        <f t="shared" si="15"/>
        <v>0.13451735952754787</v>
      </c>
      <c r="S14" s="343">
        <f t="shared" si="16"/>
        <v>5.3490941416323395E-7</v>
      </c>
      <c r="T14" s="344">
        <f t="shared" si="17"/>
        <v>4.4575784513602792E-9</v>
      </c>
      <c r="U14" s="344">
        <f>IF(P14&lt;=0.85, (1/(3*H14*$J$46))*SQRT( ((1-P14)*(1/SQRT(1-PI()*P14/3)-1) + (1-P13)*(1-1/SQRT(1-PI()*P13/3)))^2*SUMSQ(K$8:K13) + ( (1-P14)*(1/SQRT(1-PI()*P14/3)-1) -P13*(1-1/SQRT(1-PI()*P13/3)) )^2*K14^2 + ( P14*(1-1/SQRT(1-PI()*P14/3)) - P13*(1-1/SQRT(1-PI()*P13/3)) )^2*SUMSQ(K15:K$45) ), (1/(PI()^2*H14*$J$46))*SQRT((1+P13/(1-P13))^2*K14^2+(P13/(1-P13)-P14/(1-P14))^2*SUMSQ(K15:K$45)) )</f>
        <v>1.5107595954378635E-9</v>
      </c>
      <c r="V14" s="345">
        <f t="shared" si="18"/>
        <v>4.7066336383065847E-9</v>
      </c>
      <c r="W14" s="340">
        <f t="shared" si="19"/>
        <v>0.87989358827592068</v>
      </c>
      <c r="X14" s="345">
        <f t="shared" si="20"/>
        <v>9.4132672766131693E-9</v>
      </c>
      <c r="Y14" s="338">
        <f t="shared" si="8"/>
        <v>-14.441168423707596</v>
      </c>
      <c r="Z14" s="346">
        <f t="shared" si="21"/>
        <v>8.7989358827592068E-3</v>
      </c>
      <c r="AA14" s="346">
        <f t="shared" si="22"/>
        <v>6.0929528862181823E-2</v>
      </c>
      <c r="AB14" s="346">
        <f t="shared" si="9"/>
        <v>1.7597871765518414E-2</v>
      </c>
      <c r="AC14" s="336">
        <f t="shared" si="3"/>
        <v>6.9029845933999667E-11</v>
      </c>
      <c r="AD14" s="337">
        <f t="shared" si="4"/>
        <v>2.5053694214391275E-12</v>
      </c>
      <c r="AE14" s="308">
        <f t="shared" si="10"/>
        <v>3.6294002797493472</v>
      </c>
      <c r="AF14" s="337">
        <f t="shared" si="11"/>
        <v>5.0107388428782551E-12</v>
      </c>
      <c r="AG14" s="338">
        <f t="shared" si="23"/>
        <v>-23.396482155085859</v>
      </c>
      <c r="AH14" s="339">
        <f t="shared" si="24"/>
        <v>3.6294002797493473E-2</v>
      </c>
      <c r="AI14" s="340">
        <f t="shared" si="25"/>
        <v>0.15512589694858886</v>
      </c>
      <c r="AJ14" s="341">
        <f t="shared" si="12"/>
        <v>7.2588005594986946E-2</v>
      </c>
    </row>
    <row r="15" spans="1:39" x14ac:dyDescent="0.2">
      <c r="A15" s="309">
        <v>8</v>
      </c>
      <c r="B15" s="309">
        <f t="shared" si="13"/>
        <v>8</v>
      </c>
      <c r="C15" s="1">
        <v>399.97</v>
      </c>
      <c r="D15" s="1">
        <v>1.81</v>
      </c>
      <c r="E15" s="326">
        <f t="shared" si="5"/>
        <v>14.856192060850963</v>
      </c>
      <c r="F15" s="327">
        <f t="shared" si="0"/>
        <v>4.1160555107155529E-2</v>
      </c>
      <c r="G15" s="309">
        <f t="shared" si="6"/>
        <v>1</v>
      </c>
      <c r="H15" s="1">
        <v>3600</v>
      </c>
      <c r="I15" s="324">
        <v>30</v>
      </c>
      <c r="J15" s="1">
        <v>0.11839</v>
      </c>
      <c r="K15" s="1">
        <v>3.4000000000000002E-4</v>
      </c>
      <c r="L15" s="328">
        <f t="shared" si="1"/>
        <v>0.28718641777177129</v>
      </c>
      <c r="M15" s="329">
        <f t="shared" si="2"/>
        <v>6.9641176470588234E-2</v>
      </c>
      <c r="N15" s="342">
        <f>(1/$J$46)*SQRT(((1-J16/$J$46)*K15)^2+(J16/$J$46)^2*(SUMSQ(K$8:K14)+SUMSQ(K16:K$45)))</f>
        <v>1.9545020989259344E-4</v>
      </c>
      <c r="O15" s="340">
        <f t="shared" si="14"/>
        <v>0.28065322815897359</v>
      </c>
      <c r="P15" s="332">
        <f t="shared" si="7"/>
        <v>0.2589588235294118</v>
      </c>
      <c r="Q15" s="342">
        <f>SQRT(((1-P15)/$J$46)^2*SUMSQ(K$8:K15)+(P15/$J$46)^2*SUMSQ(K16:K$45))</f>
        <v>2.8876410158994246E-4</v>
      </c>
      <c r="R15" s="340">
        <f t="shared" si="15"/>
        <v>0.1115096592015315</v>
      </c>
      <c r="S15" s="343">
        <f t="shared" si="16"/>
        <v>9.2492004107830935E-7</v>
      </c>
      <c r="T15" s="344">
        <f t="shared" si="17"/>
        <v>7.7076670089859111E-9</v>
      </c>
      <c r="U15" s="344">
        <f>IF(P15&lt;=0.85, (1/(3*H15*$J$46))*SQRT( ((1-P15)*(1/SQRT(1-PI()*P15/3)-1) + (1-P14)*(1-1/SQRT(1-PI()*P14/3)))^2*SUMSQ(K$8:K14) + ( (1-P15)*(1/SQRT(1-PI()*P15/3)-1) -P14*(1-1/SQRT(1-PI()*P14/3)) )^2*K15^2 + ( P15*(1-1/SQRT(1-PI()*P15/3)) - P14*(1-1/SQRT(1-PI()*P14/3)) )^2*SUMSQ(K16:K$45) ), (1/(PI()^2*H15*$J$46))*SQRT((1+P14/(1-P14))^2*K15^2+(P14/(1-P14)-P15/(1-P15))^2*SUMSQ(K16:K$45)) )</f>
        <v>3.0561293795534279E-9</v>
      </c>
      <c r="V15" s="345">
        <f t="shared" si="18"/>
        <v>8.291444838264284E-9</v>
      </c>
      <c r="W15" s="340">
        <f t="shared" si="19"/>
        <v>0.89644990593973728</v>
      </c>
      <c r="X15" s="345">
        <f t="shared" si="20"/>
        <v>1.6582889676528568E-8</v>
      </c>
      <c r="Y15" s="338">
        <f t="shared" si="8"/>
        <v>-13.893558545247821</v>
      </c>
      <c r="Z15" s="346">
        <f t="shared" si="21"/>
        <v>8.9644990593973732E-3</v>
      </c>
      <c r="AA15" s="346">
        <f t="shared" si="22"/>
        <v>6.4522699711540843E-2</v>
      </c>
      <c r="AB15" s="346">
        <f t="shared" si="9"/>
        <v>1.7928998118794746E-2</v>
      </c>
      <c r="AC15" s="336">
        <f t="shared" si="3"/>
        <v>1.1936056133313939E-10</v>
      </c>
      <c r="AD15" s="337">
        <f t="shared" si="4"/>
        <v>4.3369058550827328E-12</v>
      </c>
      <c r="AE15" s="308">
        <f t="shared" si="10"/>
        <v>3.6334496140465364</v>
      </c>
      <c r="AF15" s="337">
        <f t="shared" si="11"/>
        <v>8.6738117101654656E-12</v>
      </c>
      <c r="AG15" s="338">
        <f t="shared" si="23"/>
        <v>-22.848872276626086</v>
      </c>
      <c r="AH15" s="339">
        <f t="shared" si="24"/>
        <v>3.6334496140465369E-2</v>
      </c>
      <c r="AI15" s="340">
        <f t="shared" si="25"/>
        <v>0.1590209604245317</v>
      </c>
      <c r="AJ15" s="341">
        <f t="shared" si="12"/>
        <v>7.2668992280930739E-2</v>
      </c>
    </row>
    <row r="16" spans="1:39" x14ac:dyDescent="0.2">
      <c r="A16" s="309">
        <v>9</v>
      </c>
      <c r="B16" s="309">
        <f t="shared" si="13"/>
        <v>9</v>
      </c>
      <c r="C16" s="1">
        <v>389.98</v>
      </c>
      <c r="D16" s="1">
        <v>2.09</v>
      </c>
      <c r="E16" s="326">
        <f t="shared" si="5"/>
        <v>15.079999396800025</v>
      </c>
      <c r="F16" s="327">
        <f t="shared" si="0"/>
        <v>5.0531507513881392E-2</v>
      </c>
      <c r="G16" s="309">
        <f t="shared" si="6"/>
        <v>1</v>
      </c>
      <c r="H16" s="1">
        <v>3600</v>
      </c>
      <c r="I16" s="324">
        <v>30</v>
      </c>
      <c r="J16" s="1">
        <v>4.301E-2</v>
      </c>
      <c r="K16" s="1">
        <v>2.1000000000000001E-4</v>
      </c>
      <c r="L16" s="328">
        <f t="shared" si="1"/>
        <v>0.48825854452452921</v>
      </c>
      <c r="M16" s="329">
        <f t="shared" si="2"/>
        <v>2.53E-2</v>
      </c>
      <c r="N16" s="342">
        <f>(1/$J$46)*SQRT(((1-J17/$J$46)*K16)^2+(J17/$J$46)^2*(SUMSQ(K$8:K15)+SUMSQ(K17:K$45)))</f>
        <v>1.2264562508833144E-4</v>
      </c>
      <c r="O16" s="340">
        <f t="shared" si="14"/>
        <v>0.48476531655466976</v>
      </c>
      <c r="P16" s="332">
        <f t="shared" si="7"/>
        <v>0.28425882352941179</v>
      </c>
      <c r="Q16" s="342">
        <f>SQRT(((1-P16)/$J$46)^2*SUMSQ(K$8:K16)+(P16/$J$46)^2*SUMSQ(K17:K$45))</f>
        <v>2.9751458130209362E-4</v>
      </c>
      <c r="R16" s="340">
        <f t="shared" si="15"/>
        <v>0.1046632704688269</v>
      </c>
      <c r="S16" s="343">
        <f t="shared" si="16"/>
        <v>4.2682682226368832E-7</v>
      </c>
      <c r="T16" s="344">
        <f t="shared" si="17"/>
        <v>3.556890185530734E-9</v>
      </c>
      <c r="U16" s="344">
        <f>IF(P16&lt;=0.85, (1/(3*H16*$J$46))*SQRT( ((1-P16)*(1/SQRT(1-PI()*P16/3)-1) + (1-P15)*(1-1/SQRT(1-PI()*P15/3)))^2*SUMSQ(K$8:K15) + ( (1-P16)*(1/SQRT(1-PI()*P16/3)-1) -P15*(1-1/SQRT(1-PI()*P15/3)) )^2*K16^2 + ( P16*(1-1/SQRT(1-PI()*P16/3)) - P15*(1-1/SQRT(1-PI()*P15/3)) )^2*SUMSQ(K17:K$45) ), (1/(PI()^2*H16*$J$46))*SQRT((1+P15/(1-P15))^2*K16^2+(P15/(1-P15)-P16/(1-P16))^2*SUMSQ(K17:K$45)) )</f>
        <v>2.1692128272584106E-9</v>
      </c>
      <c r="V16" s="345">
        <f t="shared" si="18"/>
        <v>4.1661675532637052E-9</v>
      </c>
      <c r="W16" s="340">
        <f t="shared" si="19"/>
        <v>0.97607913466363616</v>
      </c>
      <c r="X16" s="345">
        <f t="shared" si="20"/>
        <v>8.3323351065274103E-9</v>
      </c>
      <c r="Y16" s="338">
        <f t="shared" si="8"/>
        <v>-14.666887474452036</v>
      </c>
      <c r="Z16" s="346">
        <f t="shared" si="21"/>
        <v>9.7607913466363615E-3</v>
      </c>
      <c r="AA16" s="346">
        <f t="shared" si="22"/>
        <v>6.6549848177662047E-2</v>
      </c>
      <c r="AB16" s="346">
        <f t="shared" si="9"/>
        <v>1.9521582693272723E-2</v>
      </c>
      <c r="AC16" s="336">
        <f t="shared" si="3"/>
        <v>5.5081830682400071E-11</v>
      </c>
      <c r="AD16" s="337">
        <f t="shared" si="4"/>
        <v>2.0126409606487915E-12</v>
      </c>
      <c r="AE16" s="308">
        <f t="shared" si="10"/>
        <v>3.6539108009201975</v>
      </c>
      <c r="AF16" s="337">
        <f t="shared" si="11"/>
        <v>4.0252819212975831E-12</v>
      </c>
      <c r="AG16" s="338">
        <f t="shared" si="23"/>
        <v>-23.622201205830301</v>
      </c>
      <c r="AH16" s="339">
        <f t="shared" si="24"/>
        <v>3.6539108009201973E-2</v>
      </c>
      <c r="AI16" s="340">
        <f t="shared" si="25"/>
        <v>0.15468121573777635</v>
      </c>
      <c r="AJ16" s="341">
        <f t="shared" si="12"/>
        <v>7.3078216018403946E-2</v>
      </c>
    </row>
    <row r="17" spans="1:39" x14ac:dyDescent="0.2">
      <c r="A17" s="309">
        <v>10</v>
      </c>
      <c r="B17" s="309">
        <f t="shared" si="13"/>
        <v>10</v>
      </c>
      <c r="C17" s="1">
        <v>369.97</v>
      </c>
      <c r="D17" s="1">
        <v>1.63</v>
      </c>
      <c r="E17" s="326">
        <f t="shared" si="5"/>
        <v>15.549197661400672</v>
      </c>
      <c r="F17" s="327">
        <f t="shared" si="0"/>
        <v>4.1980172880759691E-2</v>
      </c>
      <c r="G17" s="309">
        <f t="shared" si="6"/>
        <v>1</v>
      </c>
      <c r="H17" s="1">
        <v>3600</v>
      </c>
      <c r="I17" s="324">
        <v>30</v>
      </c>
      <c r="J17" s="1">
        <v>1.332E-2</v>
      </c>
      <c r="K17" s="1">
        <v>1.2E-4</v>
      </c>
      <c r="L17" s="328">
        <f t="shared" si="1"/>
        <v>0.90090090090090091</v>
      </c>
      <c r="M17" s="329">
        <f t="shared" si="2"/>
        <v>7.8352941176470584E-3</v>
      </c>
      <c r="N17" s="342">
        <f>(1/$J$46)*SQRT(((1-J18/$J$46)*K17)^2+(J18/$J$46)^2*(SUMSQ(K$8:K16)+SUMSQ(K18:K$45)))</f>
        <v>7.0417933186281179E-5</v>
      </c>
      <c r="O17" s="340">
        <f t="shared" si="14"/>
        <v>0.89872737550058568</v>
      </c>
      <c r="P17" s="332">
        <f t="shared" si="7"/>
        <v>0.29209411764705884</v>
      </c>
      <c r="Q17" s="342">
        <f>SQRT(((1-P17)/$J$46)^2*SUMSQ(K$8:K17)+(P17/$J$46)^2*SUMSQ(K18:K$45))</f>
        <v>2.9998090741172371E-4</v>
      </c>
      <c r="R17" s="340">
        <f t="shared" si="15"/>
        <v>0.10270008510551197</v>
      </c>
      <c r="S17" s="343">
        <f t="shared" si="16"/>
        <v>1.427433520669479E-7</v>
      </c>
      <c r="T17" s="344">
        <f t="shared" si="17"/>
        <v>1.1895279338912321E-9</v>
      </c>
      <c r="U17" s="344">
        <f>IF(P17&lt;=0.85, (1/(3*H17*$J$46))*SQRT( ((1-P17)*(1/SQRT(1-PI()*P17/3)-1) + (1-P16)*(1-1/SQRT(1-PI()*P16/3)))^2*SUMSQ(K$8:K16) + ( (1-P17)*(1/SQRT(1-PI()*P17/3)-1) -P16*(1-1/SQRT(1-PI()*P16/3)) )^2*K17^2 + ( P17*(1-1/SQRT(1-PI()*P17/3)) - P16*(1-1/SQRT(1-PI()*P16/3)) )^2*SUMSQ(K18:K$45) ), (1/(PI()^2*H17*$J$46))*SQRT((1+P16/(1-P16))^2*K17^2+(P16/(1-P16)-P17/(1-P17))^2*SUMSQ(K18:K$45)) )</f>
        <v>1.299977749234301E-9</v>
      </c>
      <c r="V17" s="345">
        <f t="shared" si="18"/>
        <v>1.762077993169378E-9</v>
      </c>
      <c r="W17" s="340">
        <f t="shared" si="19"/>
        <v>1.2344378688423596</v>
      </c>
      <c r="X17" s="345">
        <f t="shared" si="20"/>
        <v>3.524155986338756E-9</v>
      </c>
      <c r="Y17" s="338">
        <f t="shared" si="8"/>
        <v>-15.762217559953939</v>
      </c>
      <c r="Z17" s="346">
        <f t="shared" si="21"/>
        <v>1.2344378688423597E-2</v>
      </c>
      <c r="AA17" s="346">
        <f t="shared" si="22"/>
        <v>7.8316256208683308E-2</v>
      </c>
      <c r="AB17" s="346">
        <f t="shared" si="9"/>
        <v>2.4688757376847194E-2</v>
      </c>
      <c r="AC17" s="336">
        <f t="shared" si="3"/>
        <v>1.8420972486898799E-11</v>
      </c>
      <c r="AD17" s="337">
        <f t="shared" si="4"/>
        <v>6.8733115242354026E-13</v>
      </c>
      <c r="AE17" s="308">
        <f t="shared" si="10"/>
        <v>3.7312424895720242</v>
      </c>
      <c r="AF17" s="337">
        <f t="shared" si="11"/>
        <v>1.3746623048470805E-12</v>
      </c>
      <c r="AG17" s="338">
        <f t="shared" si="23"/>
        <v>-24.7175312913322</v>
      </c>
      <c r="AH17" s="339">
        <f t="shared" si="24"/>
        <v>3.7312424895720238E-2</v>
      </c>
      <c r="AI17" s="340">
        <f t="shared" si="25"/>
        <v>0.15095530559237014</v>
      </c>
      <c r="AJ17" s="341">
        <f t="shared" si="12"/>
        <v>7.4624849791440476E-2</v>
      </c>
      <c r="AM17" s="322"/>
    </row>
    <row r="18" spans="1:39" x14ac:dyDescent="0.2">
      <c r="A18" s="309">
        <v>11</v>
      </c>
      <c r="B18" s="309">
        <f t="shared" si="13"/>
        <v>11</v>
      </c>
      <c r="C18" s="1">
        <v>349.97</v>
      </c>
      <c r="D18" s="1">
        <v>1.61</v>
      </c>
      <c r="E18" s="326">
        <f t="shared" si="5"/>
        <v>16.048273205803056</v>
      </c>
      <c r="F18" s="327">
        <f t="shared" si="0"/>
        <v>3.9534871257423589E-2</v>
      </c>
      <c r="G18" s="309">
        <f t="shared" si="6"/>
        <v>1</v>
      </c>
      <c r="H18" s="1">
        <v>3600</v>
      </c>
      <c r="I18" s="324">
        <v>30</v>
      </c>
      <c r="J18" s="1">
        <v>4.5199999999999997E-3</v>
      </c>
      <c r="K18" s="1">
        <v>5.0000000000000002E-5</v>
      </c>
      <c r="L18" s="328">
        <f t="shared" si="1"/>
        <v>1.1061946902654869</v>
      </c>
      <c r="M18" s="329">
        <f t="shared" si="2"/>
        <v>2.6588235294117647E-3</v>
      </c>
      <c r="N18" s="342">
        <f>(1/$J$46)*SQRT(((1-J19/$J$46)*K18)^2+(J19/$J$46)^2*(SUMSQ(K$8:K17)+SUMSQ(K19:K$45)))</f>
        <v>2.9440826305520053E-5</v>
      </c>
      <c r="O18" s="340">
        <f t="shared" si="14"/>
        <v>1.1072877150306215</v>
      </c>
      <c r="P18" s="332">
        <f t="shared" si="7"/>
        <v>0.29475294117647061</v>
      </c>
      <c r="Q18" s="342">
        <f>SQRT(((1-P18)/$J$46)^2*SUMSQ(K$8:K18)+(P18/$J$46)^2*SUMSQ(K19:K$45))</f>
        <v>3.0020649123319552E-4</v>
      </c>
      <c r="R18" s="340">
        <f t="shared" si="15"/>
        <v>0.10185021056446722</v>
      </c>
      <c r="S18" s="343">
        <f t="shared" si="16"/>
        <v>4.9603483838844378E-8</v>
      </c>
      <c r="T18" s="344">
        <f t="shared" si="17"/>
        <v>4.1336236532370338E-10</v>
      </c>
      <c r="U18" s="344">
        <f>IF(P18&lt;=0.85, (1/(3*H18*$J$46))*SQRT( ((1-P18)*(1/SQRT(1-PI()*P18/3)-1) + (1-P17)*(1-1/SQRT(1-PI()*P17/3)))^2*SUMSQ(K$8:K17) + ( (1-P18)*(1/SQRT(1-PI()*P18/3)-1) -P17*(1-1/SQRT(1-PI()*P17/3)) )^2*K18^2 + ( P18*(1-1/SQRT(1-PI()*P18/3)) - P17*(1-1/SQRT(1-PI()*P17/3)) )^2*SUMSQ(K19:K$45) ), (1/(PI()^2*H18*$J$46))*SQRT((1+P17/(1-P17))^2*K18^2+(P17/(1-P17)-P18/(1-P18))^2*SUMSQ(K19:K$45)) )</f>
        <v>5.5263546297704402E-10</v>
      </c>
      <c r="V18" s="345">
        <f t="shared" si="18"/>
        <v>6.9012636524469824E-10</v>
      </c>
      <c r="W18" s="340">
        <f t="shared" si="19"/>
        <v>1.3912860787900181</v>
      </c>
      <c r="X18" s="345">
        <f t="shared" si="20"/>
        <v>1.3802527304893965E-9</v>
      </c>
      <c r="Y18" s="338">
        <f t="shared" si="8"/>
        <v>-16.819204766995771</v>
      </c>
      <c r="Z18" s="346">
        <f t="shared" si="21"/>
        <v>1.391286078790018E-2</v>
      </c>
      <c r="AA18" s="346">
        <f t="shared" si="22"/>
        <v>8.2720086833126066E-2</v>
      </c>
      <c r="AB18" s="346">
        <f t="shared" si="9"/>
        <v>2.782572157580036E-2</v>
      </c>
      <c r="AC18" s="336">
        <f t="shared" si="3"/>
        <v>6.4013097480093303E-12</v>
      </c>
      <c r="AD18" s="337">
        <f t="shared" si="4"/>
        <v>2.4235540140814182E-13</v>
      </c>
      <c r="AE18" s="308">
        <f t="shared" si="10"/>
        <v>3.7860283433950239</v>
      </c>
      <c r="AF18" s="337">
        <f t="shared" si="11"/>
        <v>4.8471080281628363E-13</v>
      </c>
      <c r="AG18" s="338">
        <f t="shared" si="23"/>
        <v>-25.774518498374036</v>
      </c>
      <c r="AH18" s="339">
        <f t="shared" si="24"/>
        <v>3.7860283433950238E-2</v>
      </c>
      <c r="AI18" s="340">
        <f t="shared" si="25"/>
        <v>0.14689036164279315</v>
      </c>
      <c r="AJ18" s="341">
        <f t="shared" si="12"/>
        <v>7.5720566867900477E-2</v>
      </c>
    </row>
    <row r="19" spans="1:39" x14ac:dyDescent="0.2">
      <c r="A19" s="309">
        <v>12</v>
      </c>
      <c r="B19" s="309">
        <f t="shared" si="13"/>
        <v>12</v>
      </c>
      <c r="C19" s="1">
        <v>365</v>
      </c>
      <c r="D19" s="1">
        <v>0.68</v>
      </c>
      <c r="E19" s="326">
        <f t="shared" si="5"/>
        <v>15.670296952127243</v>
      </c>
      <c r="F19" s="327">
        <f t="shared" si="0"/>
        <v>1.5698535573074955E-2</v>
      </c>
      <c r="G19" s="309">
        <f t="shared" si="6"/>
        <v>1</v>
      </c>
      <c r="H19" s="1">
        <v>3600</v>
      </c>
      <c r="I19" s="324">
        <v>30</v>
      </c>
      <c r="J19" s="1">
        <v>9.8099999999999993E-3</v>
      </c>
      <c r="K19" s="1">
        <v>1.1E-4</v>
      </c>
      <c r="L19" s="328">
        <f t="shared" si="1"/>
        <v>1.1213047910295619</v>
      </c>
      <c r="M19" s="329">
        <f t="shared" si="2"/>
        <v>5.7705882352941176E-3</v>
      </c>
      <c r="N19" s="342">
        <f>(1/$J$46)*SQRT(((1-J20/$J$46)*K19)^2+(J20/$J$46)^2*(SUMSQ(K$8:K18)+SUMSQ(K20:K$45)))</f>
        <v>6.4332228183746997E-5</v>
      </c>
      <c r="O19" s="340">
        <f t="shared" si="14"/>
        <v>1.1148296423279296</v>
      </c>
      <c r="P19" s="332">
        <f t="shared" si="7"/>
        <v>0.30052352941176474</v>
      </c>
      <c r="Q19" s="342">
        <f>SQRT(((1-P19)/$J$46)^2*SUMSQ(K$8:K19)+(P19/$J$46)^2*SUMSQ(K20:K$45))</f>
        <v>3.0219952400174245E-4</v>
      </c>
      <c r="R19" s="340">
        <f t="shared" si="15"/>
        <v>0.10055769163674413</v>
      </c>
      <c r="S19" s="343">
        <f t="shared" si="16"/>
        <v>1.0971328924312352E-7</v>
      </c>
      <c r="T19" s="344">
        <f t="shared" si="17"/>
        <v>9.1427741035936181E-10</v>
      </c>
      <c r="U19" s="344">
        <f>IF(P19&lt;=0.85, (1/(3*H19*$J$46))*SQRT( ((1-P19)*(1/SQRT(1-PI()*P19/3)-1) + (1-P18)*(1-1/SQRT(1-PI()*P18/3)))^2*SUMSQ(K$8:K18) + ( (1-P19)*(1/SQRT(1-PI()*P19/3)-1) -P18*(1-1/SQRT(1-PI()*P18/3)) )^2*K19^2 + ( P19*(1-1/SQRT(1-PI()*P19/3)) - P18*(1-1/SQRT(1-PI()*P18/3)) )^2*SUMSQ(K20:K$45) ), (1/(PI()^2*H19*$J$46))*SQRT((1+P18/(1-P18))^2*K19^2+(P18/(1-P18)-P19/(1-P19))^2*SUMSQ(K20:K$45)) )</f>
        <v>1.2381425267878518E-9</v>
      </c>
      <c r="V19" s="345">
        <f t="shared" si="18"/>
        <v>1.539123159378101E-9</v>
      </c>
      <c r="W19" s="340">
        <f t="shared" si="19"/>
        <v>1.4028593709987309</v>
      </c>
      <c r="X19" s="345">
        <f t="shared" si="20"/>
        <v>3.078246318756202E-9</v>
      </c>
      <c r="Y19" s="338">
        <f t="shared" si="8"/>
        <v>-16.025395335314744</v>
      </c>
      <c r="Z19" s="346">
        <f t="shared" si="21"/>
        <v>1.4028593709987309E-2</v>
      </c>
      <c r="AA19" s="346">
        <f t="shared" si="22"/>
        <v>8.7539766829170598E-2</v>
      </c>
      <c r="AB19" s="346">
        <f t="shared" si="9"/>
        <v>2.8057187419974618E-2</v>
      </c>
      <c r="AC19" s="336">
        <f t="shared" si="3"/>
        <v>1.4158456091509393E-11</v>
      </c>
      <c r="AD19" s="337">
        <f t="shared" si="4"/>
        <v>5.3664747541841374E-13</v>
      </c>
      <c r="AE19" s="308">
        <f t="shared" si="10"/>
        <v>3.7902965687073249</v>
      </c>
      <c r="AF19" s="337">
        <f t="shared" si="11"/>
        <v>1.0732949508368275E-12</v>
      </c>
      <c r="AG19" s="338">
        <f t="shared" si="23"/>
        <v>-24.980709066693009</v>
      </c>
      <c r="AH19" s="339">
        <f t="shared" si="24"/>
        <v>3.7902965687073249E-2</v>
      </c>
      <c r="AI19" s="340">
        <f t="shared" si="25"/>
        <v>0.15172894246468607</v>
      </c>
      <c r="AJ19" s="341">
        <f t="shared" si="12"/>
        <v>7.5805931374146499E-2</v>
      </c>
    </row>
    <row r="20" spans="1:39" x14ac:dyDescent="0.2">
      <c r="A20" s="309">
        <v>13</v>
      </c>
      <c r="B20" s="309">
        <f t="shared" si="13"/>
        <v>13</v>
      </c>
      <c r="C20" s="1">
        <v>385</v>
      </c>
      <c r="D20" s="1">
        <v>0.84</v>
      </c>
      <c r="E20" s="326">
        <f t="shared" si="5"/>
        <v>15.194104687381296</v>
      </c>
      <c r="F20" s="327">
        <f t="shared" si="0"/>
        <v>1.7738858924028277E-2</v>
      </c>
      <c r="G20" s="309">
        <f t="shared" si="6"/>
        <v>1</v>
      </c>
      <c r="H20" s="1">
        <v>3600</v>
      </c>
      <c r="I20" s="324">
        <v>30</v>
      </c>
      <c r="J20" s="1">
        <v>2.401E-2</v>
      </c>
      <c r="K20" s="1">
        <v>1.2E-4</v>
      </c>
      <c r="L20" s="328">
        <f t="shared" si="1"/>
        <v>0.49979175343606835</v>
      </c>
      <c r="M20" s="329">
        <f t="shared" si="2"/>
        <v>1.4123529411764707E-2</v>
      </c>
      <c r="N20" s="342">
        <f>(1/$J$46)*SQRT(((1-J21/$J$46)*K20)^2+(J21/$J$46)^2*(SUMSQ(K$8:K19)+SUMSQ(K21:K$45)))</f>
        <v>7.1892700999559122E-5</v>
      </c>
      <c r="O20" s="340">
        <f t="shared" si="14"/>
        <v>0.50902787046751563</v>
      </c>
      <c r="P20" s="332">
        <f t="shared" si="7"/>
        <v>0.31464705882352945</v>
      </c>
      <c r="Q20" s="342">
        <f>SQRT(((1-P20)/$J$46)^2*SUMSQ(K$8:K20)+(P20/$J$46)^2*SUMSQ(K21:K$45))</f>
        <v>3.0331894072504703E-4</v>
      </c>
      <c r="R20" s="340">
        <f t="shared" si="15"/>
        <v>9.6399738125365467E-2</v>
      </c>
      <c r="S20" s="343">
        <f t="shared" si="16"/>
        <v>2.8060753566085106E-7</v>
      </c>
      <c r="T20" s="344">
        <f t="shared" si="17"/>
        <v>2.3383961305070915E-9</v>
      </c>
      <c r="U20" s="344">
        <f>IF(P20&lt;=0.85, (1/(3*H20*$J$46))*SQRT( ((1-P20)*(1/SQRT(1-PI()*P20/3)-1) + (1-P19)*(1-1/SQRT(1-PI()*P19/3)))^2*SUMSQ(K$8:K19) + ( (1-P20)*(1/SQRT(1-PI()*P20/3)-1) -P19*(1-1/SQRT(1-PI()*P19/3)) )^2*K20^2 + ( P20*(1-1/SQRT(1-PI()*P20/3)) - P19*(1-1/SQRT(1-PI()*P19/3)) )^2*SUMSQ(K21:K$45) ), (1/(PI()^2*H20*$J$46))*SQRT((1+P19/(1-P19))^2*K20^2+(P19/(1-P19)-P20/(1-P20))^2*SUMSQ(K21:K$45)) )</f>
        <v>1.4464699652621209E-9</v>
      </c>
      <c r="V20" s="345">
        <f t="shared" si="18"/>
        <v>2.7496130316057094E-9</v>
      </c>
      <c r="W20" s="340">
        <f t="shared" si="19"/>
        <v>0.97987854286598952</v>
      </c>
      <c r="X20" s="345">
        <f t="shared" si="20"/>
        <v>5.4992260632114188E-9</v>
      </c>
      <c r="Y20" s="338">
        <f t="shared" si="8"/>
        <v>-15.086308814111744</v>
      </c>
      <c r="Z20" s="346">
        <f t="shared" si="21"/>
        <v>9.7987854286598949E-3</v>
      </c>
      <c r="AA20" s="346">
        <f t="shared" si="22"/>
        <v>6.4951510335610418E-2</v>
      </c>
      <c r="AB20" s="346">
        <f t="shared" si="9"/>
        <v>1.959757085731979E-2</v>
      </c>
      <c r="AC20" s="336">
        <f t="shared" si="3"/>
        <v>3.6212290234018559E-11</v>
      </c>
      <c r="AD20" s="337">
        <f t="shared" si="4"/>
        <v>1.3235329834932547E-12</v>
      </c>
      <c r="AE20" s="308">
        <f t="shared" si="10"/>
        <v>3.6549275810506483</v>
      </c>
      <c r="AF20" s="337">
        <f t="shared" si="11"/>
        <v>2.6470659669865093E-12</v>
      </c>
      <c r="AG20" s="338">
        <f t="shared" si="23"/>
        <v>-24.041622545490007</v>
      </c>
      <c r="AH20" s="339">
        <f t="shared" si="24"/>
        <v>3.654927581050648E-2</v>
      </c>
      <c r="AI20" s="340">
        <f t="shared" si="25"/>
        <v>0.15202499640508996</v>
      </c>
      <c r="AJ20" s="341">
        <f t="shared" si="12"/>
        <v>7.3098551621012961E-2</v>
      </c>
    </row>
    <row r="21" spans="1:39" x14ac:dyDescent="0.2">
      <c r="A21" s="309">
        <v>14</v>
      </c>
      <c r="B21" s="309">
        <f t="shared" si="13"/>
        <v>14</v>
      </c>
      <c r="C21" s="1">
        <v>414.99</v>
      </c>
      <c r="D21" s="1">
        <v>0.73</v>
      </c>
      <c r="E21" s="326">
        <f t="shared" si="5"/>
        <v>14.531926642834307</v>
      </c>
      <c r="F21" s="327">
        <f t="shared" si="0"/>
        <v>1.4557426526620308E-2</v>
      </c>
      <c r="G21" s="309">
        <f t="shared" si="6"/>
        <v>1</v>
      </c>
      <c r="H21" s="1">
        <v>3600</v>
      </c>
      <c r="I21" s="324">
        <v>30</v>
      </c>
      <c r="J21" s="1">
        <v>7.0069999999999993E-2</v>
      </c>
      <c r="K21" s="1">
        <v>3.1E-4</v>
      </c>
      <c r="L21" s="328">
        <f t="shared" si="1"/>
        <v>0.44241472812901383</v>
      </c>
      <c r="M21" s="329">
        <f t="shared" si="2"/>
        <v>4.1217647058823526E-2</v>
      </c>
      <c r="N21" s="342">
        <f>(1/$J$46)*SQRT(((1-J22/$J$46)*K21)^2+(J22/$J$46)^2*(SUMSQ(K$8:K20)+SUMSQ(K22:K$45)))</f>
        <v>1.7488618696467765E-4</v>
      </c>
      <c r="O21" s="340">
        <f t="shared" si="14"/>
        <v>0.42429929761660057</v>
      </c>
      <c r="P21" s="332">
        <f t="shared" si="7"/>
        <v>0.35586470588235297</v>
      </c>
      <c r="Q21" s="342">
        <f>SQRT(((1-P21)/$J$46)^2*SUMSQ(K$8:K21)+(P21/$J$46)^2*SUMSQ(K22:K$45))</f>
        <v>3.1395223682819008E-4</v>
      </c>
      <c r="R21" s="340">
        <f t="shared" si="15"/>
        <v>8.8222358564544204E-2</v>
      </c>
      <c r="S21" s="343">
        <f t="shared" si="16"/>
        <v>9.2186307142505023E-7</v>
      </c>
      <c r="T21" s="344">
        <f t="shared" si="17"/>
        <v>7.6821922618754249E-9</v>
      </c>
      <c r="U21" s="344">
        <f>IF(P21&lt;=0.85, (1/(3*H21*$J$46))*SQRT( ((1-P21)*(1/SQRT(1-PI()*P21/3)-1) + (1-P20)*(1-1/SQRT(1-PI()*P20/3)))^2*SUMSQ(K$8:K20) + ( (1-P21)*(1/SQRT(1-PI()*P21/3)-1) -P20*(1-1/SQRT(1-PI()*P20/3)) )^2*K21^2 + ( P21*(1-1/SQRT(1-PI()*P21/3)) - P20*(1-1/SQRT(1-PI()*P20/3)) )^2*SUMSQ(K22:K$45) ), (1/(PI()^2*H21*$J$46))*SQRT((1+P20/(1-P20))^2*K21^2+(P20/(1-P20)-P21/(1-P21))^2*SUMSQ(K22:K$45)) )</f>
        <v>4.1771073955585888E-9</v>
      </c>
      <c r="V21" s="345">
        <f t="shared" si="18"/>
        <v>8.7443870078152948E-9</v>
      </c>
      <c r="W21" s="340">
        <f t="shared" si="19"/>
        <v>0.94855594923635411</v>
      </c>
      <c r="X21" s="345">
        <f t="shared" si="20"/>
        <v>1.748877401563059E-8</v>
      </c>
      <c r="Y21" s="338">
        <f t="shared" si="8"/>
        <v>-13.896869136973073</v>
      </c>
      <c r="Z21" s="346">
        <f t="shared" si="21"/>
        <v>9.4855594923635416E-3</v>
      </c>
      <c r="AA21" s="346">
        <f t="shared" si="22"/>
        <v>6.8256809493347698E-2</v>
      </c>
      <c r="AB21" s="346">
        <f t="shared" si="9"/>
        <v>1.8971118984727083E-2</v>
      </c>
      <c r="AC21" s="336">
        <f t="shared" si="3"/>
        <v>1.1896606062217416E-10</v>
      </c>
      <c r="AD21" s="337">
        <f t="shared" si="4"/>
        <v>4.338281694200546E-12</v>
      </c>
      <c r="AE21" s="308">
        <f t="shared" si="10"/>
        <v>3.6466549127641961</v>
      </c>
      <c r="AF21" s="337">
        <f t="shared" si="11"/>
        <v>8.676563388401092E-12</v>
      </c>
      <c r="AG21" s="338">
        <f t="shared" si="23"/>
        <v>-22.852182868351338</v>
      </c>
      <c r="AH21" s="339">
        <f t="shared" si="24"/>
        <v>3.646654912764196E-2</v>
      </c>
      <c r="AI21" s="340">
        <f t="shared" si="25"/>
        <v>0.15957578029950722</v>
      </c>
      <c r="AJ21" s="341">
        <f t="shared" si="12"/>
        <v>7.2933098255283921E-2</v>
      </c>
    </row>
    <row r="22" spans="1:39" x14ac:dyDescent="0.2">
      <c r="A22" s="309">
        <v>15</v>
      </c>
      <c r="B22" s="309">
        <f t="shared" si="13"/>
        <v>15</v>
      </c>
      <c r="C22" s="1">
        <v>434.99</v>
      </c>
      <c r="D22" s="1">
        <v>0.82</v>
      </c>
      <c r="E22" s="326">
        <f t="shared" si="5"/>
        <v>14.121501398028638</v>
      </c>
      <c r="F22" s="327">
        <f t="shared" si="0"/>
        <v>1.5899944839523557E-2</v>
      </c>
      <c r="G22" s="309">
        <f t="shared" si="6"/>
        <v>1</v>
      </c>
      <c r="H22" s="1">
        <v>3600</v>
      </c>
      <c r="I22" s="324">
        <v>30</v>
      </c>
      <c r="J22" s="1">
        <v>9.8040000000000002E-2</v>
      </c>
      <c r="K22" s="1">
        <v>2.7E-4</v>
      </c>
      <c r="L22" s="328">
        <f t="shared" si="1"/>
        <v>0.2753977968176255</v>
      </c>
      <c r="M22" s="329">
        <f t="shared" si="2"/>
        <v>5.7670588235294119E-2</v>
      </c>
      <c r="N22" s="342">
        <f>(1/$J$46)*SQRT(((1-J23/$J$46)*K22)^2+(J23/$J$46)^2*(SUMSQ(K$8:K21)+SUMSQ(K23:K$45)))</f>
        <v>1.5356546932027219E-4</v>
      </c>
      <c r="O22" s="340">
        <f t="shared" si="14"/>
        <v>0.26628039355820349</v>
      </c>
      <c r="P22" s="332">
        <f t="shared" si="7"/>
        <v>0.41353529411764711</v>
      </c>
      <c r="Q22" s="342">
        <f>SQRT(((1-P22)/$J$46)^2*SUMSQ(K$8:K22)+(P22/$J$46)^2*SUMSQ(K23:K$45))</f>
        <v>3.1123466821892347E-4</v>
      </c>
      <c r="R22" s="340">
        <f t="shared" si="15"/>
        <v>7.5261935957122925E-2</v>
      </c>
      <c r="S22" s="343">
        <f t="shared" si="16"/>
        <v>1.5725546702753942E-6</v>
      </c>
      <c r="T22" s="344">
        <f t="shared" si="17"/>
        <v>1.3104622252294956E-8</v>
      </c>
      <c r="U22" s="344">
        <f>IF(P22&lt;=0.85, (1/(3*H22*$J$46))*SQRT( ((1-P22)*(1/SQRT(1-PI()*P22/3)-1) + (1-P21)*(1-1/SQRT(1-PI()*P21/3)))^2*SUMSQ(K$8:K21) + ( (1-P22)*(1/SQRT(1-PI()*P22/3)-1) -P21*(1-1/SQRT(1-PI()*P21/3)) )^2*K22^2 + ( P22*(1-1/SQRT(1-PI()*P22/3)) - P21*(1-1/SQRT(1-PI()*P21/3)) )^2*SUMSQ(K23:K$45) ), (1/(PI()^2*H22*$J$46))*SQRT((1+P21/(1-P21))^2*K22^2+(P21/(1-P21)-P22/(1-P22))^2*SUMSQ(K23:K$45)) )</f>
        <v>4.5453351533282915E-9</v>
      </c>
      <c r="V22" s="345">
        <f t="shared" si="18"/>
        <v>1.3870515348444198E-8</v>
      </c>
      <c r="W22" s="340">
        <f t="shared" si="19"/>
        <v>0.88203708339215436</v>
      </c>
      <c r="X22" s="345">
        <f t="shared" si="20"/>
        <v>2.7741030696888396E-8</v>
      </c>
      <c r="Y22" s="338">
        <f t="shared" si="8"/>
        <v>-13.362809082505317</v>
      </c>
      <c r="Z22" s="346">
        <f t="shared" si="21"/>
        <v>8.8203708339215439E-3</v>
      </c>
      <c r="AA22" s="346">
        <f t="shared" si="22"/>
        <v>6.6006861128243124E-2</v>
      </c>
      <c r="AB22" s="346">
        <f t="shared" si="9"/>
        <v>1.7640741667843088E-2</v>
      </c>
      <c r="AC22" s="336">
        <f t="shared" si="3"/>
        <v>2.029375511771715E-10</v>
      </c>
      <c r="AD22" s="337">
        <f t="shared" si="4"/>
        <v>7.3664718406164777E-12</v>
      </c>
      <c r="AE22" s="308">
        <f t="shared" si="10"/>
        <v>3.6299205336252891</v>
      </c>
      <c r="AF22" s="337">
        <f t="shared" si="11"/>
        <v>1.4732943681232955E-11</v>
      </c>
      <c r="AG22" s="338">
        <f t="shared" si="23"/>
        <v>-22.31812281388358</v>
      </c>
      <c r="AH22" s="339">
        <f t="shared" si="24"/>
        <v>3.6299205336252888E-2</v>
      </c>
      <c r="AI22" s="340">
        <f t="shared" si="25"/>
        <v>0.16264452722552458</v>
      </c>
      <c r="AJ22" s="341">
        <f t="shared" si="12"/>
        <v>7.2598410672505775E-2</v>
      </c>
    </row>
    <row r="23" spans="1:39" x14ac:dyDescent="0.2">
      <c r="A23" s="309">
        <v>16</v>
      </c>
      <c r="B23" s="309">
        <f t="shared" si="13"/>
        <v>16</v>
      </c>
      <c r="C23" s="1">
        <v>444.99</v>
      </c>
      <c r="D23" s="1">
        <v>0.8</v>
      </c>
      <c r="E23" s="326">
        <f t="shared" si="5"/>
        <v>13.924861447628597</v>
      </c>
      <c r="F23" s="327">
        <f t="shared" si="0"/>
        <v>1.468292248351717E-2</v>
      </c>
      <c r="G23" s="309">
        <f t="shared" si="6"/>
        <v>1</v>
      </c>
      <c r="H23" s="1">
        <v>3600</v>
      </c>
      <c r="I23" s="324">
        <v>30</v>
      </c>
      <c r="J23" s="1">
        <v>8.4779999999999994E-2</v>
      </c>
      <c r="K23" s="1">
        <v>2.1000000000000001E-4</v>
      </c>
      <c r="L23" s="328">
        <f t="shared" si="1"/>
        <v>0.24769992922859169</v>
      </c>
      <c r="M23" s="329">
        <f t="shared" si="2"/>
        <v>4.9870588235294118E-2</v>
      </c>
      <c r="N23" s="342">
        <f>(1/$J$46)*SQRT(((1-J24/$J$46)*K23)^2+(J24/$J$46)^2*(SUMSQ(K$8:K22)+SUMSQ(K24:K$45)))</f>
        <v>1.2118265477047291E-4</v>
      </c>
      <c r="O23" s="340">
        <f t="shared" si="14"/>
        <v>0.24299423579830617</v>
      </c>
      <c r="P23" s="332">
        <f t="shared" si="7"/>
        <v>0.46340588235294122</v>
      </c>
      <c r="Q23" s="342">
        <f>SQRT(((1-P23)/$J$46)^2*SUMSQ(K$8:K23)+(P23/$J$46)^2*SUMSQ(K24:K$45))</f>
        <v>3.0349618833479144E-4</v>
      </c>
      <c r="R23" s="340">
        <f t="shared" si="15"/>
        <v>6.5492519601562021E-2</v>
      </c>
      <c r="S23" s="343">
        <f t="shared" si="16"/>
        <v>1.6631553292350003E-6</v>
      </c>
      <c r="T23" s="344">
        <f t="shared" si="17"/>
        <v>1.3859627743625001E-8</v>
      </c>
      <c r="U23" s="344">
        <f>IF(P23&lt;=0.85, (1/(3*H23*$J$46))*SQRT( ((1-P23)*(1/SQRT(1-PI()*P23/3)-1) + (1-P22)*(1-1/SQRT(1-PI()*P22/3)))^2*SUMSQ(K$8:K22) + ( (1-P23)*(1/SQRT(1-PI()*P23/3)-1) -P22*(1-1/SQRT(1-PI()*P22/3)) )^2*K23^2 + ( P23*(1-1/SQRT(1-PI()*P23/3)) - P22*(1-1/SQRT(1-PI()*P22/3)) )^2*SUMSQ(K24:K$45) ), (1/(PI()^2*H23*$J$46))*SQRT((1+P22/(1-P22))^2*K23^2+(P22/(1-P22)-P23/(1-P23))^2*SUMSQ(K24:K$45)) )</f>
        <v>4.3266911979569595E-9</v>
      </c>
      <c r="V23" s="345">
        <f t="shared" si="18"/>
        <v>1.4519281590848014E-8</v>
      </c>
      <c r="W23" s="340">
        <f t="shared" si="19"/>
        <v>0.87299612583548836</v>
      </c>
      <c r="X23" s="345">
        <f t="shared" si="20"/>
        <v>2.9038563181696028E-8</v>
      </c>
      <c r="Y23" s="338">
        <f t="shared" si="8"/>
        <v>-13.306793959087614</v>
      </c>
      <c r="Z23" s="346">
        <f t="shared" si="21"/>
        <v>8.729961258354884E-3</v>
      </c>
      <c r="AA23" s="346">
        <f t="shared" si="22"/>
        <v>6.5605293695803632E-2</v>
      </c>
      <c r="AB23" s="346">
        <f t="shared" si="9"/>
        <v>1.7459922516709768E-2</v>
      </c>
      <c r="AC23" s="336">
        <f t="shared" si="3"/>
        <v>2.1462952997564508E-10</v>
      </c>
      <c r="AD23" s="337">
        <f t="shared" si="4"/>
        <v>7.7861890023928932E-12</v>
      </c>
      <c r="AE23" s="308">
        <f t="shared" si="10"/>
        <v>3.627734265306561</v>
      </c>
      <c r="AF23" s="337">
        <f t="shared" si="11"/>
        <v>1.5572378004785786E-11</v>
      </c>
      <c r="AG23" s="338">
        <f t="shared" si="23"/>
        <v>-22.262107690465879</v>
      </c>
      <c r="AH23" s="339">
        <f t="shared" si="24"/>
        <v>3.6277342653065613E-2</v>
      </c>
      <c r="AI23" s="340">
        <f t="shared" si="25"/>
        <v>0.16295556178897649</v>
      </c>
      <c r="AJ23" s="341">
        <f t="shared" si="12"/>
        <v>7.2554685306131225E-2</v>
      </c>
    </row>
    <row r="24" spans="1:39" x14ac:dyDescent="0.2">
      <c r="A24" s="309">
        <v>17</v>
      </c>
      <c r="B24" s="309">
        <f t="shared" si="13"/>
        <v>17</v>
      </c>
      <c r="C24" s="1">
        <v>464.99</v>
      </c>
      <c r="D24" s="1">
        <v>0.81</v>
      </c>
      <c r="E24" s="326">
        <f t="shared" si="5"/>
        <v>13.547565502479205</v>
      </c>
      <c r="F24" s="327">
        <f t="shared" si="0"/>
        <v>1.5404276109442991E-2</v>
      </c>
      <c r="G24" s="309">
        <f t="shared" si="6"/>
        <v>1</v>
      </c>
      <c r="H24" s="1">
        <v>3600</v>
      </c>
      <c r="I24" s="324">
        <v>30</v>
      </c>
      <c r="J24" s="1">
        <v>0.1009</v>
      </c>
      <c r="K24" s="1">
        <v>2.9E-4</v>
      </c>
      <c r="L24" s="328">
        <f t="shared" si="1"/>
        <v>0.28741328047571851</v>
      </c>
      <c r="M24" s="329">
        <f t="shared" si="2"/>
        <v>5.9352941176470594E-2</v>
      </c>
      <c r="N24" s="342">
        <f>(1/$J$46)*SQRT(((1-J25/$J$46)*K24)^2+(J25/$J$46)^2*(SUMSQ(K$8:K23)+SUMSQ(K25:K$45)))</f>
        <v>1.6729356105622595E-4</v>
      </c>
      <c r="O24" s="340">
        <f t="shared" si="14"/>
        <v>0.28186229315716954</v>
      </c>
      <c r="P24" s="332">
        <f t="shared" si="7"/>
        <v>0.52275882352941183</v>
      </c>
      <c r="Q24" s="342">
        <f>SQRT(((1-P24)/$J$46)^2*SUMSQ(K$8:K24)+(P24/$J$46)^2*SUMSQ(K25:K$45))</f>
        <v>2.9027536913605158E-4</v>
      </c>
      <c r="R24" s="340">
        <f t="shared" si="15"/>
        <v>5.5527588645229227E-2</v>
      </c>
      <c r="S24" s="343">
        <f t="shared" si="16"/>
        <v>2.4107696791476028E-6</v>
      </c>
      <c r="T24" s="344">
        <f t="shared" si="17"/>
        <v>2.0089747326230023E-8</v>
      </c>
      <c r="U24" s="344">
        <f>IF(P24&lt;=0.85, (1/(3*H24*$J$46))*SQRT( ((1-P24)*(1/SQRT(1-PI()*P24/3)-1) + (1-P23)*(1-1/SQRT(1-PI()*P23/3)))^2*SUMSQ(K$8:K23) + ( (1-P24)*(1/SQRT(1-PI()*P24/3)-1) -P23*(1-1/SQRT(1-PI()*P23/3)) )^2*K24^2 + ( P24*(1-1/SQRT(1-PI()*P24/3)) - P23*(1-1/SQRT(1-PI()*P23/3)) )^2*SUMSQ(K25:K$45) ), (1/(PI()^2*H24*$J$46))*SQRT((1+P23/(1-P23))^2*K24^2+(P23/(1-P23)-P24/(1-P24))^2*SUMSQ(K25:K$45)) )</f>
        <v>6.9211335560558339E-9</v>
      </c>
      <c r="V24" s="345">
        <f t="shared" si="18"/>
        <v>2.1248530239348988E-8</v>
      </c>
      <c r="W24" s="340">
        <f t="shared" si="19"/>
        <v>0.88140026080226874</v>
      </c>
      <c r="X24" s="345">
        <f t="shared" si="20"/>
        <v>4.2497060478697976E-8</v>
      </c>
      <c r="Y24" s="338">
        <f t="shared" si="8"/>
        <v>-12.935564492508201</v>
      </c>
      <c r="Z24" s="346">
        <f t="shared" si="21"/>
        <v>8.8140026080226874E-3</v>
      </c>
      <c r="AA24" s="346">
        <f t="shared" si="22"/>
        <v>6.8137750100719846E-2</v>
      </c>
      <c r="AB24" s="346">
        <f t="shared" si="9"/>
        <v>1.7628005216045375E-2</v>
      </c>
      <c r="AC24" s="336">
        <f t="shared" si="3"/>
        <v>3.1110886278612645E-10</v>
      </c>
      <c r="AD24" s="337">
        <f t="shared" si="4"/>
        <v>1.1292523239679978E-11</v>
      </c>
      <c r="AE24" s="308">
        <f t="shared" si="10"/>
        <v>3.629765844196823</v>
      </c>
      <c r="AF24" s="337">
        <f t="shared" si="11"/>
        <v>2.2585046479359956E-11</v>
      </c>
      <c r="AG24" s="338">
        <f t="shared" si="23"/>
        <v>-21.890878223886464</v>
      </c>
      <c r="AH24" s="339">
        <f t="shared" si="24"/>
        <v>3.6297658441968229E-2</v>
      </c>
      <c r="AI24" s="340">
        <f t="shared" si="25"/>
        <v>0.16581179645118876</v>
      </c>
      <c r="AJ24" s="341">
        <f t="shared" si="12"/>
        <v>7.2595316883936459E-2</v>
      </c>
    </row>
    <row r="25" spans="1:39" x14ac:dyDescent="0.2">
      <c r="A25" s="309">
        <v>18</v>
      </c>
      <c r="B25" s="309">
        <f t="shared" si="13"/>
        <v>18</v>
      </c>
      <c r="C25" s="1">
        <v>451.99</v>
      </c>
      <c r="D25" s="1">
        <v>0.57999999999999996</v>
      </c>
      <c r="E25" s="326">
        <f t="shared" si="5"/>
        <v>13.790440466668505</v>
      </c>
      <c r="F25" s="327">
        <f t="shared" si="0"/>
        <v>1.1664799838804371E-2</v>
      </c>
      <c r="G25" s="309">
        <f t="shared" si="6"/>
        <v>1</v>
      </c>
      <c r="H25" s="1">
        <v>3600</v>
      </c>
      <c r="I25" s="324">
        <v>30</v>
      </c>
      <c r="J25" s="1">
        <v>3.7510000000000002E-2</v>
      </c>
      <c r="K25" s="1">
        <v>1.9000000000000001E-4</v>
      </c>
      <c r="L25" s="328">
        <f t="shared" si="1"/>
        <v>0.50653159157557981</v>
      </c>
      <c r="M25" s="329">
        <f t="shared" si="2"/>
        <v>2.2064705882352941E-2</v>
      </c>
      <c r="N25" s="342">
        <f>(1/$J$46)*SQRT(((1-J26/$J$46)*K25)^2+(J26/$J$46)^2*(SUMSQ(K$8:K24)+SUMSQ(K26:K$45)))</f>
        <v>1.1096778492153856E-4</v>
      </c>
      <c r="O25" s="340">
        <f t="shared" si="14"/>
        <v>0.50291984635194753</v>
      </c>
      <c r="P25" s="332">
        <f t="shared" si="7"/>
        <v>0.54482352941176482</v>
      </c>
      <c r="Q25" s="342">
        <f>SQRT(((1-P25)/$J$46)^2*SUMSQ(K$8:K25)+(P25/$J$46)^2*SUMSQ(K26:K$45))</f>
        <v>2.8295010549255769E-4</v>
      </c>
      <c r="R25" s="340">
        <f t="shared" si="15"/>
        <v>5.1934266825453247E-2</v>
      </c>
      <c r="S25" s="343">
        <f t="shared" si="16"/>
        <v>1.0336697456736692E-6</v>
      </c>
      <c r="T25" s="344">
        <f t="shared" si="17"/>
        <v>8.6139145472805762E-9</v>
      </c>
      <c r="U25" s="344">
        <f>IF(P25&lt;=0.85, (1/(3*H25*$J$46))*SQRT( ((1-P25)*(1/SQRT(1-PI()*P25/3)-1) + (1-P24)*(1-1/SQRT(1-PI()*P24/3)))^2*SUMSQ(K$8:K24) + ( (1-P25)*(1/SQRT(1-PI()*P25/3)-1) -P24*(1-1/SQRT(1-PI()*P24/3)) )^2*K25^2 + ( P25*(1-1/SQRT(1-PI()*P25/3)) - P24*(1-1/SQRT(1-PI()*P24/3)) )^2*SUMSQ(K26:K$45) ), (1/(PI()^2*H25*$J$46))*SQRT((1+P24/(1-P24))^2*K25^2+(P24/(1-P24)-P25/(1-P25))^2*SUMSQ(K26:K$45)) )</f>
        <v>5.1907915578951673E-9</v>
      </c>
      <c r="V25" s="345">
        <f t="shared" si="18"/>
        <v>1.0057029423511083E-8</v>
      </c>
      <c r="W25" s="340">
        <f t="shared" si="19"/>
        <v>0.97294415993153194</v>
      </c>
      <c r="X25" s="345">
        <f t="shared" si="20"/>
        <v>2.0114058847022167E-8</v>
      </c>
      <c r="Y25" s="338">
        <f t="shared" si="8"/>
        <v>-13.78239522779519</v>
      </c>
      <c r="Z25" s="346">
        <f t="shared" si="21"/>
        <v>9.7294415993153197E-3</v>
      </c>
      <c r="AA25" s="346">
        <f t="shared" si="22"/>
        <v>7.059325638618888E-2</v>
      </c>
      <c r="AB25" s="346">
        <f t="shared" si="9"/>
        <v>1.9458883198630639E-2</v>
      </c>
      <c r="AC25" s="336">
        <f t="shared" si="3"/>
        <v>1.3339466721128874E-10</v>
      </c>
      <c r="AD25" s="337">
        <f t="shared" si="4"/>
        <v>4.8730067000148793E-12</v>
      </c>
      <c r="AE25" s="308">
        <f t="shared" si="10"/>
        <v>3.6530745957755149</v>
      </c>
      <c r="AF25" s="337">
        <f t="shared" si="11"/>
        <v>9.7460134000297586E-12</v>
      </c>
      <c r="AG25" s="338">
        <f t="shared" si="23"/>
        <v>-22.737708959173453</v>
      </c>
      <c r="AH25" s="339">
        <f t="shared" si="24"/>
        <v>3.6530745957755149E-2</v>
      </c>
      <c r="AI25" s="340">
        <f t="shared" si="25"/>
        <v>0.16066150738118645</v>
      </c>
      <c r="AJ25" s="341">
        <f t="shared" si="12"/>
        <v>7.3061491915510299E-2</v>
      </c>
    </row>
    <row r="26" spans="1:39" x14ac:dyDescent="0.2">
      <c r="A26" s="309">
        <v>19</v>
      </c>
      <c r="B26" s="309">
        <f t="shared" si="13"/>
        <v>19</v>
      </c>
      <c r="C26" s="1">
        <v>431.99</v>
      </c>
      <c r="D26" s="1">
        <v>0.56999999999999995</v>
      </c>
      <c r="E26" s="326">
        <f t="shared" si="5"/>
        <v>14.181580962645716</v>
      </c>
      <c r="F26" s="327">
        <f t="shared" si="0"/>
        <v>1.214272638304075E-2</v>
      </c>
      <c r="G26" s="309">
        <f t="shared" si="6"/>
        <v>1</v>
      </c>
      <c r="H26" s="1">
        <v>3600</v>
      </c>
      <c r="I26" s="324">
        <v>30</v>
      </c>
      <c r="J26" s="1">
        <v>1.3610000000000001E-2</v>
      </c>
      <c r="K26" s="1">
        <v>1.1E-4</v>
      </c>
      <c r="L26" s="328">
        <f t="shared" si="1"/>
        <v>0.80822924320352685</v>
      </c>
      <c r="M26" s="329">
        <f t="shared" si="2"/>
        <v>8.0058823529411769E-3</v>
      </c>
      <c r="N26" s="342">
        <f>(1/$J$46)*SQRT(((1-J27/$J$46)*K26)^2+(J27/$J$46)^2*(SUMSQ(K$8:K25)+SUMSQ(K27:K$45)))</f>
        <v>6.4547830990585985E-5</v>
      </c>
      <c r="O26" s="340">
        <f t="shared" si="14"/>
        <v>0.8062550527846889</v>
      </c>
      <c r="P26" s="332">
        <f t="shared" si="7"/>
        <v>0.55282941176470601</v>
      </c>
      <c r="Q26" s="342">
        <f>SQRT(((1-P26)/$J$46)^2*SUMSQ(K$8:K26)+(P26/$J$46)^2*SUMSQ(K27:K$45))</f>
        <v>2.7997440388942402E-4</v>
      </c>
      <c r="R26" s="340">
        <f t="shared" si="15"/>
        <v>5.0643905322567399E-2</v>
      </c>
      <c r="S26" s="343">
        <f t="shared" si="16"/>
        <v>3.9544693382375114E-7</v>
      </c>
      <c r="T26" s="344">
        <f t="shared" si="17"/>
        <v>3.2953911151979255E-9</v>
      </c>
      <c r="U26" s="344">
        <f>IF(P26&lt;=0.85, (1/(3*H26*$J$46))*SQRT( ((1-P26)*(1/SQRT(1-PI()*P26/3)-1) + (1-P25)*(1-1/SQRT(1-PI()*P25/3)))^2*SUMSQ(K$8:K25) + ( (1-P26)*(1/SQRT(1-PI()*P26/3)-1) -P25*(1-1/SQRT(1-PI()*P25/3)) )^2*K26^2 + ( P26*(1-1/SQRT(1-PI()*P26/3)) - P25*(1-1/SQRT(1-PI()*P25/3)) )^2*SUMSQ(K27:K$45) ), (1/(PI()^2*H26*$J$46))*SQRT((1+P25/(1-P25))^2*K26^2+(P25/(1-P25)-P26/(1-P26))^2*SUMSQ(K27:K$45)) )</f>
        <v>3.1851665670535366E-9</v>
      </c>
      <c r="V26" s="345">
        <f t="shared" si="18"/>
        <v>4.5831090606706097E-9</v>
      </c>
      <c r="W26" s="340">
        <f t="shared" si="19"/>
        <v>1.1589694264043227</v>
      </c>
      <c r="X26" s="345">
        <f t="shared" si="20"/>
        <v>9.1662181213412193E-9</v>
      </c>
      <c r="Y26" s="338">
        <f t="shared" si="8"/>
        <v>-14.743249233649301</v>
      </c>
      <c r="Z26" s="346">
        <f t="shared" si="21"/>
        <v>1.1589694264043226E-2</v>
      </c>
      <c r="AA26" s="346">
        <f t="shared" si="22"/>
        <v>7.8610176633190532E-2</v>
      </c>
      <c r="AB26" s="346">
        <f t="shared" si="9"/>
        <v>2.3179388528086452E-2</v>
      </c>
      <c r="AC26" s="336">
        <f t="shared" si="3"/>
        <v>5.103226863118155E-11</v>
      </c>
      <c r="AD26" s="337">
        <f t="shared" si="4"/>
        <v>1.8917451900988924E-12</v>
      </c>
      <c r="AE26" s="308">
        <f t="shared" si="10"/>
        <v>3.7069588337740589</v>
      </c>
      <c r="AF26" s="337">
        <f t="shared" si="11"/>
        <v>3.7834903801977847E-12</v>
      </c>
      <c r="AG26" s="338">
        <f t="shared" si="23"/>
        <v>-23.698562965027566</v>
      </c>
      <c r="AH26" s="339">
        <f t="shared" si="24"/>
        <v>3.7069588337740586E-2</v>
      </c>
      <c r="AI26" s="340">
        <f t="shared" si="25"/>
        <v>0.15642124964473542</v>
      </c>
      <c r="AJ26" s="341">
        <f t="shared" si="12"/>
        <v>7.4139176675481172E-2</v>
      </c>
    </row>
    <row r="27" spans="1:39" x14ac:dyDescent="0.2">
      <c r="A27" s="309">
        <v>20</v>
      </c>
      <c r="B27" s="309">
        <f t="shared" si="13"/>
        <v>20</v>
      </c>
      <c r="C27" s="1">
        <v>411.99</v>
      </c>
      <c r="D27" s="1">
        <v>0.36</v>
      </c>
      <c r="E27" s="326">
        <f t="shared" si="5"/>
        <v>14.595557112414982</v>
      </c>
      <c r="F27" s="327">
        <f t="shared" si="0"/>
        <v>7.4500286287630694E-3</v>
      </c>
      <c r="G27" s="309">
        <f t="shared" si="6"/>
        <v>1</v>
      </c>
      <c r="H27" s="1">
        <v>3600</v>
      </c>
      <c r="I27" s="324">
        <v>30</v>
      </c>
      <c r="J27" s="1">
        <v>4.6899999999999997E-3</v>
      </c>
      <c r="K27" s="1">
        <v>5.0000000000000002E-5</v>
      </c>
      <c r="L27" s="328">
        <f t="shared" si="1"/>
        <v>1.0660980810234544</v>
      </c>
      <c r="M27" s="329">
        <f t="shared" si="2"/>
        <v>2.7588235294117645E-3</v>
      </c>
      <c r="N27" s="342">
        <f>(1/$J$46)*SQRT(((1-J28/$J$46)*K27)^2+(J28/$J$46)^2*(SUMSQ(K$8:K26)+SUMSQ(K28:K$45)))</f>
        <v>2.9394781626879275E-5</v>
      </c>
      <c r="O27" s="340">
        <f t="shared" si="14"/>
        <v>1.0654824896736625</v>
      </c>
      <c r="P27" s="332">
        <f t="shared" si="7"/>
        <v>0.55558823529411783</v>
      </c>
      <c r="Q27" s="342">
        <f>SQRT(((1-P27)/$J$46)^2*SUMSQ(K$8:K27)+(P27/$J$46)^2*SUMSQ(K28:K$45))</f>
        <v>2.7901976116741516E-4</v>
      </c>
      <c r="R27" s="340">
        <f t="shared" si="15"/>
        <v>5.0220602857025474E-2</v>
      </c>
      <c r="S27" s="343">
        <f t="shared" si="16"/>
        <v>1.3888857016458736E-7</v>
      </c>
      <c r="T27" s="344">
        <f t="shared" si="17"/>
        <v>1.157404751371561E-9</v>
      </c>
      <c r="U27" s="344">
        <f>IF(P27&lt;=0.85, (1/(3*H27*$J$46))*SQRT( ((1-P27)*(1/SQRT(1-PI()*P27/3)-1) + (1-P26)*(1-1/SQRT(1-PI()*P26/3)))^2*SUMSQ(K$8:K26) + ( (1-P27)*(1/SQRT(1-PI()*P27/3)-1) -P26*(1-1/SQRT(1-PI()*P26/3)) )^2*K27^2 + ( P27*(1-1/SQRT(1-PI()*P27/3)) - P26*(1-1/SQRT(1-PI()*P26/3)) )^2*SUMSQ(K28:K$45) ), (1/(PI()^2*H27*$J$46))*SQRT((1+P26/(1-P26))^2*K27^2+(P26/(1-P26)-P27/(1-P27))^2*SUMSQ(K28:K$45)) )</f>
        <v>1.4808083818546911E-9</v>
      </c>
      <c r="V27" s="345">
        <f t="shared" si="18"/>
        <v>1.8794624822721455E-9</v>
      </c>
      <c r="W27" s="340">
        <f t="shared" si="19"/>
        <v>1.3532160926164931</v>
      </c>
      <c r="X27" s="345">
        <f t="shared" si="20"/>
        <v>3.7589249645442911E-9</v>
      </c>
      <c r="Y27" s="338">
        <f t="shared" si="8"/>
        <v>-15.789593878803888</v>
      </c>
      <c r="Z27" s="346">
        <f t="shared" si="21"/>
        <v>1.3532160926164931E-2</v>
      </c>
      <c r="AA27" s="346">
        <f t="shared" si="22"/>
        <v>8.57030334664316E-2</v>
      </c>
      <c r="AB27" s="346">
        <f t="shared" si="9"/>
        <v>2.7064321852329862E-2</v>
      </c>
      <c r="AC27" s="336">
        <f t="shared" si="3"/>
        <v>1.7923514424311931E-11</v>
      </c>
      <c r="AD27" s="337">
        <f t="shared" si="4"/>
        <v>6.7611163352892214E-13</v>
      </c>
      <c r="AE27" s="308">
        <f t="shared" si="10"/>
        <v>3.7722045884696938</v>
      </c>
      <c r="AF27" s="337">
        <f t="shared" si="11"/>
        <v>1.3522232670578443E-12</v>
      </c>
      <c r="AG27" s="338">
        <f t="shared" si="23"/>
        <v>-24.744907610182153</v>
      </c>
      <c r="AH27" s="339">
        <f t="shared" si="24"/>
        <v>3.7722045884696943E-2</v>
      </c>
      <c r="AI27" s="340">
        <f t="shared" si="25"/>
        <v>0.15244367236665252</v>
      </c>
      <c r="AJ27" s="341">
        <f t="shared" si="12"/>
        <v>7.5444091769393887E-2</v>
      </c>
    </row>
    <row r="28" spans="1:39" x14ac:dyDescent="0.2">
      <c r="A28" s="309">
        <v>21</v>
      </c>
      <c r="B28" s="309">
        <f t="shared" si="13"/>
        <v>21</v>
      </c>
      <c r="C28" s="1">
        <v>421.99</v>
      </c>
      <c r="D28" s="1">
        <v>0.5</v>
      </c>
      <c r="E28" s="326">
        <f t="shared" si="5"/>
        <v>14.385591391662112</v>
      </c>
      <c r="F28" s="327">
        <f t="shared" si="0"/>
        <v>9.776600387268037E-3</v>
      </c>
      <c r="G28" s="309">
        <f t="shared" si="6"/>
        <v>1</v>
      </c>
      <c r="H28" s="1">
        <v>3600</v>
      </c>
      <c r="I28" s="324">
        <v>30</v>
      </c>
      <c r="J28" s="1">
        <v>7.2399999999999999E-3</v>
      </c>
      <c r="K28" s="1">
        <v>6.0000000000000002E-5</v>
      </c>
      <c r="L28" s="328">
        <f t="shared" si="1"/>
        <v>0.82872928176795579</v>
      </c>
      <c r="M28" s="329">
        <f t="shared" si="2"/>
        <v>4.2588235294117645E-3</v>
      </c>
      <c r="N28" s="342">
        <f>(1/$J$46)*SQRT(((1-J29/$J$46)*K28)^2+(J29/$J$46)^2*(SUMSQ(K$8:K27)+SUMSQ(K29:K$45)))</f>
        <v>3.5413587914761472E-5</v>
      </c>
      <c r="O28" s="340">
        <f t="shared" si="14"/>
        <v>0.8315345228604214</v>
      </c>
      <c r="P28" s="332">
        <f t="shared" si="7"/>
        <v>0.55984705882352959</v>
      </c>
      <c r="Q28" s="342">
        <f>SQRT(((1-P28)/$J$46)^2*SUMSQ(K$8:K28)+(P28/$J$46)^2*SUMSQ(K29:K$45))</f>
        <v>2.7754411083213829E-4</v>
      </c>
      <c r="R28" s="340">
        <f t="shared" si="15"/>
        <v>4.9574987750292621E-2</v>
      </c>
      <c r="S28" s="343">
        <f t="shared" si="16"/>
        <v>2.1708774489586918E-7</v>
      </c>
      <c r="T28" s="344">
        <f t="shared" si="17"/>
        <v>1.8090645407989098E-9</v>
      </c>
      <c r="U28" s="344">
        <f>IF(P28&lt;=0.85, (1/(3*H28*$J$46))*SQRT( ((1-P28)*(1/SQRT(1-PI()*P28/3)-1) + (1-P27)*(1-1/SQRT(1-PI()*P27/3)))^2*SUMSQ(K$8:K27) + ( (1-P28)*(1/SQRT(1-PI()*P28/3)-1) -P27*(1-1/SQRT(1-PI()*P27/3)) )^2*K28^2 + ( P28*(1-1/SQRT(1-PI()*P28/3)) - P27*(1-1/SQRT(1-PI()*P27/3)) )^2*SUMSQ(K29:K$45) ), (1/(PI()^2*H28*$J$46))*SQRT((1+P27/(1-P27))^2*K28^2+(P27/(1-P27)-P28/(1-P28))^2*SUMSQ(K29:K$45)) )</f>
        <v>1.7997866177614672E-9</v>
      </c>
      <c r="V28" s="345">
        <f t="shared" si="18"/>
        <v>2.5518515596031898E-9</v>
      </c>
      <c r="W28" s="340">
        <f t="shared" si="19"/>
        <v>1.1754931448697117</v>
      </c>
      <c r="X28" s="345">
        <f t="shared" si="20"/>
        <v>5.1037031192063797E-9</v>
      </c>
      <c r="Y28" s="338">
        <f t="shared" si="8"/>
        <v>-15.3429642107763</v>
      </c>
      <c r="Z28" s="346">
        <f t="shared" si="21"/>
        <v>1.1754931448697117E-2</v>
      </c>
      <c r="AA28" s="346">
        <f t="shared" si="22"/>
        <v>7.661447479908029E-2</v>
      </c>
      <c r="AB28" s="346">
        <f t="shared" si="9"/>
        <v>2.3509862897394235E-2</v>
      </c>
      <c r="AC28" s="336">
        <f t="shared" si="3"/>
        <v>2.801508664371396E-11</v>
      </c>
      <c r="AD28" s="337">
        <f t="shared" si="4"/>
        <v>1.0399643095079292E-12</v>
      </c>
      <c r="AE28" s="308">
        <f t="shared" si="10"/>
        <v>3.7121581051446682</v>
      </c>
      <c r="AF28" s="337">
        <f t="shared" si="11"/>
        <v>2.0799286190158584E-12</v>
      </c>
      <c r="AG28" s="338">
        <f t="shared" si="23"/>
        <v>-24.298277942154563</v>
      </c>
      <c r="AH28" s="339">
        <f t="shared" si="24"/>
        <v>3.7121581051446681E-2</v>
      </c>
      <c r="AI28" s="340">
        <f t="shared" si="25"/>
        <v>0.15277453463912041</v>
      </c>
      <c r="AJ28" s="341">
        <f t="shared" si="12"/>
        <v>7.4243162102893362E-2</v>
      </c>
    </row>
    <row r="29" spans="1:39" x14ac:dyDescent="0.2">
      <c r="A29" s="309">
        <v>22</v>
      </c>
      <c r="B29" s="309">
        <f t="shared" si="13"/>
        <v>22</v>
      </c>
      <c r="C29" s="1">
        <v>441.99</v>
      </c>
      <c r="D29" s="1">
        <v>0.37</v>
      </c>
      <c r="E29" s="326">
        <f t="shared" si="5"/>
        <v>13.983276001901725</v>
      </c>
      <c r="F29" s="327">
        <f t="shared" si="0"/>
        <v>6.8463897057879789E-3</v>
      </c>
      <c r="G29" s="309">
        <f t="shared" si="6"/>
        <v>1</v>
      </c>
      <c r="H29" s="1">
        <v>3600</v>
      </c>
      <c r="I29" s="324">
        <v>30</v>
      </c>
      <c r="J29" s="1">
        <v>1.6320000000000001E-2</v>
      </c>
      <c r="K29" s="1">
        <v>8.0000000000000007E-5</v>
      </c>
      <c r="L29" s="328">
        <f t="shared" si="1"/>
        <v>0.49019607843137253</v>
      </c>
      <c r="M29" s="329">
        <f t="shared" si="2"/>
        <v>9.6000000000000009E-3</v>
      </c>
      <c r="N29" s="342">
        <f>(1/$J$46)*SQRT(((1-J30/$J$46)*K29)^2+(J30/$J$46)^2*(SUMSQ(K$8:K28)+SUMSQ(K30:K$45)))</f>
        <v>4.7354728732620987E-5</v>
      </c>
      <c r="O29" s="340">
        <f t="shared" si="14"/>
        <v>0.49327842429813518</v>
      </c>
      <c r="P29" s="332">
        <f t="shared" si="7"/>
        <v>0.56944705882352964</v>
      </c>
      <c r="Q29" s="342">
        <f>SQRT(((1-P29)/$J$46)^2*SUMSQ(K$8:K29)+(P29/$J$46)^2*SUMSQ(K30:K$45))</f>
        <v>2.7428221208884333E-4</v>
      </c>
      <c r="R29" s="340">
        <f t="shared" si="15"/>
        <v>4.8166411229782602E-2</v>
      </c>
      <c r="S29" s="343">
        <f t="shared" si="16"/>
        <v>5.0154961541531293E-7</v>
      </c>
      <c r="T29" s="344">
        <f t="shared" si="17"/>
        <v>4.1795801284609425E-9</v>
      </c>
      <c r="U29" s="344">
        <f>IF(P29&lt;=0.85, (1/(3*H29*$J$46))*SQRT( ((1-P29)*(1/SQRT(1-PI()*P29/3)-1) + (1-P28)*(1-1/SQRT(1-PI()*P28/3)))^2*SUMSQ(K$8:K28) + ( (1-P29)*(1/SQRT(1-PI()*P29/3)-1) -P28*(1-1/SQRT(1-PI()*P28/3)) )^2*K29^2 + ( P29*(1-1/SQRT(1-PI()*P29/3)) - P28*(1-1/SQRT(1-PI()*P28/3)) )^2*SUMSQ(K30:K$45) ), (1/(PI()^2*H29*$J$46))*SQRT((1+P28/(1-P28))^2*K29^2+(P28/(1-P28)-P29/(1-P29))^2*SUMSQ(K30:K$45)) )</f>
        <v>2.4678847457323587E-9</v>
      </c>
      <c r="V29" s="345">
        <f t="shared" si="18"/>
        <v>4.8537969846754053E-9</v>
      </c>
      <c r="W29" s="340">
        <f t="shared" si="19"/>
        <v>0.96776008504286715</v>
      </c>
      <c r="X29" s="345">
        <f t="shared" si="20"/>
        <v>9.7075939693508105E-9</v>
      </c>
      <c r="Y29" s="338">
        <f t="shared" si="8"/>
        <v>-14.505563300409529</v>
      </c>
      <c r="Z29" s="346">
        <f t="shared" si="21"/>
        <v>9.6776008504286717E-3</v>
      </c>
      <c r="AA29" s="346">
        <f t="shared" si="22"/>
        <v>6.6716477326705742E-2</v>
      </c>
      <c r="AB29" s="346">
        <f t="shared" si="9"/>
        <v>1.9355201700857343E-2</v>
      </c>
      <c r="AC29" s="336">
        <f t="shared" si="3"/>
        <v>6.4724777249499963E-11</v>
      </c>
      <c r="AD29" s="337">
        <f t="shared" si="4"/>
        <v>2.3635529499270054E-12</v>
      </c>
      <c r="AE29" s="308">
        <f t="shared" si="10"/>
        <v>3.6516973103144439</v>
      </c>
      <c r="AF29" s="337">
        <f t="shared" si="11"/>
        <v>4.7271058998540108E-12</v>
      </c>
      <c r="AG29" s="338">
        <f t="shared" si="23"/>
        <v>-23.460877031787792</v>
      </c>
      <c r="AH29" s="339">
        <f t="shared" si="24"/>
        <v>3.6516973103144439E-2</v>
      </c>
      <c r="AI29" s="340">
        <f t="shared" si="25"/>
        <v>0.15565050297849725</v>
      </c>
      <c r="AJ29" s="341">
        <f t="shared" si="12"/>
        <v>7.3033946206288877E-2</v>
      </c>
    </row>
    <row r="30" spans="1:39" x14ac:dyDescent="0.2">
      <c r="A30" s="309">
        <v>23</v>
      </c>
      <c r="B30" s="309">
        <f t="shared" si="13"/>
        <v>23</v>
      </c>
      <c r="C30" s="1">
        <v>461.99</v>
      </c>
      <c r="D30" s="1">
        <v>0.54</v>
      </c>
      <c r="E30" s="326">
        <f t="shared" si="5"/>
        <v>13.602851157602634</v>
      </c>
      <c r="F30" s="327">
        <f t="shared" si="0"/>
        <v>9.4700072409727217E-3</v>
      </c>
      <c r="G30" s="309">
        <f t="shared" si="6"/>
        <v>1</v>
      </c>
      <c r="H30" s="1">
        <v>3600</v>
      </c>
      <c r="I30" s="324">
        <v>30</v>
      </c>
      <c r="J30" s="1">
        <v>2.929E-2</v>
      </c>
      <c r="K30" s="1">
        <v>1.8000000000000001E-4</v>
      </c>
      <c r="L30" s="328">
        <f t="shared" si="1"/>
        <v>0.61454421304199391</v>
      </c>
      <c r="M30" s="329">
        <f t="shared" si="2"/>
        <v>1.7229411764705882E-2</v>
      </c>
      <c r="N30" s="342">
        <f>(1/$J$46)*SQRT(((1-J31/$J$46)*K30)^2+(J31/$J$46)^2*(SUMSQ(K$8:K29)+SUMSQ(K31:K$45)))</f>
        <v>1.0422452484036901E-4</v>
      </c>
      <c r="O30" s="340">
        <f t="shared" si="14"/>
        <v>0.60492213120050298</v>
      </c>
      <c r="P30" s="332">
        <f t="shared" si="7"/>
        <v>0.58667647058823547</v>
      </c>
      <c r="Q30" s="342">
        <f>SQRT(((1-P30)/$J$46)^2*SUMSQ(K$8:K30)+(P30/$J$46)^2*SUMSQ(K31:K$45))</f>
        <v>2.658849337047867E-4</v>
      </c>
      <c r="R30" s="340">
        <f t="shared" si="15"/>
        <v>4.5320538155926932E-2</v>
      </c>
      <c r="S30" s="343">
        <f t="shared" si="16"/>
        <v>9.4428917525347272E-7</v>
      </c>
      <c r="T30" s="344">
        <f t="shared" si="17"/>
        <v>7.8690764604456049E-9</v>
      </c>
      <c r="U30" s="344">
        <f>IF(P30&lt;=0.85, (1/(3*H30*$J$46))*SQRT( ((1-P30)*(1/SQRT(1-PI()*P30/3)-1) + (1-P29)*(1-1/SQRT(1-PI()*P29/3)))^2*SUMSQ(K$8:K29) + ( (1-P30)*(1/SQRT(1-PI()*P30/3)-1) -P29*(1-1/SQRT(1-PI()*P29/3)) )^2*K30^2 + ( P30*(1-1/SQRT(1-PI()*P30/3)) - P29*(1-1/SQRT(1-PI()*P29/3)) )^2*SUMSQ(K31:K$45) ), (1/(PI()^2*H30*$J$46))*SQRT((1+P29/(1-P29))^2*K30^2+(P29/(1-P29)-P30/(1-P30))^2*SUMSQ(K31:K$45)) )</f>
        <v>5.7280925624526844E-9</v>
      </c>
      <c r="V30" s="345">
        <f t="shared" si="18"/>
        <v>9.7331088940977588E-9</v>
      </c>
      <c r="W30" s="340">
        <f t="shared" si="19"/>
        <v>1.0307339265522271</v>
      </c>
      <c r="X30" s="345">
        <f t="shared" si="20"/>
        <v>1.9466217788195518E-8</v>
      </c>
      <c r="Y30" s="338">
        <f t="shared" si="8"/>
        <v>-13.872833387992618</v>
      </c>
      <c r="Z30" s="346">
        <f t="shared" si="21"/>
        <v>1.030733926552227E-2</v>
      </c>
      <c r="AA30" s="346">
        <f t="shared" si="22"/>
        <v>7.4298731753266803E-2</v>
      </c>
      <c r="AB30" s="346">
        <f t="shared" si="9"/>
        <v>2.0614678531044539E-2</v>
      </c>
      <c r="AC30" s="336">
        <f t="shared" si="3"/>
        <v>1.2186014035079056E-10</v>
      </c>
      <c r="AD30" s="337">
        <f t="shared" si="4"/>
        <v>4.470913217784328E-12</v>
      </c>
      <c r="AE30" s="308">
        <f t="shared" si="10"/>
        <v>3.6688889450760622</v>
      </c>
      <c r="AF30" s="337">
        <f t="shared" si="11"/>
        <v>8.9418264355686561E-12</v>
      </c>
      <c r="AG30" s="338">
        <f t="shared" si="23"/>
        <v>-22.828147119370879</v>
      </c>
      <c r="AH30" s="339">
        <f t="shared" si="24"/>
        <v>3.6688889450760619E-2</v>
      </c>
      <c r="AI30" s="340">
        <f t="shared" si="25"/>
        <v>0.16071777205092644</v>
      </c>
      <c r="AJ30" s="341">
        <f t="shared" si="12"/>
        <v>7.3377778901521237E-2</v>
      </c>
    </row>
    <row r="31" spans="1:39" x14ac:dyDescent="0.2">
      <c r="A31" s="309">
        <v>24</v>
      </c>
      <c r="B31" s="309">
        <f t="shared" si="13"/>
        <v>24</v>
      </c>
      <c r="C31" s="1">
        <v>481.98</v>
      </c>
      <c r="D31" s="1">
        <v>0.52</v>
      </c>
      <c r="E31" s="326">
        <f t="shared" si="5"/>
        <v>13.242752903473574</v>
      </c>
      <c r="F31" s="327">
        <f t="shared" si="0"/>
        <v>8.654744512325634E-3</v>
      </c>
      <c r="G31" s="309">
        <f t="shared" si="6"/>
        <v>1</v>
      </c>
      <c r="H31" s="1">
        <v>3600</v>
      </c>
      <c r="I31" s="324">
        <v>30</v>
      </c>
      <c r="J31" s="1">
        <v>4.539E-2</v>
      </c>
      <c r="K31" s="1">
        <v>2.0000000000000001E-4</v>
      </c>
      <c r="L31" s="328">
        <f t="shared" si="1"/>
        <v>0.44062568847763833</v>
      </c>
      <c r="M31" s="329">
        <f t="shared" si="2"/>
        <v>2.6700000000000002E-2</v>
      </c>
      <c r="N31" s="342">
        <f>(1/$J$46)*SQRT(((1-J32/$J$46)*K31)^2+(J32/$J$46)^2*(SUMSQ(K$8:K30)+SUMSQ(K32:K$45)))</f>
        <v>1.1535044905235743E-4</v>
      </c>
      <c r="O31" s="340">
        <f t="shared" si="14"/>
        <v>0.43202415375414766</v>
      </c>
      <c r="P31" s="332">
        <f t="shared" si="7"/>
        <v>0.61337647058823541</v>
      </c>
      <c r="Q31" s="342">
        <f>SQRT(((1-P31)/$J$46)^2*SUMSQ(K$8:K31)+(P31/$J$46)^2*SUMSQ(K32:K$45))</f>
        <v>2.5169843759573381E-4</v>
      </c>
      <c r="R31" s="340">
        <f t="shared" si="15"/>
        <v>4.1034902651931202E-2</v>
      </c>
      <c r="S31" s="343">
        <f t="shared" si="16"/>
        <v>1.5837512032217554E-6</v>
      </c>
      <c r="T31" s="344">
        <f t="shared" si="17"/>
        <v>1.3197926693514629E-8</v>
      </c>
      <c r="U31" s="344">
        <f>IF(P31&lt;=0.85, (1/(3*H31*$J$46))*SQRT( ((1-P31)*(1/SQRT(1-PI()*P31/3)-1) + (1-P30)*(1-1/SQRT(1-PI()*P30/3)))^2*SUMSQ(K$8:K30) + ( (1-P31)*(1/SQRT(1-PI()*P31/3)-1) -P30*(1-1/SQRT(1-PI()*P30/3)) )^2*K31^2 + ( P31*(1-1/SQRT(1-PI()*P31/3)) - P30*(1-1/SQRT(1-PI()*P30/3)) )^2*SUMSQ(K32:K$45) ), (1/(PI()^2*H31*$J$46))*SQRT((1+P30/(1-P30))^2*K31^2+(P30/(1-P30)-P31/(1-P31))^2*SUMSQ(K32:K$45)) )</f>
        <v>6.8303353295197219E-9</v>
      </c>
      <c r="V31" s="345">
        <f t="shared" si="18"/>
        <v>1.4860644323886879E-8</v>
      </c>
      <c r="W31" s="340">
        <f t="shared" si="19"/>
        <v>0.93831937072290927</v>
      </c>
      <c r="X31" s="345">
        <f t="shared" si="20"/>
        <v>2.9721288647773758E-8</v>
      </c>
      <c r="Y31" s="338">
        <f t="shared" si="8"/>
        <v>-13.355714345581751</v>
      </c>
      <c r="Z31" s="346">
        <f t="shared" si="21"/>
        <v>9.3831937072290927E-3</v>
      </c>
      <c r="AA31" s="346">
        <f t="shared" si="22"/>
        <v>7.0256022736314205E-2</v>
      </c>
      <c r="AB31" s="346">
        <f t="shared" si="9"/>
        <v>1.8766387414458185E-2</v>
      </c>
      <c r="AC31" s="336">
        <f t="shared" si="3"/>
        <v>2.0438245927528625E-10</v>
      </c>
      <c r="AD31" s="337">
        <f t="shared" si="4"/>
        <v>7.4477082873770245E-12</v>
      </c>
      <c r="AE31" s="308">
        <f t="shared" si="10"/>
        <v>3.6440056127055294</v>
      </c>
      <c r="AF31" s="337">
        <f t="shared" si="11"/>
        <v>1.4895416574754049E-11</v>
      </c>
      <c r="AG31" s="338">
        <f t="shared" si="23"/>
        <v>-22.311028076960014</v>
      </c>
      <c r="AH31" s="339">
        <f t="shared" si="24"/>
        <v>3.6440056127055295E-2</v>
      </c>
      <c r="AI31" s="340">
        <f t="shared" si="25"/>
        <v>0.16332755264059723</v>
      </c>
      <c r="AJ31" s="341">
        <f t="shared" si="12"/>
        <v>7.2880112254110591E-2</v>
      </c>
    </row>
    <row r="32" spans="1:39" x14ac:dyDescent="0.2">
      <c r="A32" s="309">
        <v>25</v>
      </c>
      <c r="B32" s="309">
        <f t="shared" si="13"/>
        <v>25</v>
      </c>
      <c r="C32" s="1">
        <v>501.98</v>
      </c>
      <c r="D32" s="1">
        <v>0.53</v>
      </c>
      <c r="E32" s="326">
        <f t="shared" si="5"/>
        <v>12.901061757382633</v>
      </c>
      <c r="F32" s="327">
        <f t="shared" si="0"/>
        <v>9.0294146019463777E-3</v>
      </c>
      <c r="G32" s="309">
        <f t="shared" si="6"/>
        <v>1</v>
      </c>
      <c r="H32" s="1">
        <v>3600</v>
      </c>
      <c r="I32" s="324">
        <v>30</v>
      </c>
      <c r="J32" s="1">
        <v>5.7750000000000003E-2</v>
      </c>
      <c r="K32" s="1">
        <v>2.4000000000000001E-4</v>
      </c>
      <c r="L32" s="328">
        <f t="shared" si="1"/>
        <v>0.41558441558441561</v>
      </c>
      <c r="M32" s="329">
        <f t="shared" si="2"/>
        <v>3.397058823529412E-2</v>
      </c>
      <c r="N32" s="342">
        <f>(1/$J$46)*SQRT(((1-J33/$J$46)*K32)^2+(J33/$J$46)^2*(SUMSQ(K$8:K31)+SUMSQ(K33:K$45)))</f>
        <v>1.3918999489493498E-4</v>
      </c>
      <c r="O32" s="340">
        <f t="shared" si="14"/>
        <v>0.40973678150889947</v>
      </c>
      <c r="P32" s="332">
        <f t="shared" si="7"/>
        <v>0.6473470588235295</v>
      </c>
      <c r="Q32" s="342">
        <f>SQRT(((1-P32)/$J$46)^2*SUMSQ(K$8:K32)+(P32/$J$46)^2*SUMSQ(K33:K$45))</f>
        <v>2.2784412102262269E-4</v>
      </c>
      <c r="R32" s="340">
        <f t="shared" si="15"/>
        <v>3.5196594765827816E-2</v>
      </c>
      <c r="S32" s="343">
        <f t="shared" si="16"/>
        <v>2.2516824217452357E-6</v>
      </c>
      <c r="T32" s="344">
        <f t="shared" si="17"/>
        <v>1.8764020181210296E-8</v>
      </c>
      <c r="U32" s="344">
        <f>IF(P32&lt;=0.85, (1/(3*H32*$J$46))*SQRT( ((1-P32)*(1/SQRT(1-PI()*P32/3)-1) + (1-P31)*(1-1/SQRT(1-PI()*P31/3)))^2*SUMSQ(K$8:K31) + ( (1-P32)*(1/SQRT(1-PI()*P32/3)-1) -P31*(1-1/SQRT(1-PI()*P31/3)) )^2*K32^2 + ( P32*(1-1/SQRT(1-PI()*P32/3)) - P31*(1-1/SQRT(1-PI()*P31/3)) )^2*SUMSQ(K33:K$45) ), (1/(PI()^2*H32*$J$46))*SQRT((1+P31/(1-P31))^2*K32^2+(P31/(1-P31)-P32/(1-P32))^2*SUMSQ(K33:K$45)) )</f>
        <v>9.0007777417482267E-9</v>
      </c>
      <c r="V32" s="345">
        <f t="shared" si="18"/>
        <v>2.0811113697186357E-8</v>
      </c>
      <c r="W32" s="340">
        <f t="shared" si="19"/>
        <v>0.92424728710437165</v>
      </c>
      <c r="X32" s="345">
        <f t="shared" si="20"/>
        <v>4.1622227394372714E-8</v>
      </c>
      <c r="Y32" s="338">
        <f t="shared" si="8"/>
        <v>-13.003832878170577</v>
      </c>
      <c r="Z32" s="346">
        <f t="shared" si="21"/>
        <v>9.2424728710437162E-3</v>
      </c>
      <c r="AA32" s="346">
        <f t="shared" si="22"/>
        <v>7.1074989640623379E-2</v>
      </c>
      <c r="AB32" s="346">
        <f t="shared" si="9"/>
        <v>1.8484945742087432E-2</v>
      </c>
      <c r="AC32" s="336">
        <f t="shared" si="3"/>
        <v>2.9057871585325397E-10</v>
      </c>
      <c r="AD32" s="337">
        <f t="shared" si="4"/>
        <v>1.0578249343622028E-11</v>
      </c>
      <c r="AE32" s="308">
        <f t="shared" si="10"/>
        <v>3.6404074925309335</v>
      </c>
      <c r="AF32" s="337">
        <f t="shared" si="11"/>
        <v>2.1156498687244057E-11</v>
      </c>
      <c r="AG32" s="338">
        <f t="shared" si="23"/>
        <v>-21.959146609548842</v>
      </c>
      <c r="AH32" s="339">
        <f t="shared" si="24"/>
        <v>3.6404074925309331E-2</v>
      </c>
      <c r="AI32" s="340">
        <f t="shared" si="25"/>
        <v>0.16578091841455794</v>
      </c>
      <c r="AJ32" s="341">
        <f t="shared" si="12"/>
        <v>7.2808149850618661E-2</v>
      </c>
    </row>
    <row r="33" spans="1:36" x14ac:dyDescent="0.2">
      <c r="A33" s="309">
        <v>26</v>
      </c>
      <c r="B33" s="309">
        <f t="shared" si="13"/>
        <v>26</v>
      </c>
      <c r="C33" s="1">
        <v>492.99</v>
      </c>
      <c r="D33" s="1">
        <v>0.51</v>
      </c>
      <c r="E33" s="326">
        <f t="shared" si="5"/>
        <v>13.052444722896599</v>
      </c>
      <c r="F33" s="327">
        <f t="shared" si="0"/>
        <v>9.1609638979329739E-3</v>
      </c>
      <c r="G33" s="309">
        <f t="shared" si="6"/>
        <v>1</v>
      </c>
      <c r="H33" s="1">
        <v>3600</v>
      </c>
      <c r="I33" s="324">
        <v>30</v>
      </c>
      <c r="J33" s="1">
        <v>2.7740000000000001E-2</v>
      </c>
      <c r="K33" s="1">
        <v>1.1E-4</v>
      </c>
      <c r="L33" s="328">
        <f t="shared" si="1"/>
        <v>0.39653929343907712</v>
      </c>
      <c r="M33" s="329">
        <f t="shared" si="2"/>
        <v>1.631764705882353E-2</v>
      </c>
      <c r="N33" s="342">
        <f>(1/$J$46)*SQRT(((1-J34/$J$46)*K33)^2+(J34/$J$46)^2*(SUMSQ(K$8:K32)+SUMSQ(K34:K$45)))</f>
        <v>6.4403983374132436E-5</v>
      </c>
      <c r="O33" s="340">
        <f t="shared" si="14"/>
        <v>0.39468915550117206</v>
      </c>
      <c r="P33" s="332">
        <f t="shared" si="7"/>
        <v>0.66366470588235305</v>
      </c>
      <c r="Q33" s="342">
        <f>SQRT(((1-P33)/$J$46)^2*SUMSQ(K$8:K33)+(P33/$J$46)^2*SUMSQ(K34:K$45))</f>
        <v>2.1796040239519088E-4</v>
      </c>
      <c r="R33" s="340">
        <f t="shared" si="15"/>
        <v>3.2841945708926762E-2</v>
      </c>
      <c r="S33" s="343">
        <f t="shared" si="16"/>
        <v>1.1875708695685562E-6</v>
      </c>
      <c r="T33" s="344">
        <f t="shared" si="17"/>
        <v>9.8964239130713025E-9</v>
      </c>
      <c r="U33" s="344">
        <f>IF(P33&lt;=0.85, (1/(3*H33*$J$46))*SQRT( ((1-P33)*(1/SQRT(1-PI()*P33/3)-1) + (1-P32)*(1-1/SQRT(1-PI()*P32/3)))^2*SUMSQ(K$8:K32) + ( (1-P33)*(1/SQRT(1-PI()*P33/3)-1) -P32*(1-1/SQRT(1-PI()*P32/3)) )^2*K33^2 + ( P33*(1-1/SQRT(1-PI()*P33/3)) - P32*(1-1/SQRT(1-PI()*P32/3)) )^2*SUMSQ(K34:K$45) ), (1/(PI()^2*H33*$J$46))*SQRT((1+P32/(1-P32))^2*K33^2+(P32/(1-P32)-P33/(1-P33))^2*SUMSQ(K34:K$45)) )</f>
        <v>4.6378227642384895E-9</v>
      </c>
      <c r="V33" s="345">
        <f t="shared" si="18"/>
        <v>1.0929254606774346E-8</v>
      </c>
      <c r="W33" s="340">
        <f t="shared" si="19"/>
        <v>0.92030335930561658</v>
      </c>
      <c r="X33" s="345">
        <f t="shared" si="20"/>
        <v>2.1858509213548692E-8</v>
      </c>
      <c r="Y33" s="338">
        <f t="shared" si="8"/>
        <v>-13.643600623181694</v>
      </c>
      <c r="Z33" s="346">
        <f t="shared" si="21"/>
        <v>9.203033593056166E-3</v>
      </c>
      <c r="AA33" s="346">
        <f t="shared" si="22"/>
        <v>6.7453114813544102E-2</v>
      </c>
      <c r="AB33" s="346">
        <f t="shared" si="9"/>
        <v>1.8406067186112332E-2</v>
      </c>
      <c r="AC33" s="336">
        <f t="shared" si="3"/>
        <v>1.5325554568947435E-10</v>
      </c>
      <c r="AD33" s="337">
        <f t="shared" si="4"/>
        <v>5.577594873801729E-12</v>
      </c>
      <c r="AE33" s="308">
        <f t="shared" si="10"/>
        <v>3.6394081850082118</v>
      </c>
      <c r="AF33" s="337">
        <f t="shared" si="11"/>
        <v>1.1155189747603458E-11</v>
      </c>
      <c r="AG33" s="338">
        <f t="shared" si="23"/>
        <v>-22.598914354559959</v>
      </c>
      <c r="AH33" s="339">
        <f t="shared" si="24"/>
        <v>3.6394081850082118E-2</v>
      </c>
      <c r="AI33" s="340">
        <f t="shared" si="25"/>
        <v>0.16104349651087818</v>
      </c>
      <c r="AJ33" s="341">
        <f t="shared" si="12"/>
        <v>7.2788163700164235E-2</v>
      </c>
    </row>
    <row r="34" spans="1:36" x14ac:dyDescent="0.2">
      <c r="A34" s="309">
        <v>27</v>
      </c>
      <c r="B34" s="309">
        <f t="shared" si="13"/>
        <v>27</v>
      </c>
      <c r="C34" s="1">
        <v>472.98</v>
      </c>
      <c r="D34" s="1">
        <v>0.47</v>
      </c>
      <c r="E34" s="326">
        <f t="shared" si="5"/>
        <v>13.40249018267594</v>
      </c>
      <c r="F34" s="327">
        <f t="shared" si="0"/>
        <v>8.9136819965537663E-3</v>
      </c>
      <c r="G34" s="309">
        <f t="shared" si="6"/>
        <v>1</v>
      </c>
      <c r="H34" s="1">
        <v>3600</v>
      </c>
      <c r="I34" s="324">
        <v>30</v>
      </c>
      <c r="J34" s="1">
        <v>1.078E-2</v>
      </c>
      <c r="K34" s="1">
        <v>1.1E-4</v>
      </c>
      <c r="L34" s="328">
        <f t="shared" si="1"/>
        <v>1.0204081632653061</v>
      </c>
      <c r="M34" s="329">
        <f t="shared" si="2"/>
        <v>6.3411764705882355E-3</v>
      </c>
      <c r="N34" s="342">
        <f>(1/$J$46)*SQRT(((1-J35/$J$46)*K34)^2+(J35/$J$46)^2*(SUMSQ(K$8:K33)+SUMSQ(K35:K$45)))</f>
        <v>6.4550183078730775E-5</v>
      </c>
      <c r="O34" s="340">
        <f t="shared" si="14"/>
        <v>1.0179527943770159</v>
      </c>
      <c r="P34" s="332">
        <f t="shared" si="7"/>
        <v>0.67000588235294123</v>
      </c>
      <c r="Q34" s="342">
        <f>SQRT(((1-P34)/$J$46)^2*SUMSQ(K$8:K34)+(P34/$J$46)^2*SUMSQ(K35:K$45))</f>
        <v>2.1189810807729548E-4</v>
      </c>
      <c r="R34" s="340">
        <f t="shared" si="15"/>
        <v>3.162630562781734E-2</v>
      </c>
      <c r="S34" s="343">
        <f t="shared" si="16"/>
        <v>4.8183744964710309E-7</v>
      </c>
      <c r="T34" s="344">
        <f t="shared" si="17"/>
        <v>4.0153120803925258E-9</v>
      </c>
      <c r="U34" s="344">
        <f>IF(P34&lt;=0.85, (1/(3*H34*$J$46))*SQRT( ((1-P34)*(1/SQRT(1-PI()*P34/3)-1) + (1-P33)*(1-1/SQRT(1-PI()*P33/3)))^2*SUMSQ(K$8:K33) + ( (1-P34)*(1/SQRT(1-PI()*P34/3)-1) -P33*(1-1/SQRT(1-PI()*P33/3)) )^2*K34^2 + ( P34*(1-1/SQRT(1-PI()*P34/3)) - P33*(1-1/SQRT(1-PI()*P33/3)) )^2*SUMSQ(K35:K$45) ), (1/(PI()^2*H34*$J$46))*SQRT((1+P33/(1-P33))^2*K34^2+(P33/(1-P33)-P34/(1-P34))^2*SUMSQ(K35:K$45)) )</f>
        <v>4.8723978232353958E-9</v>
      </c>
      <c r="V34" s="345">
        <f t="shared" si="18"/>
        <v>6.3137145683674342E-9</v>
      </c>
      <c r="W34" s="340">
        <f t="shared" si="19"/>
        <v>1.3103411893350314</v>
      </c>
      <c r="X34" s="345">
        <f t="shared" si="20"/>
        <v>1.2627429136734868E-8</v>
      </c>
      <c r="Y34" s="338">
        <f t="shared" si="8"/>
        <v>-14.545659021170531</v>
      </c>
      <c r="Z34" s="346">
        <f t="shared" si="21"/>
        <v>1.3103411893350314E-2</v>
      </c>
      <c r="AA34" s="346">
        <f t="shared" si="22"/>
        <v>9.0084690382738294E-2</v>
      </c>
      <c r="AB34" s="346">
        <f t="shared" si="9"/>
        <v>2.6206823786700629E-2</v>
      </c>
      <c r="AC34" s="336">
        <f t="shared" si="3"/>
        <v>6.2180930141978785E-11</v>
      </c>
      <c r="AD34" s="337">
        <f t="shared" si="4"/>
        <v>2.3361606084063288E-12</v>
      </c>
      <c r="AE34" s="308">
        <f t="shared" si="10"/>
        <v>3.7570370901048493</v>
      </c>
      <c r="AF34" s="337">
        <f t="shared" si="11"/>
        <v>4.6723212168126575E-12</v>
      </c>
      <c r="AG34" s="338">
        <f t="shared" si="23"/>
        <v>-23.500972752548794</v>
      </c>
      <c r="AH34" s="339">
        <f t="shared" si="24"/>
        <v>3.7570370901048492E-2</v>
      </c>
      <c r="AI34" s="340">
        <f t="shared" si="25"/>
        <v>0.1598673012246857</v>
      </c>
      <c r="AJ34" s="341">
        <f t="shared" si="12"/>
        <v>7.5140741802096983E-2</v>
      </c>
    </row>
    <row r="35" spans="1:36" x14ac:dyDescent="0.2">
      <c r="A35" s="309">
        <v>28</v>
      </c>
      <c r="B35" s="309">
        <f t="shared" si="13"/>
        <v>28</v>
      </c>
      <c r="C35" s="1">
        <v>452.99</v>
      </c>
      <c r="D35" s="1">
        <v>0.41</v>
      </c>
      <c r="E35" s="326">
        <f t="shared" si="5"/>
        <v>13.771449031867133</v>
      </c>
      <c r="F35" s="327">
        <f t="shared" si="0"/>
        <v>8.2224687246148561E-3</v>
      </c>
      <c r="G35" s="309">
        <f t="shared" si="6"/>
        <v>1</v>
      </c>
      <c r="H35" s="1">
        <v>3600</v>
      </c>
      <c r="I35" s="324">
        <v>30</v>
      </c>
      <c r="J35" s="1">
        <v>4.6100000000000004E-3</v>
      </c>
      <c r="K35" s="1">
        <v>4.0000000000000003E-5</v>
      </c>
      <c r="L35" s="328">
        <f t="shared" si="1"/>
        <v>0.86767895878524948</v>
      </c>
      <c r="M35" s="329">
        <f t="shared" si="2"/>
        <v>2.7117647058823532E-3</v>
      </c>
      <c r="N35" s="342">
        <f>(1/$J$46)*SQRT(((1-J36/$J$46)*K35)^2+(J36/$J$46)^2*(SUMSQ(K$8:K34)+SUMSQ(K36:K$45)))</f>
        <v>2.3511915965900003E-5</v>
      </c>
      <c r="O35" s="340">
        <f t="shared" si="14"/>
        <v>0.86703377748438182</v>
      </c>
      <c r="P35" s="332">
        <f t="shared" si="7"/>
        <v>0.67271764705882353</v>
      </c>
      <c r="Q35" s="342">
        <f>SQRT(((1-P35)/$J$46)^2*SUMSQ(K$8:K35)+(P35/$J$46)^2*SUMSQ(K36:K$45))</f>
        <v>2.1021382624149571E-4</v>
      </c>
      <c r="R35" s="340">
        <f t="shared" si="15"/>
        <v>3.1248448314172776E-2</v>
      </c>
      <c r="S35" s="343">
        <f t="shared" si="16"/>
        <v>2.0968328196495444E-7</v>
      </c>
      <c r="T35" s="344">
        <f t="shared" si="17"/>
        <v>1.7473606830412877E-9</v>
      </c>
      <c r="U35" s="344">
        <f>IF(P35&lt;=0.85, (1/(3*H35*$J$46))*SQRT( ((1-P35)*(1/SQRT(1-PI()*P35/3)-1) + (1-P34)*(1-1/SQRT(1-PI()*P34/3)))^2*SUMSQ(K$8:K34) + ( (1-P35)*(1/SQRT(1-PI()*P35/3)-1) -P34*(1-1/SQRT(1-PI()*P34/3)) )^2*K35^2 + ( P35*(1-1/SQRT(1-PI()*P35/3)) - P34*(1-1/SQRT(1-PI()*P34/3)) )^2*SUMSQ(K36:K$45) ), (1/(PI()^2*H35*$J$46))*SQRT((1+P34/(1-P34))^2*K35^2+(P34/(1-P34)-P35/(1-P35))^2*SUMSQ(K36:K$45)) )</f>
        <v>1.8144845868936089E-9</v>
      </c>
      <c r="V35" s="345">
        <f t="shared" si="18"/>
        <v>2.5190521377520129E-9</v>
      </c>
      <c r="W35" s="340">
        <f t="shared" si="19"/>
        <v>1.2013605062577362</v>
      </c>
      <c r="X35" s="345">
        <f t="shared" si="20"/>
        <v>5.0381042755040259E-9</v>
      </c>
      <c r="Y35" s="338">
        <f t="shared" si="8"/>
        <v>-15.377667625798155</v>
      </c>
      <c r="Z35" s="346">
        <f t="shared" si="21"/>
        <v>1.2013605062577362E-2</v>
      </c>
      <c r="AA35" s="346">
        <f t="shared" si="22"/>
        <v>7.8123713913694465E-2</v>
      </c>
      <c r="AB35" s="346">
        <f t="shared" si="9"/>
        <v>2.4027210125154724E-2</v>
      </c>
      <c r="AC35" s="336">
        <f t="shared" si="3"/>
        <v>2.7059543664264582E-11</v>
      </c>
      <c r="AD35" s="337">
        <f t="shared" si="4"/>
        <v>1.0067314292627401E-12</v>
      </c>
      <c r="AE35" s="308">
        <f t="shared" si="10"/>
        <v>3.7204301807655811</v>
      </c>
      <c r="AF35" s="337">
        <f t="shared" si="11"/>
        <v>2.0134628585254802E-12</v>
      </c>
      <c r="AG35" s="338">
        <f t="shared" si="23"/>
        <v>-24.332981357176418</v>
      </c>
      <c r="AH35" s="339">
        <f t="shared" si="24"/>
        <v>3.7204301807655805E-2</v>
      </c>
      <c r="AI35" s="340">
        <f t="shared" si="25"/>
        <v>0.1528966026051029</v>
      </c>
      <c r="AJ35" s="341">
        <f t="shared" si="12"/>
        <v>7.4408603615311611E-2</v>
      </c>
    </row>
    <row r="36" spans="1:36" x14ac:dyDescent="0.2">
      <c r="A36" s="309">
        <v>29</v>
      </c>
      <c r="B36" s="309">
        <f t="shared" si="13"/>
        <v>29</v>
      </c>
      <c r="C36" s="1">
        <v>432.99</v>
      </c>
      <c r="D36" s="1">
        <v>0.66</v>
      </c>
      <c r="E36" s="326">
        <f t="shared" si="5"/>
        <v>14.161497719998867</v>
      </c>
      <c r="F36" s="327">
        <f t="shared" si="0"/>
        <v>1.2726531793500015E-2</v>
      </c>
      <c r="G36" s="309">
        <f t="shared" si="6"/>
        <v>1</v>
      </c>
      <c r="H36" s="1">
        <v>3600</v>
      </c>
      <c r="I36" s="324">
        <v>30</v>
      </c>
      <c r="J36" s="1">
        <v>2.0400000000000001E-3</v>
      </c>
      <c r="K36" s="1">
        <v>3.0000000000000001E-5</v>
      </c>
      <c r="L36" s="328">
        <f t="shared" si="1"/>
        <v>1.4705882352941175</v>
      </c>
      <c r="M36" s="329">
        <f t="shared" si="2"/>
        <v>1.2000000000000001E-3</v>
      </c>
      <c r="N36" s="342">
        <f>(1/$J$46)*SQRT(((1-J37/$J$46)*K36)^2+(J37/$J$46)^2*(SUMSQ(K$8:K35)+SUMSQ(K37:K$45)))</f>
        <v>1.765518367287925E-5</v>
      </c>
      <c r="O36" s="340">
        <f t="shared" si="14"/>
        <v>1.4712653060732706</v>
      </c>
      <c r="P36" s="332">
        <f t="shared" si="7"/>
        <v>0.67391764705882351</v>
      </c>
      <c r="Q36" s="342">
        <f>SQRT(((1-P36)/$J$46)^2*SUMSQ(K$8:K36)+(P36/$J$46)^2*SUMSQ(K37:K$45))</f>
        <v>2.0940837972712299E-4</v>
      </c>
      <c r="R36" s="340">
        <f t="shared" si="15"/>
        <v>3.1073289242542212E-2</v>
      </c>
      <c r="S36" s="343">
        <f t="shared" si="16"/>
        <v>9.3494641819652805E-8</v>
      </c>
      <c r="T36" s="344">
        <f t="shared" si="17"/>
        <v>7.7912201516377357E-10</v>
      </c>
      <c r="U36" s="344">
        <f>IF(P36&lt;=0.85, (1/(3*H36*$J$46))*SQRT( ((1-P36)*(1/SQRT(1-PI()*P36/3)-1) + (1-P35)*(1-1/SQRT(1-PI()*P35/3)))^2*SUMSQ(K$8:K35) + ( (1-P36)*(1/SQRT(1-PI()*P36/3)-1) -P35*(1-1/SQRT(1-PI()*P35/3)) )^2*K36^2 + ( P36*(1-1/SQRT(1-PI()*P36/3)) - P35*(1-1/SQRT(1-PI()*P35/3)) )^2*SUMSQ(K37:K$45) ), (1/(PI()^2*H36*$J$46))*SQRT((1+P35/(1-P35))^2*K36^2+(P35/(1-P35)-P36/(1-P36))^2*SUMSQ(K37:K$45)) )</f>
        <v>1.3730198133461909E-9</v>
      </c>
      <c r="V36" s="345">
        <f t="shared" si="18"/>
        <v>1.5786749261181253E-9</v>
      </c>
      <c r="W36" s="340">
        <f t="shared" si="19"/>
        <v>1.6885191444054326</v>
      </c>
      <c r="X36" s="345">
        <f t="shared" si="20"/>
        <v>3.1573498522362505E-9</v>
      </c>
      <c r="Y36" s="338">
        <f t="shared" si="8"/>
        <v>-16.185361709035543</v>
      </c>
      <c r="Z36" s="346">
        <f t="shared" si="21"/>
        <v>1.6885191444054325E-2</v>
      </c>
      <c r="AA36" s="346">
        <f t="shared" si="22"/>
        <v>0.10432384365329382</v>
      </c>
      <c r="AB36" s="346">
        <f t="shared" si="9"/>
        <v>3.3770382888108651E-2</v>
      </c>
      <c r="AC36" s="336">
        <f t="shared" si="3"/>
        <v>1.2065446128969468E-11</v>
      </c>
      <c r="AD36" s="337">
        <f t="shared" si="4"/>
        <v>4.7116193675222841E-13</v>
      </c>
      <c r="AE36" s="308">
        <f t="shared" si="10"/>
        <v>3.9050519285893266</v>
      </c>
      <c r="AF36" s="337">
        <f t="shared" si="11"/>
        <v>9.4232387350445683E-13</v>
      </c>
      <c r="AG36" s="338">
        <f t="shared" si="23"/>
        <v>-25.140675440413808</v>
      </c>
      <c r="AH36" s="339">
        <f t="shared" si="24"/>
        <v>3.9050519285893266E-2</v>
      </c>
      <c r="AI36" s="340">
        <f t="shared" si="25"/>
        <v>0.15532804350641785</v>
      </c>
      <c r="AJ36" s="341">
        <f t="shared" si="12"/>
        <v>7.8101038571786532E-2</v>
      </c>
    </row>
    <row r="37" spans="1:36" x14ac:dyDescent="0.2">
      <c r="A37" s="309">
        <v>30</v>
      </c>
      <c r="B37" s="309">
        <f t="shared" si="13"/>
        <v>30</v>
      </c>
      <c r="C37" s="1">
        <v>446.99</v>
      </c>
      <c r="D37" s="1">
        <v>0.63</v>
      </c>
      <c r="E37" s="326">
        <f t="shared" si="5"/>
        <v>13.886188796622879</v>
      </c>
      <c r="F37" s="327">
        <f t="shared" si="0"/>
        <v>1.1500396078387137E-2</v>
      </c>
      <c r="G37" s="309">
        <f t="shared" si="6"/>
        <v>1</v>
      </c>
      <c r="H37" s="1">
        <v>3600</v>
      </c>
      <c r="I37" s="324">
        <v>30</v>
      </c>
      <c r="J37" s="1">
        <v>3.6600000000000001E-3</v>
      </c>
      <c r="K37" s="1">
        <v>6.0000000000000002E-5</v>
      </c>
      <c r="L37" s="328">
        <f t="shared" si="1"/>
        <v>1.639344262295082</v>
      </c>
      <c r="M37" s="329">
        <f t="shared" si="2"/>
        <v>2.1529411764705884E-3</v>
      </c>
      <c r="N37" s="342">
        <f>(1/$J$46)*SQRT(((1-J38/$J$46)*K37)^2+(J38/$J$46)^2*(SUMSQ(K$8:K36)+SUMSQ(K38:K$45)))</f>
        <v>3.5232541160196289E-5</v>
      </c>
      <c r="O37" s="340">
        <f t="shared" si="14"/>
        <v>1.6364841522495546</v>
      </c>
      <c r="P37" s="332">
        <f t="shared" si="7"/>
        <v>0.67607058823529409</v>
      </c>
      <c r="Q37" s="342">
        <f>SQRT(((1-P37)/$J$46)^2*SUMSQ(K$8:K37)+(P37/$J$46)^2*SUMSQ(K38:K$45))</f>
        <v>2.073701320772905E-4</v>
      </c>
      <c r="R37" s="340">
        <f t="shared" si="15"/>
        <v>3.0672852167489807E-2</v>
      </c>
      <c r="S37" s="343">
        <f t="shared" si="16"/>
        <v>1.6883841748215248E-7</v>
      </c>
      <c r="T37" s="344">
        <f t="shared" si="17"/>
        <v>1.4069868123512704E-9</v>
      </c>
      <c r="U37" s="344">
        <f>IF(P37&lt;=0.85, (1/(3*H37*$J$46))*SQRT( ((1-P37)*(1/SQRT(1-PI()*P37/3)-1) + (1-P36)*(1-1/SQRT(1-PI()*P36/3)))^2*SUMSQ(K$8:K36) + ( (1-P37)*(1/SQRT(1-PI()*P37/3)-1) -P36*(1-1/SQRT(1-PI()*P36/3)) )^2*K37^2 + ( P37*(1-1/SQRT(1-PI()*P37/3)) - P36*(1-1/SQRT(1-PI()*P36/3)) )^2*SUMSQ(K38:K$45) ), (1/(PI()^2*H37*$J$46))*SQRT((1+P36/(1-P36))^2*K37^2+(P36/(1-P36)-P37/(1-P37))^2*SUMSQ(K38:K$45)) )</f>
        <v>2.7591550827472503E-9</v>
      </c>
      <c r="V37" s="345">
        <f t="shared" si="18"/>
        <v>3.0971839888486403E-9</v>
      </c>
      <c r="W37" s="340">
        <f t="shared" si="19"/>
        <v>1.8344071420688577</v>
      </c>
      <c r="X37" s="345">
        <f t="shared" si="20"/>
        <v>6.1943679776972806E-9</v>
      </c>
      <c r="Y37" s="338">
        <f t="shared" si="8"/>
        <v>-15.594323688960708</v>
      </c>
      <c r="Z37" s="346">
        <f t="shared" si="21"/>
        <v>1.8344071420688578E-2</v>
      </c>
      <c r="AA37" s="346">
        <f t="shared" si="22"/>
        <v>0.11763300407618466</v>
      </c>
      <c r="AB37" s="346">
        <f t="shared" si="9"/>
        <v>3.6688142841377155E-2</v>
      </c>
      <c r="AC37" s="336">
        <f t="shared" si="3"/>
        <v>2.1788530240704784E-11</v>
      </c>
      <c r="AD37" s="337">
        <f t="shared" si="4"/>
        <v>8.6507279127618619E-13</v>
      </c>
      <c r="AE37" s="308">
        <f t="shared" si="10"/>
        <v>3.9703127366529709</v>
      </c>
      <c r="AF37" s="337">
        <f t="shared" si="11"/>
        <v>1.7301455825523724E-12</v>
      </c>
      <c r="AG37" s="338">
        <f t="shared" si="23"/>
        <v>-24.549637420338971</v>
      </c>
      <c r="AH37" s="339">
        <f t="shared" si="24"/>
        <v>3.9703127366529707E-2</v>
      </c>
      <c r="AI37" s="340">
        <f t="shared" si="25"/>
        <v>0.16172592159604085</v>
      </c>
      <c r="AJ37" s="341">
        <f t="shared" si="12"/>
        <v>7.9406254733059414E-2</v>
      </c>
    </row>
    <row r="38" spans="1:36" x14ac:dyDescent="0.2">
      <c r="A38" s="309">
        <v>31</v>
      </c>
      <c r="B38" s="309">
        <f t="shared" si="13"/>
        <v>31</v>
      </c>
      <c r="C38" s="1">
        <v>466.99</v>
      </c>
      <c r="D38" s="1">
        <v>0.38</v>
      </c>
      <c r="E38" s="326">
        <f t="shared" si="5"/>
        <v>13.510957386440403</v>
      </c>
      <c r="F38" s="327">
        <f t="shared" si="0"/>
        <v>6.5765242152823989E-3</v>
      </c>
      <c r="G38" s="309">
        <f t="shared" si="6"/>
        <v>1</v>
      </c>
      <c r="H38" s="1">
        <v>3600</v>
      </c>
      <c r="I38" s="324">
        <v>30</v>
      </c>
      <c r="J38" s="1">
        <v>6.8199999999999997E-3</v>
      </c>
      <c r="K38" s="1">
        <v>1.1E-4</v>
      </c>
      <c r="L38" s="328">
        <f t="shared" si="1"/>
        <v>1.612903225806452</v>
      </c>
      <c r="M38" s="329">
        <f t="shared" si="2"/>
        <v>4.0117647058823527E-3</v>
      </c>
      <c r="N38" s="342">
        <f>(1/$J$46)*SQRT(((1-J39/$J$46)*K38)^2+(J39/$J$46)^2*(SUMSQ(K$8:K37)+SUMSQ(K39:K$45)))</f>
        <v>6.4366979392135344E-5</v>
      </c>
      <c r="O38" s="340">
        <f t="shared" si="14"/>
        <v>1.6044554980444294</v>
      </c>
      <c r="P38" s="332">
        <f t="shared" si="7"/>
        <v>0.68008235294117647</v>
      </c>
      <c r="Q38" s="342">
        <f>SQRT(((1-P38)/$J$46)^2*SUMSQ(K$8:K38)+(P38/$J$46)^2*SUMSQ(K39:K$45))</f>
        <v>2.0181066222372114E-4</v>
      </c>
      <c r="R38" s="340">
        <f t="shared" si="15"/>
        <v>2.9674444771422656E-2</v>
      </c>
      <c r="S38" s="343">
        <f t="shared" si="16"/>
        <v>3.1842335419714825E-7</v>
      </c>
      <c r="T38" s="344">
        <f t="shared" si="17"/>
        <v>2.6535279516429021E-9</v>
      </c>
      <c r="U38" s="344">
        <f>IF(P38&lt;=0.85, (1/(3*H38*$J$46))*SQRT( ((1-P38)*(1/SQRT(1-PI()*P38/3)-1) + (1-P37)*(1-1/SQRT(1-PI()*P37/3)))^2*SUMSQ(K$8:K37) + ( (1-P38)*(1/SQRT(1-PI()*P38/3)-1) -P37*(1-1/SQRT(1-PI()*P37/3)) )^2*K38^2 + ( P38*(1-1/SQRT(1-PI()*P38/3)) - P37*(1-1/SQRT(1-PI()*P37/3)) )^2*SUMSQ(K39:K$45) ), (1/(PI()^2*H38*$J$46))*SQRT((1+P37/(1-P37))^2*K38^2+(P37/(1-P37)-P38/(1-P38))^2*SUMSQ(K39:K$45)) )</f>
        <v>5.1030309967622507E-9</v>
      </c>
      <c r="V38" s="345">
        <f t="shared" si="18"/>
        <v>5.7517072199536115E-9</v>
      </c>
      <c r="W38" s="340">
        <f t="shared" si="19"/>
        <v>1.8063082195888518</v>
      </c>
      <c r="X38" s="345">
        <f t="shared" si="20"/>
        <v>1.1503414439907223E-8</v>
      </c>
      <c r="Y38" s="338">
        <f t="shared" si="8"/>
        <v>-14.959884037056927</v>
      </c>
      <c r="Z38" s="346">
        <f t="shared" si="21"/>
        <v>1.8063082195888518E-2</v>
      </c>
      <c r="AA38" s="346">
        <f t="shared" si="22"/>
        <v>0.12074346399440464</v>
      </c>
      <c r="AB38" s="346">
        <f t="shared" si="9"/>
        <v>3.6126164391777037E-2</v>
      </c>
      <c r="AC38" s="336">
        <f t="shared" si="3"/>
        <v>4.1092406489800295E-11</v>
      </c>
      <c r="AD38" s="337">
        <f t="shared" si="4"/>
        <v>1.6261944398355894E-12</v>
      </c>
      <c r="AE38" s="308">
        <f t="shared" si="10"/>
        <v>3.957408627891466</v>
      </c>
      <c r="AF38" s="337">
        <f t="shared" si="11"/>
        <v>3.2523888796711788E-12</v>
      </c>
      <c r="AG38" s="338">
        <f t="shared" si="23"/>
        <v>-23.915197768435192</v>
      </c>
      <c r="AH38" s="339">
        <f t="shared" si="24"/>
        <v>3.9574086278914657E-2</v>
      </c>
      <c r="AI38" s="340">
        <f t="shared" si="25"/>
        <v>0.1654767259802763</v>
      </c>
      <c r="AJ38" s="341">
        <f t="shared" si="12"/>
        <v>7.9148172557829313E-2</v>
      </c>
    </row>
    <row r="39" spans="1:36" x14ac:dyDescent="0.2">
      <c r="A39" s="309">
        <v>32</v>
      </c>
      <c r="B39" s="309">
        <f t="shared" si="13"/>
        <v>32</v>
      </c>
      <c r="C39" s="1">
        <v>486.99</v>
      </c>
      <c r="D39" s="1">
        <v>0.46</v>
      </c>
      <c r="E39" s="326">
        <f t="shared" si="5"/>
        <v>13.155471360538849</v>
      </c>
      <c r="F39" s="327">
        <f t="shared" si="0"/>
        <v>7.5582956112998576E-3</v>
      </c>
      <c r="G39" s="309">
        <f t="shared" si="6"/>
        <v>1</v>
      </c>
      <c r="H39" s="1">
        <v>3600</v>
      </c>
      <c r="I39" s="324">
        <v>30</v>
      </c>
      <c r="J39" s="1">
        <v>1.3140000000000001E-2</v>
      </c>
      <c r="K39" s="1">
        <v>8.0000000000000007E-5</v>
      </c>
      <c r="L39" s="328">
        <f t="shared" si="1"/>
        <v>0.60882800608828014</v>
      </c>
      <c r="M39" s="329">
        <f t="shared" si="2"/>
        <v>7.7294117647058831E-3</v>
      </c>
      <c r="N39" s="342">
        <f>(1/$J$46)*SQRT(((1-J40/$J$46)*K39)^2+(J40/$J$46)^2*(SUMSQ(K$8:K38)+SUMSQ(K40:K$45)))</f>
        <v>4.7055779385320384E-5</v>
      </c>
      <c r="O39" s="340">
        <f t="shared" si="14"/>
        <v>0.60878862218451024</v>
      </c>
      <c r="P39" s="332">
        <f t="shared" si="7"/>
        <v>0.68781176470588234</v>
      </c>
      <c r="Q39" s="342">
        <f>SQRT(((1-P39)/$J$46)^2*SUMSQ(K$8:K39)+(P39/$J$46)^2*SUMSQ(K40:K$45))</f>
        <v>1.9592176203255259E-4</v>
      </c>
      <c r="R39" s="340">
        <f t="shared" si="15"/>
        <v>2.848479367263097E-2</v>
      </c>
      <c r="S39" s="343">
        <f t="shared" si="16"/>
        <v>6.2784790590065857E-7</v>
      </c>
      <c r="T39" s="344">
        <f t="shared" si="17"/>
        <v>5.2320658825054903E-9</v>
      </c>
      <c r="U39" s="344">
        <f>IF(P39&lt;=0.85, (1/(3*H39*$J$46))*SQRT( ((1-P39)*(1/SQRT(1-PI()*P39/3)-1) + (1-P38)*(1-1/SQRT(1-PI()*P38/3)))^2*SUMSQ(K$8:K38) + ( (1-P39)*(1/SQRT(1-PI()*P39/3)-1) -P38*(1-1/SQRT(1-PI()*P38/3)) )^2*K39^2 + ( P39*(1-1/SQRT(1-PI()*P39/3)) - P38*(1-1/SQRT(1-PI()*P38/3)) )^2*SUMSQ(K40:K$45) ), (1/(PI()^2*H39*$J$46))*SQRT((1+P38/(1-P38))^2*K39^2+(P38/(1-P38)-P39/(1-P39))^2*SUMSQ(K40:K$45)) )</f>
        <v>3.7809188257034206E-9</v>
      </c>
      <c r="V39" s="345">
        <f t="shared" si="18"/>
        <v>6.4552196372731177E-9</v>
      </c>
      <c r="W39" s="340">
        <f t="shared" si="19"/>
        <v>1.0281502218300775</v>
      </c>
      <c r="X39" s="345">
        <f t="shared" si="20"/>
        <v>1.2910439274546235E-8</v>
      </c>
      <c r="Y39" s="338">
        <f t="shared" si="8"/>
        <v>-14.280967887866751</v>
      </c>
      <c r="Z39" s="346">
        <f t="shared" si="21"/>
        <v>1.0281502218300775E-2</v>
      </c>
      <c r="AA39" s="346">
        <f t="shared" si="22"/>
        <v>7.1994435524471975E-2</v>
      </c>
      <c r="AB39" s="346">
        <f t="shared" si="9"/>
        <v>2.0563004436601549E-2</v>
      </c>
      <c r="AC39" s="336">
        <f t="shared" si="3"/>
        <v>8.1023521117317636E-11</v>
      </c>
      <c r="AD39" s="337">
        <f t="shared" si="4"/>
        <v>2.9720755681860693E-12</v>
      </c>
      <c r="AE39" s="308">
        <f t="shared" si="10"/>
        <v>3.668163919811219</v>
      </c>
      <c r="AF39" s="337">
        <f t="shared" si="11"/>
        <v>5.9441511363721385E-12</v>
      </c>
      <c r="AG39" s="338">
        <f t="shared" si="23"/>
        <v>-23.236281619245016</v>
      </c>
      <c r="AH39" s="339">
        <f t="shared" si="24"/>
        <v>3.6681639198112188E-2</v>
      </c>
      <c r="AI39" s="340">
        <f t="shared" si="25"/>
        <v>0.15786363670050937</v>
      </c>
      <c r="AJ39" s="341">
        <f t="shared" si="12"/>
        <v>7.3363278396224377E-2</v>
      </c>
    </row>
    <row r="40" spans="1:36" x14ac:dyDescent="0.2">
      <c r="A40" s="309">
        <v>33</v>
      </c>
      <c r="B40" s="309">
        <f t="shared" si="13"/>
        <v>33</v>
      </c>
      <c r="C40" s="1">
        <v>506.98</v>
      </c>
      <c r="D40" s="1">
        <v>0.55000000000000004</v>
      </c>
      <c r="E40" s="326">
        <f t="shared" si="5"/>
        <v>12.81837642444208</v>
      </c>
      <c r="F40" s="327">
        <f t="shared" si="0"/>
        <v>9.3214167952348215E-3</v>
      </c>
      <c r="G40" s="309">
        <f t="shared" si="6"/>
        <v>1</v>
      </c>
      <c r="H40" s="1">
        <v>3600</v>
      </c>
      <c r="I40" s="324">
        <v>30</v>
      </c>
      <c r="J40" s="1">
        <v>2.1329999999999998E-2</v>
      </c>
      <c r="K40" s="1">
        <v>1.3999999999999999E-4</v>
      </c>
      <c r="L40" s="328">
        <f t="shared" si="1"/>
        <v>0.65635255508673229</v>
      </c>
      <c r="M40" s="329">
        <f t="shared" si="2"/>
        <v>1.2547058823529411E-2</v>
      </c>
      <c r="N40" s="342">
        <f>(1/$J$46)*SQRT(((1-J41/$J$46)*K40)^2+(J41/$J$46)^2*(SUMSQ(K$8:K39)+SUMSQ(K41:K$45)))</f>
        <v>8.188897022141799E-5</v>
      </c>
      <c r="O40" s="340">
        <f t="shared" si="14"/>
        <v>0.65265470875016685</v>
      </c>
      <c r="P40" s="332">
        <f t="shared" si="7"/>
        <v>0.70035882352941181</v>
      </c>
      <c r="Q40" s="342">
        <f>SQRT(((1-P40)/$J$46)^2*SUMSQ(K$8:K40)+(P40/$J$46)^2*SUMSQ(K41:K$45))</f>
        <v>1.8234490257072546E-4</v>
      </c>
      <c r="R40" s="340">
        <f t="shared" si="15"/>
        <v>2.603592564905664E-2</v>
      </c>
      <c r="S40" s="343">
        <f t="shared" si="16"/>
        <v>1.061261330120096E-6</v>
      </c>
      <c r="T40" s="344">
        <f t="shared" si="17"/>
        <v>8.8438444176674658E-9</v>
      </c>
      <c r="U40" s="344">
        <f>IF(P40&lt;=0.85, (1/(3*H40*$J$46))*SQRT( ((1-P40)*(1/SQRT(1-PI()*P40/3)-1) + (1-P39)*(1-1/SQRT(1-PI()*P39/3)))^2*SUMSQ(K$8:K39) + ( (1-P40)*(1/SQRT(1-PI()*P40/3)-1) -P39*(1-1/SQRT(1-PI()*P39/3)) )^2*K40^2 + ( P40*(1-1/SQRT(1-PI()*P40/3)) - P39*(1-1/SQRT(1-PI()*P39/3)) )^2*SUMSQ(K41:K$45) ), (1/(PI()^2*H40*$J$46))*SQRT((1+P39/(1-P39))^2*K40^2+(P39/(1-P39)-P40/(1-P40))^2*SUMSQ(K41:K$45)) )</f>
        <v>6.8187262212185386E-9</v>
      </c>
      <c r="V40" s="345">
        <f t="shared" si="18"/>
        <v>1.1167300988324854E-8</v>
      </c>
      <c r="W40" s="340">
        <f t="shared" si="19"/>
        <v>1.0522668330015494</v>
      </c>
      <c r="X40" s="345">
        <f t="shared" si="20"/>
        <v>2.2334601976649707E-8</v>
      </c>
      <c r="Y40" s="338">
        <f t="shared" si="8"/>
        <v>-13.756052423175163</v>
      </c>
      <c r="Z40" s="346">
        <f t="shared" si="21"/>
        <v>1.0522668330015495E-2</v>
      </c>
      <c r="AA40" s="346">
        <f t="shared" si="22"/>
        <v>7.6494825741487388E-2</v>
      </c>
      <c r="AB40" s="346">
        <f t="shared" si="9"/>
        <v>2.1045336660030989E-2</v>
      </c>
      <c r="AC40" s="336">
        <f t="shared" si="3"/>
        <v>1.3695535014746632E-10</v>
      </c>
      <c r="AD40" s="337">
        <f t="shared" si="4"/>
        <v>5.0331043015217648E-12</v>
      </c>
      <c r="AE40" s="308">
        <f t="shared" si="10"/>
        <v>3.6749964832351436</v>
      </c>
      <c r="AF40" s="337">
        <f t="shared" si="11"/>
        <v>1.006620860304353E-11</v>
      </c>
      <c r="AG40" s="338">
        <f t="shared" si="23"/>
        <v>-22.711366154553428</v>
      </c>
      <c r="AH40" s="339">
        <f t="shared" si="24"/>
        <v>3.6749964832351441E-2</v>
      </c>
      <c r="AI40" s="340">
        <f t="shared" si="25"/>
        <v>0.16181309650094916</v>
      </c>
      <c r="AJ40" s="341">
        <f t="shared" si="12"/>
        <v>7.3499929664702882E-2</v>
      </c>
    </row>
    <row r="41" spans="1:36" x14ac:dyDescent="0.2">
      <c r="A41" s="309">
        <v>34</v>
      </c>
      <c r="B41" s="309">
        <f t="shared" si="13"/>
        <v>34</v>
      </c>
      <c r="C41" s="1">
        <v>494.99</v>
      </c>
      <c r="D41" s="1">
        <v>0.88</v>
      </c>
      <c r="E41" s="326">
        <f t="shared" si="5"/>
        <v>13.01846017653032</v>
      </c>
      <c r="F41" s="327">
        <f t="shared" si="0"/>
        <v>1.5722330505128342E-2</v>
      </c>
      <c r="G41" s="309">
        <f t="shared" si="6"/>
        <v>1</v>
      </c>
      <c r="H41" s="1">
        <v>3600</v>
      </c>
      <c r="I41" s="324">
        <v>30</v>
      </c>
      <c r="J41" s="1">
        <v>1.1599999999999999E-2</v>
      </c>
      <c r="K41" s="1">
        <v>8.0000000000000007E-5</v>
      </c>
      <c r="L41" s="328">
        <f t="shared" si="1"/>
        <v>0.68965517241379315</v>
      </c>
      <c r="M41" s="329">
        <f t="shared" si="2"/>
        <v>6.8235294117647057E-3</v>
      </c>
      <c r="N41" s="342">
        <f>(1/$J$46)*SQRT(((1-J42/$J$46)*K41)^2+(J42/$J$46)^2*(SUMSQ(K$8:K40)+SUMSQ(K42:K$45)))</f>
        <v>4.6956508924195554E-5</v>
      </c>
      <c r="O41" s="340">
        <f t="shared" si="14"/>
        <v>0.68815573423390031</v>
      </c>
      <c r="P41" s="332">
        <f t="shared" si="7"/>
        <v>0.70718235294117648</v>
      </c>
      <c r="Q41" s="342">
        <f>SQRT(((1-P41)/$J$46)^2*SUMSQ(K$8:K41)+(P41/$J$46)^2*SUMSQ(K42:K$45))</f>
        <v>1.75985530491392E-4</v>
      </c>
      <c r="R41" s="340">
        <f t="shared" si="15"/>
        <v>2.4885452777415457E-2</v>
      </c>
      <c r="S41" s="343">
        <f t="shared" si="16"/>
        <v>6.0018003427252097E-7</v>
      </c>
      <c r="T41" s="344">
        <f t="shared" si="17"/>
        <v>5.0015002856043428E-9</v>
      </c>
      <c r="U41" s="344">
        <f>IF(P41&lt;=0.85, (1/(3*H41*$J$46))*SQRT( ((1-P41)*(1/SQRT(1-PI()*P41/3)-1) + (1-P40)*(1-1/SQRT(1-PI()*P40/3)))^2*SUMSQ(K$8:K40) + ( (1-P41)*(1/SQRT(1-PI()*P41/3)-1) -P40*(1-1/SQRT(1-PI()*P40/3)) )^2*K41^2 + ( P41*(1-1/SQRT(1-PI()*P41/3)) - P40*(1-1/SQRT(1-PI()*P40/3)) )^2*SUMSQ(K42:K$45) ), (1/(PI()^2*H41*$J$46))*SQRT((1+P40/(1-P40))^2*K41^2+(P40/(1-P40)-P41/(1-P41))^2*SUMSQ(K42:K$45)) )</f>
        <v>4.0898489551229657E-9</v>
      </c>
      <c r="V41" s="345">
        <f t="shared" si="18"/>
        <v>6.4607948104409523E-9</v>
      </c>
      <c r="W41" s="340">
        <f t="shared" si="19"/>
        <v>1.0764761307450172</v>
      </c>
      <c r="X41" s="345">
        <f t="shared" si="20"/>
        <v>1.2921589620881905E-8</v>
      </c>
      <c r="Y41" s="338">
        <f t="shared" si="8"/>
        <v>-14.326036169617531</v>
      </c>
      <c r="Z41" s="346">
        <f t="shared" si="21"/>
        <v>1.0764761307450172E-2</v>
      </c>
      <c r="AA41" s="346">
        <f t="shared" si="22"/>
        <v>7.5141240605548207E-2</v>
      </c>
      <c r="AB41" s="346">
        <f t="shared" si="9"/>
        <v>2.1529522614900345E-2</v>
      </c>
      <c r="AC41" s="336">
        <f t="shared" si="3"/>
        <v>7.7452993350855123E-11</v>
      </c>
      <c r="AD41" s="337">
        <f t="shared" si="4"/>
        <v>2.851820322072349E-12</v>
      </c>
      <c r="AE41" s="308">
        <f t="shared" si="10"/>
        <v>3.6820014291169589</v>
      </c>
      <c r="AF41" s="337">
        <f t="shared" si="11"/>
        <v>5.7036406441446979E-12</v>
      </c>
      <c r="AG41" s="338">
        <f t="shared" si="23"/>
        <v>-23.281349900995796</v>
      </c>
      <c r="AH41" s="339">
        <f t="shared" si="24"/>
        <v>3.6820014291169594E-2</v>
      </c>
      <c r="AI41" s="340">
        <f t="shared" si="25"/>
        <v>0.15815240287933097</v>
      </c>
      <c r="AJ41" s="341">
        <f t="shared" si="12"/>
        <v>7.3640028582339187E-2</v>
      </c>
    </row>
    <row r="42" spans="1:36" x14ac:dyDescent="0.2">
      <c r="A42" s="309">
        <v>35</v>
      </c>
      <c r="B42" s="309">
        <f t="shared" si="13"/>
        <v>35</v>
      </c>
      <c r="C42" s="1">
        <v>474.99</v>
      </c>
      <c r="D42" s="1">
        <v>0.75</v>
      </c>
      <c r="E42" s="326">
        <f t="shared" si="5"/>
        <v>13.36648220921218</v>
      </c>
      <c r="F42" s="327">
        <f t="shared" si="0"/>
        <v>1.4145929342211594E-2</v>
      </c>
      <c r="G42" s="309">
        <f t="shared" si="6"/>
        <v>1</v>
      </c>
      <c r="H42" s="1">
        <v>3600</v>
      </c>
      <c r="I42" s="324">
        <v>30</v>
      </c>
      <c r="J42" s="1">
        <v>4.7400000000000003E-3</v>
      </c>
      <c r="K42" s="1">
        <v>6.0000000000000002E-5</v>
      </c>
      <c r="L42" s="328">
        <f t="shared" si="1"/>
        <v>1.2658227848101267</v>
      </c>
      <c r="M42" s="329">
        <f t="shared" si="2"/>
        <v>2.7882352941176474E-3</v>
      </c>
      <c r="N42" s="342">
        <f>(1/$J$46)*SQRT(((1-J43/$J$46)*K42)^2+(J43/$J$46)^2*(SUMSQ(K$8:K41)+SUMSQ(K43:K$45)))</f>
        <v>3.5250355928409924E-5</v>
      </c>
      <c r="O42" s="340">
        <f t="shared" si="14"/>
        <v>1.2642532716940267</v>
      </c>
      <c r="P42" s="332">
        <f t="shared" si="7"/>
        <v>0.70997058823529413</v>
      </c>
      <c r="Q42" s="342">
        <f>SQRT(((1-P42)/$J$46)^2*SUMSQ(K$8:K42)+(P42/$J$46)^2*SUMSQ(K43:K$45))</f>
        <v>1.728834064190133E-4</v>
      </c>
      <c r="R42" s="340">
        <f t="shared" si="15"/>
        <v>2.4350784283717022E-2</v>
      </c>
      <c r="S42" s="343">
        <f t="shared" si="16"/>
        <v>2.5012291576809737E-7</v>
      </c>
      <c r="T42" s="344">
        <f t="shared" si="17"/>
        <v>2.0843576314008109E-9</v>
      </c>
      <c r="U42" s="344">
        <f>IF(P42&lt;=0.85, (1/(3*H42*$J$46))*SQRT( ((1-P42)*(1/SQRT(1-PI()*P42/3)-1) + (1-P41)*(1-1/SQRT(1-PI()*P41/3)))^2*SUMSQ(K$8:K41) + ( (1-P42)*(1/SQRT(1-PI()*P42/3)-1) -P41*(1-1/SQRT(1-PI()*P41/3)) )^2*K42^2 + ( P42*(1-1/SQRT(1-PI()*P42/3)) - P41*(1-1/SQRT(1-PI()*P41/3)) )^2*SUMSQ(K43:K$45) ), (1/(PI()^2*H42*$J$46))*SQRT((1+P41/(1-P41))^2*K42^2+(P41/(1-P41)-P42/(1-P42))^2*SUMSQ(K43:K$45)) )</f>
        <v>3.1500101691112433E-9</v>
      </c>
      <c r="V42" s="345">
        <f t="shared" si="18"/>
        <v>3.7771829186687584E-9</v>
      </c>
      <c r="W42" s="340">
        <f t="shared" si="19"/>
        <v>1.5101306919717787</v>
      </c>
      <c r="X42" s="345">
        <f t="shared" si="20"/>
        <v>7.5543658373375169E-9</v>
      </c>
      <c r="Y42" s="338">
        <f t="shared" si="8"/>
        <v>-15.201313376838462</v>
      </c>
      <c r="Z42" s="346">
        <f t="shared" si="21"/>
        <v>1.5101306919717788E-2</v>
      </c>
      <c r="AA42" s="346">
        <f t="shared" si="22"/>
        <v>9.9342119627156361E-2</v>
      </c>
      <c r="AB42" s="346">
        <f t="shared" si="9"/>
        <v>3.0202613839435576E-2</v>
      </c>
      <c r="AC42" s="336">
        <f t="shared" si="3"/>
        <v>3.2278262230706659E-11</v>
      </c>
      <c r="AD42" s="337">
        <f t="shared" si="4"/>
        <v>1.2366757415406651E-12</v>
      </c>
      <c r="AE42" s="308">
        <f t="shared" si="10"/>
        <v>3.8312959127155306</v>
      </c>
      <c r="AF42" s="337">
        <f t="shared" si="11"/>
        <v>2.4733514830813302E-12</v>
      </c>
      <c r="AG42" s="338">
        <f t="shared" si="23"/>
        <v>-24.156627108216725</v>
      </c>
      <c r="AH42" s="339">
        <f t="shared" si="24"/>
        <v>3.8312959127155308E-2</v>
      </c>
      <c r="AI42" s="340">
        <f t="shared" si="25"/>
        <v>0.15860227073722305</v>
      </c>
      <c r="AJ42" s="341">
        <f t="shared" si="12"/>
        <v>7.6625918254310615E-2</v>
      </c>
    </row>
    <row r="43" spans="1:36" x14ac:dyDescent="0.2">
      <c r="A43" s="309">
        <v>36</v>
      </c>
      <c r="B43" s="309">
        <f t="shared" si="13"/>
        <v>36</v>
      </c>
      <c r="C43" s="1">
        <v>454.99</v>
      </c>
      <c r="D43" s="1">
        <v>0.88</v>
      </c>
      <c r="E43" s="326">
        <f t="shared" si="5"/>
        <v>13.733622654983932</v>
      </c>
      <c r="F43" s="327">
        <f t="shared" si="0"/>
        <v>1.754867855263818E-2</v>
      </c>
      <c r="G43" s="309">
        <f t="shared" si="6"/>
        <v>1</v>
      </c>
      <c r="H43" s="1">
        <v>3600</v>
      </c>
      <c r="I43" s="324">
        <v>30</v>
      </c>
      <c r="J43" s="1">
        <v>2.7200000000000002E-3</v>
      </c>
      <c r="K43" s="1">
        <v>4.0000000000000003E-5</v>
      </c>
      <c r="L43" s="328">
        <f t="shared" si="1"/>
        <v>1.4705882352941175</v>
      </c>
      <c r="M43" s="329">
        <f t="shared" si="2"/>
        <v>1.6000000000000001E-3</v>
      </c>
      <c r="N43" s="342">
        <f>(1/$J$46)*SQRT(((1-J44/$J$46)*K43)^2+(J44/$J$46)^2*(SUMSQ(K$8:K42)+SUMSQ(K44:K$45)))</f>
        <v>2.3516827617532811E-5</v>
      </c>
      <c r="O43" s="340">
        <f t="shared" si="14"/>
        <v>1.4698017260958005</v>
      </c>
      <c r="P43" s="332">
        <f t="shared" si="7"/>
        <v>0.71157058823529418</v>
      </c>
      <c r="Q43" s="342">
        <f>SQRT(((1-P43)/$J$46)^2*SUMSQ(K$8:K43)+(P43/$J$46)^2*SUMSQ(K44:K$45))</f>
        <v>1.7126598856296308E-4</v>
      </c>
      <c r="R43" s="340">
        <f t="shared" si="15"/>
        <v>2.4068727880912747E-2</v>
      </c>
      <c r="S43" s="343">
        <f t="shared" si="16"/>
        <v>1.4483731289572899E-7</v>
      </c>
      <c r="T43" s="344">
        <f t="shared" si="17"/>
        <v>1.2069776074644077E-9</v>
      </c>
      <c r="U43" s="344">
        <f>IF(P43&lt;=0.85, (1/(3*H43*$J$46))*SQRT( ((1-P43)*(1/SQRT(1-PI()*P43/3)-1) + (1-P42)*(1-1/SQRT(1-PI()*P42/3)))^2*SUMSQ(K$8:K42) + ( (1-P43)*(1/SQRT(1-PI()*P43/3)-1) -P42*(1-1/SQRT(1-PI()*P42/3)) )^2*K43^2 + ( P43*(1-1/SQRT(1-PI()*P43/3)) - P42*(1-1/SQRT(1-PI()*P42/3)) )^2*SUMSQ(K44:K$45) ), (1/(PI()^2*H43*$J$46))*SQRT((1+P42/(1-P42))^2*K43^2+(P42/(1-P42)-P43/(1-P43))^2*SUMSQ(K44:K$45)) )</f>
        <v>2.1236777498695085E-9</v>
      </c>
      <c r="V43" s="345">
        <f t="shared" si="18"/>
        <v>2.442703856428635E-9</v>
      </c>
      <c r="W43" s="340">
        <f t="shared" si="19"/>
        <v>1.686515586068061</v>
      </c>
      <c r="X43" s="345">
        <f t="shared" si="20"/>
        <v>4.8854077128572699E-9</v>
      </c>
      <c r="Y43" s="338">
        <f t="shared" si="8"/>
        <v>-15.747654704446079</v>
      </c>
      <c r="Z43" s="346">
        <f t="shared" si="21"/>
        <v>1.686515586068061E-2</v>
      </c>
      <c r="AA43" s="346">
        <f t="shared" si="22"/>
        <v>0.10709630213011354</v>
      </c>
      <c r="AB43" s="346">
        <f t="shared" si="9"/>
        <v>3.373031172136122E-2</v>
      </c>
      <c r="AC43" s="336">
        <f t="shared" si="3"/>
        <v>1.8691197294268668E-11</v>
      </c>
      <c r="AD43" s="337">
        <f t="shared" si="4"/>
        <v>7.2973911190682494E-13</v>
      </c>
      <c r="AE43" s="308">
        <f t="shared" si="10"/>
        <v>3.9041860209275456</v>
      </c>
      <c r="AF43" s="337">
        <f t="shared" si="11"/>
        <v>1.4594782238136499E-12</v>
      </c>
      <c r="AG43" s="338">
        <f t="shared" si="23"/>
        <v>-24.702968435824342</v>
      </c>
      <c r="AH43" s="339">
        <f t="shared" si="24"/>
        <v>3.9041860209275456E-2</v>
      </c>
      <c r="AI43" s="340">
        <f t="shared" si="25"/>
        <v>0.15804521756444784</v>
      </c>
      <c r="AJ43" s="341">
        <f t="shared" si="12"/>
        <v>7.8083720418550912E-2</v>
      </c>
    </row>
    <row r="44" spans="1:36" x14ac:dyDescent="0.2">
      <c r="A44" s="309">
        <v>37</v>
      </c>
      <c r="B44" s="309">
        <f t="shared" si="13"/>
        <v>37</v>
      </c>
      <c r="C44" s="1">
        <v>434.99</v>
      </c>
      <c r="D44" s="1">
        <v>0.87</v>
      </c>
      <c r="E44" s="326">
        <f t="shared" si="5"/>
        <v>14.121501398028638</v>
      </c>
      <c r="F44" s="327">
        <f t="shared" si="0"/>
        <v>1.837185563908984E-2</v>
      </c>
      <c r="G44" s="309">
        <f t="shared" si="6"/>
        <v>1</v>
      </c>
      <c r="H44" s="1">
        <v>3600</v>
      </c>
      <c r="I44" s="324">
        <v>30</v>
      </c>
      <c r="J44" s="1">
        <v>1.16E-3</v>
      </c>
      <c r="K44" s="1">
        <v>2.0000000000000002E-5</v>
      </c>
      <c r="L44" s="328">
        <f t="shared" si="1"/>
        <v>1.7241379310344827</v>
      </c>
      <c r="M44" s="329">
        <f t="shared" si="2"/>
        <v>6.8235294117647064E-4</v>
      </c>
      <c r="N44" s="342">
        <f>(1/$J$46)*SQRT(((1-J45/$J$46)*K44)^2+(J45/$J$46)^2*(SUMSQ(K$8:K43)+SUMSQ(K45:K$45)))</f>
        <v>1.176450269461216E-5</v>
      </c>
      <c r="O44" s="340">
        <f t="shared" si="14"/>
        <v>1.7241081535207474</v>
      </c>
      <c r="P44" s="332">
        <f t="shared" si="7"/>
        <v>0.71225294117647064</v>
      </c>
      <c r="Q44" s="342">
        <f>SQRT(((1-P44)/$J$46)^2*SUMSQ(K$8:K44)+(P44/$J$46)^2*SUMSQ(K45:K$45))</f>
        <v>1.7069151835366364E-4</v>
      </c>
      <c r="R44" s="340">
        <f t="shared" si="15"/>
        <v>2.3965014180457055E-2</v>
      </c>
      <c r="S44" s="343">
        <f t="shared" si="16"/>
        <v>6.206174592138655E-8</v>
      </c>
      <c r="T44" s="344">
        <f t="shared" si="17"/>
        <v>5.1718121601155473E-10</v>
      </c>
      <c r="U44" s="344">
        <f>IF(P44&lt;=0.85, (1/(3*H44*$J$46))*SQRT( ((1-P44)*(1/SQRT(1-PI()*P44/3)-1) + (1-P43)*(1-1/SQRT(1-PI()*P43/3)))^2*SUMSQ(K$8:K43) + ( (1-P44)*(1/SQRT(1-PI()*P44/3)-1) -P43*(1-1/SQRT(1-PI()*P43/3)) )^2*K44^2 + ( P44*(1-1/SQRT(1-PI()*P44/3)) - P43*(1-1/SQRT(1-PI()*P43/3)) )^2*SUMSQ(K45:K$45) ), (1/(PI()^2*H44*$J$46))*SQRT((1+P43/(1-P43))^2*K44^2+(P43/(1-P43)-P44/(1-P44))^2*SUMSQ(K45:K$45)) )</f>
        <v>1.0686868378104812E-9</v>
      </c>
      <c r="V44" s="345">
        <f t="shared" si="18"/>
        <v>1.1872522762684249E-9</v>
      </c>
      <c r="W44" s="340">
        <f t="shared" si="19"/>
        <v>1.9130178480191555</v>
      </c>
      <c r="X44" s="345">
        <f t="shared" si="20"/>
        <v>2.3745045525368498E-9</v>
      </c>
      <c r="Y44" s="338">
        <f t="shared" si="8"/>
        <v>-16.595136045524821</v>
      </c>
      <c r="Z44" s="346">
        <f t="shared" si="21"/>
        <v>1.9130178480191554E-2</v>
      </c>
      <c r="AA44" s="346">
        <f t="shared" si="22"/>
        <v>0.11527581592409032</v>
      </c>
      <c r="AB44" s="346">
        <f t="shared" si="9"/>
        <v>3.8260356960383109E-2</v>
      </c>
      <c r="AC44" s="336">
        <f t="shared" si="3"/>
        <v>8.0090434864565641E-12</v>
      </c>
      <c r="AD44" s="337">
        <f t="shared" si="4"/>
        <v>3.2094157954858561E-13</v>
      </c>
      <c r="AE44" s="308">
        <f t="shared" si="10"/>
        <v>4.0072398169806869</v>
      </c>
      <c r="AF44" s="337">
        <f t="shared" si="11"/>
        <v>6.4188315909717121E-13</v>
      </c>
      <c r="AG44" s="338">
        <f t="shared" si="23"/>
        <v>-25.550449776903083</v>
      </c>
      <c r="AH44" s="339">
        <f t="shared" si="24"/>
        <v>4.0072398169806865E-2</v>
      </c>
      <c r="AI44" s="340">
        <f t="shared" si="25"/>
        <v>0.15683637086510796</v>
      </c>
      <c r="AJ44" s="341">
        <f t="shared" si="12"/>
        <v>8.014479633961373E-2</v>
      </c>
    </row>
    <row r="45" spans="1:36" x14ac:dyDescent="0.2">
      <c r="A45" s="309">
        <v>38</v>
      </c>
      <c r="B45" s="309">
        <f t="shared" si="13"/>
        <v>38</v>
      </c>
      <c r="C45" s="1">
        <v>415</v>
      </c>
      <c r="D45" s="1">
        <v>0.87</v>
      </c>
      <c r="E45" s="326">
        <f t="shared" si="5"/>
        <v>14.531715469011118</v>
      </c>
      <c r="F45" s="327">
        <f t="shared" si="0"/>
        <v>0.11660491129834244</v>
      </c>
      <c r="G45" s="309">
        <f t="shared" si="6"/>
        <v>1</v>
      </c>
      <c r="H45" s="1">
        <v>3600</v>
      </c>
      <c r="J45" s="1">
        <v>1.31E-3</v>
      </c>
      <c r="K45" s="1">
        <v>2.0000000000000002E-5</v>
      </c>
      <c r="L45" s="328">
        <f t="shared" si="1"/>
        <v>1.5267175572519085</v>
      </c>
      <c r="M45" s="329">
        <f>J45/$J$46</f>
        <v>7.7058823529411763E-4</v>
      </c>
      <c r="N45" s="342">
        <f>(1/$J$46)*SQRT(((1-J46/$J$46)*K45)^2+(J46/$J$46)^2*(SUMSQ(K$8:K44)+SUMSQ(K$45:K46)))</f>
        <v>8.3806499818120947E-4</v>
      </c>
      <c r="O45" s="340">
        <f t="shared" si="14"/>
        <v>108.756526481531</v>
      </c>
      <c r="P45" s="332">
        <f t="shared" si="7"/>
        <v>0.71302352941176472</v>
      </c>
      <c r="Q45" s="342">
        <f>SQRT(((1-P45)/$J$46)^2*SUMSQ(K$8:K45)+(P45/$J$46)^2*SUMSQ(K$45:K46))</f>
        <v>4.555553681628546E-4</v>
      </c>
      <c r="R45" s="340">
        <f t="shared" si="15"/>
        <v>6.3890650079764119E-2</v>
      </c>
      <c r="S45" s="343">
        <f t="shared" si="16"/>
        <v>7.0298861637210603E-8</v>
      </c>
      <c r="T45" s="344">
        <f t="shared" si="17"/>
        <v>0</v>
      </c>
      <c r="U45" s="344">
        <f>IF(P45&lt;=0.85, (1/(3*H45*$J$46))*SQRT( ((1-P45)*(1/SQRT(1-PI()*P45/3)-1) + (1-P44)*(1-1/SQRT(1-PI()*P44/3)))^2*SUMSQ(K$8:K44) + ( (1-P45)*(1/SQRT(1-PI()*P45/3)-1) -P44*(1-1/SQRT(1-PI()*P44/3)) )^2*K45^2 + ( P45*(1-1/SQRT(1-PI()*P45/3)) - P44*(1-1/SQRT(1-PI()*P44/3)) )^2*SUMSQ(K$45:K46) ), (1/(PI()^2*H45*$J$46))*SQRT((1+P44/(1-P44))^2*K45^2+(P44/(1-P44)-P45/(1-P45))^2*SUMSQ(K$45:K46)) )</f>
        <v>1.0843868996240459E-9</v>
      </c>
      <c r="V45" s="345">
        <f t="shared" si="18"/>
        <v>1.0843868996240459E-9</v>
      </c>
      <c r="W45" s="340">
        <f t="shared" si="19"/>
        <v>1.5425383489425637</v>
      </c>
      <c r="X45" s="345">
        <f t="shared" si="20"/>
        <v>2.1687737992480917E-9</v>
      </c>
      <c r="Y45" s="338">
        <f t="shared" si="8"/>
        <v>-16.4705102311882</v>
      </c>
      <c r="Z45" s="346">
        <f t="shared" si="21"/>
        <v>1.5425383489425638E-2</v>
      </c>
      <c r="AA45" s="346">
        <f t="shared" si="22"/>
        <v>9.3654557587514606E-2</v>
      </c>
      <c r="AB45" s="346">
        <f t="shared" si="9"/>
        <v>3.0850766978851276E-2</v>
      </c>
      <c r="AC45" s="336">
        <f t="shared" si="3"/>
        <v>9.0720399747373732E-12</v>
      </c>
      <c r="AD45" s="337">
        <f t="shared" si="4"/>
        <v>3.4874599881361668E-13</v>
      </c>
      <c r="AE45" s="308">
        <f t="shared" si="10"/>
        <v>3.844184987993426</v>
      </c>
      <c r="AF45" s="337">
        <f t="shared" si="11"/>
        <v>6.9749199762723336E-13</v>
      </c>
      <c r="AG45" s="338">
        <f t="shared" si="23"/>
        <v>-25.425823962566465</v>
      </c>
      <c r="AH45" s="339">
        <f t="shared" si="24"/>
        <v>3.8441849879934258E-2</v>
      </c>
      <c r="AI45" s="340">
        <f t="shared" si="25"/>
        <v>0.15119214990448618</v>
      </c>
      <c r="AJ45" s="341">
        <f t="shared" si="12"/>
        <v>7.6883699759868515E-2</v>
      </c>
    </row>
    <row r="46" spans="1:36" x14ac:dyDescent="0.2">
      <c r="J46" s="338">
        <v>1.7</v>
      </c>
      <c r="K46" s="346">
        <f>SQRT(SUMSQ(K8:K45))</f>
        <v>1.0074224535913422E-3</v>
      </c>
      <c r="L46" s="328"/>
      <c r="M46" s="329">
        <f>J46/$J$46</f>
        <v>1</v>
      </c>
      <c r="N46" s="342"/>
      <c r="O46" s="340"/>
      <c r="P46" s="332"/>
      <c r="Q46" s="342"/>
      <c r="R46" s="340"/>
      <c r="S46" s="343"/>
      <c r="T46" s="344"/>
      <c r="U46" s="344"/>
      <c r="V46" s="345"/>
      <c r="W46" s="340"/>
      <c r="X46" s="345"/>
      <c r="Y46" s="338"/>
      <c r="Z46" s="346"/>
      <c r="AA46" s="346"/>
      <c r="AB46" s="346"/>
      <c r="AC46" s="336"/>
      <c r="AD46" s="337"/>
      <c r="AE46" s="308"/>
      <c r="AF46" s="337"/>
      <c r="AG46" s="338"/>
      <c r="AH46" s="339"/>
      <c r="AI46" s="340"/>
      <c r="AJ46" s="341"/>
    </row>
    <row r="47" spans="1:36" x14ac:dyDescent="0.2">
      <c r="J47" s="120">
        <f>SUM(J9:J46)</f>
        <v>2.9035299999999999</v>
      </c>
      <c r="L47" s="328"/>
      <c r="M47" s="329"/>
      <c r="N47" s="342"/>
      <c r="O47" s="340"/>
      <c r="P47" s="332"/>
      <c r="Q47" s="342"/>
      <c r="R47" s="340"/>
      <c r="S47" s="343"/>
      <c r="T47" s="344"/>
      <c r="U47" s="344"/>
      <c r="V47" s="345"/>
      <c r="W47" s="340"/>
      <c r="X47" s="345"/>
      <c r="Y47" s="338"/>
      <c r="Z47" s="346"/>
      <c r="AA47" s="346"/>
      <c r="AB47" s="346"/>
      <c r="AC47" s="336"/>
      <c r="AD47" s="337"/>
      <c r="AE47" s="308"/>
      <c r="AF47" s="337"/>
      <c r="AG47" s="338"/>
      <c r="AH47" s="339"/>
      <c r="AI47" s="340"/>
      <c r="AJ47" s="341"/>
    </row>
    <row r="48" spans="1:36" x14ac:dyDescent="0.2">
      <c r="L48" s="328"/>
      <c r="M48" s="329"/>
      <c r="N48" s="342"/>
      <c r="O48" s="340"/>
      <c r="P48" s="332"/>
      <c r="Q48" s="342"/>
      <c r="R48" s="340"/>
      <c r="S48" s="343"/>
      <c r="T48" s="344"/>
      <c r="U48" s="344"/>
      <c r="V48" s="345"/>
      <c r="W48" s="340"/>
      <c r="X48" s="345"/>
      <c r="Y48" s="338"/>
      <c r="Z48" s="346"/>
      <c r="AA48" s="346"/>
      <c r="AB48" s="346"/>
      <c r="AC48" s="336"/>
      <c r="AD48" s="337"/>
      <c r="AE48" s="308"/>
      <c r="AF48" s="337"/>
      <c r="AG48" s="338"/>
      <c r="AH48" s="339"/>
      <c r="AI48" s="340"/>
      <c r="AJ48" s="341"/>
    </row>
    <row r="49" spans="11:36" x14ac:dyDescent="0.2">
      <c r="K49" s="120"/>
      <c r="L49" s="328"/>
      <c r="M49" s="329"/>
      <c r="N49" s="342"/>
      <c r="O49" s="340"/>
      <c r="P49" s="332"/>
      <c r="Q49" s="342"/>
      <c r="R49" s="340"/>
      <c r="S49" s="343"/>
      <c r="T49" s="344"/>
      <c r="U49" s="344"/>
      <c r="V49" s="345"/>
      <c r="W49" s="340"/>
      <c r="X49" s="345"/>
      <c r="Y49" s="338"/>
      <c r="Z49" s="346"/>
      <c r="AA49" s="346"/>
      <c r="AB49" s="346"/>
      <c r="AC49" s="336"/>
      <c r="AD49" s="337"/>
      <c r="AE49" s="308"/>
      <c r="AF49" s="337"/>
      <c r="AG49" s="338"/>
      <c r="AH49" s="339"/>
      <c r="AI49" s="340"/>
      <c r="AJ49" s="341"/>
    </row>
    <row r="50" spans="11:36" x14ac:dyDescent="0.2">
      <c r="L50" s="328"/>
      <c r="M50" s="329"/>
      <c r="N50" s="342"/>
      <c r="O50" s="340"/>
      <c r="P50" s="332"/>
      <c r="Q50" s="342"/>
      <c r="R50" s="340"/>
      <c r="S50" s="343"/>
      <c r="T50" s="344"/>
      <c r="U50" s="344"/>
      <c r="V50" s="345"/>
      <c r="W50" s="340"/>
      <c r="X50" s="345"/>
      <c r="Y50" s="338"/>
      <c r="Z50" s="346"/>
      <c r="AA50" s="346"/>
      <c r="AB50" s="346"/>
      <c r="AC50" s="336"/>
      <c r="AD50" s="337"/>
      <c r="AE50" s="308"/>
      <c r="AF50" s="337"/>
      <c r="AG50" s="338"/>
      <c r="AH50" s="339"/>
      <c r="AI50" s="340"/>
      <c r="AJ50" s="341"/>
    </row>
    <row r="51" spans="11:36" x14ac:dyDescent="0.2">
      <c r="L51" s="328"/>
      <c r="M51" s="329"/>
      <c r="N51" s="342"/>
      <c r="O51" s="340"/>
      <c r="P51" s="332"/>
      <c r="Q51" s="342"/>
      <c r="R51" s="340"/>
      <c r="S51" s="343"/>
      <c r="T51" s="344"/>
      <c r="U51" s="344"/>
      <c r="V51" s="345"/>
      <c r="W51" s="340"/>
      <c r="X51" s="345"/>
      <c r="Y51" s="338"/>
      <c r="Z51" s="346"/>
      <c r="AA51" s="346"/>
      <c r="AB51" s="346"/>
      <c r="AC51" s="336"/>
      <c r="AD51" s="337"/>
      <c r="AE51" s="308"/>
      <c r="AF51" s="337"/>
      <c r="AG51" s="338"/>
      <c r="AH51" s="339"/>
      <c r="AI51" s="340"/>
      <c r="AJ51" s="341"/>
    </row>
    <row r="52" spans="11:36" x14ac:dyDescent="0.2">
      <c r="L52" s="328"/>
      <c r="M52" s="329"/>
      <c r="N52" s="342"/>
      <c r="O52" s="340"/>
      <c r="P52" s="332"/>
      <c r="Q52" s="342"/>
      <c r="R52" s="340"/>
      <c r="S52" s="343"/>
      <c r="T52" s="344"/>
      <c r="U52" s="344"/>
      <c r="V52" s="345"/>
      <c r="W52" s="340"/>
      <c r="X52" s="345"/>
      <c r="Y52" s="338"/>
      <c r="Z52" s="346"/>
      <c r="AA52" s="346"/>
      <c r="AB52" s="346"/>
      <c r="AC52" s="336"/>
      <c r="AD52" s="337"/>
      <c r="AE52" s="308"/>
      <c r="AF52" s="337"/>
      <c r="AG52" s="338"/>
      <c r="AH52" s="339"/>
      <c r="AI52" s="340"/>
      <c r="AJ52" s="341"/>
    </row>
    <row r="53" spans="11:36" x14ac:dyDescent="0.2">
      <c r="L53" s="328"/>
      <c r="M53" s="329"/>
      <c r="O53" s="340"/>
      <c r="P53" s="332"/>
      <c r="Q53" s="342"/>
      <c r="R53" s="340"/>
      <c r="S53" s="343"/>
      <c r="T53" s="344"/>
      <c r="U53" s="344"/>
      <c r="V53" s="345"/>
      <c r="W53" s="340"/>
      <c r="X53" s="345"/>
      <c r="Y53" s="338"/>
      <c r="Z53" s="346"/>
      <c r="AA53" s="346"/>
      <c r="AB53" s="346"/>
      <c r="AC53" s="336"/>
      <c r="AD53" s="337"/>
      <c r="AE53" s="308"/>
      <c r="AF53" s="337"/>
      <c r="AG53" s="338"/>
      <c r="AH53" s="339"/>
      <c r="AI53" s="340"/>
      <c r="AJ53" s="341"/>
    </row>
    <row r="54" spans="11:36" x14ac:dyDescent="0.2">
      <c r="L54" s="328"/>
      <c r="M54" s="329"/>
      <c r="O54" s="340"/>
      <c r="P54" s="332"/>
      <c r="Q54" s="342"/>
      <c r="R54" s="340"/>
      <c r="S54" s="343"/>
      <c r="T54" s="344"/>
      <c r="U54" s="344"/>
      <c r="V54" s="345"/>
      <c r="W54" s="340"/>
      <c r="X54" s="345"/>
      <c r="Y54" s="338"/>
      <c r="Z54" s="346"/>
      <c r="AA54" s="346"/>
      <c r="AB54" s="346"/>
      <c r="AC54" s="336"/>
      <c r="AD54" s="337"/>
      <c r="AE54" s="308"/>
      <c r="AF54" s="337"/>
      <c r="AG54" s="338"/>
      <c r="AH54" s="339"/>
      <c r="AI54" s="340"/>
      <c r="AJ54" s="341"/>
    </row>
    <row r="55" spans="11:36" x14ac:dyDescent="0.2">
      <c r="L55" s="328"/>
      <c r="M55" s="329"/>
      <c r="O55" s="340"/>
      <c r="P55" s="332"/>
      <c r="Q55" s="342"/>
      <c r="R55" s="340"/>
      <c r="S55" s="343"/>
      <c r="T55" s="344"/>
      <c r="U55" s="344"/>
      <c r="V55" s="345"/>
      <c r="W55" s="340"/>
      <c r="X55" s="345"/>
      <c r="Y55" s="338"/>
      <c r="Z55" s="346"/>
      <c r="AA55" s="346"/>
      <c r="AB55" s="346"/>
      <c r="AC55" s="336"/>
      <c r="AD55" s="337"/>
      <c r="AE55" s="308"/>
      <c r="AF55" s="337"/>
      <c r="AG55" s="338"/>
      <c r="AH55" s="339"/>
      <c r="AI55" s="340"/>
      <c r="AJ55" s="341"/>
    </row>
    <row r="56" spans="11:36" x14ac:dyDescent="0.2">
      <c r="L56" s="328"/>
      <c r="M56" s="329"/>
      <c r="O56" s="340"/>
      <c r="P56" s="332"/>
      <c r="Q56" s="342"/>
      <c r="R56" s="340"/>
      <c r="S56" s="343"/>
      <c r="T56" s="344"/>
      <c r="U56" s="344"/>
      <c r="V56" s="345"/>
      <c r="W56" s="340"/>
      <c r="X56" s="345"/>
      <c r="Y56" s="338"/>
      <c r="Z56" s="346"/>
      <c r="AA56" s="346"/>
      <c r="AB56" s="346"/>
      <c r="AC56" s="336"/>
      <c r="AD56" s="337"/>
      <c r="AE56" s="308"/>
      <c r="AF56" s="337"/>
      <c r="AG56" s="338"/>
      <c r="AH56" s="339"/>
      <c r="AI56" s="340"/>
      <c r="AJ56" s="341"/>
    </row>
    <row r="57" spans="11:36" x14ac:dyDescent="0.2">
      <c r="L57" s="328"/>
      <c r="M57" s="329"/>
      <c r="O57" s="340"/>
      <c r="P57" s="332"/>
      <c r="Q57" s="342"/>
      <c r="R57" s="340"/>
      <c r="S57" s="343"/>
      <c r="T57" s="344"/>
      <c r="U57" s="344"/>
      <c r="V57" s="345"/>
      <c r="W57" s="340"/>
      <c r="X57" s="345"/>
      <c r="Y57" s="338"/>
      <c r="Z57" s="346"/>
      <c r="AA57" s="346"/>
      <c r="AB57" s="346"/>
      <c r="AC57" s="336"/>
      <c r="AD57" s="337"/>
      <c r="AE57" s="308"/>
      <c r="AF57" s="337"/>
      <c r="AG57" s="338"/>
      <c r="AH57" s="339"/>
      <c r="AI57" s="340"/>
      <c r="AJ57" s="341"/>
    </row>
    <row r="58" spans="11:36" x14ac:dyDescent="0.2">
      <c r="L58" s="328"/>
      <c r="M58" s="329"/>
      <c r="O58" s="340"/>
      <c r="P58" s="332"/>
      <c r="Q58" s="342"/>
      <c r="R58" s="340"/>
      <c r="S58" s="343"/>
      <c r="T58" s="344"/>
      <c r="U58" s="344"/>
      <c r="V58" s="345"/>
      <c r="W58" s="340"/>
      <c r="X58" s="345"/>
      <c r="Y58" s="338"/>
      <c r="Z58" s="346"/>
      <c r="AA58" s="346"/>
      <c r="AB58" s="346"/>
      <c r="AC58" s="336"/>
      <c r="AD58" s="337"/>
      <c r="AE58" s="308"/>
      <c r="AF58" s="337"/>
      <c r="AG58" s="338"/>
      <c r="AH58" s="339"/>
      <c r="AI58" s="340"/>
      <c r="AJ58" s="341"/>
    </row>
    <row r="59" spans="11:36" x14ac:dyDescent="0.2">
      <c r="L59" s="328"/>
      <c r="M59" s="329"/>
      <c r="O59" s="340"/>
      <c r="P59" s="332"/>
      <c r="Q59" s="342"/>
      <c r="R59" s="340"/>
      <c r="S59" s="343"/>
      <c r="T59" s="344"/>
      <c r="U59" s="344"/>
      <c r="V59" s="345"/>
      <c r="W59" s="340"/>
      <c r="X59" s="345"/>
      <c r="Y59" s="338"/>
      <c r="Z59" s="346"/>
      <c r="AA59" s="346"/>
      <c r="AB59" s="346"/>
      <c r="AC59" s="336"/>
      <c r="AD59" s="337"/>
      <c r="AE59" s="308"/>
      <c r="AF59" s="337"/>
      <c r="AG59" s="338"/>
      <c r="AH59" s="339"/>
      <c r="AI59" s="340"/>
      <c r="AJ59" s="341"/>
    </row>
    <row r="60" spans="11:36" x14ac:dyDescent="0.2">
      <c r="L60" s="328"/>
      <c r="M60" s="329"/>
      <c r="O60" s="340"/>
      <c r="P60" s="332"/>
      <c r="Q60" s="342"/>
      <c r="R60" s="340"/>
      <c r="S60" s="343"/>
      <c r="T60" s="344"/>
      <c r="U60" s="344"/>
      <c r="V60" s="345"/>
      <c r="W60" s="340"/>
      <c r="X60" s="345"/>
      <c r="Y60" s="338"/>
      <c r="Z60" s="346"/>
      <c r="AA60" s="346"/>
      <c r="AB60" s="346"/>
      <c r="AC60" s="336"/>
      <c r="AD60" s="337"/>
      <c r="AE60" s="308"/>
      <c r="AF60" s="337"/>
      <c r="AG60" s="338"/>
      <c r="AH60" s="339"/>
      <c r="AI60" s="340"/>
      <c r="AJ60" s="341"/>
    </row>
    <row r="61" spans="11:36" x14ac:dyDescent="0.2">
      <c r="L61" s="328"/>
      <c r="M61" s="329"/>
      <c r="O61" s="340"/>
      <c r="P61" s="332"/>
      <c r="Q61" s="342"/>
      <c r="R61" s="340"/>
      <c r="S61" s="343"/>
      <c r="T61" s="344"/>
      <c r="U61" s="344"/>
      <c r="V61" s="345"/>
      <c r="W61" s="340"/>
      <c r="X61" s="345"/>
      <c r="Y61" s="338"/>
      <c r="Z61" s="346"/>
      <c r="AA61" s="346"/>
      <c r="AB61" s="346"/>
      <c r="AC61" s="336"/>
      <c r="AD61" s="337"/>
      <c r="AE61" s="308"/>
      <c r="AF61" s="337"/>
      <c r="AG61" s="338"/>
      <c r="AH61" s="339"/>
      <c r="AI61" s="340"/>
      <c r="AJ61" s="341"/>
    </row>
    <row r="62" spans="11:36" x14ac:dyDescent="0.2">
      <c r="L62" s="328"/>
      <c r="M62" s="329"/>
      <c r="O62" s="340"/>
      <c r="P62" s="332"/>
      <c r="Q62" s="342"/>
      <c r="R62" s="340"/>
      <c r="S62" s="343"/>
      <c r="T62" s="344"/>
      <c r="U62" s="344"/>
      <c r="V62" s="345"/>
      <c r="W62" s="340"/>
      <c r="X62" s="345"/>
      <c r="Y62" s="338"/>
      <c r="Z62" s="346"/>
      <c r="AA62" s="346"/>
      <c r="AB62" s="346"/>
      <c r="AC62" s="336"/>
      <c r="AD62" s="337"/>
      <c r="AE62" s="308"/>
      <c r="AF62" s="337"/>
      <c r="AG62" s="338"/>
      <c r="AH62" s="339"/>
      <c r="AI62" s="340"/>
      <c r="AJ62" s="341"/>
    </row>
    <row r="63" spans="11:36" x14ac:dyDescent="0.2">
      <c r="L63" s="328"/>
      <c r="M63" s="329"/>
      <c r="O63" s="340"/>
      <c r="P63" s="332"/>
      <c r="Q63" s="342"/>
      <c r="R63" s="340"/>
      <c r="S63" s="343"/>
      <c r="T63" s="344"/>
      <c r="U63" s="344"/>
      <c r="V63" s="345"/>
      <c r="W63" s="340"/>
      <c r="X63" s="345"/>
      <c r="Y63" s="338"/>
      <c r="Z63" s="346"/>
      <c r="AA63" s="346"/>
      <c r="AB63" s="346"/>
      <c r="AC63" s="336"/>
      <c r="AD63" s="337"/>
      <c r="AE63" s="308"/>
      <c r="AF63" s="337"/>
      <c r="AG63" s="338"/>
      <c r="AH63" s="339"/>
      <c r="AI63" s="340"/>
      <c r="AJ63" s="341"/>
    </row>
    <row r="64" spans="11:36" x14ac:dyDescent="0.2">
      <c r="L64" s="328"/>
      <c r="M64" s="329"/>
      <c r="O64" s="340"/>
      <c r="P64" s="332"/>
      <c r="Q64" s="342"/>
      <c r="R64" s="340"/>
      <c r="S64" s="343"/>
      <c r="T64" s="344"/>
      <c r="U64" s="344"/>
      <c r="V64" s="345"/>
      <c r="W64" s="340"/>
      <c r="X64" s="345"/>
      <c r="Y64" s="338"/>
      <c r="Z64" s="346"/>
      <c r="AA64" s="346"/>
      <c r="AB64" s="346"/>
      <c r="AC64" s="336"/>
      <c r="AD64" s="337"/>
      <c r="AE64" s="308"/>
      <c r="AF64" s="337"/>
      <c r="AG64" s="338"/>
      <c r="AH64" s="339"/>
      <c r="AI64" s="340"/>
      <c r="AJ64" s="341"/>
    </row>
    <row r="65" spans="12:36" x14ac:dyDescent="0.2">
      <c r="L65" s="328"/>
      <c r="M65" s="329"/>
      <c r="O65" s="340"/>
      <c r="P65" s="332"/>
      <c r="Q65" s="342"/>
      <c r="R65" s="340"/>
      <c r="S65" s="343"/>
      <c r="T65" s="344"/>
      <c r="U65" s="344"/>
      <c r="V65" s="345"/>
      <c r="W65" s="340"/>
      <c r="X65" s="345"/>
      <c r="Y65" s="338"/>
      <c r="Z65" s="346"/>
      <c r="AA65" s="346"/>
      <c r="AB65" s="346"/>
      <c r="AC65" s="336"/>
      <c r="AD65" s="337"/>
      <c r="AE65" s="308"/>
      <c r="AF65" s="337"/>
      <c r="AG65" s="338"/>
      <c r="AH65" s="339"/>
      <c r="AI65" s="340"/>
      <c r="AJ65" s="341"/>
    </row>
    <row r="66" spans="12:36" x14ac:dyDescent="0.2">
      <c r="L66" s="328"/>
      <c r="M66" s="329"/>
      <c r="O66" s="340"/>
      <c r="P66" s="332"/>
      <c r="Q66" s="342"/>
      <c r="R66" s="340"/>
      <c r="S66" s="343"/>
      <c r="T66" s="344"/>
      <c r="U66" s="344"/>
      <c r="V66" s="345"/>
      <c r="W66" s="340"/>
      <c r="X66" s="345"/>
      <c r="Y66" s="338"/>
      <c r="Z66" s="346"/>
      <c r="AA66" s="346"/>
      <c r="AB66" s="346"/>
      <c r="AC66" s="336"/>
      <c r="AD66" s="337"/>
      <c r="AE66" s="308"/>
      <c r="AF66" s="337"/>
      <c r="AG66" s="338"/>
      <c r="AH66" s="339"/>
      <c r="AI66" s="340"/>
      <c r="AJ66" s="341"/>
    </row>
    <row r="67" spans="12:36" x14ac:dyDescent="0.2">
      <c r="L67" s="328"/>
      <c r="M67" s="329"/>
      <c r="O67" s="340"/>
      <c r="P67" s="332"/>
      <c r="Q67" s="342"/>
      <c r="R67" s="340"/>
      <c r="S67" s="343"/>
      <c r="T67" s="344"/>
      <c r="U67" s="344"/>
      <c r="V67" s="345"/>
      <c r="W67" s="340"/>
      <c r="X67" s="345"/>
      <c r="Y67" s="338"/>
      <c r="Z67" s="346"/>
      <c r="AA67" s="346"/>
      <c r="AB67" s="346"/>
      <c r="AC67" s="336"/>
      <c r="AD67" s="337"/>
      <c r="AE67" s="308"/>
      <c r="AF67" s="337"/>
      <c r="AG67" s="338"/>
      <c r="AH67" s="339"/>
      <c r="AI67" s="340"/>
      <c r="AJ67" s="3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107</vt:i4>
      </vt:variant>
    </vt:vector>
  </HeadingPairs>
  <TitlesOfParts>
    <vt:vector size="128" baseType="lpstr">
      <vt:lpstr>18RIES01-9</vt:lpstr>
      <vt:lpstr>18RIES01-3</vt:lpstr>
      <vt:lpstr>18RIES4-7</vt:lpstr>
      <vt:lpstr>18RIES4-2</vt:lpstr>
      <vt:lpstr>18RIES4-13</vt:lpstr>
      <vt:lpstr>18RIES4-10</vt:lpstr>
      <vt:lpstr>18RIES02-6</vt:lpstr>
      <vt:lpstr>18RIES02-11</vt:lpstr>
      <vt:lpstr>18RIES02-13</vt:lpstr>
      <vt:lpstr>18RIES02-14</vt:lpstr>
      <vt:lpstr>IODP364_62-70</vt:lpstr>
      <vt:lpstr>IODP364_93-14</vt:lpstr>
      <vt:lpstr>IODP364_93-10</vt:lpstr>
      <vt:lpstr>IODP364_145-51</vt:lpstr>
      <vt:lpstr>IODP364_145-84</vt:lpstr>
      <vt:lpstr>Ries ZHe dating</vt:lpstr>
      <vt:lpstr>Sample Locations</vt:lpstr>
      <vt:lpstr>Total He concentration calc</vt:lpstr>
      <vt:lpstr>U-Th concentrations</vt:lpstr>
      <vt:lpstr>Regression_Ea_Do</vt:lpstr>
      <vt:lpstr>Closure Temperatures</vt:lpstr>
      <vt:lpstr>'18RIES01-3'!_Ref473625033</vt:lpstr>
      <vt:lpstr>'18RIES01-9'!_Ref473625033</vt:lpstr>
      <vt:lpstr>'18RIES02-11'!_Ref473625033</vt:lpstr>
      <vt:lpstr>'18RIES02-13'!_Ref473625033</vt:lpstr>
      <vt:lpstr>'18RIES02-14'!_Ref473625033</vt:lpstr>
      <vt:lpstr>'18RIES02-6'!_Ref473625033</vt:lpstr>
      <vt:lpstr>'18RIES4-10'!_Ref473625033</vt:lpstr>
      <vt:lpstr>'18RIES4-13'!_Ref473625033</vt:lpstr>
      <vt:lpstr>'18RIES4-2'!_Ref473625033</vt:lpstr>
      <vt:lpstr>'18RIES4-7'!_Ref473625033</vt:lpstr>
      <vt:lpstr>'IODP364_145-51'!_Ref473625033</vt:lpstr>
      <vt:lpstr>'IODP364_145-84'!_Ref473625033</vt:lpstr>
      <vt:lpstr>'IODP364_62-70'!_Ref473625033</vt:lpstr>
      <vt:lpstr>'IODP364_93-10'!_Ref473625033</vt:lpstr>
      <vt:lpstr>'IODP364_93-14'!_Ref473625033</vt:lpstr>
      <vt:lpstr>'18RIES01-3'!_Ref474054563</vt:lpstr>
      <vt:lpstr>'18RIES01-9'!_Ref474054563</vt:lpstr>
      <vt:lpstr>'18RIES02-11'!_Ref474054563</vt:lpstr>
      <vt:lpstr>'18RIES02-13'!_Ref474054563</vt:lpstr>
      <vt:lpstr>'18RIES02-14'!_Ref474054563</vt:lpstr>
      <vt:lpstr>'18RIES02-6'!_Ref474054563</vt:lpstr>
      <vt:lpstr>'18RIES4-10'!_Ref474054563</vt:lpstr>
      <vt:lpstr>'18RIES4-13'!_Ref474054563</vt:lpstr>
      <vt:lpstr>'18RIES4-2'!_Ref474054563</vt:lpstr>
      <vt:lpstr>'18RIES4-7'!_Ref474054563</vt:lpstr>
      <vt:lpstr>'IODP364_145-51'!_Ref474054563</vt:lpstr>
      <vt:lpstr>'IODP364_145-84'!_Ref474054563</vt:lpstr>
      <vt:lpstr>'IODP364_62-70'!_Ref474054563</vt:lpstr>
      <vt:lpstr>'IODP364_93-10'!_Ref474054563</vt:lpstr>
      <vt:lpstr>'IODP364_93-14'!_Ref474054563</vt:lpstr>
      <vt:lpstr>'18RIES01-3'!_Ref474054575</vt:lpstr>
      <vt:lpstr>'18RIES01-9'!_Ref474054575</vt:lpstr>
      <vt:lpstr>'18RIES02-11'!_Ref474054575</vt:lpstr>
      <vt:lpstr>'18RIES02-13'!_Ref474054575</vt:lpstr>
      <vt:lpstr>'18RIES02-14'!_Ref474054575</vt:lpstr>
      <vt:lpstr>'18RIES02-6'!_Ref474054575</vt:lpstr>
      <vt:lpstr>'18RIES4-10'!_Ref474054575</vt:lpstr>
      <vt:lpstr>'18RIES4-13'!_Ref474054575</vt:lpstr>
      <vt:lpstr>'18RIES4-2'!_Ref474054575</vt:lpstr>
      <vt:lpstr>'18RIES4-7'!_Ref474054575</vt:lpstr>
      <vt:lpstr>'IODP364_145-51'!_Ref474054575</vt:lpstr>
      <vt:lpstr>'IODP364_145-84'!_Ref474054575</vt:lpstr>
      <vt:lpstr>'IODP364_62-70'!_Ref474054575</vt:lpstr>
      <vt:lpstr>'IODP364_93-10'!_Ref474054575</vt:lpstr>
      <vt:lpstr>'IODP364_93-14'!_Ref474054575</vt:lpstr>
      <vt:lpstr>'18RIES01-3'!_Ref474056061</vt:lpstr>
      <vt:lpstr>'18RIES01-9'!_Ref474056061</vt:lpstr>
      <vt:lpstr>'18RIES02-11'!_Ref474056061</vt:lpstr>
      <vt:lpstr>'18RIES02-13'!_Ref474056061</vt:lpstr>
      <vt:lpstr>'18RIES02-14'!_Ref474056061</vt:lpstr>
      <vt:lpstr>'18RIES02-6'!_Ref474056061</vt:lpstr>
      <vt:lpstr>'18RIES4-10'!_Ref474056061</vt:lpstr>
      <vt:lpstr>'18RIES4-13'!_Ref474056061</vt:lpstr>
      <vt:lpstr>'18RIES4-2'!_Ref474056061</vt:lpstr>
      <vt:lpstr>'18RIES4-7'!_Ref474056061</vt:lpstr>
      <vt:lpstr>'IODP364_145-51'!_Ref474056061</vt:lpstr>
      <vt:lpstr>'IODP364_145-84'!_Ref474056061</vt:lpstr>
      <vt:lpstr>'IODP364_62-70'!_Ref474056061</vt:lpstr>
      <vt:lpstr>'IODP364_93-10'!_Ref474056061</vt:lpstr>
      <vt:lpstr>'IODP364_93-14'!_Ref474056061</vt:lpstr>
      <vt:lpstr>'18RIES01-3'!_Ref474056112</vt:lpstr>
      <vt:lpstr>'18RIES01-9'!_Ref474056112</vt:lpstr>
      <vt:lpstr>'18RIES02-11'!_Ref474056112</vt:lpstr>
      <vt:lpstr>'18RIES02-13'!_Ref474056112</vt:lpstr>
      <vt:lpstr>'18RIES02-14'!_Ref474056112</vt:lpstr>
      <vt:lpstr>'18RIES02-6'!_Ref474056112</vt:lpstr>
      <vt:lpstr>'18RIES4-10'!_Ref474056112</vt:lpstr>
      <vt:lpstr>'18RIES4-13'!_Ref474056112</vt:lpstr>
      <vt:lpstr>'18RIES4-2'!_Ref474056112</vt:lpstr>
      <vt:lpstr>'18RIES4-7'!_Ref474056112</vt:lpstr>
      <vt:lpstr>'IODP364_145-51'!_Ref474056112</vt:lpstr>
      <vt:lpstr>'IODP364_145-84'!_Ref474056112</vt:lpstr>
      <vt:lpstr>'IODP364_62-70'!_Ref474056112</vt:lpstr>
      <vt:lpstr>'IODP364_93-10'!_Ref474056112</vt:lpstr>
      <vt:lpstr>'IODP364_93-14'!_Ref474056112</vt:lpstr>
      <vt:lpstr>'18RIES01-3'!_Ref474169057</vt:lpstr>
      <vt:lpstr>'18RIES01-9'!_Ref474169057</vt:lpstr>
      <vt:lpstr>'18RIES02-11'!_Ref474169057</vt:lpstr>
      <vt:lpstr>'18RIES02-13'!_Ref474169057</vt:lpstr>
      <vt:lpstr>'18RIES02-14'!_Ref474169057</vt:lpstr>
      <vt:lpstr>'18RIES02-6'!_Ref474169057</vt:lpstr>
      <vt:lpstr>'18RIES4-10'!_Ref474169057</vt:lpstr>
      <vt:lpstr>'18RIES4-13'!_Ref474169057</vt:lpstr>
      <vt:lpstr>'18RIES4-2'!_Ref474169057</vt:lpstr>
      <vt:lpstr>'18RIES4-7'!_Ref474169057</vt:lpstr>
      <vt:lpstr>'IODP364_145-51'!_Ref474169057</vt:lpstr>
      <vt:lpstr>'IODP364_145-84'!_Ref474169057</vt:lpstr>
      <vt:lpstr>'IODP364_62-70'!_Ref474169057</vt:lpstr>
      <vt:lpstr>'IODP364_93-10'!_Ref474169057</vt:lpstr>
      <vt:lpstr>'IODP364_93-14'!_Ref474169057</vt:lpstr>
      <vt:lpstr>'18RIES01-3'!_Ref474169171</vt:lpstr>
      <vt:lpstr>'18RIES01-9'!_Ref474169171</vt:lpstr>
      <vt:lpstr>'18RIES02-11'!_Ref474169171</vt:lpstr>
      <vt:lpstr>'18RIES02-13'!_Ref474169171</vt:lpstr>
      <vt:lpstr>'18RIES02-14'!_Ref474169171</vt:lpstr>
      <vt:lpstr>'18RIES02-6'!_Ref474169171</vt:lpstr>
      <vt:lpstr>'18RIES4-10'!_Ref474169171</vt:lpstr>
      <vt:lpstr>'18RIES4-13'!_Ref474169171</vt:lpstr>
      <vt:lpstr>'18RIES4-2'!_Ref474169171</vt:lpstr>
      <vt:lpstr>'18RIES4-7'!_Ref474169171</vt:lpstr>
      <vt:lpstr>'IODP364_145-51'!_Ref474169171</vt:lpstr>
      <vt:lpstr>'IODP364_145-84'!_Ref474169171</vt:lpstr>
      <vt:lpstr>'IODP364_62-70'!_Ref474169171</vt:lpstr>
      <vt:lpstr>'IODP364_93-10'!_Ref474169171</vt:lpstr>
      <vt:lpstr>'IODP364_93-14'!_Ref474169171</vt:lpstr>
      <vt:lpstr>'Total He concentration calc'!slvmv</vt:lpstr>
      <vt:lpstr>'Total He concentration calc'!Solver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Ross</dc:creator>
  <cp:lastModifiedBy>Ross, Catherine</cp:lastModifiedBy>
  <dcterms:created xsi:type="dcterms:W3CDTF">2022-06-20T16:11:19Z</dcterms:created>
  <dcterms:modified xsi:type="dcterms:W3CDTF">2023-12-22T20:32:02Z</dcterms:modified>
</cp:coreProperties>
</file>