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garetcatherman/Downloads/"/>
    </mc:Choice>
  </mc:AlternateContent>
  <xr:revisionPtr revIDLastSave="0" documentId="13_ncr:1_{BBB6C012-DBBD-2643-AE43-BA82557CEC3F}" xr6:coauthVersionLast="47" xr6:coauthVersionMax="47" xr10:uidLastSave="{00000000-0000-0000-0000-000000000000}"/>
  <bookViews>
    <workbookView xWindow="11060" yWindow="460" windowWidth="14540" windowHeight="14400" tabRatio="832" firstSheet="14" activeTab="16" xr2:uid="{00000000-000D-0000-FFFF-FFFF00000000}"/>
  </bookViews>
  <sheets>
    <sheet name="Input_Sheet" sheetId="31" r:id="rId1"/>
    <sheet name="Historicals --&gt;" sheetId="18" r:id="rId2"/>
    <sheet name="Income Statement" sheetId="1" r:id="rId3"/>
    <sheet name="Balance Sheet" sheetId="2" r:id="rId4"/>
    <sheet name="Forecasts --&gt;" sheetId="19" r:id="rId5"/>
    <sheet name="IS Hist Forecast" sheetId="4" r:id="rId6"/>
    <sheet name="BAL Hist Forecast" sheetId="5" r:id="rId7"/>
    <sheet name="CF Statement Forecast" sheetId="3" r:id="rId8"/>
    <sheet name="Valuations --&gt;" sheetId="20" r:id="rId9"/>
    <sheet name="DCF Analysis" sheetId="7" r:id="rId10"/>
    <sheet name="Support --&gt;" sheetId="10" r:id="rId11"/>
    <sheet name="Supporting Schedules" sheetId="6" r:id="rId12"/>
    <sheet name="Comparable_Analysis_Football--&gt;" sheetId="32" r:id="rId13"/>
    <sheet name="Football Field" sheetId="17" r:id="rId14"/>
    <sheet name="Multiple Valuation" sheetId="16" r:id="rId15"/>
    <sheet name="WACC_Growth_Sensitivity--&gt;" sheetId="33" r:id="rId16"/>
    <sheet name="WACC and Growth" sheetId="13" r:id="rId17"/>
    <sheet name="MV Debt and Weighted YTM (Rd)" sheetId="34" r:id="rId18"/>
    <sheet name="Debt details" sheetId="30" r:id="rId19"/>
    <sheet name="Required return equity, (Re)" sheetId="14" r:id="rId20"/>
    <sheet name="Beta computation" sheetId="12" r:id="rId21"/>
    <sheet name="WACC_growth_HARDCODE" sheetId="25" r:id="rId22"/>
  </sheets>
  <definedNames>
    <definedName name="_xlnm._FilterDatabase" localSheetId="20" hidden="1">'Beta computation'!$C$1:$M$1</definedName>
    <definedName name="_xlnm._FilterDatabase" localSheetId="18" hidden="1">'Debt details'!$B$5:$B$728</definedName>
    <definedName name="DCF">'DCF Analysis'!$B$2:$H$24</definedName>
    <definedName name="DCF_analysis_test">#REF!</definedName>
    <definedName name="_xlnm.Extract" localSheetId="18">'Debt details'!$W$1</definedName>
    <definedName name="_xlnm.Print_Area" localSheetId="6">'BAL Hist Forecast'!$A$1:$K$49</definedName>
    <definedName name="_xlnm.Print_Area" localSheetId="7">'CF Statement Forecast'!$A$1:$G$35</definedName>
    <definedName name="_xlnm.Print_Area" localSheetId="9">'DCF Analysis'!$A$1:$H$24</definedName>
    <definedName name="_xlnm.Print_Area" localSheetId="5">'IS Hist Forecast'!$A$1:$K$26</definedName>
    <definedName name="_xlnm.Print_Area" localSheetId="14">'Multiple Valuation'!$A$1:$H$79</definedName>
    <definedName name="_xlnm.Print_Area" localSheetId="16">'WACC and Growth'!$A$1:$J$20,'WACC and Growth'!$N$5:$T$17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3" l="1"/>
  <c r="D20" i="7" l="1"/>
  <c r="B10" i="13" l="1"/>
  <c r="H7" i="34"/>
  <c r="B16" i="13"/>
  <c r="B12" i="13"/>
  <c r="J32" i="34" a="1"/>
  <c r="J32" i="34"/>
  <c r="H33" i="34"/>
  <c r="F35" i="34"/>
  <c r="J31" i="34" a="1"/>
  <c r="J31" i="34"/>
  <c r="J30" i="34" a="1"/>
  <c r="J30" i="34"/>
  <c r="J29" i="34" a="1"/>
  <c r="J29" i="34"/>
  <c r="J28" i="34" a="1"/>
  <c r="J28" i="34"/>
  <c r="J27" i="34" a="1"/>
  <c r="J27" i="34"/>
  <c r="J26" i="34" a="1"/>
  <c r="J26" i="34"/>
  <c r="J25" i="34" a="1"/>
  <c r="J25" i="34"/>
  <c r="J24" i="34" a="1"/>
  <c r="J24" i="34"/>
  <c r="J23" i="34" a="1"/>
  <c r="J23" i="34"/>
  <c r="J22" i="34" a="1"/>
  <c r="J22" i="34"/>
  <c r="J21" i="34" a="1"/>
  <c r="J21" i="34"/>
  <c r="J20" i="34" a="1"/>
  <c r="J20" i="34"/>
  <c r="J19" i="34" a="1"/>
  <c r="J19" i="34"/>
  <c r="J18" i="34" a="1"/>
  <c r="J18" i="34"/>
  <c r="J17" i="34" a="1"/>
  <c r="J17" i="34"/>
  <c r="J16" i="34" a="1"/>
  <c r="J16" i="34"/>
  <c r="J15" i="34" a="1"/>
  <c r="J15" i="34"/>
  <c r="J14" i="34" a="1"/>
  <c r="J14" i="34"/>
  <c r="J13" i="34" a="1"/>
  <c r="J13" i="34"/>
  <c r="J12" i="34" a="1"/>
  <c r="J12" i="34"/>
  <c r="J11" i="34" a="1"/>
  <c r="J11" i="34"/>
  <c r="J10" i="34" a="1"/>
  <c r="J10" i="34"/>
  <c r="J9" i="34" a="1"/>
  <c r="J9" i="34"/>
  <c r="J8" i="34" a="1"/>
  <c r="J8" i="34"/>
  <c r="J7" i="34" a="1"/>
  <c r="J7" i="34"/>
  <c r="H32" i="34"/>
  <c r="H31" i="34"/>
  <c r="H30" i="34"/>
  <c r="H29" i="34"/>
  <c r="H28" i="34"/>
  <c r="H27" i="34"/>
  <c r="H26" i="34"/>
  <c r="H25" i="34"/>
  <c r="H24" i="34"/>
  <c r="H23" i="34"/>
  <c r="H22" i="34"/>
  <c r="H21" i="34"/>
  <c r="H20" i="34"/>
  <c r="H19" i="34"/>
  <c r="H18" i="34"/>
  <c r="H17" i="34"/>
  <c r="H16" i="34"/>
  <c r="H15" i="34"/>
  <c r="H14" i="34"/>
  <c r="H13" i="34"/>
  <c r="H12" i="34"/>
  <c r="H11" i="34"/>
  <c r="H10" i="34"/>
  <c r="H9" i="34"/>
  <c r="H8" i="34"/>
  <c r="H40" i="34"/>
  <c r="H39" i="34"/>
  <c r="H42" i="34" s="1"/>
  <c r="B48" i="34" s="1"/>
  <c r="I39" i="34"/>
  <c r="G7" i="34" a="1"/>
  <c r="G7" i="34"/>
  <c r="B8" i="13"/>
  <c r="B11" i="13" s="1"/>
  <c r="B17" i="13"/>
  <c r="B7" i="13" s="1"/>
  <c r="O2" i="12"/>
  <c r="X15" i="12"/>
  <c r="X12" i="12"/>
  <c r="K39" i="34"/>
  <c r="I40" i="34"/>
  <c r="K40" i="34" s="1"/>
  <c r="G32" i="34" a="1"/>
  <c r="G32" i="34"/>
  <c r="G31" i="34" a="1"/>
  <c r="G31" i="34"/>
  <c r="G30" i="34" a="1"/>
  <c r="G30" i="34"/>
  <c r="G28" i="34" a="1"/>
  <c r="G28" i="34"/>
  <c r="G27" i="34" a="1"/>
  <c r="G27" i="34"/>
  <c r="G26" i="34" a="1"/>
  <c r="G26" i="34"/>
  <c r="G25" i="34" a="1"/>
  <c r="G25" i="34"/>
  <c r="G24" i="34" a="1"/>
  <c r="G24" i="34"/>
  <c r="G23" i="34" a="1"/>
  <c r="G23" i="34"/>
  <c r="G22" i="34" a="1"/>
  <c r="G22" i="34"/>
  <c r="G21" i="34" a="1"/>
  <c r="G21" i="34"/>
  <c r="G20" i="34" a="1"/>
  <c r="G20" i="34"/>
  <c r="G19" i="34" a="1"/>
  <c r="G19" i="34"/>
  <c r="G18" i="34" a="1"/>
  <c r="G18" i="34"/>
  <c r="G17" i="34" a="1"/>
  <c r="G17" i="34"/>
  <c r="G16" i="34" a="1"/>
  <c r="G16" i="34"/>
  <c r="G15" i="34" a="1"/>
  <c r="G15" i="34"/>
  <c r="G14" i="34" a="1"/>
  <c r="G14" i="34"/>
  <c r="G13" i="34" a="1"/>
  <c r="G13" i="34"/>
  <c r="G12" i="34" a="1"/>
  <c r="G12" i="34"/>
  <c r="G11" i="34" a="1"/>
  <c r="G11" i="34"/>
  <c r="G10" i="34" a="1"/>
  <c r="G10" i="34"/>
  <c r="G9" i="34" a="1"/>
  <c r="G9" i="34"/>
  <c r="G8" i="34" a="1"/>
  <c r="G8" i="34"/>
  <c r="G29" i="34" a="1"/>
  <c r="G29" i="34"/>
  <c r="S5" i="17"/>
  <c r="S3" i="17"/>
  <c r="R5" i="17"/>
  <c r="R3" i="17"/>
  <c r="Q5" i="17"/>
  <c r="Q3" i="17"/>
  <c r="P5" i="17"/>
  <c r="P3" i="17"/>
  <c r="O5" i="17"/>
  <c r="O3" i="17"/>
  <c r="K5" i="17"/>
  <c r="K3" i="17"/>
  <c r="I5" i="17"/>
  <c r="I3" i="17"/>
  <c r="J5" i="17"/>
  <c r="J3" i="17"/>
  <c r="L5" i="17"/>
  <c r="L3" i="17"/>
  <c r="H5" i="17"/>
  <c r="H3" i="17"/>
  <c r="B71" i="16"/>
  <c r="F64" i="16"/>
  <c r="B55" i="16"/>
  <c r="B57" i="16" s="1"/>
  <c r="B62" i="16" s="1"/>
  <c r="F48" i="16"/>
  <c r="B74" i="16"/>
  <c r="B77" i="16" s="1"/>
  <c r="G69" i="16" s="1"/>
  <c r="B58" i="16"/>
  <c r="B61" i="16" s="1"/>
  <c r="G53" i="16" s="1"/>
  <c r="B72" i="16"/>
  <c r="B76" i="16" s="1"/>
  <c r="G67" i="16" s="1"/>
  <c r="B73" i="16"/>
  <c r="B78" i="16" s="1"/>
  <c r="B56" i="16"/>
  <c r="B60" i="16" s="1"/>
  <c r="G51" i="16" s="1"/>
  <c r="G37" i="16"/>
  <c r="G35" i="16"/>
  <c r="G21" i="16"/>
  <c r="G19" i="16"/>
  <c r="B46" i="16"/>
  <c r="B45" i="16"/>
  <c r="B44" i="16"/>
  <c r="B41" i="16"/>
  <c r="B40" i="16"/>
  <c r="B42" i="16"/>
  <c r="B39" i="16"/>
  <c r="F32" i="16"/>
  <c r="B23" i="16"/>
  <c r="B25" i="16" s="1"/>
  <c r="B30" i="16" s="1"/>
  <c r="F16" i="16"/>
  <c r="F4" i="16"/>
  <c r="B24" i="16"/>
  <c r="B28" i="16" s="1"/>
  <c r="B26" i="16"/>
  <c r="B29" i="16" s="1"/>
  <c r="B9" i="16"/>
  <c r="B13" i="16" s="1"/>
  <c r="B7" i="16"/>
  <c r="B14" i="16" s="1"/>
  <c r="B6" i="16"/>
  <c r="B12" i="16" s="1"/>
  <c r="D57" i="16"/>
  <c r="D62" i="16"/>
  <c r="D28" i="16"/>
  <c r="D12" i="16"/>
  <c r="D29" i="16"/>
  <c r="D74" i="16"/>
  <c r="D61" i="16"/>
  <c r="D24" i="16"/>
  <c r="D73" i="16"/>
  <c r="D7" i="16"/>
  <c r="D45" i="16"/>
  <c r="D77" i="16"/>
  <c r="D72" i="16"/>
  <c r="D46" i="16"/>
  <c r="D76" i="16"/>
  <c r="D6" i="16"/>
  <c r="D56" i="16"/>
  <c r="D13" i="16"/>
  <c r="D41" i="16"/>
  <c r="D9" i="16"/>
  <c r="D26" i="16"/>
  <c r="C13" i="13"/>
  <c r="D78" i="16"/>
  <c r="D60" i="16"/>
  <c r="D40" i="16"/>
  <c r="D14" i="16"/>
  <c r="D58" i="16"/>
  <c r="D30" i="16"/>
  <c r="D25" i="16"/>
  <c r="D44" i="16"/>
  <c r="D42" i="16"/>
  <c r="G36" i="16" l="1"/>
  <c r="G20" i="16"/>
  <c r="G68" i="16"/>
  <c r="G52" i="16"/>
  <c r="K42" i="34"/>
  <c r="D48" i="34" s="1"/>
  <c r="H35" i="34"/>
  <c r="I7" i="34" s="1"/>
  <c r="K7" i="34" s="1"/>
  <c r="I8" i="34"/>
  <c r="K8" i="34" s="1"/>
  <c r="I9" i="34"/>
  <c r="K9" i="34" s="1"/>
  <c r="I10" i="34"/>
  <c r="K10" i="34" s="1"/>
  <c r="I11" i="34"/>
  <c r="K11" i="34" s="1"/>
  <c r="I12" i="34"/>
  <c r="K12" i="34" s="1"/>
  <c r="I13" i="34"/>
  <c r="K13" i="34" s="1"/>
  <c r="I14" i="34"/>
  <c r="K14" i="34" s="1"/>
  <c r="I15" i="34"/>
  <c r="K15" i="34" s="1"/>
  <c r="I16" i="34"/>
  <c r="K16" i="34" s="1"/>
  <c r="I17" i="34"/>
  <c r="K17" i="34" s="1"/>
  <c r="I18" i="34"/>
  <c r="K18" i="34" s="1"/>
  <c r="I19" i="34"/>
  <c r="K19" i="34" s="1"/>
  <c r="I20" i="34"/>
  <c r="K20" i="34" s="1"/>
  <c r="I21" i="34"/>
  <c r="K21" i="34" s="1"/>
  <c r="I22" i="34"/>
  <c r="K22" i="34" s="1"/>
  <c r="I23" i="34"/>
  <c r="K23" i="34" s="1"/>
  <c r="I24" i="34"/>
  <c r="K24" i="34" s="1"/>
  <c r="I25" i="34"/>
  <c r="K25" i="34" s="1"/>
  <c r="I26" i="34"/>
  <c r="K26" i="34" s="1"/>
  <c r="I27" i="34"/>
  <c r="K27" i="34" s="1"/>
  <c r="I28" i="34"/>
  <c r="K28" i="34" s="1"/>
  <c r="I29" i="34"/>
  <c r="K29" i="34" s="1"/>
  <c r="I30" i="34"/>
  <c r="K30" i="34" s="1"/>
  <c r="I31" i="34"/>
  <c r="K31" i="34" s="1"/>
  <c r="I32" i="34"/>
  <c r="K32" i="34" s="1"/>
  <c r="I33" i="34"/>
  <c r="K33" i="34" s="1"/>
  <c r="E33" i="5"/>
  <c r="E34" i="5" s="1"/>
  <c r="F33" i="5"/>
  <c r="F34" i="5" s="1"/>
  <c r="D33" i="5"/>
  <c r="D34" i="5" s="1"/>
  <c r="E24" i="5"/>
  <c r="F24" i="5"/>
  <c r="D24" i="5"/>
  <c r="E20" i="5"/>
  <c r="F20" i="5"/>
  <c r="D20" i="5"/>
  <c r="E15" i="5"/>
  <c r="F15" i="5"/>
  <c r="D15" i="5"/>
  <c r="F12" i="5"/>
  <c r="E12" i="5"/>
  <c r="D12" i="5"/>
  <c r="E10" i="5"/>
  <c r="F10" i="5"/>
  <c r="D10" i="5"/>
  <c r="E11" i="7"/>
  <c r="F11" i="7"/>
  <c r="F15" i="6"/>
  <c r="G15" i="6"/>
  <c r="E13" i="6"/>
  <c r="F13" i="6"/>
  <c r="G13" i="6"/>
  <c r="E11" i="6"/>
  <c r="F11" i="6"/>
  <c r="G11" i="6"/>
  <c r="D11" i="6"/>
  <c r="F10" i="6"/>
  <c r="G10" i="6"/>
  <c r="E10" i="6"/>
  <c r="D10" i="6"/>
  <c r="E8" i="6"/>
  <c r="F8" i="6"/>
  <c r="G8" i="6"/>
  <c r="F7" i="6"/>
  <c r="G7" i="6"/>
  <c r="E7" i="6"/>
  <c r="D7" i="6"/>
  <c r="F6" i="6"/>
  <c r="G6" i="6"/>
  <c r="E6" i="6"/>
  <c r="D6" i="6"/>
  <c r="D8" i="6" s="1"/>
  <c r="D13" i="6" s="1"/>
  <c r="E15" i="6" s="1"/>
  <c r="D11" i="7" s="1"/>
  <c r="F5" i="6"/>
  <c r="G5" i="6"/>
  <c r="E5" i="6"/>
  <c r="D5" i="6"/>
  <c r="E8" i="7"/>
  <c r="F8" i="7"/>
  <c r="D8" i="7"/>
  <c r="E7" i="7"/>
  <c r="F7" i="7"/>
  <c r="D7" i="7"/>
  <c r="E5" i="7"/>
  <c r="F5" i="7"/>
  <c r="D5" i="7"/>
  <c r="D31" i="3"/>
  <c r="F27" i="3"/>
  <c r="E27" i="3"/>
  <c r="D27" i="3"/>
  <c r="F25" i="3"/>
  <c r="E25" i="3"/>
  <c r="D25" i="3"/>
  <c r="F24" i="3"/>
  <c r="E24" i="3"/>
  <c r="D24" i="3"/>
  <c r="J21" i="5"/>
  <c r="I21" i="5"/>
  <c r="D23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H16" i="4"/>
  <c r="D26" i="3" s="1"/>
  <c r="E26" i="4"/>
  <c r="F26" i="4"/>
  <c r="D26" i="4"/>
  <c r="E15" i="4"/>
  <c r="F15" i="4"/>
  <c r="D15" i="4"/>
  <c r="E13" i="4"/>
  <c r="F13" i="4"/>
  <c r="D13" i="4"/>
  <c r="E11" i="4"/>
  <c r="F11" i="4"/>
  <c r="D11" i="4"/>
  <c r="E8" i="4"/>
  <c r="E49" i="5" s="1"/>
  <c r="F8" i="4"/>
  <c r="D8" i="4"/>
  <c r="F24" i="4"/>
  <c r="E23" i="4"/>
  <c r="F23" i="4"/>
  <c r="D23" i="4"/>
  <c r="J32" i="5"/>
  <c r="I32" i="5"/>
  <c r="H32" i="5"/>
  <c r="J30" i="5"/>
  <c r="I30" i="5"/>
  <c r="H30" i="5"/>
  <c r="H29" i="5"/>
  <c r="I29" i="5" s="1"/>
  <c r="J29" i="5" s="1"/>
  <c r="J28" i="5"/>
  <c r="I28" i="5"/>
  <c r="H28" i="5"/>
  <c r="J27" i="5"/>
  <c r="I27" i="5"/>
  <c r="H27" i="5"/>
  <c r="J26" i="5"/>
  <c r="I26" i="5"/>
  <c r="H26" i="5"/>
  <c r="I23" i="5"/>
  <c r="J23" i="5"/>
  <c r="H23" i="5"/>
  <c r="I22" i="5"/>
  <c r="J22" i="5"/>
  <c r="H22" i="5"/>
  <c r="H21" i="5"/>
  <c r="I18" i="5"/>
  <c r="J18" i="5"/>
  <c r="H18" i="5"/>
  <c r="E51" i="5"/>
  <c r="F51" i="5"/>
  <c r="D51" i="5"/>
  <c r="I14" i="5"/>
  <c r="J14" i="5"/>
  <c r="H14" i="5"/>
  <c r="I11" i="5"/>
  <c r="J11" i="5"/>
  <c r="H11" i="5"/>
  <c r="D4" i="5"/>
  <c r="E4" i="5"/>
  <c r="F4" i="5"/>
  <c r="D5" i="5"/>
  <c r="E5" i="5"/>
  <c r="F5" i="5"/>
  <c r="D7" i="5"/>
  <c r="E7" i="5"/>
  <c r="F7" i="5"/>
  <c r="D8" i="5"/>
  <c r="D46" i="5" s="1"/>
  <c r="H46" i="5" s="1"/>
  <c r="E8" i="5"/>
  <c r="F8" i="5"/>
  <c r="D9" i="5"/>
  <c r="D47" i="5" s="1"/>
  <c r="H47" i="5" s="1"/>
  <c r="E9" i="5"/>
  <c r="F9" i="5"/>
  <c r="F47" i="5" s="1"/>
  <c r="D11" i="5"/>
  <c r="E11" i="5"/>
  <c r="F11" i="5"/>
  <c r="D13" i="5"/>
  <c r="E13" i="5"/>
  <c r="F13" i="5"/>
  <c r="D14" i="5"/>
  <c r="D50" i="5" s="1"/>
  <c r="E14" i="5"/>
  <c r="F14" i="5"/>
  <c r="F50" i="5" s="1"/>
  <c r="D17" i="5"/>
  <c r="E17" i="5"/>
  <c r="F17" i="5"/>
  <c r="H51" i="5" s="1"/>
  <c r="I51" i="5" s="1"/>
  <c r="J51" i="5" s="1"/>
  <c r="J17" i="5" s="1"/>
  <c r="D18" i="5"/>
  <c r="E18" i="5"/>
  <c r="E52" i="5" s="1"/>
  <c r="H52" i="5" s="1"/>
  <c r="I52" i="5" s="1"/>
  <c r="J52" i="5" s="1"/>
  <c r="F18" i="5"/>
  <c r="D19" i="5"/>
  <c r="E19" i="5"/>
  <c r="F19" i="5"/>
  <c r="D21" i="5"/>
  <c r="E21" i="5"/>
  <c r="F21" i="5"/>
  <c r="D22" i="5"/>
  <c r="E22" i="5"/>
  <c r="F22" i="5"/>
  <c r="D23" i="5"/>
  <c r="D56" i="5" s="1"/>
  <c r="E23" i="5"/>
  <c r="F23" i="5"/>
  <c r="F56" i="5" s="1"/>
  <c r="D26" i="5"/>
  <c r="E26" i="5"/>
  <c r="F26" i="5"/>
  <c r="D27" i="5"/>
  <c r="E27" i="5"/>
  <c r="F27" i="5"/>
  <c r="D28" i="5"/>
  <c r="E28" i="5"/>
  <c r="F28" i="5"/>
  <c r="D29" i="5"/>
  <c r="E29" i="5"/>
  <c r="F29" i="5"/>
  <c r="D30" i="5"/>
  <c r="E30" i="5"/>
  <c r="F30" i="5"/>
  <c r="D31" i="5"/>
  <c r="E31" i="5"/>
  <c r="F31" i="5"/>
  <c r="D32" i="5"/>
  <c r="E32" i="5"/>
  <c r="F32" i="5"/>
  <c r="D36" i="5"/>
  <c r="E36" i="5"/>
  <c r="F36" i="5"/>
  <c r="D37" i="5"/>
  <c r="E37" i="5"/>
  <c r="F37" i="5"/>
  <c r="D38" i="5"/>
  <c r="E38" i="5"/>
  <c r="F38" i="5"/>
  <c r="D39" i="5"/>
  <c r="E39" i="5"/>
  <c r="F39" i="5"/>
  <c r="D44" i="5"/>
  <c r="E44" i="5"/>
  <c r="F44" i="5"/>
  <c r="H44" i="5"/>
  <c r="H5" i="5" s="1"/>
  <c r="D45" i="5"/>
  <c r="E45" i="5"/>
  <c r="F45" i="5"/>
  <c r="H45" i="5"/>
  <c r="H7" i="5" s="1"/>
  <c r="E46" i="5"/>
  <c r="F46" i="5"/>
  <c r="E47" i="5"/>
  <c r="D48" i="5"/>
  <c r="E48" i="5"/>
  <c r="F48" i="5"/>
  <c r="H48" i="5"/>
  <c r="F49" i="5"/>
  <c r="I49" i="5"/>
  <c r="J49" i="5"/>
  <c r="E50" i="5"/>
  <c r="D52" i="5"/>
  <c r="F52" i="5"/>
  <c r="D55" i="5"/>
  <c r="E55" i="5"/>
  <c r="H55" i="5" s="1"/>
  <c r="I55" i="5" s="1"/>
  <c r="J55" i="5" s="1"/>
  <c r="F55" i="5"/>
  <c r="E56" i="5"/>
  <c r="H25" i="4"/>
  <c r="I25" i="4" s="1"/>
  <c r="J25" i="4" s="1"/>
  <c r="I16" i="4"/>
  <c r="E26" i="3" s="1"/>
  <c r="J16" i="4"/>
  <c r="F26" i="3" s="1"/>
  <c r="J4" i="4"/>
  <c r="J6" i="4" s="1"/>
  <c r="I4" i="4"/>
  <c r="I5" i="4" s="1"/>
  <c r="J22" i="4"/>
  <c r="J20" i="4"/>
  <c r="J19" i="4"/>
  <c r="I26" i="4"/>
  <c r="J26" i="4" s="1"/>
  <c r="I22" i="4"/>
  <c r="I20" i="4"/>
  <c r="I19" i="4"/>
  <c r="H10" i="4"/>
  <c r="H8" i="4"/>
  <c r="E24" i="4"/>
  <c r="D24" i="4"/>
  <c r="H7" i="4"/>
  <c r="H6" i="4"/>
  <c r="H22" i="4"/>
  <c r="H20" i="4"/>
  <c r="H19" i="4"/>
  <c r="H5" i="4" s="1"/>
  <c r="H4" i="4"/>
  <c r="E25" i="4"/>
  <c r="F25" i="4"/>
  <c r="D25" i="4"/>
  <c r="E22" i="4"/>
  <c r="F22" i="4"/>
  <c r="D22" i="4"/>
  <c r="D21" i="4"/>
  <c r="D20" i="4"/>
  <c r="D19" i="4"/>
  <c r="F21" i="4"/>
  <c r="E21" i="4"/>
  <c r="F20" i="4"/>
  <c r="E20" i="4"/>
  <c r="F19" i="4"/>
  <c r="E19" i="4"/>
  <c r="F18" i="4"/>
  <c r="E18" i="4"/>
  <c r="E4" i="4"/>
  <c r="F4" i="4"/>
  <c r="E5" i="4"/>
  <c r="F5" i="4"/>
  <c r="E6" i="4"/>
  <c r="F6" i="4"/>
  <c r="E7" i="4"/>
  <c r="F7" i="4"/>
  <c r="E9" i="4"/>
  <c r="F9" i="4"/>
  <c r="E10" i="4"/>
  <c r="F10" i="4"/>
  <c r="E12" i="4"/>
  <c r="F12" i="4"/>
  <c r="E14" i="4"/>
  <c r="F14" i="4"/>
  <c r="E16" i="4"/>
  <c r="F16" i="4"/>
  <c r="D16" i="4"/>
  <c r="D14" i="4"/>
  <c r="D12" i="4"/>
  <c r="D9" i="4"/>
  <c r="D10" i="4"/>
  <c r="D7" i="4"/>
  <c r="D6" i="4"/>
  <c r="D5" i="4"/>
  <c r="D4" i="4"/>
  <c r="E5" i="17"/>
  <c r="E4" i="17"/>
  <c r="E3" i="17"/>
  <c r="D5" i="17"/>
  <c r="D4" i="17"/>
  <c r="D3" i="17"/>
  <c r="C3" i="17"/>
  <c r="C4" i="17"/>
  <c r="B3" i="17"/>
  <c r="C5" i="17"/>
  <c r="B5" i="17"/>
  <c r="B4" i="17"/>
  <c r="K4" i="17" l="1"/>
  <c r="I4" i="17"/>
  <c r="J4" i="17"/>
  <c r="Q4" i="17" s="1"/>
  <c r="L4" i="17"/>
  <c r="S4" i="17" s="1"/>
  <c r="H4" i="17"/>
  <c r="O4" i="17" s="1"/>
  <c r="B47" i="34"/>
  <c r="F23" i="3"/>
  <c r="E23" i="3"/>
  <c r="H17" i="5"/>
  <c r="I17" i="5"/>
  <c r="H9" i="5"/>
  <c r="I47" i="5"/>
  <c r="H56" i="5"/>
  <c r="I56" i="5" s="1"/>
  <c r="J56" i="5" s="1"/>
  <c r="H50" i="5"/>
  <c r="I50" i="5" s="1"/>
  <c r="J50" i="5" s="1"/>
  <c r="H8" i="5"/>
  <c r="H10" i="5" s="1"/>
  <c r="I46" i="5"/>
  <c r="I48" i="5"/>
  <c r="I44" i="5"/>
  <c r="I45" i="5"/>
  <c r="J10" i="4"/>
  <c r="J7" i="4"/>
  <c r="J5" i="4"/>
  <c r="I8" i="4"/>
  <c r="I6" i="4"/>
  <c r="I10" i="4"/>
  <c r="I7" i="4"/>
  <c r="J24" i="4"/>
  <c r="I24" i="4"/>
  <c r="H24" i="4"/>
  <c r="K35" i="34" l="1"/>
  <c r="D47" i="34" s="1"/>
  <c r="I35" i="34"/>
  <c r="B49" i="34"/>
  <c r="P4" i="17"/>
  <c r="R4" i="17"/>
  <c r="J48" i="5"/>
  <c r="I9" i="5"/>
  <c r="J47" i="5"/>
  <c r="J9" i="5" s="1"/>
  <c r="I8" i="5"/>
  <c r="J46" i="5"/>
  <c r="J8" i="5" s="1"/>
  <c r="J45" i="5"/>
  <c r="J7" i="5" s="1"/>
  <c r="J10" i="5" s="1"/>
  <c r="I7" i="5"/>
  <c r="I10" i="5" s="1"/>
  <c r="J44" i="5"/>
  <c r="J5" i="5" s="1"/>
  <c r="I5" i="5"/>
  <c r="J8" i="4"/>
  <c r="D36" i="2"/>
  <c r="C36" i="2"/>
  <c r="B36" i="2"/>
  <c r="B3" i="2"/>
  <c r="B6" i="13" l="1"/>
  <c r="C48" i="34"/>
  <c r="E48" i="34" s="1"/>
  <c r="C47" i="34"/>
  <c r="C49" i="34" s="1"/>
  <c r="E47" i="34"/>
  <c r="E49" i="34" s="1"/>
  <c r="B9" i="13" s="1"/>
  <c r="Y2" i="12"/>
  <c r="F42" i="34" l="1"/>
  <c r="C5" i="30"/>
  <c r="E3" i="30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" i="30"/>
  <c r="I42" i="34" l="1"/>
  <c r="L247" i="12" l="1"/>
  <c r="K247" i="12"/>
  <c r="J247" i="12"/>
  <c r="Z2" i="12" l="1"/>
  <c r="X2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AB2" i="12" l="1"/>
  <c r="AC2" i="12" s="1"/>
  <c r="AA2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" i="12"/>
  <c r="X16" i="12" l="1"/>
  <c r="X13" i="12" l="1"/>
  <c r="V14" i="12"/>
  <c r="V13" i="12"/>
  <c r="V12" i="12"/>
  <c r="V15" i="12"/>
  <c r="O3" i="12"/>
  <c r="O11" i="12"/>
  <c r="O19" i="12"/>
  <c r="O27" i="12"/>
  <c r="O35" i="12"/>
  <c r="O43" i="12"/>
  <c r="O51" i="12"/>
  <c r="O59" i="12"/>
  <c r="O67" i="12"/>
  <c r="O75" i="12"/>
  <c r="O83" i="12"/>
  <c r="O91" i="12"/>
  <c r="O99" i="12"/>
  <c r="O107" i="12"/>
  <c r="O115" i="12"/>
  <c r="O123" i="12"/>
  <c r="O131" i="12"/>
  <c r="O139" i="12"/>
  <c r="O147" i="12"/>
  <c r="O155" i="12"/>
  <c r="O163" i="12"/>
  <c r="O171" i="12"/>
  <c r="O308" i="12" s="1"/>
  <c r="O179" i="12"/>
  <c r="O316" i="12" s="1"/>
  <c r="O187" i="12"/>
  <c r="O324" i="12" s="1"/>
  <c r="O195" i="12"/>
  <c r="O332" i="12" s="1"/>
  <c r="O203" i="12"/>
  <c r="O340" i="12" s="1"/>
  <c r="O211" i="12"/>
  <c r="O348" i="12" s="1"/>
  <c r="O219" i="12"/>
  <c r="O356" i="12" s="1"/>
  <c r="O227" i="12"/>
  <c r="O364" i="12" s="1"/>
  <c r="O235" i="12"/>
  <c r="O8" i="12"/>
  <c r="O32" i="12"/>
  <c r="O48" i="12"/>
  <c r="O72" i="12"/>
  <c r="O88" i="12"/>
  <c r="O96" i="12"/>
  <c r="O120" i="12"/>
  <c r="O136" i="12"/>
  <c r="O160" i="12"/>
  <c r="O184" i="12"/>
  <c r="O321" i="12" s="1"/>
  <c r="O200" i="12"/>
  <c r="O337" i="12" s="1"/>
  <c r="O224" i="12"/>
  <c r="O361" i="12" s="1"/>
  <c r="O4" i="12"/>
  <c r="O12" i="12"/>
  <c r="O20" i="12"/>
  <c r="O28" i="12"/>
  <c r="O36" i="12"/>
  <c r="O44" i="12"/>
  <c r="O52" i="12"/>
  <c r="O60" i="12"/>
  <c r="O68" i="12"/>
  <c r="O76" i="12"/>
  <c r="O84" i="12"/>
  <c r="O92" i="12"/>
  <c r="O100" i="12"/>
  <c r="O108" i="12"/>
  <c r="O116" i="12"/>
  <c r="O124" i="12"/>
  <c r="O132" i="12"/>
  <c r="O140" i="12"/>
  <c r="O148" i="12"/>
  <c r="O156" i="12"/>
  <c r="O164" i="12"/>
  <c r="O172" i="12"/>
  <c r="O309" i="12" s="1"/>
  <c r="O180" i="12"/>
  <c r="O317" i="12" s="1"/>
  <c r="O188" i="12"/>
  <c r="O325" i="12" s="1"/>
  <c r="O196" i="12"/>
  <c r="O333" i="12" s="1"/>
  <c r="O204" i="12"/>
  <c r="O341" i="12" s="1"/>
  <c r="O212" i="12"/>
  <c r="O349" i="12" s="1"/>
  <c r="O220" i="12"/>
  <c r="O357" i="12" s="1"/>
  <c r="O228" i="12"/>
  <c r="O365" i="12" s="1"/>
  <c r="O236" i="12"/>
  <c r="O56" i="12"/>
  <c r="O112" i="12"/>
  <c r="O152" i="12"/>
  <c r="O192" i="12"/>
  <c r="O329" i="12" s="1"/>
  <c r="O240" i="12"/>
  <c r="O5" i="12"/>
  <c r="O13" i="12"/>
  <c r="O21" i="12"/>
  <c r="O29" i="12"/>
  <c r="O37" i="12"/>
  <c r="O45" i="12"/>
  <c r="O53" i="12"/>
  <c r="O61" i="12"/>
  <c r="O69" i="12"/>
  <c r="O77" i="12"/>
  <c r="O85" i="12"/>
  <c r="O93" i="12"/>
  <c r="O101" i="12"/>
  <c r="O109" i="12"/>
  <c r="O117" i="12"/>
  <c r="O125" i="12"/>
  <c r="O133" i="12"/>
  <c r="O141" i="12"/>
  <c r="O149" i="12"/>
  <c r="O157" i="12"/>
  <c r="O165" i="12"/>
  <c r="O173" i="12"/>
  <c r="O310" i="12" s="1"/>
  <c r="O181" i="12"/>
  <c r="O318" i="12" s="1"/>
  <c r="O189" i="12"/>
  <c r="O326" i="12" s="1"/>
  <c r="O197" i="12"/>
  <c r="O334" i="12" s="1"/>
  <c r="O205" i="12"/>
  <c r="O342" i="12" s="1"/>
  <c r="O213" i="12"/>
  <c r="O350" i="12" s="1"/>
  <c r="O221" i="12"/>
  <c r="O358" i="12" s="1"/>
  <c r="O229" i="12"/>
  <c r="O366" i="12" s="1"/>
  <c r="O237" i="12"/>
  <c r="O80" i="12"/>
  <c r="O168" i="12"/>
  <c r="O216" i="12"/>
  <c r="O353" i="12" s="1"/>
  <c r="O6" i="12"/>
  <c r="O14" i="12"/>
  <c r="O22" i="12"/>
  <c r="O30" i="12"/>
  <c r="O38" i="12"/>
  <c r="O46" i="12"/>
  <c r="O54" i="12"/>
  <c r="O62" i="12"/>
  <c r="O70" i="12"/>
  <c r="O78" i="12"/>
  <c r="O86" i="12"/>
  <c r="O94" i="12"/>
  <c r="O102" i="12"/>
  <c r="O110" i="12"/>
  <c r="O118" i="12"/>
  <c r="O126" i="12"/>
  <c r="O134" i="12"/>
  <c r="O142" i="12"/>
  <c r="O150" i="12"/>
  <c r="O158" i="12"/>
  <c r="O166" i="12"/>
  <c r="O174" i="12"/>
  <c r="O311" i="12" s="1"/>
  <c r="O182" i="12"/>
  <c r="O319" i="12" s="1"/>
  <c r="O190" i="12"/>
  <c r="O327" i="12" s="1"/>
  <c r="O198" i="12"/>
  <c r="O335" i="12" s="1"/>
  <c r="O206" i="12"/>
  <c r="O343" i="12" s="1"/>
  <c r="O214" i="12"/>
  <c r="O351" i="12" s="1"/>
  <c r="O222" i="12"/>
  <c r="O359" i="12" s="1"/>
  <c r="O230" i="12"/>
  <c r="O367" i="12" s="1"/>
  <c r="O238" i="12"/>
  <c r="O16" i="12"/>
  <c r="O24" i="12"/>
  <c r="O40" i="12"/>
  <c r="O64" i="12"/>
  <c r="O104" i="12"/>
  <c r="O144" i="12"/>
  <c r="O176" i="12"/>
  <c r="O313" i="12" s="1"/>
  <c r="O208" i="12"/>
  <c r="O345" i="12" s="1"/>
  <c r="O232" i="12"/>
  <c r="O7" i="12"/>
  <c r="O15" i="12"/>
  <c r="O23" i="12"/>
  <c r="O31" i="12"/>
  <c r="O39" i="12"/>
  <c r="O47" i="12"/>
  <c r="O55" i="12"/>
  <c r="O63" i="12"/>
  <c r="O71" i="12"/>
  <c r="O79" i="12"/>
  <c r="O87" i="12"/>
  <c r="O95" i="12"/>
  <c r="O103" i="12"/>
  <c r="O111" i="12"/>
  <c r="O119" i="12"/>
  <c r="O127" i="12"/>
  <c r="O135" i="12"/>
  <c r="O143" i="12"/>
  <c r="O151" i="12"/>
  <c r="O159" i="12"/>
  <c r="O167" i="12"/>
  <c r="O175" i="12"/>
  <c r="O312" i="12" s="1"/>
  <c r="O183" i="12"/>
  <c r="O320" i="12" s="1"/>
  <c r="O191" i="12"/>
  <c r="O328" i="12" s="1"/>
  <c r="O199" i="12"/>
  <c r="O336" i="12" s="1"/>
  <c r="O207" i="12"/>
  <c r="O344" i="12" s="1"/>
  <c r="O215" i="12"/>
  <c r="O352" i="12" s="1"/>
  <c r="O223" i="12"/>
  <c r="O360" i="12" s="1"/>
  <c r="O231" i="12"/>
  <c r="O368" i="12" s="1"/>
  <c r="O239" i="12"/>
  <c r="O128" i="12"/>
  <c r="O9" i="12"/>
  <c r="O17" i="12"/>
  <c r="O25" i="12"/>
  <c r="O33" i="12"/>
  <c r="O41" i="12"/>
  <c r="O49" i="12"/>
  <c r="O57" i="12"/>
  <c r="O65" i="12"/>
  <c r="O73" i="12"/>
  <c r="O81" i="12"/>
  <c r="O89" i="12"/>
  <c r="O97" i="12"/>
  <c r="O105" i="12"/>
  <c r="O113" i="12"/>
  <c r="O121" i="12"/>
  <c r="O129" i="12"/>
  <c r="O137" i="12"/>
  <c r="O145" i="12"/>
  <c r="O153" i="12"/>
  <c r="O161" i="12"/>
  <c r="O169" i="12"/>
  <c r="O177" i="12"/>
  <c r="O314" i="12" s="1"/>
  <c r="O185" i="12"/>
  <c r="O322" i="12" s="1"/>
  <c r="O193" i="12"/>
  <c r="O330" i="12" s="1"/>
  <c r="O201" i="12"/>
  <c r="O338" i="12" s="1"/>
  <c r="O209" i="12"/>
  <c r="O346" i="12" s="1"/>
  <c r="O217" i="12"/>
  <c r="O354" i="12" s="1"/>
  <c r="O225" i="12"/>
  <c r="O362" i="12" s="1"/>
  <c r="O233" i="12"/>
  <c r="O241" i="12"/>
  <c r="O10" i="12"/>
  <c r="O18" i="12"/>
  <c r="O26" i="12"/>
  <c r="O34" i="12"/>
  <c r="O42" i="12"/>
  <c r="O50" i="12"/>
  <c r="O58" i="12"/>
  <c r="O66" i="12"/>
  <c r="O74" i="12"/>
  <c r="O82" i="12"/>
  <c r="O90" i="12"/>
  <c r="O98" i="12"/>
  <c r="O106" i="12"/>
  <c r="O114" i="12"/>
  <c r="O122" i="12"/>
  <c r="O130" i="12"/>
  <c r="O138" i="12"/>
  <c r="O146" i="12"/>
  <c r="O154" i="12"/>
  <c r="O162" i="12"/>
  <c r="O170" i="12"/>
  <c r="O307" i="12" s="1"/>
  <c r="O178" i="12"/>
  <c r="O315" i="12" s="1"/>
  <c r="O186" i="12"/>
  <c r="O323" i="12" s="1"/>
  <c r="O194" i="12"/>
  <c r="O331" i="12" s="1"/>
  <c r="O202" i="12"/>
  <c r="O339" i="12" s="1"/>
  <c r="O210" i="12"/>
  <c r="O347" i="12" s="1"/>
  <c r="O218" i="12"/>
  <c r="O355" i="12" s="1"/>
  <c r="O226" i="12"/>
  <c r="O363" i="12" s="1"/>
  <c r="O234" i="12"/>
  <c r="O371" i="12" s="1"/>
  <c r="R233" i="12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P230" i="12"/>
  <c r="P367" i="12" s="1"/>
  <c r="P234" i="12"/>
  <c r="P235" i="12"/>
  <c r="Q230" i="12"/>
  <c r="P231" i="12"/>
  <c r="P368" i="12" s="1"/>
  <c r="Q234" i="12"/>
  <c r="Q235" i="12"/>
  <c r="Q241" i="12"/>
  <c r="P240" i="12"/>
  <c r="P3" i="12"/>
  <c r="R6" i="12"/>
  <c r="P11" i="12"/>
  <c r="R14" i="12"/>
  <c r="P19" i="12"/>
  <c r="R22" i="12"/>
  <c r="P27" i="12"/>
  <c r="R30" i="12"/>
  <c r="P35" i="12"/>
  <c r="R38" i="12"/>
  <c r="P43" i="12"/>
  <c r="R46" i="12"/>
  <c r="P51" i="12"/>
  <c r="R54" i="12"/>
  <c r="P59" i="12"/>
  <c r="R62" i="12"/>
  <c r="P67" i="12"/>
  <c r="R70" i="12"/>
  <c r="P75" i="12"/>
  <c r="Q78" i="12"/>
  <c r="R79" i="12"/>
  <c r="R80" i="12"/>
  <c r="R81" i="12"/>
  <c r="R82" i="12"/>
  <c r="R83" i="12"/>
  <c r="R84" i="12"/>
  <c r="R85" i="12"/>
  <c r="R86" i="12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232" i="12"/>
  <c r="P239" i="12"/>
  <c r="R240" i="12"/>
  <c r="R3" i="12"/>
  <c r="P8" i="12"/>
  <c r="R11" i="12"/>
  <c r="P16" i="12"/>
  <c r="R19" i="12"/>
  <c r="P24" i="12"/>
  <c r="R27" i="12"/>
  <c r="P32" i="12"/>
  <c r="R35" i="12"/>
  <c r="P40" i="12"/>
  <c r="R43" i="12"/>
  <c r="P48" i="12"/>
  <c r="R51" i="12"/>
  <c r="P56" i="12"/>
  <c r="R59" i="12"/>
  <c r="P64" i="12"/>
  <c r="R67" i="12"/>
  <c r="P72" i="12"/>
  <c r="R75" i="12"/>
  <c r="R78" i="12"/>
  <c r="Q239" i="12"/>
  <c r="P5" i="12"/>
  <c r="R8" i="12"/>
  <c r="P13" i="12"/>
  <c r="R16" i="12"/>
  <c r="P21" i="12"/>
  <c r="R24" i="12"/>
  <c r="P29" i="12"/>
  <c r="R32" i="12"/>
  <c r="P37" i="12"/>
  <c r="R40" i="12"/>
  <c r="P45" i="12"/>
  <c r="R48" i="12"/>
  <c r="Q231" i="12"/>
  <c r="R239" i="12"/>
  <c r="R5" i="12"/>
  <c r="P10" i="12"/>
  <c r="R13" i="12"/>
  <c r="P18" i="12"/>
  <c r="R21" i="12"/>
  <c r="P26" i="12"/>
  <c r="R29" i="12"/>
  <c r="P34" i="12"/>
  <c r="R37" i="12"/>
  <c r="P42" i="12"/>
  <c r="R45" i="12"/>
  <c r="P50" i="12"/>
  <c r="R53" i="12"/>
  <c r="R231" i="12"/>
  <c r="Q238" i="12"/>
  <c r="P7" i="12"/>
  <c r="R10" i="12"/>
  <c r="P15" i="12"/>
  <c r="R18" i="12"/>
  <c r="P23" i="12"/>
  <c r="R26" i="12"/>
  <c r="P31" i="12"/>
  <c r="R34" i="12"/>
  <c r="P39" i="12"/>
  <c r="R42" i="12"/>
  <c r="P47" i="12"/>
  <c r="R50" i="12"/>
  <c r="P55" i="12"/>
  <c r="R58" i="12"/>
  <c r="P63" i="12"/>
  <c r="R66" i="12"/>
  <c r="P71" i="12"/>
  <c r="R74" i="12"/>
  <c r="R238" i="12"/>
  <c r="R241" i="12"/>
  <c r="P4" i="12"/>
  <c r="R7" i="12"/>
  <c r="P12" i="12"/>
  <c r="R15" i="12"/>
  <c r="P20" i="12"/>
  <c r="R23" i="12"/>
  <c r="P28" i="12"/>
  <c r="R31" i="12"/>
  <c r="P36" i="12"/>
  <c r="R39" i="12"/>
  <c r="P44" i="12"/>
  <c r="R47" i="12"/>
  <c r="P52" i="12"/>
  <c r="R55" i="12"/>
  <c r="P60" i="12"/>
  <c r="R63" i="12"/>
  <c r="P68" i="12"/>
  <c r="R71" i="12"/>
  <c r="P76" i="12"/>
  <c r="R230" i="12"/>
  <c r="R234" i="12"/>
  <c r="R4" i="12"/>
  <c r="P9" i="12"/>
  <c r="R12" i="12"/>
  <c r="P17" i="12"/>
  <c r="R20" i="12"/>
  <c r="P25" i="12"/>
  <c r="R28" i="12"/>
  <c r="P33" i="12"/>
  <c r="R36" i="12"/>
  <c r="P41" i="12"/>
  <c r="R44" i="12"/>
  <c r="P49" i="12"/>
  <c r="R52" i="12"/>
  <c r="P57" i="12"/>
  <c r="R60" i="12"/>
  <c r="P65" i="12"/>
  <c r="R68" i="12"/>
  <c r="P73" i="12"/>
  <c r="R76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6" i="12"/>
  <c r="R9" i="12"/>
  <c r="P14" i="12"/>
  <c r="R17" i="12"/>
  <c r="P22" i="12"/>
  <c r="R25" i="12"/>
  <c r="P30" i="12"/>
  <c r="R33" i="12"/>
  <c r="P38" i="12"/>
  <c r="R41" i="12"/>
  <c r="P46" i="12"/>
  <c r="R49" i="12"/>
  <c r="P54" i="12"/>
  <c r="R57" i="12"/>
  <c r="P62" i="12"/>
  <c r="R65" i="12"/>
  <c r="P70" i="12"/>
  <c r="R73" i="12"/>
  <c r="P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P53" i="12"/>
  <c r="P66" i="12"/>
  <c r="R108" i="12"/>
  <c r="P61" i="12"/>
  <c r="R61" i="12"/>
  <c r="P74" i="12"/>
  <c r="R56" i="12"/>
  <c r="P69" i="12"/>
  <c r="Q103" i="12"/>
  <c r="Q105" i="12"/>
  <c r="Q107" i="12"/>
  <c r="R69" i="12"/>
  <c r="R64" i="12"/>
  <c r="P77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307" i="12" s="1"/>
  <c r="P171" i="12"/>
  <c r="P308" i="12" s="1"/>
  <c r="P172" i="12"/>
  <c r="P309" i="12" s="1"/>
  <c r="P173" i="12"/>
  <c r="P310" i="12" s="1"/>
  <c r="P174" i="12"/>
  <c r="P311" i="12" s="1"/>
  <c r="P175" i="12"/>
  <c r="P312" i="12" s="1"/>
  <c r="P176" i="12"/>
  <c r="P313" i="12" s="1"/>
  <c r="P177" i="12"/>
  <c r="P314" i="12" s="1"/>
  <c r="P178" i="12"/>
  <c r="P315" i="12" s="1"/>
  <c r="P179" i="12"/>
  <c r="P316" i="12" s="1"/>
  <c r="P180" i="12"/>
  <c r="P317" i="12" s="1"/>
  <c r="P58" i="12"/>
  <c r="R77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R72" i="12"/>
  <c r="Q102" i="12"/>
  <c r="Q104" i="12"/>
  <c r="Q106" i="12"/>
  <c r="Q108" i="12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3" i="12"/>
  <c r="R124" i="12"/>
  <c r="R125" i="12"/>
  <c r="R126" i="12"/>
  <c r="R127" i="12"/>
  <c r="R128" i="12"/>
  <c r="R129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5" i="12"/>
  <c r="R146" i="12"/>
  <c r="R147" i="12"/>
  <c r="R148" i="12"/>
  <c r="R149" i="12"/>
  <c r="R150" i="12"/>
  <c r="R151" i="12"/>
  <c r="R152" i="12"/>
  <c r="R153" i="12"/>
  <c r="R154" i="12"/>
  <c r="R155" i="12"/>
  <c r="R156" i="12"/>
  <c r="R157" i="12"/>
  <c r="R158" i="12"/>
  <c r="R159" i="12"/>
  <c r="R160" i="12"/>
  <c r="R161" i="12"/>
  <c r="R162" i="12"/>
  <c r="R163" i="12"/>
  <c r="R164" i="12"/>
  <c r="R165" i="12"/>
  <c r="R166" i="12"/>
  <c r="R167" i="12"/>
  <c r="R168" i="12"/>
  <c r="R169" i="12"/>
  <c r="R170" i="12"/>
  <c r="R171" i="12"/>
  <c r="R172" i="12"/>
  <c r="R173" i="12"/>
  <c r="R174" i="12"/>
  <c r="R175" i="12"/>
  <c r="R176" i="12"/>
  <c r="R177" i="12"/>
  <c r="R178" i="12"/>
  <c r="R179" i="12"/>
  <c r="R180" i="12"/>
  <c r="P181" i="12"/>
  <c r="P318" i="12" s="1"/>
  <c r="P182" i="12"/>
  <c r="P319" i="12" s="1"/>
  <c r="P183" i="12"/>
  <c r="P320" i="12" s="1"/>
  <c r="P184" i="12"/>
  <c r="P321" i="12" s="1"/>
  <c r="P185" i="12"/>
  <c r="P322" i="12" s="1"/>
  <c r="P186" i="12"/>
  <c r="P323" i="12" s="1"/>
  <c r="P187" i="12"/>
  <c r="P324" i="12" s="1"/>
  <c r="P188" i="12"/>
  <c r="P325" i="12" s="1"/>
  <c r="P189" i="12"/>
  <c r="P326" i="12" s="1"/>
  <c r="P190" i="12"/>
  <c r="P327" i="12" s="1"/>
  <c r="P191" i="12"/>
  <c r="P328" i="12" s="1"/>
  <c r="P192" i="12"/>
  <c r="P329" i="12" s="1"/>
  <c r="P193" i="12"/>
  <c r="P330" i="12" s="1"/>
  <c r="P194" i="12"/>
  <c r="P331" i="12" s="1"/>
  <c r="P393" i="12" s="1"/>
  <c r="P195" i="12"/>
  <c r="P332" i="12" s="1"/>
  <c r="P394" i="12" s="1"/>
  <c r="P196" i="12"/>
  <c r="P333" i="12" s="1"/>
  <c r="P197" i="12"/>
  <c r="P334" i="12" s="1"/>
  <c r="P198" i="12"/>
  <c r="P335" i="12" s="1"/>
  <c r="P199" i="12"/>
  <c r="P336" i="12" s="1"/>
  <c r="P200" i="12"/>
  <c r="P337" i="12" s="1"/>
  <c r="P203" i="12"/>
  <c r="P340" i="12" s="1"/>
  <c r="P402" i="12" s="1"/>
  <c r="P205" i="12"/>
  <c r="P342" i="12" s="1"/>
  <c r="P206" i="12"/>
  <c r="P343" i="12" s="1"/>
  <c r="P209" i="12"/>
  <c r="P346" i="12" s="1"/>
  <c r="P213" i="12"/>
  <c r="P350" i="12" s="1"/>
  <c r="P218" i="12"/>
  <c r="P355" i="12" s="1"/>
  <c r="P222" i="12"/>
  <c r="P359" i="12" s="1"/>
  <c r="P226" i="12"/>
  <c r="P363" i="12" s="1"/>
  <c r="R221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R195" i="12"/>
  <c r="R203" i="12"/>
  <c r="R206" i="12"/>
  <c r="R208" i="12"/>
  <c r="R210" i="12"/>
  <c r="R212" i="12"/>
  <c r="R214" i="12"/>
  <c r="R216" i="12"/>
  <c r="R220" i="12"/>
  <c r="R223" i="12"/>
  <c r="R227" i="12"/>
  <c r="R181" i="12"/>
  <c r="R182" i="12"/>
  <c r="R183" i="12"/>
  <c r="R184" i="12"/>
  <c r="R185" i="12"/>
  <c r="R186" i="12"/>
  <c r="R187" i="12"/>
  <c r="R188" i="12"/>
  <c r="R189" i="12"/>
  <c r="R190" i="12"/>
  <c r="R191" i="12"/>
  <c r="R192" i="12"/>
  <c r="R193" i="12"/>
  <c r="R194" i="12"/>
  <c r="R196" i="12"/>
  <c r="R197" i="12"/>
  <c r="R198" i="12"/>
  <c r="R199" i="12"/>
  <c r="R200" i="12"/>
  <c r="R201" i="12"/>
  <c r="R202" i="12"/>
  <c r="R204" i="12"/>
  <c r="R205" i="12"/>
  <c r="R207" i="12"/>
  <c r="R209" i="12"/>
  <c r="R211" i="12"/>
  <c r="R213" i="12"/>
  <c r="R217" i="12"/>
  <c r="R222" i="12"/>
  <c r="R225" i="12"/>
  <c r="P2" i="12"/>
  <c r="P204" i="12"/>
  <c r="P341" i="12" s="1"/>
  <c r="P210" i="12"/>
  <c r="P347" i="12" s="1"/>
  <c r="P215" i="12"/>
  <c r="P352" i="12" s="1"/>
  <c r="P219" i="12"/>
  <c r="P356" i="12" s="1"/>
  <c r="P223" i="12"/>
  <c r="P360" i="12" s="1"/>
  <c r="P227" i="12"/>
  <c r="P364" i="12" s="1"/>
  <c r="R219" i="12"/>
  <c r="R224" i="12"/>
  <c r="R229" i="12"/>
  <c r="P202" i="12"/>
  <c r="P339" i="12" s="1"/>
  <c r="P207" i="12"/>
  <c r="P344" i="12" s="1"/>
  <c r="P211" i="12"/>
  <c r="P348" i="12" s="1"/>
  <c r="P216" i="12"/>
  <c r="P353" i="12" s="1"/>
  <c r="P220" i="12"/>
  <c r="P357" i="12" s="1"/>
  <c r="P224" i="12"/>
  <c r="P361" i="12" s="1"/>
  <c r="P228" i="12"/>
  <c r="P365" i="12" s="1"/>
  <c r="R218" i="12"/>
  <c r="R226" i="12"/>
  <c r="R2" i="12"/>
  <c r="Q2" i="12"/>
  <c r="P201" i="12"/>
  <c r="P338" i="12" s="1"/>
  <c r="P208" i="12"/>
  <c r="P345" i="12" s="1"/>
  <c r="P212" i="12"/>
  <c r="P349" i="12" s="1"/>
  <c r="P214" i="12"/>
  <c r="P351" i="12" s="1"/>
  <c r="P217" i="12"/>
  <c r="P354" i="12" s="1"/>
  <c r="P221" i="12"/>
  <c r="P358" i="12" s="1"/>
  <c r="P225" i="12"/>
  <c r="P362" i="12" s="1"/>
  <c r="P229" i="12"/>
  <c r="P366" i="12" s="1"/>
  <c r="R215" i="12"/>
  <c r="R228" i="12"/>
  <c r="R237" i="12"/>
  <c r="P236" i="12"/>
  <c r="P232" i="12"/>
  <c r="R235" i="12"/>
  <c r="P233" i="12"/>
  <c r="P241" i="12"/>
  <c r="P238" i="12"/>
  <c r="P375" i="12" s="1"/>
  <c r="Q236" i="12"/>
  <c r="Q240" i="12"/>
  <c r="Q237" i="12"/>
  <c r="Q232" i="12"/>
  <c r="R236" i="12"/>
  <c r="Q233" i="12"/>
  <c r="P237" i="12"/>
  <c r="P374" i="12" s="1"/>
  <c r="V230" i="12"/>
  <c r="U231" i="12"/>
  <c r="U238" i="12"/>
  <c r="T239" i="12"/>
  <c r="T240" i="12"/>
  <c r="V236" i="12"/>
  <c r="V239" i="12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T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230" i="12"/>
  <c r="U234" i="12"/>
  <c r="V4" i="12"/>
  <c r="U9" i="12"/>
  <c r="U17" i="12"/>
  <c r="V20" i="12"/>
  <c r="U25" i="12"/>
  <c r="V28" i="12"/>
  <c r="U33" i="12"/>
  <c r="V36" i="12"/>
  <c r="U41" i="12"/>
  <c r="V44" i="12"/>
  <c r="U49" i="12"/>
  <c r="V52" i="12"/>
  <c r="U57" i="12"/>
  <c r="V60" i="12"/>
  <c r="U65" i="12"/>
  <c r="V68" i="12"/>
  <c r="U73" i="12"/>
  <c r="V76" i="12"/>
  <c r="U230" i="12"/>
  <c r="V234" i="12"/>
  <c r="U6" i="12"/>
  <c r="V9" i="12"/>
  <c r="U14" i="12"/>
  <c r="V17" i="12"/>
  <c r="U22" i="12"/>
  <c r="V25" i="12"/>
  <c r="U30" i="12"/>
  <c r="V33" i="12"/>
  <c r="U38" i="12"/>
  <c r="V41" i="12"/>
  <c r="U46" i="12"/>
  <c r="V49" i="12"/>
  <c r="U54" i="12"/>
  <c r="V57" i="12"/>
  <c r="U62" i="12"/>
  <c r="V65" i="12"/>
  <c r="U70" i="12"/>
  <c r="V73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232" i="12"/>
  <c r="S240" i="12"/>
  <c r="U3" i="12"/>
  <c r="V6" i="12"/>
  <c r="U11" i="12"/>
  <c r="U19" i="12"/>
  <c r="V22" i="12"/>
  <c r="U27" i="12"/>
  <c r="V30" i="12"/>
  <c r="U35" i="12"/>
  <c r="V38" i="12"/>
  <c r="U43" i="12"/>
  <c r="V46" i="12"/>
  <c r="U51" i="12"/>
  <c r="V232" i="12"/>
  <c r="V240" i="12"/>
  <c r="V3" i="12"/>
  <c r="U8" i="12"/>
  <c r="V11" i="12"/>
  <c r="U16" i="12"/>
  <c r="V19" i="12"/>
  <c r="U24" i="12"/>
  <c r="V27" i="12"/>
  <c r="U32" i="12"/>
  <c r="V35" i="12"/>
  <c r="U40" i="12"/>
  <c r="V43" i="12"/>
  <c r="U48" i="12"/>
  <c r="V51" i="12"/>
  <c r="S235" i="12"/>
  <c r="S239" i="12"/>
  <c r="U5" i="12"/>
  <c r="V8" i="12"/>
  <c r="U13" i="12"/>
  <c r="V16" i="12"/>
  <c r="U21" i="12"/>
  <c r="V24" i="12"/>
  <c r="U29" i="12"/>
  <c r="V32" i="12"/>
  <c r="U37" i="12"/>
  <c r="V40" i="12"/>
  <c r="U45" i="12"/>
  <c r="V48" i="12"/>
  <c r="U53" i="12"/>
  <c r="V56" i="12"/>
  <c r="U61" i="12"/>
  <c r="V64" i="12"/>
  <c r="U69" i="12"/>
  <c r="V72" i="12"/>
  <c r="U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V90" i="12"/>
  <c r="V91" i="12"/>
  <c r="V92" i="12"/>
  <c r="V93" i="12"/>
  <c r="V94" i="12"/>
  <c r="V95" i="12"/>
  <c r="V96" i="12"/>
  <c r="V97" i="12"/>
  <c r="V98" i="12"/>
  <c r="V99" i="12"/>
  <c r="V100" i="12"/>
  <c r="V101" i="12"/>
  <c r="S231" i="12"/>
  <c r="T235" i="12"/>
  <c r="U239" i="12"/>
  <c r="V5" i="12"/>
  <c r="U10" i="12"/>
  <c r="U18" i="12"/>
  <c r="V21" i="12"/>
  <c r="U26" i="12"/>
  <c r="V29" i="12"/>
  <c r="U34" i="12"/>
  <c r="V37" i="12"/>
  <c r="U42" i="12"/>
  <c r="V45" i="12"/>
  <c r="U50" i="12"/>
  <c r="V53" i="12"/>
  <c r="U58" i="12"/>
  <c r="V61" i="12"/>
  <c r="U66" i="12"/>
  <c r="V69" i="12"/>
  <c r="U74" i="12"/>
  <c r="V77" i="12"/>
  <c r="T231" i="12"/>
  <c r="U235" i="12"/>
  <c r="T238" i="12"/>
  <c r="V241" i="12"/>
  <c r="U7" i="12"/>
  <c r="V10" i="12"/>
  <c r="U15" i="12"/>
  <c r="V18" i="12"/>
  <c r="U23" i="12"/>
  <c r="V26" i="12"/>
  <c r="U31" i="12"/>
  <c r="V34" i="12"/>
  <c r="U39" i="12"/>
  <c r="V42" i="12"/>
  <c r="U47" i="12"/>
  <c r="V50" i="12"/>
  <c r="U55" i="12"/>
  <c r="V58" i="12"/>
  <c r="U63" i="12"/>
  <c r="V66" i="12"/>
  <c r="U71" i="12"/>
  <c r="V74" i="12"/>
  <c r="S230" i="12"/>
  <c r="V231" i="12"/>
  <c r="T234" i="12"/>
  <c r="V235" i="12"/>
  <c r="V238" i="12"/>
  <c r="U4" i="12"/>
  <c r="V7" i="12"/>
  <c r="U12" i="12"/>
  <c r="U20" i="12"/>
  <c r="V23" i="12"/>
  <c r="U28" i="12"/>
  <c r="V31" i="12"/>
  <c r="U36" i="12"/>
  <c r="V39" i="12"/>
  <c r="U44" i="12"/>
  <c r="V47" i="12"/>
  <c r="U52" i="12"/>
  <c r="V55" i="12"/>
  <c r="U60" i="12"/>
  <c r="V63" i="12"/>
  <c r="U68" i="12"/>
  <c r="V71" i="12"/>
  <c r="U76" i="12"/>
  <c r="V59" i="12"/>
  <c r="U72" i="12"/>
  <c r="U78" i="12"/>
  <c r="U82" i="12"/>
  <c r="U86" i="12"/>
  <c r="U90" i="12"/>
  <c r="U94" i="12"/>
  <c r="U98" i="12"/>
  <c r="T102" i="12"/>
  <c r="T104" i="12"/>
  <c r="T106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S126" i="12"/>
  <c r="S127" i="12"/>
  <c r="S128" i="12"/>
  <c r="S129" i="12"/>
  <c r="S130" i="12"/>
  <c r="S131" i="12"/>
  <c r="S132" i="12"/>
  <c r="S133" i="12"/>
  <c r="S134" i="12"/>
  <c r="S135" i="12"/>
  <c r="S136" i="12"/>
  <c r="S137" i="12"/>
  <c r="S138" i="12"/>
  <c r="S139" i="12"/>
  <c r="S140" i="12"/>
  <c r="S141" i="12"/>
  <c r="S142" i="12"/>
  <c r="S143" i="12"/>
  <c r="S144" i="12"/>
  <c r="S145" i="12"/>
  <c r="S146" i="12"/>
  <c r="S147" i="12"/>
  <c r="S148" i="12"/>
  <c r="S149" i="12"/>
  <c r="S150" i="12"/>
  <c r="S151" i="12"/>
  <c r="S152" i="12"/>
  <c r="S153" i="12"/>
  <c r="S154" i="12"/>
  <c r="S155" i="12"/>
  <c r="S156" i="12"/>
  <c r="S157" i="12"/>
  <c r="S158" i="12"/>
  <c r="S159" i="12"/>
  <c r="S160" i="12"/>
  <c r="S161" i="12"/>
  <c r="S162" i="12"/>
  <c r="S163" i="12"/>
  <c r="S164" i="12"/>
  <c r="S165" i="12"/>
  <c r="S166" i="12"/>
  <c r="S167" i="12"/>
  <c r="S168" i="12"/>
  <c r="S169" i="12"/>
  <c r="S170" i="12"/>
  <c r="S171" i="12"/>
  <c r="S172" i="12"/>
  <c r="S173" i="12"/>
  <c r="S174" i="12"/>
  <c r="S175" i="12"/>
  <c r="S176" i="12"/>
  <c r="S177" i="12"/>
  <c r="S178" i="12"/>
  <c r="S179" i="12"/>
  <c r="V54" i="12"/>
  <c r="U67" i="12"/>
  <c r="T79" i="12"/>
  <c r="T83" i="12"/>
  <c r="T87" i="12"/>
  <c r="T91" i="12"/>
  <c r="T95" i="12"/>
  <c r="T99" i="12"/>
  <c r="U102" i="12"/>
  <c r="U104" i="12"/>
  <c r="U106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28" i="12"/>
  <c r="T129" i="12"/>
  <c r="T130" i="12"/>
  <c r="T131" i="12"/>
  <c r="T132" i="12"/>
  <c r="T133" i="12"/>
  <c r="T134" i="12"/>
  <c r="T135" i="12"/>
  <c r="T136" i="12"/>
  <c r="T137" i="12"/>
  <c r="T138" i="12"/>
  <c r="T139" i="12"/>
  <c r="T140" i="12"/>
  <c r="T141" i="12"/>
  <c r="T142" i="12"/>
  <c r="T143" i="12"/>
  <c r="T144" i="12"/>
  <c r="T145" i="12"/>
  <c r="T146" i="12"/>
  <c r="T147" i="12"/>
  <c r="T148" i="12"/>
  <c r="T149" i="12"/>
  <c r="T150" i="12"/>
  <c r="T151" i="12"/>
  <c r="T152" i="12"/>
  <c r="T153" i="12"/>
  <c r="T154" i="12"/>
  <c r="T155" i="12"/>
  <c r="T156" i="12"/>
  <c r="T157" i="12"/>
  <c r="T158" i="12"/>
  <c r="T159" i="12"/>
  <c r="T160" i="12"/>
  <c r="T161" i="12"/>
  <c r="T162" i="12"/>
  <c r="T163" i="12"/>
  <c r="T164" i="12"/>
  <c r="T165" i="12"/>
  <c r="T166" i="12"/>
  <c r="T167" i="12"/>
  <c r="T168" i="12"/>
  <c r="T169" i="12"/>
  <c r="T170" i="12"/>
  <c r="T171" i="12"/>
  <c r="T172" i="12"/>
  <c r="T173" i="12"/>
  <c r="T174" i="12"/>
  <c r="T175" i="12"/>
  <c r="T176" i="12"/>
  <c r="T177" i="12"/>
  <c r="T178" i="12"/>
  <c r="T179" i="12"/>
  <c r="V67" i="12"/>
  <c r="U79" i="12"/>
  <c r="U83" i="12"/>
  <c r="U87" i="12"/>
  <c r="U91" i="12"/>
  <c r="U95" i="12"/>
  <c r="U99" i="12"/>
  <c r="V102" i="12"/>
  <c r="V104" i="12"/>
  <c r="V106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V62" i="12"/>
  <c r="U75" i="12"/>
  <c r="T80" i="12"/>
  <c r="T84" i="12"/>
  <c r="T88" i="12"/>
  <c r="T92" i="12"/>
  <c r="T96" i="12"/>
  <c r="T100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51" i="12"/>
  <c r="V152" i="12"/>
  <c r="V153" i="12"/>
  <c r="V154" i="12"/>
  <c r="V155" i="12"/>
  <c r="V156" i="12"/>
  <c r="V157" i="12"/>
  <c r="V158" i="12"/>
  <c r="V159" i="12"/>
  <c r="V160" i="12"/>
  <c r="V161" i="12"/>
  <c r="V162" i="12"/>
  <c r="V163" i="12"/>
  <c r="V164" i="12"/>
  <c r="V165" i="12"/>
  <c r="V166" i="12"/>
  <c r="V167" i="12"/>
  <c r="V168" i="12"/>
  <c r="V169" i="12"/>
  <c r="U56" i="12"/>
  <c r="V75" i="12"/>
  <c r="U80" i="12"/>
  <c r="U84" i="12"/>
  <c r="U88" i="12"/>
  <c r="U92" i="12"/>
  <c r="U96" i="12"/>
  <c r="U100" i="12"/>
  <c r="T103" i="12"/>
  <c r="T105" i="12"/>
  <c r="T107" i="12"/>
  <c r="V70" i="12"/>
  <c r="T81" i="12"/>
  <c r="T85" i="12"/>
  <c r="T89" i="12"/>
  <c r="T93" i="12"/>
  <c r="T97" i="12"/>
  <c r="T101" i="12"/>
  <c r="U103" i="12"/>
  <c r="U105" i="12"/>
  <c r="U107" i="12"/>
  <c r="U64" i="12"/>
  <c r="U81" i="12"/>
  <c r="U85" i="12"/>
  <c r="U89" i="12"/>
  <c r="U93" i="12"/>
  <c r="U97" i="12"/>
  <c r="U101" i="12"/>
  <c r="V103" i="12"/>
  <c r="V105" i="12"/>
  <c r="V107" i="12"/>
  <c r="U59" i="12"/>
  <c r="T78" i="12"/>
  <c r="T82" i="12"/>
  <c r="T86" i="12"/>
  <c r="T90" i="12"/>
  <c r="T94" i="12"/>
  <c r="T98" i="12"/>
  <c r="V170" i="12"/>
  <c r="V174" i="12"/>
  <c r="V178" i="12"/>
  <c r="U2" i="12"/>
  <c r="S2" i="12"/>
  <c r="S223" i="12"/>
  <c r="S229" i="12"/>
  <c r="T226" i="12"/>
  <c r="U171" i="12"/>
  <c r="U175" i="12"/>
  <c r="U179" i="12"/>
  <c r="T2" i="12"/>
  <c r="S217" i="12"/>
  <c r="T222" i="12"/>
  <c r="T228" i="12"/>
  <c r="V171" i="12"/>
  <c r="V175" i="12"/>
  <c r="V179" i="12"/>
  <c r="S221" i="12"/>
  <c r="S228" i="12"/>
  <c r="T225" i="12"/>
  <c r="U172" i="12"/>
  <c r="U176" i="12"/>
  <c r="S180" i="12"/>
  <c r="S181" i="12"/>
  <c r="S182" i="12"/>
  <c r="S183" i="12"/>
  <c r="S184" i="12"/>
  <c r="S185" i="12"/>
  <c r="S186" i="12"/>
  <c r="S187" i="12"/>
  <c r="S188" i="12"/>
  <c r="S189" i="12"/>
  <c r="S190" i="12"/>
  <c r="S191" i="12"/>
  <c r="S192" i="12"/>
  <c r="S193" i="12"/>
  <c r="S194" i="12"/>
  <c r="S195" i="12"/>
  <c r="S196" i="12"/>
  <c r="S197" i="12"/>
  <c r="S198" i="12"/>
  <c r="S199" i="12"/>
  <c r="S200" i="12"/>
  <c r="S201" i="12"/>
  <c r="S202" i="12"/>
  <c r="S203" i="12"/>
  <c r="S204" i="12"/>
  <c r="S205" i="12"/>
  <c r="S206" i="12"/>
  <c r="S207" i="12"/>
  <c r="S208" i="12"/>
  <c r="S209" i="12"/>
  <c r="S210" i="12"/>
  <c r="S211" i="12"/>
  <c r="S212" i="12"/>
  <c r="S213" i="12"/>
  <c r="S214" i="12"/>
  <c r="S215" i="12"/>
  <c r="S216" i="12"/>
  <c r="S222" i="12"/>
  <c r="S224" i="12"/>
  <c r="S227" i="12"/>
  <c r="T223" i="12"/>
  <c r="V172" i="12"/>
  <c r="V176" i="12"/>
  <c r="T180" i="12"/>
  <c r="T181" i="12"/>
  <c r="T182" i="12"/>
  <c r="T183" i="12"/>
  <c r="T184" i="12"/>
  <c r="T185" i="12"/>
  <c r="T186" i="12"/>
  <c r="T187" i="12"/>
  <c r="T188" i="12"/>
  <c r="T189" i="12"/>
  <c r="T190" i="12"/>
  <c r="T191" i="12"/>
  <c r="T192" i="12"/>
  <c r="T193" i="12"/>
  <c r="T194" i="12"/>
  <c r="T195" i="12"/>
  <c r="T196" i="12"/>
  <c r="T197" i="12"/>
  <c r="T198" i="12"/>
  <c r="T199" i="12"/>
  <c r="T200" i="12"/>
  <c r="T201" i="12"/>
  <c r="T202" i="12"/>
  <c r="T203" i="12"/>
  <c r="T204" i="12"/>
  <c r="T205" i="12"/>
  <c r="T206" i="12"/>
  <c r="T207" i="12"/>
  <c r="T208" i="12"/>
  <c r="T209" i="12"/>
  <c r="T210" i="12"/>
  <c r="T211" i="12"/>
  <c r="T212" i="12"/>
  <c r="T213" i="12"/>
  <c r="T214" i="12"/>
  <c r="T215" i="12"/>
  <c r="T216" i="12"/>
  <c r="T217" i="12"/>
  <c r="T218" i="12"/>
  <c r="T219" i="12"/>
  <c r="T220" i="12"/>
  <c r="T227" i="12"/>
  <c r="U173" i="12"/>
  <c r="U177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01" i="12"/>
  <c r="U202" i="12"/>
  <c r="U203" i="12"/>
  <c r="U204" i="12"/>
  <c r="U205" i="12"/>
  <c r="U206" i="12"/>
  <c r="U207" i="12"/>
  <c r="U208" i="12"/>
  <c r="U209" i="12"/>
  <c r="U210" i="12"/>
  <c r="U211" i="12"/>
  <c r="U212" i="12"/>
  <c r="U213" i="12"/>
  <c r="U214" i="12"/>
  <c r="U215" i="12"/>
  <c r="U216" i="12"/>
  <c r="U217" i="12"/>
  <c r="U218" i="12"/>
  <c r="U219" i="12"/>
  <c r="U220" i="12"/>
  <c r="U221" i="12"/>
  <c r="U222" i="12"/>
  <c r="U223" i="12"/>
  <c r="U224" i="12"/>
  <c r="U225" i="12"/>
  <c r="U226" i="12"/>
  <c r="U227" i="12"/>
  <c r="U228" i="12"/>
  <c r="U229" i="12"/>
  <c r="V227" i="12"/>
  <c r="V229" i="12"/>
  <c r="V2" i="12"/>
  <c r="S220" i="12"/>
  <c r="S225" i="12"/>
  <c r="T221" i="12"/>
  <c r="T229" i="12"/>
  <c r="V173" i="12"/>
  <c r="V177" i="12"/>
  <c r="V180" i="12"/>
  <c r="V181" i="12"/>
  <c r="V182" i="12"/>
  <c r="V183" i="12"/>
  <c r="V184" i="12"/>
  <c r="V185" i="12"/>
  <c r="V186" i="12"/>
  <c r="V187" i="12"/>
  <c r="V188" i="12"/>
  <c r="V189" i="12"/>
  <c r="V190" i="12"/>
  <c r="V191" i="12"/>
  <c r="V192" i="12"/>
  <c r="V193" i="12"/>
  <c r="V194" i="12"/>
  <c r="V195" i="12"/>
  <c r="V196" i="12"/>
  <c r="V197" i="12"/>
  <c r="V198" i="12"/>
  <c r="V199" i="12"/>
  <c r="V200" i="12"/>
  <c r="V201" i="12"/>
  <c r="V202" i="12"/>
  <c r="V203" i="12"/>
  <c r="V204" i="12"/>
  <c r="V205" i="12"/>
  <c r="V206" i="12"/>
  <c r="V207" i="12"/>
  <c r="V208" i="12"/>
  <c r="V209" i="12"/>
  <c r="V210" i="12"/>
  <c r="V211" i="12"/>
  <c r="V212" i="12"/>
  <c r="V213" i="12"/>
  <c r="V214" i="12"/>
  <c r="V215" i="12"/>
  <c r="V216" i="12"/>
  <c r="V217" i="12"/>
  <c r="V218" i="12"/>
  <c r="V219" i="12"/>
  <c r="V220" i="12"/>
  <c r="V221" i="12"/>
  <c r="V222" i="12"/>
  <c r="V223" i="12"/>
  <c r="V224" i="12"/>
  <c r="V225" i="12"/>
  <c r="V226" i="12"/>
  <c r="V228" i="12"/>
  <c r="S218" i="12"/>
  <c r="U174" i="12"/>
  <c r="U178" i="12"/>
  <c r="S219" i="12"/>
  <c r="S226" i="12"/>
  <c r="T224" i="12"/>
  <c r="T232" i="12"/>
  <c r="U236" i="12"/>
  <c r="S233" i="12"/>
  <c r="S236" i="12"/>
  <c r="V233" i="12"/>
  <c r="T241" i="12"/>
  <c r="U240" i="12"/>
  <c r="U237" i="12"/>
  <c r="T233" i="12"/>
  <c r="S238" i="12"/>
  <c r="U232" i="12"/>
  <c r="S234" i="12"/>
  <c r="V237" i="12"/>
  <c r="U241" i="12"/>
  <c r="S237" i="12"/>
  <c r="S241" i="12"/>
  <c r="U233" i="12"/>
  <c r="T237" i="12"/>
  <c r="T236" i="12"/>
  <c r="X24" i="12" l="1"/>
  <c r="X23" i="12"/>
  <c r="X22" i="12"/>
  <c r="X21" i="12"/>
  <c r="B9" i="14" s="1"/>
  <c r="B11" i="14" s="1"/>
  <c r="X20" i="12"/>
  <c r="X19" i="12"/>
  <c r="P369" i="12"/>
  <c r="P431" i="12" s="1"/>
  <c r="P493" i="12" s="1"/>
  <c r="O378" i="12"/>
  <c r="O373" i="12"/>
  <c r="O435" i="12" s="1"/>
  <c r="P371" i="12"/>
  <c r="P433" i="12" s="1"/>
  <c r="P495" i="12" s="1"/>
  <c r="O372" i="12"/>
  <c r="O434" i="12" s="1"/>
  <c r="O496" i="12" s="1"/>
  <c r="P416" i="12"/>
  <c r="P478" i="12" s="1"/>
  <c r="P403" i="12"/>
  <c r="P465" i="12" s="1"/>
  <c r="P412" i="12"/>
  <c r="P396" i="12"/>
  <c r="P388" i="12"/>
  <c r="P450" i="12" s="1"/>
  <c r="P512" i="12" s="1"/>
  <c r="P380" i="12"/>
  <c r="P455" i="12"/>
  <c r="P379" i="12"/>
  <c r="P441" i="12" s="1"/>
  <c r="P377" i="12"/>
  <c r="P429" i="12"/>
  <c r="P491" i="12" s="1"/>
  <c r="O425" i="12"/>
  <c r="O487" i="12" s="1"/>
  <c r="O408" i="12"/>
  <c r="O470" i="12" s="1"/>
  <c r="O398" i="12"/>
  <c r="O460" i="12" s="1"/>
  <c r="O397" i="12"/>
  <c r="O459" i="12" s="1"/>
  <c r="O404" i="12"/>
  <c r="O427" i="12"/>
  <c r="O489" i="12" s="1"/>
  <c r="O406" i="12"/>
  <c r="O468" i="12" s="1"/>
  <c r="O386" i="12"/>
  <c r="O448" i="12" s="1"/>
  <c r="P395" i="12"/>
  <c r="P457" i="12" s="1"/>
  <c r="O389" i="12"/>
  <c r="O451" i="12" s="1"/>
  <c r="O415" i="12"/>
  <c r="O396" i="12"/>
  <c r="O458" i="12" s="1"/>
  <c r="P411" i="12"/>
  <c r="P423" i="12"/>
  <c r="P485" i="12" s="1"/>
  <c r="P405" i="12"/>
  <c r="P467" i="12" s="1"/>
  <c r="P386" i="12"/>
  <c r="O409" i="12"/>
  <c r="O471" i="12" s="1"/>
  <c r="O392" i="12"/>
  <c r="O454" i="12" s="1"/>
  <c r="O382" i="12"/>
  <c r="O369" i="12"/>
  <c r="O381" i="12"/>
  <c r="O388" i="12"/>
  <c r="O450" i="12" s="1"/>
  <c r="O377" i="12"/>
  <c r="O411" i="12"/>
  <c r="O426" i="12"/>
  <c r="P407" i="12"/>
  <c r="P419" i="12"/>
  <c r="P481" i="12" s="1"/>
  <c r="P426" i="12"/>
  <c r="P488" i="12" s="1"/>
  <c r="P404" i="12"/>
  <c r="P466" i="12" s="1"/>
  <c r="P385" i="12"/>
  <c r="P447" i="12" s="1"/>
  <c r="P376" i="12"/>
  <c r="O401" i="12"/>
  <c r="O384" i="12"/>
  <c r="O376" i="12"/>
  <c r="O374" i="12"/>
  <c r="O407" i="12"/>
  <c r="O469" i="12" s="1"/>
  <c r="O375" i="12"/>
  <c r="O380" i="12"/>
  <c r="O391" i="12"/>
  <c r="O403" i="12"/>
  <c r="O465" i="12" s="1"/>
  <c r="O418" i="12"/>
  <c r="O480" i="12" s="1"/>
  <c r="P420" i="12"/>
  <c r="P401" i="12"/>
  <c r="P463" i="12" s="1"/>
  <c r="P397" i="12"/>
  <c r="P459" i="12" s="1"/>
  <c r="P381" i="12"/>
  <c r="P456" i="12"/>
  <c r="O433" i="12"/>
  <c r="O416" i="12"/>
  <c r="O478" i="12" s="1"/>
  <c r="P427" i="12"/>
  <c r="P489" i="12" s="1"/>
  <c r="O417" i="12"/>
  <c r="O400" i="12"/>
  <c r="O462" i="12" s="1"/>
  <c r="O390" i="12"/>
  <c r="P437" i="12"/>
  <c r="P499" i="12" s="1"/>
  <c r="P400" i="12"/>
  <c r="P462" i="12" s="1"/>
  <c r="P415" i="12"/>
  <c r="P422" i="12"/>
  <c r="P484" i="12" s="1"/>
  <c r="P392" i="12"/>
  <c r="P454" i="12" s="1"/>
  <c r="P384" i="12"/>
  <c r="P430" i="12"/>
  <c r="P492" i="12" s="1"/>
  <c r="O393" i="12"/>
  <c r="O440" i="12"/>
  <c r="O502" i="12" s="1"/>
  <c r="O430" i="12"/>
  <c r="O492" i="12" s="1"/>
  <c r="O429" i="12"/>
  <c r="O395" i="12"/>
  <c r="O410" i="12"/>
  <c r="O472" i="12" s="1"/>
  <c r="P417" i="12"/>
  <c r="P479" i="12" s="1"/>
  <c r="O405" i="12"/>
  <c r="O412" i="12"/>
  <c r="O383" i="12"/>
  <c r="O445" i="12" s="1"/>
  <c r="P387" i="12"/>
  <c r="P449" i="12" s="1"/>
  <c r="P511" i="12" s="1"/>
  <c r="O419" i="12"/>
  <c r="O481" i="12" s="1"/>
  <c r="P436" i="12"/>
  <c r="P378" i="12"/>
  <c r="P428" i="12"/>
  <c r="P490" i="12" s="1"/>
  <c r="P410" i="12"/>
  <c r="P418" i="12"/>
  <c r="P425" i="12"/>
  <c r="P487" i="12" s="1"/>
  <c r="P399" i="12"/>
  <c r="P461" i="12" s="1"/>
  <c r="P391" i="12"/>
  <c r="P458" i="12"/>
  <c r="P383" i="12"/>
  <c r="O385" i="12"/>
  <c r="O447" i="12" s="1"/>
  <c r="O370" i="12"/>
  <c r="O422" i="12"/>
  <c r="O484" i="12" s="1"/>
  <c r="O421" i="12"/>
  <c r="O428" i="12"/>
  <c r="O490" i="12" s="1"/>
  <c r="O387" i="12"/>
  <c r="O423" i="12"/>
  <c r="O485" i="12" s="1"/>
  <c r="O402" i="12"/>
  <c r="P409" i="12"/>
  <c r="P389" i="12"/>
  <c r="P464" i="12"/>
  <c r="P413" i="12"/>
  <c r="P408" i="12"/>
  <c r="P370" i="12"/>
  <c r="P424" i="12"/>
  <c r="P486" i="12" s="1"/>
  <c r="P406" i="12"/>
  <c r="P414" i="12"/>
  <c r="P421" i="12"/>
  <c r="P398" i="12"/>
  <c r="P390" i="12"/>
  <c r="P382" i="12"/>
  <c r="P373" i="12"/>
  <c r="P372" i="12"/>
  <c r="O424" i="12"/>
  <c r="O414" i="12"/>
  <c r="O413" i="12"/>
  <c r="O475" i="12" s="1"/>
  <c r="O420" i="12"/>
  <c r="O482" i="12" s="1"/>
  <c r="O379" i="12"/>
  <c r="O399" i="12"/>
  <c r="O394" i="12"/>
  <c r="P526" i="12" l="1"/>
  <c r="O510" i="12"/>
  <c r="O572" i="12" s="1"/>
  <c r="O549" i="12"/>
  <c r="O527" i="12"/>
  <c r="O554" i="12"/>
  <c r="P557" i="12"/>
  <c r="P555" i="12"/>
  <c r="P551" i="12"/>
  <c r="P519" i="12"/>
  <c r="O532" i="12"/>
  <c r="O524" i="12"/>
  <c r="O531" i="12"/>
  <c r="O551" i="12"/>
  <c r="P561" i="12"/>
  <c r="P623" i="12" s="1"/>
  <c r="O558" i="12"/>
  <c r="O456" i="12"/>
  <c r="O518" i="12" s="1"/>
  <c r="O552" i="12"/>
  <c r="O474" i="12"/>
  <c r="O452" i="12"/>
  <c r="P516" i="12"/>
  <c r="P578" i="12" s="1"/>
  <c r="O477" i="12"/>
  <c r="P445" i="12"/>
  <c r="P507" i="12" s="1"/>
  <c r="P520" i="12"/>
  <c r="P521" i="12"/>
  <c r="O442" i="12"/>
  <c r="O521" i="12"/>
  <c r="P469" i="12"/>
  <c r="O483" i="12"/>
  <c r="O564" i="12"/>
  <c r="O626" i="12" s="1"/>
  <c r="P549" i="12"/>
  <c r="P550" i="12"/>
  <c r="O437" i="12"/>
  <c r="O512" i="12"/>
  <c r="O479" i="12"/>
  <c r="O432" i="12"/>
  <c r="O507" i="12"/>
  <c r="P503" i="12"/>
  <c r="P565" i="12" s="1"/>
  <c r="P627" i="12" s="1"/>
  <c r="P524" i="12"/>
  <c r="P586" i="12" s="1"/>
  <c r="P648" i="12" s="1"/>
  <c r="P574" i="12"/>
  <c r="P636" i="12" s="1"/>
  <c r="O540" i="12"/>
  <c r="O602" i="12" s="1"/>
  <c r="O544" i="12"/>
  <c r="O606" i="12" s="1"/>
  <c r="P451" i="12"/>
  <c r="P470" i="12"/>
  <c r="P532" i="12" s="1"/>
  <c r="O444" i="12"/>
  <c r="O441" i="12"/>
  <c r="O516" i="12"/>
  <c r="P452" i="12"/>
  <c r="P514" i="12" s="1"/>
  <c r="P527" i="12"/>
  <c r="P468" i="12"/>
  <c r="P543" i="12"/>
  <c r="O497" i="12"/>
  <c r="P453" i="12"/>
  <c r="P515" i="12" s="1"/>
  <c r="P528" i="12"/>
  <c r="P547" i="12"/>
  <c r="O530" i="12"/>
  <c r="P472" i="12"/>
  <c r="P534" i="12" s="1"/>
  <c r="O476" i="12"/>
  <c r="O538" i="12" s="1"/>
  <c r="O486" i="12"/>
  <c r="O548" i="12" s="1"/>
  <c r="O457" i="12"/>
  <c r="P523" i="12"/>
  <c r="O464" i="12"/>
  <c r="O526" i="12" s="1"/>
  <c r="O588" i="12" s="1"/>
  <c r="O543" i="12"/>
  <c r="O605" i="12" s="1"/>
  <c r="P442" i="12"/>
  <c r="P517" i="12"/>
  <c r="P540" i="12"/>
  <c r="P434" i="12"/>
  <c r="P509" i="12"/>
  <c r="P474" i="12"/>
  <c r="P554" i="12"/>
  <c r="P616" i="12" s="1"/>
  <c r="O466" i="12"/>
  <c r="O528" i="12" s="1"/>
  <c r="O449" i="12"/>
  <c r="P438" i="12"/>
  <c r="O439" i="12"/>
  <c r="P480" i="12"/>
  <c r="P542" i="12" s="1"/>
  <c r="P604" i="12" s="1"/>
  <c r="O509" i="12"/>
  <c r="O534" i="12"/>
  <c r="P525" i="12"/>
  <c r="P587" i="12" s="1"/>
  <c r="P649" i="12" s="1"/>
  <c r="P553" i="12"/>
  <c r="O542" i="12"/>
  <c r="P529" i="12"/>
  <c r="P591" i="12" s="1"/>
  <c r="P443" i="12"/>
  <c r="P518" i="12"/>
  <c r="O431" i="12"/>
  <c r="P548" i="12"/>
  <c r="O495" i="12"/>
  <c r="P473" i="12"/>
  <c r="O488" i="12"/>
  <c r="O550" i="12" s="1"/>
  <c r="O612" i="12" s="1"/>
  <c r="P448" i="12"/>
  <c r="P510" i="12" s="1"/>
  <c r="P432" i="12"/>
  <c r="P546" i="12"/>
  <c r="O522" i="12"/>
  <c r="P440" i="12"/>
  <c r="O520" i="12"/>
  <c r="O582" i="12" s="1"/>
  <c r="O491" i="12"/>
  <c r="P476" i="12"/>
  <c r="O436" i="12"/>
  <c r="P460" i="12"/>
  <c r="P522" i="12" s="1"/>
  <c r="P584" i="12" s="1"/>
  <c r="O467" i="12"/>
  <c r="O461" i="12"/>
  <c r="O473" i="12"/>
  <c r="O535" i="12" s="1"/>
  <c r="P439" i="12"/>
  <c r="P471" i="12"/>
  <c r="P533" i="12" s="1"/>
  <c r="O443" i="12"/>
  <c r="P444" i="12"/>
  <c r="P475" i="12"/>
  <c r="P541" i="12"/>
  <c r="P603" i="12" s="1"/>
  <c r="P435" i="12"/>
  <c r="P483" i="12"/>
  <c r="P545" i="12" s="1"/>
  <c r="P573" i="12"/>
  <c r="O446" i="12"/>
  <c r="O547" i="12"/>
  <c r="O609" i="12" s="1"/>
  <c r="P477" i="12"/>
  <c r="P552" i="12"/>
  <c r="O537" i="12"/>
  <c r="O599" i="12" s="1"/>
  <c r="O455" i="12"/>
  <c r="O513" i="12"/>
  <c r="O438" i="12"/>
  <c r="P482" i="12"/>
  <c r="O463" i="12"/>
  <c r="O546" i="12"/>
  <c r="O608" i="12" s="1"/>
  <c r="P498" i="12"/>
  <c r="O533" i="12"/>
  <c r="O595" i="12" s="1"/>
  <c r="O453" i="12"/>
  <c r="P446" i="12"/>
  <c r="P588" i="12" l="1"/>
  <c r="P619" i="12"/>
  <c r="O586" i="12"/>
  <c r="O634" i="12"/>
  <c r="O611" i="12"/>
  <c r="P617" i="12"/>
  <c r="P679" i="12" s="1"/>
  <c r="P741" i="12" s="1"/>
  <c r="P513" i="12"/>
  <c r="P650" i="12" s="1"/>
  <c r="P613" i="12"/>
  <c r="P612" i="12"/>
  <c r="O592" i="12"/>
  <c r="O616" i="12"/>
  <c r="O594" i="12"/>
  <c r="O620" i="12"/>
  <c r="O668" i="12"/>
  <c r="O600" i="12"/>
  <c r="O589" i="12"/>
  <c r="O511" i="12"/>
  <c r="P689" i="12"/>
  <c r="P711" i="12"/>
  <c r="O545" i="12"/>
  <c r="O607" i="12" s="1"/>
  <c r="O669" i="12" s="1"/>
  <c r="O614" i="12"/>
  <c r="O671" i="12"/>
  <c r="O613" i="12"/>
  <c r="O675" i="12" s="1"/>
  <c r="O737" i="12" s="1"/>
  <c r="P685" i="12"/>
  <c r="O688" i="12"/>
  <c r="P710" i="12"/>
  <c r="O593" i="12"/>
  <c r="P635" i="12"/>
  <c r="O604" i="12"/>
  <c r="P610" i="12"/>
  <c r="P698" i="12"/>
  <c r="P560" i="12"/>
  <c r="O559" i="12"/>
  <c r="O621" i="12" s="1"/>
  <c r="O683" i="12" s="1"/>
  <c r="O745" i="12" s="1"/>
  <c r="O514" i="12"/>
  <c r="O536" i="12"/>
  <c r="O597" i="12"/>
  <c r="O659" i="12" s="1"/>
  <c r="O664" i="12"/>
  <c r="O661" i="12"/>
  <c r="O723" i="12" s="1"/>
  <c r="P581" i="12"/>
  <c r="P506" i="12"/>
  <c r="P571" i="12"/>
  <c r="P496" i="12"/>
  <c r="O498" i="12"/>
  <c r="P577" i="12"/>
  <c r="P502" i="12"/>
  <c r="P580" i="12"/>
  <c r="P505" i="12"/>
  <c r="O667" i="12"/>
  <c r="P589" i="12"/>
  <c r="P651" i="12" s="1"/>
  <c r="P607" i="12"/>
  <c r="P669" i="12" s="1"/>
  <c r="O569" i="12"/>
  <c r="O494" i="12"/>
  <c r="P605" i="12"/>
  <c r="P530" i="12"/>
  <c r="O571" i="12"/>
  <c r="P544" i="12"/>
  <c r="P606" i="12" s="1"/>
  <c r="P653" i="12"/>
  <c r="P715" i="12" s="1"/>
  <c r="P614" i="12"/>
  <c r="P539" i="12"/>
  <c r="P601" i="12" s="1"/>
  <c r="O590" i="12"/>
  <c r="O515" i="12"/>
  <c r="O596" i="12"/>
  <c r="O658" i="12" s="1"/>
  <c r="P666" i="12"/>
  <c r="P728" i="12" s="1"/>
  <c r="P537" i="12"/>
  <c r="P538" i="12"/>
  <c r="P611" i="12"/>
  <c r="P579" i="12"/>
  <c r="P504" i="12"/>
  <c r="P665" i="12"/>
  <c r="O519" i="12"/>
  <c r="P531" i="12"/>
  <c r="P593" i="12" s="1"/>
  <c r="P655" i="12" s="1"/>
  <c r="O610" i="12"/>
  <c r="O523" i="12"/>
  <c r="O650" i="12"/>
  <c r="P569" i="12"/>
  <c r="P494" i="12"/>
  <c r="P595" i="12"/>
  <c r="P657" i="12" s="1"/>
  <c r="O529" i="12"/>
  <c r="O553" i="12"/>
  <c r="O615" i="12" s="1"/>
  <c r="O677" i="12" s="1"/>
  <c r="O739" i="12" s="1"/>
  <c r="P590" i="12"/>
  <c r="P652" i="12" s="1"/>
  <c r="P583" i="12"/>
  <c r="P508" i="12"/>
  <c r="O580" i="12"/>
  <c r="O505" i="12"/>
  <c r="O670" i="12"/>
  <c r="O732" i="12" s="1"/>
  <c r="O583" i="12"/>
  <c r="O508" i="12"/>
  <c r="P608" i="12"/>
  <c r="P670" i="12" s="1"/>
  <c r="O525" i="12"/>
  <c r="O506" i="12"/>
  <c r="O568" i="12" s="1"/>
  <c r="O501" i="12"/>
  <c r="O541" i="12"/>
  <c r="O578" i="12"/>
  <c r="O503" i="12"/>
  <c r="P535" i="12"/>
  <c r="O574" i="12"/>
  <c r="O499" i="12"/>
  <c r="P596" i="12"/>
  <c r="O504" i="12"/>
  <c r="P594" i="12"/>
  <c r="O644" i="12"/>
  <c r="P678" i="12"/>
  <c r="P740" i="12" s="1"/>
  <c r="O575" i="12"/>
  <c r="O500" i="12"/>
  <c r="P572" i="12"/>
  <c r="P497" i="12"/>
  <c r="P585" i="12"/>
  <c r="O493" i="12"/>
  <c r="O539" i="12"/>
  <c r="O676" i="12" s="1"/>
  <c r="P640" i="12"/>
  <c r="P702" i="12" s="1"/>
  <c r="O557" i="12"/>
  <c r="O619" i="12" s="1"/>
  <c r="O681" i="12" s="1"/>
  <c r="O743" i="12" s="1"/>
  <c r="O517" i="12"/>
  <c r="O654" i="12" s="1"/>
  <c r="O674" i="12"/>
  <c r="O736" i="12" s="1"/>
  <c r="P602" i="12"/>
  <c r="P576" i="12"/>
  <c r="P501" i="12"/>
  <c r="O657" i="12"/>
  <c r="O719" i="12" s="1"/>
  <c r="P500" i="12"/>
  <c r="P646" i="12"/>
  <c r="P609" i="12"/>
  <c r="P671" i="12" s="1"/>
  <c r="P536" i="12"/>
  <c r="P615" i="12"/>
  <c r="P677" i="12" s="1"/>
  <c r="O584" i="12"/>
  <c r="O646" i="12" s="1"/>
  <c r="P582" i="12"/>
  <c r="P644" i="12" s="1"/>
  <c r="P575" i="12" l="1"/>
  <c r="P712" i="12" s="1"/>
  <c r="O648" i="12"/>
  <c r="O673" i="12"/>
  <c r="O573" i="12"/>
  <c r="O710" i="12" s="1"/>
  <c r="O651" i="12"/>
  <c r="O731" i="12"/>
  <c r="O682" i="12"/>
  <c r="O744" i="12" s="1"/>
  <c r="O712" i="12"/>
  <c r="O678" i="12"/>
  <c r="O730" i="12"/>
  <c r="O656" i="12"/>
  <c r="O729" i="12"/>
  <c r="P719" i="12"/>
  <c r="P747" i="12"/>
  <c r="O726" i="12"/>
  <c r="P672" i="12"/>
  <c r="P668" i="12"/>
  <c r="P730" i="12" s="1"/>
  <c r="O601" i="12"/>
  <c r="O738" i="12" s="1"/>
  <c r="O598" i="12"/>
  <c r="O735" i="12" s="1"/>
  <c r="P733" i="12"/>
  <c r="P697" i="12"/>
  <c r="O576" i="12"/>
  <c r="P739" i="12"/>
  <c r="P714" i="12"/>
  <c r="O733" i="12"/>
  <c r="O721" i="12"/>
  <c r="O655" i="12"/>
  <c r="O717" i="12" s="1"/>
  <c r="P681" i="12"/>
  <c r="P743" i="12" s="1"/>
  <c r="P622" i="12"/>
  <c r="P684" i="12" s="1"/>
  <c r="P746" i="12" s="1"/>
  <c r="O696" i="12"/>
  <c r="P638" i="12"/>
  <c r="P563" i="12"/>
  <c r="O563" i="12"/>
  <c r="P637" i="12"/>
  <c r="P562" i="12"/>
  <c r="P624" i="12" s="1"/>
  <c r="P686" i="12" s="1"/>
  <c r="P748" i="12" s="1"/>
  <c r="P727" i="12"/>
  <c r="P658" i="12"/>
  <c r="P720" i="12" s="1"/>
  <c r="O560" i="12"/>
  <c r="P643" i="12"/>
  <c r="P568" i="12"/>
  <c r="P630" i="12" s="1"/>
  <c r="P692" i="12" s="1"/>
  <c r="P713" i="12"/>
  <c r="O631" i="12"/>
  <c r="O556" i="12"/>
  <c r="O618" i="12" s="1"/>
  <c r="O680" i="12" s="1"/>
  <c r="O742" i="12" s="1"/>
  <c r="O630" i="12"/>
  <c r="O555" i="12"/>
  <c r="O642" i="12"/>
  <c r="O567" i="12"/>
  <c r="O585" i="12"/>
  <c r="P566" i="12"/>
  <c r="P628" i="12" s="1"/>
  <c r="P690" i="12" s="1"/>
  <c r="P641" i="12"/>
  <c r="O662" i="12"/>
  <c r="O587" i="12"/>
  <c r="P645" i="12"/>
  <c r="P570" i="12"/>
  <c r="O666" i="12"/>
  <c r="O591" i="12"/>
  <c r="O652" i="12"/>
  <c r="O577" i="12"/>
  <c r="O708" i="12"/>
  <c r="O633" i="12"/>
  <c r="O695" i="12" s="1"/>
  <c r="O706" i="12"/>
  <c r="P731" i="12"/>
  <c r="P656" i="12"/>
  <c r="P718" i="12" s="1"/>
  <c r="O640" i="12"/>
  <c r="O565" i="12"/>
  <c r="O566" i="12"/>
  <c r="P663" i="12"/>
  <c r="P725" i="12" s="1"/>
  <c r="P667" i="12"/>
  <c r="P592" i="12"/>
  <c r="P717" i="12"/>
  <c r="O581" i="12"/>
  <c r="O643" i="12" s="1"/>
  <c r="O705" i="12" s="1"/>
  <c r="O672" i="12"/>
  <c r="O734" i="12" s="1"/>
  <c r="O636" i="12"/>
  <c r="O561" i="12"/>
  <c r="O623" i="12" s="1"/>
  <c r="O685" i="12" s="1"/>
  <c r="O747" i="12" s="1"/>
  <c r="P673" i="12"/>
  <c r="P598" i="12"/>
  <c r="P660" i="12" s="1"/>
  <c r="P722" i="12" s="1"/>
  <c r="P634" i="12"/>
  <c r="P559" i="12"/>
  <c r="P732" i="12"/>
  <c r="P642" i="12"/>
  <c r="P567" i="12"/>
  <c r="P629" i="12" s="1"/>
  <c r="P691" i="12" s="1"/>
  <c r="P647" i="12"/>
  <c r="P709" i="12" s="1"/>
  <c r="P631" i="12"/>
  <c r="P556" i="12"/>
  <c r="P675" i="12"/>
  <c r="P600" i="12"/>
  <c r="P597" i="12"/>
  <c r="O637" i="12"/>
  <c r="O562" i="12"/>
  <c r="O579" i="12"/>
  <c r="O716" i="12" s="1"/>
  <c r="O645" i="12"/>
  <c r="O570" i="12"/>
  <c r="P706" i="12"/>
  <c r="P676" i="12"/>
  <c r="P738" i="12" s="1"/>
  <c r="P664" i="12"/>
  <c r="P726" i="12" s="1"/>
  <c r="P633" i="12"/>
  <c r="P558" i="12"/>
  <c r="P620" i="12" s="1"/>
  <c r="P682" i="12" s="1"/>
  <c r="P744" i="12" s="1"/>
  <c r="O720" i="12"/>
  <c r="P674" i="12"/>
  <c r="P599" i="12"/>
  <c r="O603" i="12"/>
  <c r="P639" i="12"/>
  <c r="P564" i="12"/>
  <c r="P708" i="12"/>
  <c r="O635" i="12" l="1"/>
  <c r="O713" i="12"/>
  <c r="O660" i="12"/>
  <c r="O663" i="12"/>
  <c r="O725" i="12" s="1"/>
  <c r="P703" i="12"/>
  <c r="O638" i="12"/>
  <c r="O700" i="12" s="1"/>
  <c r="O718" i="12"/>
  <c r="P734" i="12"/>
  <c r="P659" i="12"/>
  <c r="P721" i="12" s="1"/>
  <c r="O702" i="12"/>
  <c r="O627" i="12"/>
  <c r="O689" i="12" s="1"/>
  <c r="P699" i="12"/>
  <c r="P693" i="12"/>
  <c r="P618" i="12"/>
  <c r="P680" i="12" s="1"/>
  <c r="P742" i="12" s="1"/>
  <c r="O698" i="12"/>
  <c r="O728" i="12"/>
  <c r="O653" i="12"/>
  <c r="O715" i="12" s="1"/>
  <c r="O697" i="12"/>
  <c r="O622" i="12"/>
  <c r="O684" i="12" s="1"/>
  <c r="O746" i="12" s="1"/>
  <c r="O625" i="12"/>
  <c r="O687" i="12" s="1"/>
  <c r="O724" i="12"/>
  <c r="O649" i="12"/>
  <c r="O711" i="12" s="1"/>
  <c r="O704" i="12"/>
  <c r="O629" i="12"/>
  <c r="O691" i="12" s="1"/>
  <c r="P729" i="12"/>
  <c r="P654" i="12"/>
  <c r="P716" i="12" s="1"/>
  <c r="P736" i="12"/>
  <c r="P661" i="12"/>
  <c r="P723" i="12" s="1"/>
  <c r="P735" i="12"/>
  <c r="O692" i="12"/>
  <c r="O617" i="12"/>
  <c r="O679" i="12" s="1"/>
  <c r="O741" i="12" s="1"/>
  <c r="O722" i="12"/>
  <c r="O647" i="12"/>
  <c r="O709" i="12" s="1"/>
  <c r="P695" i="12"/>
  <c r="O699" i="12"/>
  <c r="O624" i="12"/>
  <c r="O686" i="12" s="1"/>
  <c r="O748" i="12" s="1"/>
  <c r="O628" i="12"/>
  <c r="O690" i="12" s="1"/>
  <c r="P707" i="12"/>
  <c r="P632" i="12"/>
  <c r="P694" i="12" s="1"/>
  <c r="O693" i="12"/>
  <c r="P700" i="12"/>
  <c r="P625" i="12"/>
  <c r="P687" i="12" s="1"/>
  <c r="O740" i="12"/>
  <c r="O665" i="12"/>
  <c r="O727" i="12" s="1"/>
  <c r="O714" i="12"/>
  <c r="O639" i="12"/>
  <c r="O701" i="12" s="1"/>
  <c r="P737" i="12"/>
  <c r="P662" i="12"/>
  <c r="P724" i="12" s="1"/>
  <c r="O707" i="12"/>
  <c r="O632" i="12"/>
  <c r="O694" i="12" s="1"/>
  <c r="P704" i="12"/>
  <c r="P705" i="12"/>
  <c r="P701" i="12"/>
  <c r="P626" i="12"/>
  <c r="P688" i="12" s="1"/>
  <c r="P696" i="12"/>
  <c r="P621" i="12"/>
  <c r="P683" i="12" s="1"/>
  <c r="P745" i="12" s="1"/>
  <c r="O641" i="12"/>
  <c r="O703" i="12" s="1"/>
  <c r="E9" i="25" l="1"/>
  <c r="E10" i="25"/>
  <c r="J33" i="5" l="1"/>
  <c r="J31" i="5"/>
  <c r="I15" i="5"/>
  <c r="I12" i="5"/>
  <c r="F19" i="3"/>
  <c r="F18" i="3"/>
  <c r="I31" i="5"/>
  <c r="I33" i="5"/>
  <c r="J34" i="5"/>
  <c r="J24" i="5"/>
  <c r="J20" i="5"/>
  <c r="F12" i="7"/>
  <c r="G18" i="6"/>
  <c r="F34" i="3"/>
  <c r="F32" i="3"/>
  <c r="F6" i="3"/>
  <c r="F15" i="3"/>
  <c r="F30" i="3"/>
  <c r="F28" i="3"/>
  <c r="F22" i="3"/>
  <c r="H34" i="5"/>
  <c r="H24" i="5"/>
  <c r="H20" i="5"/>
  <c r="J15" i="5"/>
  <c r="J12" i="5"/>
  <c r="J4" i="5"/>
  <c r="I34" i="5"/>
  <c r="I24" i="5"/>
  <c r="I20" i="5"/>
  <c r="E16" i="7"/>
  <c r="E14" i="7"/>
  <c r="I12" i="4"/>
  <c r="E6" i="7"/>
  <c r="E9" i="7"/>
  <c r="H31" i="5"/>
  <c r="H33" i="5"/>
  <c r="D18" i="3"/>
  <c r="D19" i="3"/>
  <c r="E3" i="25"/>
  <c r="D6" i="7"/>
  <c r="D9" i="7"/>
  <c r="D14" i="7"/>
  <c r="D16" i="7"/>
  <c r="D19" i="7"/>
  <c r="D21" i="7"/>
  <c r="D22" i="7"/>
  <c r="O8" i="13"/>
  <c r="J13" i="4"/>
  <c r="J15" i="4"/>
  <c r="E28" i="3"/>
  <c r="E22" i="3"/>
  <c r="E31" i="3"/>
  <c r="E18" i="6"/>
  <c r="D12" i="7"/>
  <c r="I15" i="4"/>
  <c r="D6" i="3"/>
  <c r="D15" i="3"/>
  <c r="D30" i="3"/>
  <c r="D32" i="3"/>
  <c r="D34" i="3"/>
  <c r="H13" i="4"/>
  <c r="H15" i="4"/>
  <c r="D28" i="3"/>
  <c r="D22" i="3"/>
  <c r="I4" i="5"/>
  <c r="F31" i="3"/>
  <c r="F15" i="7"/>
  <c r="J13" i="5"/>
  <c r="J19" i="5"/>
  <c r="J9" i="4"/>
  <c r="J11" i="4"/>
  <c r="J12" i="4"/>
  <c r="F6" i="7"/>
  <c r="F9" i="7"/>
  <c r="F14" i="7"/>
  <c r="F16" i="7"/>
  <c r="F18" i="6"/>
  <c r="E12" i="7"/>
  <c r="H4" i="5"/>
  <c r="H12" i="5"/>
  <c r="H15" i="5"/>
  <c r="E18" i="3"/>
  <c r="E19" i="3"/>
  <c r="H19" i="5"/>
  <c r="H9" i="4"/>
  <c r="H11" i="4"/>
  <c r="H12" i="4"/>
  <c r="H13" i="5"/>
  <c r="I13" i="5"/>
  <c r="I19" i="5"/>
  <c r="I9" i="4"/>
  <c r="I11" i="4"/>
  <c r="I13" i="4"/>
  <c r="E6" i="3"/>
  <c r="E15" i="3"/>
  <c r="E30" i="3"/>
  <c r="E32" i="3"/>
  <c r="E3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tc={4EB614DA-CD12-4216-BDFF-514F73D42D1E}</author>
    <author>tc={351A14A3-1FF5-4F4A-B1AD-9B430D140F42}</author>
    <author>tc={ACFD32C3-A12E-4CF6-A23D-78A85FF39632}</author>
    <author>tc={F2B58EE6-F277-4A06-BB1E-8F4CDBD09B8D}</author>
    <author>tc={2C9815E4-1A4F-4CC2-9C22-1EAA8455CBD1}</author>
  </authors>
  <commentList>
    <comment ref="B10" authorId="0" shapeId="0" xr:uid="{4EB614DA-CD12-4216-BDFF-514F73D42D1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Basic</t>
        </r>
      </text>
    </comment>
    <comment ref="B22" authorId="1" shapeId="0" xr:uid="{351A14A3-1FF5-4F4A-B1AD-9B430D140F4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Basic</t>
        </r>
      </text>
    </comment>
    <comment ref="B38" authorId="2" shapeId="0" xr:uid="{ACFD32C3-A12E-4CF6-A23D-78A85FF3963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Basic</t>
        </r>
      </text>
    </comment>
    <comment ref="B54" authorId="3" shapeId="0" xr:uid="{F2B58EE6-F277-4A06-BB1E-8F4CDBD09B8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Basic</t>
        </r>
      </text>
    </comment>
    <comment ref="B70" authorId="4" shapeId="0" xr:uid="{2C9815E4-1A4F-4CC2-9C22-1EAA8455CBD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Basic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<sst xmlns="http://schemas.openxmlformats.org/spreadsheetml/2006/main" count="1696" uniqueCount="419">
  <si>
    <t>Group</t>
  </si>
  <si>
    <t>Twenty Seven</t>
  </si>
  <si>
    <t xml:space="preserve">Please write this out as One or Two, etc. </t>
  </si>
  <si>
    <t>ID</t>
  </si>
  <si>
    <t xml:space="preserve">Georgia Tech USER name of submitter:  such as JGARNER47 (not private!) </t>
  </si>
  <si>
    <t>Remember, just submit one file per group!</t>
  </si>
  <si>
    <t>Procter Gamble</t>
  </si>
  <si>
    <t>CONSOLIDATED STATEMENTS OF EARNINGS - USD ($) $ in Millions</t>
  </si>
  <si>
    <t>12 Months Ended</t>
  </si>
  <si>
    <t>Jun. 30, 2019</t>
  </si>
  <si>
    <t>Jun. 30, 2020</t>
  </si>
  <si>
    <t>Jun. 30, 2021</t>
  </si>
  <si>
    <t>Net Sales</t>
  </si>
  <si>
    <t>Cost of Goods and Services Sold</t>
  </si>
  <si>
    <t>Selling, General and Administrative Expense</t>
  </si>
  <si>
    <t>Goodwill &amp; Indefinite Lived Intangible Asset Impairment Charges</t>
  </si>
  <si>
    <t>Operating Income (also known as EBIT)</t>
  </si>
  <si>
    <t>Interest Expense</t>
  </si>
  <si>
    <t>Investment Income, Interest</t>
  </si>
  <si>
    <t>Other Nonoperating Income (Expense)</t>
  </si>
  <si>
    <t>Earnings from Continuing Operations Before Income Taxes</t>
  </si>
  <si>
    <t>Income Taxes on Continuing Operations</t>
  </si>
  <si>
    <t>Net Earnings</t>
  </si>
  <si>
    <t>Net Earnings Attributable to Noncontrolling Interest</t>
  </si>
  <si>
    <t>Net Income (Loss) Attributable to Parent</t>
  </si>
  <si>
    <t>BASIC NET EARNINGS PER COMMON SHARE</t>
  </si>
  <si>
    <t>Earnings Per Share, Basic</t>
  </si>
  <si>
    <t>DILUTED NET EARNINGS PER COMMON SHARE</t>
  </si>
  <si>
    <t>Earnings Per Share, Diluted</t>
  </si>
  <si>
    <t>Dividends</t>
  </si>
  <si>
    <t>CONSOLIDATED BALANCE SHEETS - USD ($) shares in Millions, $ in Millions</t>
  </si>
  <si>
    <t>CURRENT ASSETS</t>
  </si>
  <si>
    <t>Cash, Cash Equivalents, Restricted Cash and Restricted Cash Equivalents</t>
  </si>
  <si>
    <t>Accounts Receivable, after Allowance for Credit Loss, Current</t>
  </si>
  <si>
    <t>INVENTORIES</t>
  </si>
  <si>
    <t>Inventory, Raw Materials and Supplies, Net of Reserves</t>
  </si>
  <si>
    <t>Inventory, Work in Process, Net of Reserves</t>
  </si>
  <si>
    <t>Inventory, Finished Goods, Net of Reserves</t>
  </si>
  <si>
    <t>Inventory, Net, Total</t>
  </si>
  <si>
    <t>Prepaid Expense and Other Assets, Current</t>
  </si>
  <si>
    <t>Assets, Current</t>
  </si>
  <si>
    <t>Property, Plant and Equipment, Net</t>
  </si>
  <si>
    <t>Goodwill</t>
  </si>
  <si>
    <t>Intangible Assets, Net (Excluding Goodwill)</t>
  </si>
  <si>
    <t>Other Assets, Noncurrent</t>
  </si>
  <si>
    <t>Assets</t>
  </si>
  <si>
    <t>CURRENT LIABILITIES</t>
  </si>
  <si>
    <t>Accounts Payable, Current</t>
  </si>
  <si>
    <t>Accrued Liabilities, Current</t>
  </si>
  <si>
    <t>Debt, Current</t>
  </si>
  <si>
    <t>Liabilities, Current</t>
  </si>
  <si>
    <t>Long-term Debt, Excluding Current Maturities</t>
  </si>
  <si>
    <t>Deferred Income Tax Liabilities, Net</t>
  </si>
  <si>
    <t>Other Liabilities, Noncurrent</t>
  </si>
  <si>
    <t>Liabilities</t>
  </si>
  <si>
    <t>SHAREHOLDERS' EQUITY</t>
  </si>
  <si>
    <t>Preferred Stock</t>
  </si>
  <si>
    <t>Common Stock, Value, Issued</t>
  </si>
  <si>
    <t>Additional Paid in Capital</t>
  </si>
  <si>
    <t>Reserve For ESOP Debt Retirement</t>
  </si>
  <si>
    <t>Accumulated Other Comprehensive Income (Loss), Net of Tax</t>
  </si>
  <si>
    <t>Treasury Stock, Value</t>
  </si>
  <si>
    <t>Retained Earnings (Accumulated Deficit)</t>
  </si>
  <si>
    <t>Stockholders' Equity Attributable to Noncontrolling Interest</t>
  </si>
  <si>
    <t>Stockholders' Equity, Including Portion Attributable to Noncontrolling Interest</t>
  </si>
  <si>
    <t>Liabilities and Equity</t>
  </si>
  <si>
    <t>Common Stock, Shares, Issued</t>
  </si>
  <si>
    <t>Common Stock, Par or Stated Value Per Share</t>
  </si>
  <si>
    <t>Common Stock, Shares Authorized</t>
  </si>
  <si>
    <t>Treasury Stock, Shares</t>
  </si>
  <si>
    <t>Procter &amp; Gamble</t>
  </si>
  <si>
    <t>Income Statements</t>
  </si>
  <si>
    <t>Historical</t>
  </si>
  <si>
    <t>Forecast</t>
  </si>
  <si>
    <t>Net Interest Expense</t>
  </si>
  <si>
    <t>Placing a YELLOW background is a good idea when building the model.  I use a YELLOW</t>
  </si>
  <si>
    <t>background for any number I initially "hardcode" as a reminder I need to write a formula later!</t>
  </si>
  <si>
    <t>Earnings from Continuing Operations Before Income Taxes (EBT)</t>
  </si>
  <si>
    <t>No need to forecast earnings attributable to non-controlling interest</t>
  </si>
  <si>
    <t>Revenue growth</t>
  </si>
  <si>
    <t>COGS % Revenues</t>
  </si>
  <si>
    <t>SG&amp;A % Revenues</t>
  </si>
  <si>
    <t>Goodwill Impairment % Revenues</t>
  </si>
  <si>
    <t>Assume 0% going forward</t>
  </si>
  <si>
    <t>Other non-operating income, net % Revenues</t>
  </si>
  <si>
    <t>Interest % ST and LT Debt</t>
  </si>
  <si>
    <t>Tax rate (% of EBT)</t>
  </si>
  <si>
    <t>Payout ratios</t>
  </si>
  <si>
    <t>Dividends ($)</t>
  </si>
  <si>
    <t>Please read case instructions about dividend forecast!</t>
  </si>
  <si>
    <t>Dividend 0/1</t>
  </si>
  <si>
    <t>Historicals</t>
  </si>
  <si>
    <t>Common Stock, Par + Additional Paid in Capital</t>
  </si>
  <si>
    <t xml:space="preserve"> </t>
  </si>
  <si>
    <t>Even if you keep non-controlling interest constant, the 2022 balance should be 2021 balance PLUS what you are forecasting below!  (Row 61)</t>
  </si>
  <si>
    <t>The above statement is true for all balance sheet items…that is, even if it stays constant, the formula should be PRIOR balance PLUS the CHANGE (in the input section below)</t>
  </si>
  <si>
    <t>Assumptions</t>
  </si>
  <si>
    <t>A</t>
  </si>
  <si>
    <t>Minimum cash balance</t>
  </si>
  <si>
    <t>Leave all blue assumptions/inputs as is!</t>
  </si>
  <si>
    <t>Other Assets, Noncurrent % of revenues</t>
  </si>
  <si>
    <t>L/E</t>
  </si>
  <si>
    <t>Issues from LTD</t>
  </si>
  <si>
    <t>Payoff LTD</t>
  </si>
  <si>
    <t xml:space="preserve">L/E </t>
  </si>
  <si>
    <t>Deferred Income Tax Liabilities, % Revenues</t>
  </si>
  <si>
    <t>Other long-term liabilities</t>
  </si>
  <si>
    <t>New issues of stock</t>
  </si>
  <si>
    <t>Buyback of stock</t>
  </si>
  <si>
    <t>Preferred stock new issues</t>
  </si>
  <si>
    <t>Consolidated Statements of Cash Flows - USD ($)</t>
  </si>
  <si>
    <t>$ in Millions</t>
  </si>
  <si>
    <t>Cash flows from operating activities:</t>
  </si>
  <si>
    <t>Net earnings</t>
  </si>
  <si>
    <t>Adjustments to reconcile net earnings to operating cash flow</t>
  </si>
  <si>
    <t>Deferred income taxes</t>
  </si>
  <si>
    <t>Other long term liabilities</t>
  </si>
  <si>
    <t>Accounts receivable</t>
  </si>
  <si>
    <t>Inventories</t>
  </si>
  <si>
    <t>Other current assets</t>
  </si>
  <si>
    <t>Accounts payable and accrued liabilities</t>
  </si>
  <si>
    <t>ESOP</t>
  </si>
  <si>
    <t>Net cash provided by operating activities</t>
  </si>
  <si>
    <t>Cash flows from investing activities:</t>
  </si>
  <si>
    <t>Purchase/sale of plant assets</t>
  </si>
  <si>
    <t>Net cash used in investing activities</t>
  </si>
  <si>
    <t>Cash flows from financing activities:</t>
  </si>
  <si>
    <t>Net short-term borrowings (repayments)</t>
  </si>
  <si>
    <t>Long-term borrowings (repayments)</t>
  </si>
  <si>
    <t>Issuance of common stock</t>
  </si>
  <si>
    <t>Issuance of preferred stock</t>
  </si>
  <si>
    <t>Dividends paid</t>
  </si>
  <si>
    <t>Treasury stock purchases</t>
  </si>
  <si>
    <t>Net cash used in financing activities</t>
  </si>
  <si>
    <t xml:space="preserve">Total change in cash </t>
  </si>
  <si>
    <t>Cash and cash equivalents continuing operations - beginning of period</t>
  </si>
  <si>
    <t>Cash and cash equivalents continuing operations - end of period</t>
  </si>
  <si>
    <t xml:space="preserve">Checks to Balance sheet?  </t>
  </si>
  <si>
    <t>Discounted Cash Flow Analysis</t>
  </si>
  <si>
    <t>EBIT</t>
  </si>
  <si>
    <t>Taxes expensed</t>
  </si>
  <si>
    <t>Deferred taxes</t>
  </si>
  <si>
    <t>Change in Long term liabilities</t>
  </si>
  <si>
    <t>EBIT after tax</t>
  </si>
  <si>
    <t>Change in net working capital</t>
  </si>
  <si>
    <t>Net capital expenditures</t>
  </si>
  <si>
    <t>FCF</t>
  </si>
  <si>
    <t>Terminal value</t>
  </si>
  <si>
    <t>Total CFs</t>
  </si>
  <si>
    <t>Value of the firm</t>
  </si>
  <si>
    <t>Market value of firm</t>
  </si>
  <si>
    <t>MV Debt less cash</t>
  </si>
  <si>
    <t>Value of equity</t>
  </si>
  <si>
    <t>MV equity</t>
  </si>
  <si>
    <t>Per share price</t>
  </si>
  <si>
    <t>estimate as of June 30, 2021</t>
  </si>
  <si>
    <t>Supporting schedules: Change in NWC and Net Capital Expenditures</t>
  </si>
  <si>
    <t>Net working Capital</t>
  </si>
  <si>
    <t>Accounts Receivable</t>
  </si>
  <si>
    <t>Inventory</t>
  </si>
  <si>
    <t>Total Current assets</t>
  </si>
  <si>
    <t>Accounts payable/accruals</t>
  </si>
  <si>
    <t>Total Current liabilities</t>
  </si>
  <si>
    <t>NWC</t>
  </si>
  <si>
    <t>Change NWC</t>
  </si>
  <si>
    <t>Capital Expenditures</t>
  </si>
  <si>
    <t>Church &amp; Dwight</t>
  </si>
  <si>
    <t>STEPAN</t>
  </si>
  <si>
    <t>Johnson &amp; Johnson</t>
  </si>
  <si>
    <t>Pepsi</t>
  </si>
  <si>
    <t>Min</t>
  </si>
  <si>
    <t>Quartile 1</t>
  </si>
  <si>
    <t>Median</t>
  </si>
  <si>
    <t>Quartile 3</t>
  </si>
  <si>
    <t>Max</t>
  </si>
  <si>
    <t>P/E</t>
  </si>
  <si>
    <t>P/B</t>
  </si>
  <si>
    <t>P/Sales</t>
  </si>
  <si>
    <t>Comparable Analysis</t>
  </si>
  <si>
    <t>Data</t>
  </si>
  <si>
    <t>Use the 10-K for period ending June 30, 2021</t>
  </si>
  <si>
    <t>Mil</t>
  </si>
  <si>
    <t xml:space="preserve">Source Detail </t>
  </si>
  <si>
    <t xml:space="preserve">Multiple of another firm </t>
  </si>
  <si>
    <t>Sales</t>
  </si>
  <si>
    <t>I/S or CF statement on a per share 
basis MUST use Wtd shares o/s</t>
  </si>
  <si>
    <t>Apply this to P&amp;G</t>
  </si>
  <si>
    <t>Net earnings attributable to P&amp;G</t>
  </si>
  <si>
    <t>Obtain implied per share price (PG)</t>
  </si>
  <si>
    <t>Preferred dividends</t>
  </si>
  <si>
    <t>Notes to Consolidated Financial Statements</t>
  </si>
  <si>
    <t>Bal Sheet on per share basis
MUST use Shares o/s As of date of bal sheet</t>
  </si>
  <si>
    <t>Book value of equity</t>
  </si>
  <si>
    <t>Implied Price PG /  (Sales/share, PG) = P/S for competitor</t>
  </si>
  <si>
    <t>Weighted average shares outstanding</t>
  </si>
  <si>
    <t>Notes to the Financial Statements - Earnings per Share</t>
  </si>
  <si>
    <t>Implied Price PG  = (Sales/share,PG)  x  P/S for competitor</t>
  </si>
  <si>
    <t>Shares outstanding</t>
  </si>
  <si>
    <t>Consolidated Statements of Shareholder's Equity</t>
  </si>
  <si>
    <t>Sales per share</t>
  </si>
  <si>
    <t>Book value per share</t>
  </si>
  <si>
    <t>EPS</t>
  </si>
  <si>
    <t>Use the 10-K for period ending 12/31/2020</t>
  </si>
  <si>
    <t>Source Detail</t>
  </si>
  <si>
    <t>Consolidated Statements of Income</t>
  </si>
  <si>
    <t>Implied Price</t>
  </si>
  <si>
    <t>Net earnings attributable to parent</t>
  </si>
  <si>
    <t>Price-to-Sales</t>
  </si>
  <si>
    <t>N/A</t>
  </si>
  <si>
    <t>Price-to-Book</t>
  </si>
  <si>
    <t>Consolidated Balance Sheets</t>
  </si>
  <si>
    <t>Price-to-Earnings</t>
  </si>
  <si>
    <t>Consolidated Statements of Stockholders' Equity</t>
  </si>
  <si>
    <t>The above "implied prices" are for Procter &amp; Gamble</t>
  </si>
  <si>
    <t>Share price</t>
  </si>
  <si>
    <t>Yahoo Finance as of 12/31/2020</t>
  </si>
  <si>
    <t>Price-to-Sales ratio</t>
  </si>
  <si>
    <t>Price-to-Earnings ratio</t>
  </si>
  <si>
    <t>Price-to-Book ratio</t>
  </si>
  <si>
    <t>Notes to Financial Statements - Earnings per Share</t>
  </si>
  <si>
    <t>Use 10-K for period ending Jan 3, 2021</t>
  </si>
  <si>
    <t>Consolidated Statement of Earnings</t>
  </si>
  <si>
    <t>Use 10-K ending Dec 26, 2020</t>
  </si>
  <si>
    <t>Consolidated Statement of Income</t>
  </si>
  <si>
    <t>Consolidated Balance Sheet</t>
  </si>
  <si>
    <t>Yahoo Finance as of 12/24/2020</t>
  </si>
  <si>
    <t>WACC, Procter &amp; Gamble, "PG"</t>
  </si>
  <si>
    <t>WACC = D/V x Rd (1-T) + E/V x Re +P/V x Rp</t>
  </si>
  <si>
    <t>V = D + E + P</t>
  </si>
  <si>
    <t>This sensitivity table will be used for Case 4 only and will be required for Case 4 only!</t>
  </si>
  <si>
    <t>D = mkr value of debt, P = Book value of preferred, E = mkrt value of common equity</t>
  </si>
  <si>
    <t>Market value of debt: D</t>
  </si>
  <si>
    <t>Pull from MV Debt and Weighted YTM worksheet</t>
  </si>
  <si>
    <t>Market value of equity:E</t>
  </si>
  <si>
    <t>Pull the price from the stock return sheet; multiply by shares o/s</t>
  </si>
  <si>
    <t>WACC</t>
  </si>
  <si>
    <t>Preferred Equity: P</t>
  </si>
  <si>
    <r>
      <t>R</t>
    </r>
    <r>
      <rPr>
        <vertAlign val="subscript"/>
        <sz val="12"/>
        <color theme="1"/>
        <rFont val="Arial"/>
        <family val="2"/>
      </rPr>
      <t>d</t>
    </r>
  </si>
  <si>
    <r>
      <t>R</t>
    </r>
    <r>
      <rPr>
        <vertAlign val="subscript"/>
        <sz val="12"/>
        <color theme="1"/>
        <rFont val="Arial"/>
        <family val="2"/>
      </rPr>
      <t>e</t>
    </r>
  </si>
  <si>
    <t>Pull from Required return Equity worksheet</t>
  </si>
  <si>
    <t>Rp</t>
  </si>
  <si>
    <t>=Preferred dividends / book value of Preferred equity </t>
  </si>
  <si>
    <t>Tax rate: T</t>
  </si>
  <si>
    <t xml:space="preserve"> Pull from IS Hist Forecast</t>
  </si>
  <si>
    <t>Pull from Multiple Valuation Worksheet</t>
  </si>
  <si>
    <t>Pull from Beta computation worksheet</t>
  </si>
  <si>
    <t>Growth in FCF</t>
  </si>
  <si>
    <t>Growth</t>
  </si>
  <si>
    <t>Procter &amp; Gamble Long and Short Term Debt (book values from 10-K)</t>
  </si>
  <si>
    <t>As of June 30</t>
  </si>
  <si>
    <t>Year Maturity</t>
  </si>
  <si>
    <t>Coupon</t>
  </si>
  <si>
    <t>Book Value</t>
  </si>
  <si>
    <t>Price</t>
  </si>
  <si>
    <t>Market value</t>
  </si>
  <si>
    <t>Weight</t>
  </si>
  <si>
    <t>YTM (%)</t>
  </si>
  <si>
    <t>YTM x Weight</t>
  </si>
  <si>
    <t>LONG-TERM DEBT</t>
  </si>
  <si>
    <t>1.70% USD note due November 2021</t>
  </si>
  <si>
    <t>2.00% EUR note due November 2021</t>
  </si>
  <si>
    <t>2.30% USD note due February 2022</t>
  </si>
  <si>
    <t>2.15% USD note due August 2022</t>
  </si>
  <si>
    <t>2.00% EUR note due August 2022</t>
  </si>
  <si>
    <t>3.10% USD note due August 2023</t>
  </si>
  <si>
    <t>1.13% EUR note due November 2023</t>
  </si>
  <si>
    <t>0.50% EUR note due October 2024</t>
  </si>
  <si>
    <t>0.63% EUR note due October 2024</t>
  </si>
  <si>
    <t>1.38% GBP note due May 2025</t>
  </si>
  <si>
    <t>0.55% USD note due October 2025</t>
  </si>
  <si>
    <t>2.70% USD note due February 2026</t>
  </si>
  <si>
    <t>1.00% USD note due April 2026</t>
  </si>
  <si>
    <t>2.45% USD note due November 2026</t>
  </si>
  <si>
    <t>2.80% USD note due March 2027</t>
  </si>
  <si>
    <t>4.88% EUR note due May 2027</t>
  </si>
  <si>
    <t>2.85% USD note due August 2027</t>
  </si>
  <si>
    <t>1.20% EUR note due October 2028</t>
  </si>
  <si>
    <t>1.80% GBP note due May 2029</t>
  </si>
  <si>
    <t>1.25% EUR note due October 2029</t>
  </si>
  <si>
    <t>3.00% USD note due March 2030</t>
  </si>
  <si>
    <t>1.20% USD note due October 2030</t>
  </si>
  <si>
    <t>1.95% USD note due April 2031</t>
  </si>
  <si>
    <t>5.55% USD note due March 2037</t>
  </si>
  <si>
    <t>1.88% EUR note due October 2038</t>
  </si>
  <si>
    <t>3.55% USD note due March 2040</t>
  </si>
  <si>
    <t>All other long-term debt</t>
  </si>
  <si>
    <t>TOTAL</t>
  </si>
  <si>
    <t>weighted average YTM for long-term debt</t>
  </si>
  <si>
    <t>Short Term Debt</t>
  </si>
  <si>
    <t>Year of Maturity</t>
  </si>
  <si>
    <t>Rate</t>
  </si>
  <si>
    <t>Commercial paper</t>
  </si>
  <si>
    <t>Other short term debt</t>
  </si>
  <si>
    <t>Total short-term debt</t>
  </si>
  <si>
    <t>weighted average YTM for short-term debt</t>
  </si>
  <si>
    <t>Summary and Computation of Weighted Average YTM (Overall)</t>
  </si>
  <si>
    <t>MV</t>
  </si>
  <si>
    <t>Wt x YTM</t>
  </si>
  <si>
    <t>LT debt</t>
  </si>
  <si>
    <t>ST debt</t>
  </si>
  <si>
    <t>Total Debt</t>
  </si>
  <si>
    <t>Total weighted YTM</t>
  </si>
  <si>
    <t>Name</t>
  </si>
  <si>
    <t>Ticker</t>
  </si>
  <si>
    <t>Maturity</t>
  </si>
  <si>
    <t>Maturity Year</t>
  </si>
  <si>
    <t>Yield</t>
  </si>
  <si>
    <t>Procter &amp; Gamble Co/The</t>
  </si>
  <si>
    <t>PG</t>
  </si>
  <si>
    <t>4/23/2026</t>
  </si>
  <si>
    <t>4/23/2031</t>
  </si>
  <si>
    <t>3/25/2027</t>
  </si>
  <si>
    <t>10/29/2025</t>
  </si>
  <si>
    <t>10/29/2030</t>
  </si>
  <si>
    <t>8/11/2022</t>
  </si>
  <si>
    <t>11/3/2026</t>
  </si>
  <si>
    <t>8/15/2023</t>
  </si>
  <si>
    <t>3/25/2030</t>
  </si>
  <si>
    <t>2/6/2022</t>
  </si>
  <si>
    <t>8/11/2027</t>
  </si>
  <si>
    <t>2/2/2026</t>
  </si>
  <si>
    <t>3/25/2040</t>
  </si>
  <si>
    <t>11/3/2021</t>
  </si>
  <si>
    <t>11/2/2023</t>
  </si>
  <si>
    <t>8/16/2022</t>
  </si>
  <si>
    <t>11/5/2021</t>
  </si>
  <si>
    <t>5/11/2027</t>
  </si>
  <si>
    <t>10/30/2038</t>
  </si>
  <si>
    <t>5/3/2025</t>
  </si>
  <si>
    <t>10/30/2028</t>
  </si>
  <si>
    <t>10/25/2029</t>
  </si>
  <si>
    <t>3/5/2037</t>
  </si>
  <si>
    <t>5/3/2029</t>
  </si>
  <si>
    <t>10/30/2024</t>
  </si>
  <si>
    <t>10/25/2024</t>
  </si>
  <si>
    <t>Required return on equity, PG</t>
  </si>
  <si>
    <r>
      <t>R</t>
    </r>
    <r>
      <rPr>
        <vertAlign val="subscript"/>
        <sz val="14"/>
        <color theme="1"/>
        <rFont val="Arial"/>
        <family val="2"/>
      </rPr>
      <t>e</t>
    </r>
    <r>
      <rPr>
        <sz val="14"/>
        <color theme="1"/>
        <rFont val="Arial"/>
        <family val="2"/>
      </rPr>
      <t xml:space="preserve"> = R</t>
    </r>
    <r>
      <rPr>
        <vertAlign val="subscript"/>
        <sz val="14"/>
        <color theme="1"/>
        <rFont val="Arial"/>
        <family val="2"/>
      </rPr>
      <t>f</t>
    </r>
    <r>
      <rPr>
        <sz val="14"/>
        <color theme="1"/>
        <rFont val="Arial"/>
        <family val="2"/>
      </rPr>
      <t xml:space="preserve"> + Beta (R</t>
    </r>
    <r>
      <rPr>
        <vertAlign val="subscript"/>
        <sz val="14"/>
        <color theme="1"/>
        <rFont val="Arial"/>
        <family val="2"/>
      </rPr>
      <t>m</t>
    </r>
    <r>
      <rPr>
        <sz val="14"/>
        <color theme="1"/>
        <rFont val="Arial"/>
        <family val="2"/>
      </rPr>
      <t xml:space="preserve"> - R</t>
    </r>
    <r>
      <rPr>
        <vertAlign val="subscript"/>
        <sz val="14"/>
        <color theme="1"/>
        <rFont val="Arial"/>
        <family val="2"/>
      </rPr>
      <t>f</t>
    </r>
    <r>
      <rPr>
        <sz val="14"/>
        <color theme="1"/>
        <rFont val="Arial"/>
        <family val="2"/>
      </rPr>
      <t>)</t>
    </r>
  </si>
  <si>
    <t>Beta computation period</t>
  </si>
  <si>
    <t>Choice of market returns</t>
  </si>
  <si>
    <t>S&amp;P</t>
  </si>
  <si>
    <t>Market returns</t>
  </si>
  <si>
    <t>Risk-free rate</t>
  </si>
  <si>
    <t>30 year treasury 6/30/2021 (www.treasury.gov)</t>
  </si>
  <si>
    <t>VW</t>
  </si>
  <si>
    <t>Beta</t>
  </si>
  <si>
    <t>Pull from Beta Worksheet (Write if statement for all possibilities of B4 and B5 above)</t>
  </si>
  <si>
    <t>Market risk premium</t>
  </si>
  <si>
    <t>Pablo Fernandez Survey 2021</t>
  </si>
  <si>
    <t>Re</t>
  </si>
  <si>
    <t>Hardcoded items and input items are in blue</t>
  </si>
  <si>
    <t>Formulas are in black</t>
  </si>
  <si>
    <t>Direct links to another spreadsheet green</t>
  </si>
  <si>
    <t>Inputs/hardcoded items that need user attention:  Highlight in yellow, black box around them</t>
  </si>
  <si>
    <t>PERMNO</t>
  </si>
  <si>
    <t>Names Date</t>
  </si>
  <si>
    <t>CUSIP</t>
  </si>
  <si>
    <t>Ticker Symbol</t>
  </si>
  <si>
    <t>Company Name</t>
  </si>
  <si>
    <t>PERMCO</t>
  </si>
  <si>
    <t>CUSIP Header</t>
  </si>
  <si>
    <t>Dividends  DID NOT PULL</t>
  </si>
  <si>
    <t>Price or Bid/Ask Average</t>
  </si>
  <si>
    <t>Returns</t>
  </si>
  <si>
    <t>Value-Weighted Return-incl. dividends</t>
  </si>
  <si>
    <t>Equal-Weighted Return-incl. dividends</t>
  </si>
  <si>
    <t>Return on the S&amp;P 500 Index</t>
  </si>
  <si>
    <t>Formatted date</t>
  </si>
  <si>
    <t>Returns for Series 1</t>
  </si>
  <si>
    <t>VW Series 1</t>
  </si>
  <si>
    <t>EW Series 1</t>
  </si>
  <si>
    <t>S&amp;P Series 1</t>
  </si>
  <si>
    <t>Returns for Series 2</t>
  </si>
  <si>
    <t>VW Series 2</t>
  </si>
  <si>
    <t>EW Series 2</t>
  </si>
  <si>
    <t>S&amp;P Series 2</t>
  </si>
  <si>
    <t>10K date</t>
  </si>
  <si>
    <t>10k month</t>
  </si>
  <si>
    <t>10 k day</t>
  </si>
  <si>
    <t>10 k year</t>
  </si>
  <si>
    <t>eom based on 10K</t>
  </si>
  <si>
    <t>one month prior</t>
  </si>
  <si>
    <t>one month prior, EOM</t>
  </si>
  <si>
    <t>74271810</t>
  </si>
  <si>
    <t>PROCTER &amp; GAMBLE CO</t>
  </si>
  <si>
    <t>Date</t>
  </si>
  <si>
    <t>Stock price</t>
  </si>
  <si>
    <t>Month to use for last trade date</t>
  </si>
  <si>
    <t>HARDCODE</t>
  </si>
  <si>
    <t>Stock price closest to date of 10-K without going past</t>
  </si>
  <si>
    <t>Yahoo Close Price (not adjusted close)</t>
  </si>
  <si>
    <t>Months prior #1</t>
  </si>
  <si>
    <t>Months prior #2</t>
  </si>
  <si>
    <t>Series 1 Beg</t>
  </si>
  <si>
    <t>60 MONTH</t>
  </si>
  <si>
    <t>Series 1 End</t>
  </si>
  <si>
    <t>Series 2 Beg</t>
  </si>
  <si>
    <t>120 MONTH</t>
  </si>
  <si>
    <t>Series 2 End</t>
  </si>
  <si>
    <t>Time/Market</t>
  </si>
  <si>
    <t>Betas</t>
  </si>
  <si>
    <t xml:space="preserve">We regress Company returns on Market Index returns: </t>
  </si>
  <si>
    <t>60 month VW</t>
  </si>
  <si>
    <r>
      <t xml:space="preserve">Returns (P&amp;G) = </t>
    </r>
    <r>
      <rPr>
        <b/>
        <sz val="11"/>
        <color indexed="8"/>
        <rFont val="Calibri"/>
        <family val="2"/>
      </rPr>
      <t>β</t>
    </r>
    <r>
      <rPr>
        <b/>
        <vertAlign val="subscript"/>
        <sz val="11"/>
        <color indexed="8"/>
        <rFont val="Calibri"/>
        <family val="2"/>
      </rPr>
      <t>1</t>
    </r>
    <r>
      <rPr>
        <b/>
        <sz val="11"/>
        <color indexed="8"/>
        <rFont val="Calibri"/>
        <family val="2"/>
      </rPr>
      <t xml:space="preserve"> Market returns</t>
    </r>
  </si>
  <si>
    <t>60 month EW</t>
  </si>
  <si>
    <t>Where PG returns = dependent variable</t>
  </si>
  <si>
    <t>60 month S&amp;P</t>
  </si>
  <si>
    <t xml:space="preserve">  </t>
  </si>
  <si>
    <t xml:space="preserve">Market returns = independent variable. </t>
  </si>
  <si>
    <t>120 month VW</t>
  </si>
  <si>
    <t>We will use the slope function in excel</t>
  </si>
  <si>
    <t>120 month EW</t>
  </si>
  <si>
    <t>Prove that the covariance divided by variance returns same value</t>
  </si>
  <si>
    <t>120 month S&amp;P</t>
  </si>
  <si>
    <t>Perpetual growth</t>
  </si>
  <si>
    <t>The completion of this sensitivity table is not required for Case #2; optional!</t>
  </si>
  <si>
    <t>This sensitivity table should only be used when completing Case #2 when you hardcode the WACC!</t>
  </si>
  <si>
    <t>Another sensitivity table appears in WACC and Growth tab which should only be used for Case #4</t>
  </si>
  <si>
    <t>Less value of debt/preferred equity</t>
  </si>
  <si>
    <t>AMOTA8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</si>
</sst>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  <numFmt numFmtId="166" formatCode="_(* #,##0_);_(* \(#,##0\);_(* &quot;-&quot;??_);_(@_)"/>
    <numFmt numFmtId="167" formatCode="_(&quot;$&quot;* #,##0_);_(&quot;$&quot;* \(#,##0\);_(&quot;$&quot;* &quot;-&quot;??_);_(@_)"/>
    <numFmt numFmtId="168" formatCode="_(* #,##0.0000_);_(* \(#,##0.0000\);_(* &quot;-&quot;??_);_(@_)"/>
    <numFmt numFmtId="169" formatCode="0.0000"/>
    <numFmt numFmtId="170" formatCode="0.0\x"/>
    <numFmt numFmtId="171" formatCode="0.0000%"/>
    <numFmt numFmtId="172" formatCode="0.000%"/>
    <numFmt numFmtId="173" formatCode="0.0000\x"/>
    <numFmt numFmtId="174" formatCode="[$-409]m/d/yy\ h:mm\ AM/PM;@"/>
    <numFmt numFmtId="175" formatCode="_(* #,##0.0_);_(* \(#,##0.0\);_(* &quot;-&quot;??_);_(@_)"/>
    <numFmt numFmtId="176" formatCode="&quot;$&quot;#,##0.00"/>
    <numFmt numFmtId="177" formatCode="#,##0.000"/>
    <numFmt numFmtId="178" formatCode="_(&quot;$ &quot;#,##0_);_(&quot;$ &quot;\(#,##0\)"/>
    <numFmt numFmtId="179" formatCode="0.00000%"/>
    <numFmt numFmtId="180" formatCode="_(&quot;$ &quot;#,##0.00_);_(&quot;$ &quot;\(#,##0.00\)"/>
    <numFmt numFmtId="181" formatCode="0.000000"/>
    <numFmt numFmtId="182" formatCode="0.0000000%"/>
    <numFmt numFmtId="183" formatCode="#,##0.0_);\(#,##0.0\)"/>
    <numFmt numFmtId="184" formatCode="#,##0.00000"/>
    <numFmt numFmtId="185" formatCode="_(&quot;$&quot;* #,##0_);_(&quot;$&quot;* \(#,##0\);_(&quot;$&quot;* &quot;-&quot;?_);_(@_)"/>
    <numFmt numFmtId="186" formatCode="#,##0.0"/>
    <numFmt numFmtId="187" formatCode="_(&quot;$&quot;* #,##0.00000_);_(&quot;$&quot;* \(#,##0.00000\);_(&quot;$&quot;* &quot;-&quot;?????_);_(@_)"/>
    <numFmt numFmtId="188" formatCode="0.00000"/>
    <numFmt numFmtId="189" formatCode="0.000000000"/>
    <numFmt numFmtId="190" formatCode="_(* #,##0.000000000000_);_(* \(#,##0.000000000000\);_(* &quot;-&quot;????????????_);_(@_)"/>
  </numFmts>
  <fonts count="7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 val="singleAccounting"/>
      <sz val="10"/>
      <color theme="1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b/>
      <u/>
      <sz val="10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theme="4" tint="-0.249977111117893"/>
      <name val="Arial"/>
      <family val="2"/>
    </font>
    <font>
      <b/>
      <u/>
      <sz val="11"/>
      <color indexed="8"/>
      <name val="Arial"/>
      <family val="2"/>
    </font>
    <font>
      <b/>
      <sz val="11"/>
      <color rgb="FF00B0F0"/>
      <name val="Calibri"/>
      <family val="2"/>
      <scheme val="minor"/>
    </font>
    <font>
      <b/>
      <sz val="10"/>
      <color rgb="FF00B0F0"/>
      <name val="Arial"/>
      <family val="2"/>
    </font>
    <font>
      <vertAlign val="subscript"/>
      <sz val="12"/>
      <color theme="1"/>
      <name val="Arial"/>
      <family val="2"/>
    </font>
    <font>
      <sz val="14"/>
      <color theme="1"/>
      <name val="Arial"/>
      <family val="2"/>
    </font>
    <font>
      <vertAlign val="subscript"/>
      <sz val="14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sz val="10"/>
      <color rgb="FF00B050"/>
      <name val="Arial"/>
      <family val="2"/>
    </font>
    <font>
      <sz val="10"/>
      <color theme="4" tint="-0.249977111117893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2"/>
      <color theme="4"/>
      <name val="Arial"/>
      <family val="2"/>
    </font>
    <font>
      <sz val="12"/>
      <color rgb="FF00B050"/>
      <name val="Arial"/>
      <family val="2"/>
    </font>
    <font>
      <b/>
      <sz val="12"/>
      <name val="Calibri"/>
      <family val="2"/>
    </font>
    <font>
      <sz val="11"/>
      <name val="Calibri"/>
      <family val="2"/>
    </font>
    <font>
      <sz val="10"/>
      <color theme="1"/>
      <name val="Inherit"/>
    </font>
    <font>
      <b/>
      <sz val="8"/>
      <color theme="1"/>
      <name val="Inherit"/>
    </font>
    <font>
      <b/>
      <sz val="12"/>
      <color theme="4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b/>
      <sz val="11"/>
      <color rgb="FFFF0000"/>
      <name val="Arial"/>
      <family val="2"/>
    </font>
    <font>
      <b/>
      <sz val="11"/>
      <color theme="4"/>
      <name val="Arial"/>
      <family val="2"/>
    </font>
    <font>
      <b/>
      <sz val="10"/>
      <color theme="4"/>
      <name val="Calibri"/>
      <family val="2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sz val="11"/>
      <color rgb="FF00B050"/>
      <name val="Arial"/>
      <family val="2"/>
    </font>
    <font>
      <sz val="8"/>
      <name val="Calibri"/>
      <family val="2"/>
      <scheme val="minor"/>
    </font>
    <font>
      <b/>
      <sz val="10"/>
      <color theme="9"/>
      <name val="Arial"/>
      <family val="2"/>
    </font>
    <font>
      <b/>
      <sz val="11"/>
      <color rgb="FF0070C0"/>
      <name val="Calibri"/>
      <family val="2"/>
    </font>
    <font>
      <b/>
      <sz val="14"/>
      <color theme="1"/>
      <name val="Calibri"/>
      <family val="2"/>
      <scheme val="minor"/>
    </font>
    <font>
      <b/>
      <sz val="10"/>
      <color theme="8" tint="-0.249977111117893"/>
      <name val="Arial"/>
      <family val="2"/>
    </font>
    <font>
      <sz val="14"/>
      <color rgb="FF000000"/>
      <name val="Times New Roman"/>
      <family val="1"/>
    </font>
    <font>
      <b/>
      <u/>
      <sz val="8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rgb="FF000000"/>
      <name val="Times New Roman"/>
      <family val="1"/>
    </font>
    <font>
      <sz val="12"/>
      <color rgb="FF0070C0"/>
      <name val="Arial"/>
      <family val="2"/>
    </font>
    <font>
      <b/>
      <sz val="11"/>
      <color theme="1"/>
      <name val="Calibri"/>
      <family val="2"/>
    </font>
    <font>
      <b/>
      <sz val="10"/>
      <color theme="4" tint="-0.249977111117893"/>
      <name val="Arial"/>
      <family val="2"/>
    </font>
    <font>
      <b/>
      <sz val="11"/>
      <color theme="8" tint="-0.249977111117893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11"/>
      <color theme="4" tint="-0.249977111117893"/>
      <name val="Arial"/>
      <family val="2"/>
    </font>
    <font>
      <b/>
      <sz val="9"/>
      <color theme="1"/>
      <name val="Arial"/>
      <family val="2"/>
    </font>
    <font>
      <b/>
      <sz val="10"/>
      <color rgb="FFFF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2"/>
      <color rgb="FF000000"/>
      <name val="Times New Roman"/>
      <family val="1"/>
      <charset val="1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E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7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8" fillId="0" borderId="0"/>
    <xf numFmtId="0" fontId="8" fillId="0" borderId="0"/>
    <xf numFmtId="0" fontId="35" fillId="0" borderId="0"/>
    <xf numFmtId="0" fontId="74" fillId="0" borderId="0" applyNumberFormat="0" applyFill="0" applyBorder="0" applyAlignment="0" applyProtection="0"/>
  </cellStyleXfs>
  <cellXfs count="421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9" fillId="4" borderId="0" xfId="4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center" indent="5" readingOrder="1"/>
    </xf>
    <xf numFmtId="166" fontId="10" fillId="0" borderId="0" xfId="2" applyNumberFormat="1" applyFont="1"/>
    <xf numFmtId="166" fontId="12" fillId="0" borderId="0" xfId="2" applyNumberFormat="1" applyFont="1"/>
    <xf numFmtId="165" fontId="13" fillId="0" borderId="0" xfId="0" applyNumberFormat="1" applyFont="1"/>
    <xf numFmtId="165" fontId="14" fillId="0" borderId="0" xfId="0" applyNumberFormat="1" applyFont="1"/>
    <xf numFmtId="0" fontId="10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Continuous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horizontal="left" vertical="center" wrapText="1"/>
    </xf>
    <xf numFmtId="0" fontId="10" fillId="0" borderId="10" xfId="0" applyFont="1" applyBorder="1" applyAlignment="1">
      <alignment horizontal="right"/>
    </xf>
    <xf numFmtId="0" fontId="17" fillId="0" borderId="9" xfId="0" applyFont="1" applyBorder="1" applyAlignment="1">
      <alignment horizontal="right"/>
    </xf>
    <xf numFmtId="0" fontId="17" fillId="0" borderId="8" xfId="0" applyFont="1" applyBorder="1" applyAlignment="1">
      <alignment horizontal="right"/>
    </xf>
    <xf numFmtId="0" fontId="10" fillId="0" borderId="7" xfId="0" applyFont="1" applyBorder="1"/>
    <xf numFmtId="0" fontId="10" fillId="0" borderId="6" xfId="0" applyFont="1" applyBorder="1"/>
    <xf numFmtId="0" fontId="18" fillId="0" borderId="0" xfId="4" applyFont="1"/>
    <xf numFmtId="14" fontId="18" fillId="0" borderId="0" xfId="4" applyNumberFormat="1" applyFont="1"/>
    <xf numFmtId="0" fontId="18" fillId="0" borderId="0" xfId="4" applyFont="1" applyAlignment="1">
      <alignment horizontal="right"/>
    </xf>
    <xf numFmtId="0" fontId="18" fillId="0" borderId="0" xfId="4" applyFont="1" applyAlignment="1">
      <alignment wrapText="1"/>
    </xf>
    <xf numFmtId="0" fontId="10" fillId="0" borderId="0" xfId="0" applyFont="1" applyAlignment="1">
      <alignment horizontal="left" indent="1"/>
    </xf>
    <xf numFmtId="0" fontId="1" fillId="0" borderId="0" xfId="0" applyFont="1"/>
    <xf numFmtId="43" fontId="1" fillId="0" borderId="0" xfId="0" applyNumberFormat="1" applyFont="1"/>
    <xf numFmtId="10" fontId="1" fillId="0" borderId="0" xfId="1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quotePrefix="1" applyFont="1"/>
    <xf numFmtId="10" fontId="0" fillId="0" borderId="0" xfId="1" applyNumberFormat="1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10" fontId="22" fillId="0" borderId="0" xfId="1" applyNumberFormat="1" applyFont="1"/>
    <xf numFmtId="171" fontId="22" fillId="0" borderId="0" xfId="1" applyNumberFormat="1" applyFont="1"/>
    <xf numFmtId="172" fontId="0" fillId="0" borderId="0" xfId="1" applyNumberFormat="1" applyFont="1"/>
    <xf numFmtId="43" fontId="0" fillId="0" borderId="0" xfId="0" applyNumberFormat="1"/>
    <xf numFmtId="44" fontId="1" fillId="0" borderId="0" xfId="0" applyNumberFormat="1" applyFont="1"/>
    <xf numFmtId="42" fontId="1" fillId="0" borderId="0" xfId="0" applyNumberFormat="1" applyFont="1"/>
    <xf numFmtId="173" fontId="1" fillId="0" borderId="0" xfId="0" applyNumberFormat="1" applyFont="1"/>
    <xf numFmtId="0" fontId="8" fillId="0" borderId="0" xfId="4"/>
    <xf numFmtId="174" fontId="0" fillId="0" borderId="0" xfId="0" applyNumberFormat="1"/>
    <xf numFmtId="0" fontId="25" fillId="0" borderId="0" xfId="0" applyFont="1"/>
    <xf numFmtId="0" fontId="1" fillId="0" borderId="20" xfId="0" applyFont="1" applyBorder="1"/>
    <xf numFmtId="0" fontId="1" fillId="0" borderId="22" xfId="0" applyFont="1" applyBorder="1"/>
    <xf numFmtId="0" fontId="1" fillId="0" borderId="23" xfId="0" applyFont="1" applyBorder="1"/>
    <xf numFmtId="0" fontId="10" fillId="0" borderId="24" xfId="0" applyFont="1" applyBorder="1"/>
    <xf numFmtId="0" fontId="27" fillId="0" borderId="0" xfId="0" applyFont="1"/>
    <xf numFmtId="0" fontId="28" fillId="0" borderId="0" xfId="0" applyFont="1"/>
    <xf numFmtId="0" fontId="18" fillId="0" borderId="20" xfId="4" applyFont="1" applyBorder="1"/>
    <xf numFmtId="0" fontId="19" fillId="0" borderId="23" xfId="4" applyFont="1" applyBorder="1"/>
    <xf numFmtId="0" fontId="19" fillId="0" borderId="20" xfId="4" applyFont="1" applyBorder="1"/>
    <xf numFmtId="0" fontId="19" fillId="0" borderId="11" xfId="4" applyFont="1" applyBorder="1"/>
    <xf numFmtId="0" fontId="19" fillId="0" borderId="21" xfId="4" applyFont="1" applyBorder="1"/>
    <xf numFmtId="0" fontId="19" fillId="0" borderId="22" xfId="4" applyFont="1" applyBorder="1"/>
    <xf numFmtId="0" fontId="19" fillId="0" borderId="0" xfId="4" applyFont="1"/>
    <xf numFmtId="0" fontId="19" fillId="0" borderId="22" xfId="4" applyFont="1" applyBorder="1" applyAlignment="1">
      <alignment horizontal="left"/>
    </xf>
    <xf numFmtId="0" fontId="19" fillId="0" borderId="24" xfId="4" applyFont="1" applyBorder="1"/>
    <xf numFmtId="0" fontId="19" fillId="0" borderId="1" xfId="4" applyFont="1" applyBorder="1"/>
    <xf numFmtId="0" fontId="19" fillId="0" borderId="25" xfId="4" applyFont="1" applyBorder="1"/>
    <xf numFmtId="0" fontId="14" fillId="0" borderId="0" xfId="0" applyFont="1"/>
    <xf numFmtId="176" fontId="10" fillId="0" borderId="0" xfId="0" applyNumberFormat="1" applyFont="1" applyAlignment="1">
      <alignment horizontal="center" vertical="center"/>
    </xf>
    <xf numFmtId="10" fontId="6" fillId="0" borderId="0" xfId="1" applyNumberFormat="1" applyFont="1"/>
    <xf numFmtId="44" fontId="6" fillId="0" borderId="0" xfId="0" applyNumberFormat="1" applyFont="1"/>
    <xf numFmtId="44" fontId="0" fillId="0" borderId="0" xfId="0" applyNumberFormat="1"/>
    <xf numFmtId="172" fontId="28" fillId="0" borderId="0" xfId="1" applyNumberFormat="1" applyFont="1"/>
    <xf numFmtId="44" fontId="28" fillId="0" borderId="0" xfId="3" applyFont="1"/>
    <xf numFmtId="0" fontId="1" fillId="0" borderId="0" xfId="0" applyFont="1" applyAlignment="1">
      <alignment wrapText="1"/>
    </xf>
    <xf numFmtId="0" fontId="33" fillId="0" borderId="0" xfId="0" applyFont="1"/>
    <xf numFmtId="0" fontId="34" fillId="0" borderId="0" xfId="0" applyFont="1"/>
    <xf numFmtId="0" fontId="34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44" fontId="6" fillId="0" borderId="4" xfId="0" applyNumberFormat="1" applyFont="1" applyBorder="1"/>
    <xf numFmtId="0" fontId="7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4" xfId="0" applyFont="1" applyBorder="1" applyAlignment="1">
      <alignment horizontal="left" indent="2"/>
    </xf>
    <xf numFmtId="170" fontId="6" fillId="0" borderId="4" xfId="0" applyNumberFormat="1" applyFont="1" applyBorder="1"/>
    <xf numFmtId="41" fontId="1" fillId="0" borderId="0" xfId="0" applyNumberFormat="1" applyFont="1"/>
    <xf numFmtId="178" fontId="39" fillId="0" borderId="0" xfId="0" applyNumberFormat="1" applyFont="1" applyAlignment="1">
      <alignment horizontal="right" vertical="top"/>
    </xf>
    <xf numFmtId="37" fontId="39" fillId="0" borderId="0" xfId="0" applyNumberFormat="1" applyFont="1" applyAlignment="1">
      <alignment horizontal="right" vertical="top"/>
    </xf>
    <xf numFmtId="0" fontId="1" fillId="3" borderId="0" xfId="0" applyFont="1" applyFill="1"/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/>
    <xf numFmtId="0" fontId="17" fillId="0" borderId="4" xfId="0" applyFont="1" applyBorder="1"/>
    <xf numFmtId="0" fontId="1" fillId="0" borderId="4" xfId="0" applyFont="1" applyBorder="1"/>
    <xf numFmtId="0" fontId="1" fillId="0" borderId="0" xfId="0" applyFont="1" applyAlignment="1">
      <alignment horizontal="left" indent="2"/>
    </xf>
    <xf numFmtId="0" fontId="40" fillId="2" borderId="0" xfId="0" applyFont="1" applyFill="1" applyAlignment="1">
      <alignment wrapText="1"/>
    </xf>
    <xf numFmtId="166" fontId="31" fillId="2" borderId="1" xfId="0" applyNumberFormat="1" applyFont="1" applyFill="1" applyBorder="1"/>
    <xf numFmtId="180" fontId="39" fillId="0" borderId="0" xfId="0" applyNumberFormat="1" applyFont="1" applyAlignment="1">
      <alignment horizontal="right" vertical="top"/>
    </xf>
    <xf numFmtId="44" fontId="6" fillId="2" borderId="26" xfId="0" applyNumberFormat="1" applyFont="1" applyFill="1" applyBorder="1"/>
    <xf numFmtId="44" fontId="1" fillId="2" borderId="26" xfId="0" applyNumberFormat="1" applyFont="1" applyFill="1" applyBorder="1" applyAlignment="1">
      <alignment horizontal="center"/>
    </xf>
    <xf numFmtId="42" fontId="6" fillId="2" borderId="26" xfId="0" applyNumberFormat="1" applyFont="1" applyFill="1" applyBorder="1"/>
    <xf numFmtId="177" fontId="6" fillId="2" borderId="26" xfId="0" applyNumberFormat="1" applyFont="1" applyFill="1" applyBorder="1"/>
    <xf numFmtId="170" fontId="6" fillId="2" borderId="26" xfId="0" applyNumberFormat="1" applyFont="1" applyFill="1" applyBorder="1"/>
    <xf numFmtId="179" fontId="37" fillId="2" borderId="12" xfId="1" applyNumberFormat="1" applyFont="1" applyFill="1" applyBorder="1"/>
    <xf numFmtId="10" fontId="37" fillId="2" borderId="12" xfId="0" applyNumberFormat="1" applyFont="1" applyFill="1" applyBorder="1"/>
    <xf numFmtId="44" fontId="37" fillId="2" borderId="12" xfId="0" applyNumberFormat="1" applyFont="1" applyFill="1" applyBorder="1"/>
    <xf numFmtId="0" fontId="32" fillId="2" borderId="26" xfId="0" applyFont="1" applyFill="1" applyBorder="1" applyAlignment="1">
      <alignment horizontal="right"/>
    </xf>
    <xf numFmtId="43" fontId="0" fillId="2" borderId="0" xfId="2" applyFont="1" applyFill="1"/>
    <xf numFmtId="0" fontId="17" fillId="0" borderId="0" xfId="0" applyFont="1" applyAlignment="1">
      <alignment vertical="center"/>
    </xf>
    <xf numFmtId="2" fontId="18" fillId="0" borderId="0" xfId="4" applyNumberFormat="1" applyFont="1"/>
    <xf numFmtId="41" fontId="1" fillId="0" borderId="0" xfId="2" applyNumberFormat="1" applyFont="1"/>
    <xf numFmtId="166" fontId="1" fillId="8" borderId="0" xfId="2" applyNumberFormat="1" applyFont="1" applyFill="1"/>
    <xf numFmtId="166" fontId="10" fillId="0" borderId="0" xfId="2" applyNumberFormat="1" applyFont="1" applyFill="1"/>
    <xf numFmtId="166" fontId="12" fillId="8" borderId="0" xfId="2" applyNumberFormat="1" applyFont="1" applyFill="1"/>
    <xf numFmtId="165" fontId="1" fillId="0" borderId="0" xfId="0" applyNumberFormat="1" applyFont="1"/>
    <xf numFmtId="164" fontId="1" fillId="0" borderId="0" xfId="1" applyNumberFormat="1" applyFont="1" applyFill="1"/>
    <xf numFmtId="44" fontId="1" fillId="0" borderId="0" xfId="0" applyNumberFormat="1" applyFont="1" applyAlignment="1">
      <alignment horizontal="center"/>
    </xf>
    <xf numFmtId="167" fontId="1" fillId="0" borderId="0" xfId="3" applyNumberFormat="1" applyFont="1" applyFill="1"/>
    <xf numFmtId="0" fontId="0" fillId="0" borderId="12" xfId="0" applyBorder="1"/>
    <xf numFmtId="0" fontId="43" fillId="0" borderId="0" xfId="0" applyFont="1"/>
    <xf numFmtId="0" fontId="5" fillId="0" borderId="0" xfId="0" applyFont="1" applyAlignment="1">
      <alignment horizontal="center" vertical="center" wrapText="1"/>
    </xf>
    <xf numFmtId="39" fontId="39" fillId="0" borderId="0" xfId="0" applyNumberFormat="1" applyFont="1" applyAlignment="1">
      <alignment horizontal="right" vertical="top"/>
    </xf>
    <xf numFmtId="0" fontId="38" fillId="0" borderId="0" xfId="0" applyFont="1" applyAlignment="1">
      <alignment horizontal="center" vertical="center" wrapText="1"/>
    </xf>
    <xf numFmtId="15" fontId="38" fillId="0" borderId="0" xfId="0" applyNumberFormat="1" applyFont="1" applyAlignment="1">
      <alignment horizontal="center" vertical="center" wrapText="1"/>
    </xf>
    <xf numFmtId="15" fontId="38" fillId="0" borderId="0" xfId="0" quotePrefix="1" applyNumberFormat="1" applyFont="1" applyAlignment="1">
      <alignment horizontal="center" vertical="center" wrapText="1"/>
    </xf>
    <xf numFmtId="0" fontId="44" fillId="0" borderId="0" xfId="0" applyFont="1" applyAlignment="1">
      <alignment vertical="top" wrapText="1"/>
    </xf>
    <xf numFmtId="0" fontId="39" fillId="0" borderId="0" xfId="0" applyFont="1" applyAlignment="1">
      <alignment vertical="top" wrapText="1"/>
    </xf>
    <xf numFmtId="166" fontId="12" fillId="0" borderId="0" xfId="2" applyNumberFormat="1" applyFont="1" applyFill="1" applyBorder="1"/>
    <xf numFmtId="166" fontId="10" fillId="0" borderId="0" xfId="2" applyNumberFormat="1" applyFont="1" applyFill="1" applyBorder="1"/>
    <xf numFmtId="166" fontId="39" fillId="0" borderId="0" xfId="0" applyNumberFormat="1" applyFont="1" applyAlignment="1">
      <alignment vertical="top" wrapText="1"/>
    </xf>
    <xf numFmtId="0" fontId="46" fillId="0" borderId="0" xfId="4" applyFont="1" applyAlignment="1">
      <alignment horizontal="left" vertical="top" wrapText="1"/>
    </xf>
    <xf numFmtId="14" fontId="46" fillId="0" borderId="0" xfId="4" applyNumberFormat="1" applyFont="1" applyAlignment="1">
      <alignment horizontal="left" vertical="top" wrapText="1"/>
    </xf>
    <xf numFmtId="0" fontId="19" fillId="0" borderId="0" xfId="4" applyFont="1" applyAlignment="1">
      <alignment horizontal="center" wrapText="1"/>
    </xf>
    <xf numFmtId="0" fontId="18" fillId="0" borderId="17" xfId="4" applyFont="1" applyBorder="1" applyAlignment="1">
      <alignment wrapText="1"/>
    </xf>
    <xf numFmtId="0" fontId="21" fillId="0" borderId="10" xfId="4" quotePrefix="1" applyFont="1" applyBorder="1" applyAlignment="1">
      <alignment horizontal="center"/>
    </xf>
    <xf numFmtId="0" fontId="21" fillId="0" borderId="8" xfId="4" quotePrefix="1" applyFont="1" applyBorder="1" applyAlignment="1">
      <alignment horizontal="center"/>
    </xf>
    <xf numFmtId="0" fontId="18" fillId="0" borderId="7" xfId="4" quotePrefix="1" applyFont="1" applyBorder="1" applyAlignment="1">
      <alignment horizontal="center"/>
    </xf>
    <xf numFmtId="0" fontId="18" fillId="0" borderId="5" xfId="4" quotePrefix="1" applyFont="1" applyBorder="1" applyAlignment="1">
      <alignment horizontal="center"/>
    </xf>
    <xf numFmtId="0" fontId="19" fillId="0" borderId="10" xfId="4" applyFont="1" applyBorder="1" applyAlignment="1">
      <alignment wrapText="1"/>
    </xf>
    <xf numFmtId="0" fontId="20" fillId="6" borderId="27" xfId="4" applyFont="1" applyFill="1" applyBorder="1"/>
    <xf numFmtId="0" fontId="19" fillId="0" borderId="5" xfId="4" applyFont="1" applyBorder="1"/>
    <xf numFmtId="0" fontId="20" fillId="6" borderId="28" xfId="4" applyFont="1" applyFill="1" applyBorder="1"/>
    <xf numFmtId="0" fontId="19" fillId="0" borderId="10" xfId="4" applyFont="1" applyBorder="1"/>
    <xf numFmtId="0" fontId="19" fillId="0" borderId="7" xfId="4" applyFont="1" applyBorder="1"/>
    <xf numFmtId="0" fontId="19" fillId="0" borderId="6" xfId="4" applyFont="1" applyBorder="1"/>
    <xf numFmtId="0" fontId="46" fillId="0" borderId="29" xfId="4" applyFont="1" applyBorder="1" applyAlignment="1">
      <alignment horizontal="left" vertical="top" wrapText="1"/>
    </xf>
    <xf numFmtId="0" fontId="46" fillId="0" borderId="30" xfId="4" applyFont="1" applyBorder="1" applyAlignment="1">
      <alignment horizontal="left" vertical="top" wrapText="1"/>
    </xf>
    <xf numFmtId="0" fontId="46" fillId="0" borderId="31" xfId="4" applyFont="1" applyBorder="1" applyAlignment="1">
      <alignment horizontal="left" vertical="top" wrapText="1"/>
    </xf>
    <xf numFmtId="0" fontId="46" fillId="0" borderId="32" xfId="4" applyFont="1" applyBorder="1" applyAlignment="1">
      <alignment horizontal="left" vertical="top" wrapText="1"/>
    </xf>
    <xf numFmtId="44" fontId="45" fillId="8" borderId="34" xfId="3" applyFont="1" applyFill="1" applyBorder="1" applyAlignment="1">
      <alignment horizontal="left" vertical="top" wrapText="1"/>
    </xf>
    <xf numFmtId="166" fontId="1" fillId="8" borderId="0" xfId="2" applyNumberFormat="1" applyFont="1" applyFill="1" applyBorder="1"/>
    <xf numFmtId="166" fontId="1" fillId="8" borderId="1" xfId="2" applyNumberFormat="1" applyFont="1" applyFill="1" applyBorder="1"/>
    <xf numFmtId="0" fontId="10" fillId="9" borderId="0" xfId="0" applyFont="1" applyFill="1"/>
    <xf numFmtId="166" fontId="10" fillId="2" borderId="17" xfId="2" applyNumberFormat="1" applyFont="1" applyFill="1" applyBorder="1" applyAlignment="1">
      <alignment horizontal="right"/>
    </xf>
    <xf numFmtId="172" fontId="42" fillId="5" borderId="26" xfId="1" applyNumberFormat="1" applyFont="1" applyFill="1" applyBorder="1"/>
    <xf numFmtId="164" fontId="1" fillId="0" borderId="0" xfId="1" applyNumberFormat="1" applyFont="1"/>
    <xf numFmtId="174" fontId="49" fillId="0" borderId="33" xfId="0" applyNumberFormat="1" applyFont="1" applyBorder="1" applyAlignment="1">
      <alignment horizontal="left" vertical="top" wrapText="1"/>
    </xf>
    <xf numFmtId="0" fontId="18" fillId="0" borderId="21" xfId="4" applyFont="1" applyBorder="1"/>
    <xf numFmtId="14" fontId="48" fillId="0" borderId="6" xfId="4" applyNumberFormat="1" applyFont="1" applyBorder="1"/>
    <xf numFmtId="14" fontId="48" fillId="0" borderId="3" xfId="4" applyNumberFormat="1" applyFont="1" applyBorder="1"/>
    <xf numFmtId="9" fontId="37" fillId="2" borderId="12" xfId="0" applyNumberFormat="1" applyFont="1" applyFill="1" applyBorder="1"/>
    <xf numFmtId="164" fontId="14" fillId="0" borderId="0" xfId="1" applyNumberFormat="1" applyFont="1"/>
    <xf numFmtId="164" fontId="50" fillId="8" borderId="0" xfId="1" applyNumberFormat="1" applyFont="1" applyFill="1" applyBorder="1"/>
    <xf numFmtId="164" fontId="10" fillId="0" borderId="0" xfId="1" applyNumberFormat="1" applyFont="1"/>
    <xf numFmtId="164" fontId="14" fillId="8" borderId="0" xfId="1" applyNumberFormat="1" applyFont="1" applyFill="1" applyBorder="1"/>
    <xf numFmtId="0" fontId="51" fillId="10" borderId="0" xfId="0" applyFont="1" applyFill="1" applyAlignment="1">
      <alignment horizontal="center" wrapText="1"/>
    </xf>
    <xf numFmtId="0" fontId="9" fillId="4" borderId="0" xfId="4" applyFont="1" applyFill="1" applyAlignment="1">
      <alignment horizontal="center" wrapText="1"/>
    </xf>
    <xf numFmtId="14" fontId="0" fillId="0" borderId="0" xfId="0" applyNumberFormat="1"/>
    <xf numFmtId="14" fontId="52" fillId="0" borderId="0" xfId="4" applyNumberFormat="1" applyFont="1"/>
    <xf numFmtId="14" fontId="48" fillId="2" borderId="12" xfId="4" applyNumberFormat="1" applyFont="1" applyFill="1" applyBorder="1"/>
    <xf numFmtId="14" fontId="19" fillId="2" borderId="8" xfId="4" applyNumberFormat="1" applyFont="1" applyFill="1" applyBorder="1"/>
    <xf numFmtId="14" fontId="19" fillId="2" borderId="6" xfId="4" applyNumberFormat="1" applyFont="1" applyFill="1" applyBorder="1"/>
    <xf numFmtId="0" fontId="51" fillId="11" borderId="0" xfId="0" applyFont="1" applyFill="1"/>
    <xf numFmtId="169" fontId="0" fillId="0" borderId="0" xfId="0" applyNumberFormat="1"/>
    <xf numFmtId="169" fontId="1" fillId="8" borderId="0" xfId="0" applyNumberFormat="1" applyFont="1" applyFill="1"/>
    <xf numFmtId="169" fontId="18" fillId="0" borderId="0" xfId="4" applyNumberFormat="1" applyFont="1"/>
    <xf numFmtId="181" fontId="19" fillId="2" borderId="6" xfId="4" applyNumberFormat="1" applyFont="1" applyFill="1" applyBorder="1" applyAlignment="1">
      <alignment horizontal="center"/>
    </xf>
    <xf numFmtId="181" fontId="19" fillId="2" borderId="3" xfId="4" applyNumberFormat="1" applyFont="1" applyFill="1" applyBorder="1" applyAlignment="1">
      <alignment horizontal="center"/>
    </xf>
    <xf numFmtId="166" fontId="1" fillId="0" borderId="0" xfId="2" applyNumberFormat="1" applyFont="1" applyFill="1"/>
    <xf numFmtId="166" fontId="1" fillId="0" borderId="1" xfId="2" applyNumberFormat="1" applyFont="1" applyFill="1" applyBorder="1"/>
    <xf numFmtId="166" fontId="1" fillId="0" borderId="0" xfId="2" applyNumberFormat="1" applyFont="1"/>
    <xf numFmtId="166" fontId="1" fillId="0" borderId="0" xfId="2" applyNumberFormat="1" applyFont="1" applyFill="1" applyBorder="1"/>
    <xf numFmtId="8" fontId="1" fillId="0" borderId="0" xfId="0" applyNumberFormat="1" applyFont="1"/>
    <xf numFmtId="167" fontId="1" fillId="8" borderId="0" xfId="2" applyNumberFormat="1" applyFont="1" applyFill="1"/>
    <xf numFmtId="166" fontId="1" fillId="8" borderId="2" xfId="2" applyNumberFormat="1" applyFont="1" applyFill="1" applyBorder="1"/>
    <xf numFmtId="42" fontId="1" fillId="8" borderId="13" xfId="2" applyNumberFormat="1" applyFont="1" applyFill="1" applyBorder="1"/>
    <xf numFmtId="42" fontId="1" fillId="0" borderId="0" xfId="2" applyNumberFormat="1" applyFont="1"/>
    <xf numFmtId="168" fontId="1" fillId="0" borderId="0" xfId="2" applyNumberFormat="1" applyFont="1"/>
    <xf numFmtId="167" fontId="1" fillId="8" borderId="0" xfId="3" applyNumberFormat="1" applyFont="1" applyFill="1"/>
    <xf numFmtId="41" fontId="1" fillId="8" borderId="0" xfId="0" applyNumberFormat="1" applyFont="1" applyFill="1"/>
    <xf numFmtId="41" fontId="1" fillId="8" borderId="1" xfId="0" applyNumberFormat="1" applyFont="1" applyFill="1" applyBorder="1"/>
    <xf numFmtId="41" fontId="1" fillId="0" borderId="1" xfId="0" applyNumberFormat="1" applyFont="1" applyBorder="1"/>
    <xf numFmtId="167" fontId="1" fillId="2" borderId="0" xfId="3" applyNumberFormat="1" applyFont="1" applyFill="1"/>
    <xf numFmtId="166" fontId="1" fillId="2" borderId="2" xfId="0" applyNumberFormat="1" applyFont="1" applyFill="1" applyBorder="1"/>
    <xf numFmtId="166" fontId="54" fillId="8" borderId="0" xfId="2" applyNumberFormat="1" applyFont="1" applyFill="1"/>
    <xf numFmtId="166" fontId="54" fillId="8" borderId="0" xfId="2" applyNumberFormat="1" applyFont="1" applyFill="1" applyBorder="1"/>
    <xf numFmtId="166" fontId="54" fillId="8" borderId="1" xfId="2" applyNumberFormat="1" applyFont="1" applyFill="1" applyBorder="1"/>
    <xf numFmtId="182" fontId="6" fillId="2" borderId="12" xfId="0" applyNumberFormat="1" applyFont="1" applyFill="1" applyBorder="1"/>
    <xf numFmtId="37" fontId="55" fillId="0" borderId="0" xfId="0" applyNumberFormat="1" applyFont="1" applyAlignment="1">
      <alignment horizontal="right" vertical="top"/>
    </xf>
    <xf numFmtId="0" fontId="42" fillId="0" borderId="0" xfId="0" applyFont="1" applyAlignment="1">
      <alignment vertical="center"/>
    </xf>
    <xf numFmtId="178" fontId="55" fillId="0" borderId="0" xfId="0" applyNumberFormat="1" applyFont="1" applyAlignment="1">
      <alignment horizontal="right" vertical="top"/>
    </xf>
    <xf numFmtId="0" fontId="43" fillId="5" borderId="0" xfId="0" applyFont="1" applyFill="1"/>
    <xf numFmtId="0" fontId="0" fillId="5" borderId="0" xfId="0" applyFill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0" fillId="5" borderId="19" xfId="0" applyFill="1" applyBorder="1"/>
    <xf numFmtId="0" fontId="43" fillId="5" borderId="17" xfId="0" applyFont="1" applyFill="1" applyBorder="1"/>
    <xf numFmtId="0" fontId="43" fillId="5" borderId="18" xfId="0" applyFont="1" applyFill="1" applyBorder="1"/>
    <xf numFmtId="0" fontId="43" fillId="3" borderId="17" xfId="0" applyFont="1" applyFill="1" applyBorder="1" applyAlignment="1">
      <alignment horizontal="center"/>
    </xf>
    <xf numFmtId="0" fontId="43" fillId="3" borderId="18" xfId="0" applyFont="1" applyFill="1" applyBorder="1" applyAlignment="1">
      <alignment horizontal="center"/>
    </xf>
    <xf numFmtId="0" fontId="43" fillId="3" borderId="19" xfId="0" applyFont="1" applyFill="1" applyBorder="1" applyAlignment="1">
      <alignment horizontal="center"/>
    </xf>
    <xf numFmtId="0" fontId="0" fillId="13" borderId="0" xfId="0" applyFill="1"/>
    <xf numFmtId="0" fontId="10" fillId="5" borderId="17" xfId="0" applyFont="1" applyFill="1" applyBorder="1"/>
    <xf numFmtId="0" fontId="10" fillId="5" borderId="10" xfId="0" applyFont="1" applyFill="1" applyBorder="1"/>
    <xf numFmtId="0" fontId="10" fillId="5" borderId="9" xfId="0" applyFont="1" applyFill="1" applyBorder="1"/>
    <xf numFmtId="0" fontId="10" fillId="5" borderId="8" xfId="0" applyFont="1" applyFill="1" applyBorder="1"/>
    <xf numFmtId="0" fontId="10" fillId="5" borderId="5" xfId="0" applyFont="1" applyFill="1" applyBorder="1"/>
    <xf numFmtId="0" fontId="10" fillId="5" borderId="4" xfId="0" applyFont="1" applyFill="1" applyBorder="1"/>
    <xf numFmtId="0" fontId="10" fillId="5" borderId="3" xfId="0" applyFont="1" applyFill="1" applyBorder="1"/>
    <xf numFmtId="0" fontId="44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183" fontId="39" fillId="0" borderId="0" xfId="0" applyNumberFormat="1" applyFont="1" applyAlignment="1">
      <alignment horizontal="right" vertical="top"/>
    </xf>
    <xf numFmtId="0" fontId="39" fillId="0" borderId="1" xfId="0" applyFont="1" applyBorder="1" applyAlignment="1">
      <alignment vertical="top" wrapText="1"/>
    </xf>
    <xf numFmtId="166" fontId="10" fillId="0" borderId="1" xfId="2" applyNumberFormat="1" applyFont="1" applyFill="1" applyBorder="1"/>
    <xf numFmtId="178" fontId="0" fillId="0" borderId="0" xfId="0" applyNumberFormat="1"/>
    <xf numFmtId="37" fontId="31" fillId="14" borderId="0" xfId="0" applyNumberFormat="1" applyFont="1" applyFill="1"/>
    <xf numFmtId="0" fontId="57" fillId="0" borderId="0" xfId="0" applyFont="1"/>
    <xf numFmtId="164" fontId="57" fillId="8" borderId="0" xfId="1" applyNumberFormat="1" applyFont="1" applyFill="1"/>
    <xf numFmtId="37" fontId="0" fillId="0" borderId="0" xfId="0" applyNumberFormat="1"/>
    <xf numFmtId="43" fontId="1" fillId="12" borderId="0" xfId="0" applyNumberFormat="1" applyFont="1" applyFill="1"/>
    <xf numFmtId="2" fontId="1" fillId="8" borderId="0" xfId="2" applyNumberFormat="1" applyFont="1" applyFill="1"/>
    <xf numFmtId="2" fontId="15" fillId="12" borderId="0" xfId="0" applyNumberFormat="1" applyFont="1" applyFill="1"/>
    <xf numFmtId="2" fontId="1" fillId="0" borderId="0" xfId="2" applyNumberFormat="1" applyFont="1"/>
    <xf numFmtId="166" fontId="44" fillId="0" borderId="0" xfId="0" applyNumberFormat="1" applyFont="1" applyAlignment="1">
      <alignment vertical="top" wrapText="1"/>
    </xf>
    <xf numFmtId="0" fontId="14" fillId="8" borderId="0" xfId="0" applyFont="1" applyFill="1"/>
    <xf numFmtId="0" fontId="60" fillId="15" borderId="0" xfId="0" applyFont="1" applyFill="1" applyAlignment="1">
      <alignment horizontal="right" wrapText="1"/>
    </xf>
    <xf numFmtId="0" fontId="60" fillId="7" borderId="0" xfId="0" applyFont="1" applyFill="1" applyAlignment="1">
      <alignment horizontal="right" wrapText="1"/>
    </xf>
    <xf numFmtId="3" fontId="60" fillId="15" borderId="0" xfId="0" applyNumberFormat="1" applyFont="1" applyFill="1" applyAlignment="1">
      <alignment horizontal="right" wrapText="1"/>
    </xf>
    <xf numFmtId="3" fontId="60" fillId="7" borderId="0" xfId="0" applyNumberFormat="1" applyFont="1" applyFill="1" applyAlignment="1">
      <alignment horizontal="right" wrapText="1"/>
    </xf>
    <xf numFmtId="10" fontId="60" fillId="7" borderId="0" xfId="0" applyNumberFormat="1" applyFont="1" applyFill="1" applyAlignment="1">
      <alignment horizontal="right" wrapText="1"/>
    </xf>
    <xf numFmtId="10" fontId="60" fillId="15" borderId="0" xfId="0" applyNumberFormat="1" applyFont="1" applyFill="1" applyAlignment="1">
      <alignment horizontal="right" wrapText="1"/>
    </xf>
    <xf numFmtId="0" fontId="35" fillId="0" borderId="0" xfId="6"/>
    <xf numFmtId="171" fontId="35" fillId="0" borderId="0" xfId="1" applyNumberFormat="1" applyFont="1"/>
    <xf numFmtId="2" fontId="40" fillId="2" borderId="0" xfId="0" applyNumberFormat="1" applyFont="1" applyFill="1" applyAlignment="1">
      <alignment vertical="center" wrapText="1"/>
    </xf>
    <xf numFmtId="0" fontId="35" fillId="0" borderId="10" xfId="6" applyBorder="1"/>
    <xf numFmtId="0" fontId="35" fillId="0" borderId="9" xfId="6" applyBorder="1"/>
    <xf numFmtId="171" fontId="35" fillId="0" borderId="9" xfId="1" applyNumberFormat="1" applyFont="1" applyBorder="1"/>
    <xf numFmtId="0" fontId="35" fillId="0" borderId="8" xfId="6" applyBorder="1"/>
    <xf numFmtId="0" fontId="35" fillId="0" borderId="7" xfId="6" applyBorder="1"/>
    <xf numFmtId="171" fontId="35" fillId="0" borderId="0" xfId="1" applyNumberFormat="1" applyFont="1" applyBorder="1"/>
    <xf numFmtId="0" fontId="35" fillId="0" borderId="6" xfId="6" applyBorder="1"/>
    <xf numFmtId="0" fontId="35" fillId="0" borderId="5" xfId="6" applyBorder="1"/>
    <xf numFmtId="0" fontId="35" fillId="0" borderId="4" xfId="6" applyBorder="1"/>
    <xf numFmtId="171" fontId="35" fillId="0" borderId="4" xfId="1" applyNumberFormat="1" applyFont="1" applyBorder="1"/>
    <xf numFmtId="0" fontId="35" fillId="0" borderId="3" xfId="6" applyBorder="1"/>
    <xf numFmtId="0" fontId="0" fillId="0" borderId="18" xfId="0" applyBorder="1"/>
    <xf numFmtId="0" fontId="0" fillId="0" borderId="19" xfId="0" applyBorder="1"/>
    <xf numFmtId="2" fontId="10" fillId="0" borderId="0" xfId="0" applyNumberFormat="1" applyFont="1"/>
    <xf numFmtId="169" fontId="10" fillId="0" borderId="0" xfId="0" applyNumberFormat="1" applyFont="1"/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64" fillId="15" borderId="18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15" fontId="41" fillId="0" borderId="0" xfId="0" applyNumberFormat="1" applyFont="1" applyAlignment="1">
      <alignment horizontal="center" vertical="center" wrapText="1"/>
    </xf>
    <xf numFmtId="2" fontId="10" fillId="0" borderId="10" xfId="0" applyNumberFormat="1" applyFont="1" applyBorder="1" applyAlignment="1">
      <alignment horizontal="left" wrapText="1"/>
    </xf>
    <xf numFmtId="0" fontId="0" fillId="0" borderId="9" xfId="0" applyBorder="1"/>
    <xf numFmtId="0" fontId="14" fillId="0" borderId="9" xfId="0" applyFont="1" applyBorder="1"/>
    <xf numFmtId="2" fontId="10" fillId="0" borderId="7" xfId="0" applyNumberFormat="1" applyFont="1" applyBorder="1" applyAlignment="1">
      <alignment horizontal="left" wrapText="1"/>
    </xf>
    <xf numFmtId="0" fontId="10" fillId="0" borderId="0" xfId="0" applyFont="1" applyAlignment="1">
      <alignment horizontal="center" vertical="center"/>
    </xf>
    <xf numFmtId="2" fontId="10" fillId="0" borderId="5" xfId="0" applyNumberFormat="1" applyFont="1" applyBorder="1" applyAlignment="1">
      <alignment horizontal="left" wrapText="1"/>
    </xf>
    <xf numFmtId="0" fontId="0" fillId="0" borderId="4" xfId="0" applyBorder="1"/>
    <xf numFmtId="2" fontId="10" fillId="0" borderId="17" xfId="0" applyNumberFormat="1" applyFont="1" applyBorder="1"/>
    <xf numFmtId="2" fontId="10" fillId="0" borderId="18" xfId="2" applyNumberFormat="1" applyFont="1" applyBorder="1" applyAlignment="1">
      <alignment horizontal="center"/>
    </xf>
    <xf numFmtId="2" fontId="10" fillId="0" borderId="18" xfId="2" applyNumberFormat="1" applyFont="1" applyBorder="1" applyAlignment="1">
      <alignment horizontal="right"/>
    </xf>
    <xf numFmtId="3" fontId="60" fillId="15" borderId="18" xfId="0" applyNumberFormat="1" applyFont="1" applyFill="1" applyBorder="1" applyAlignment="1">
      <alignment horizontal="right" wrapText="1" indent="1"/>
    </xf>
    <xf numFmtId="3" fontId="58" fillId="15" borderId="18" xfId="0" applyNumberFormat="1" applyFont="1" applyFill="1" applyBorder="1" applyAlignment="1">
      <alignment vertical="center" wrapText="1"/>
    </xf>
    <xf numFmtId="0" fontId="61" fillId="15" borderId="18" xfId="0" applyFont="1" applyFill="1" applyBorder="1" applyAlignment="1">
      <alignment horizontal="left" wrapText="1"/>
    </xf>
    <xf numFmtId="44" fontId="60" fillId="15" borderId="18" xfId="3" applyFont="1" applyFill="1" applyBorder="1" applyAlignment="1">
      <alignment horizontal="right" wrapText="1" indent="1"/>
    </xf>
    <xf numFmtId="167" fontId="60" fillId="15" borderId="18" xfId="3" applyNumberFormat="1" applyFont="1" applyFill="1" applyBorder="1" applyAlignment="1">
      <alignment horizontal="right" wrapText="1" indent="1"/>
    </xf>
    <xf numFmtId="44" fontId="10" fillId="0" borderId="18" xfId="3" applyFont="1" applyBorder="1" applyAlignment="1"/>
    <xf numFmtId="4" fontId="60" fillId="15" borderId="18" xfId="0" applyNumberFormat="1" applyFont="1" applyFill="1" applyBorder="1" applyAlignment="1">
      <alignment horizontal="right" wrapText="1" indent="1"/>
    </xf>
    <xf numFmtId="184" fontId="60" fillId="15" borderId="19" xfId="0" applyNumberFormat="1" applyFont="1" applyFill="1" applyBorder="1" applyAlignment="1">
      <alignment horizontal="right" wrapText="1" indent="1"/>
    </xf>
    <xf numFmtId="175" fontId="65" fillId="2" borderId="12" xfId="2" applyNumberFormat="1" applyFont="1" applyFill="1" applyBorder="1"/>
    <xf numFmtId="0" fontId="1" fillId="0" borderId="0" xfId="0" applyFont="1" applyAlignment="1">
      <alignment horizontal="center"/>
    </xf>
    <xf numFmtId="3" fontId="60" fillId="15" borderId="1" xfId="0" applyNumberFormat="1" applyFont="1" applyFill="1" applyBorder="1" applyAlignment="1">
      <alignment horizontal="right" wrapText="1"/>
    </xf>
    <xf numFmtId="169" fontId="62" fillId="8" borderId="1" xfId="0" applyNumberFormat="1" applyFont="1" applyFill="1" applyBorder="1"/>
    <xf numFmtId="43" fontId="10" fillId="0" borderId="0" xfId="2" applyFont="1" applyBorder="1"/>
    <xf numFmtId="0" fontId="10" fillId="0" borderId="17" xfId="0" applyFont="1" applyBorder="1"/>
    <xf numFmtId="2" fontId="0" fillId="0" borderId="18" xfId="3" applyNumberFormat="1" applyFont="1" applyBorder="1"/>
    <xf numFmtId="169" fontId="0" fillId="0" borderId="18" xfId="3" applyNumberFormat="1" applyFont="1" applyBorder="1"/>
    <xf numFmtId="166" fontId="1" fillId="8" borderId="1" xfId="0" applyNumberFormat="1" applyFont="1" applyFill="1" applyBorder="1" applyAlignment="1">
      <alignment horizontal="center"/>
    </xf>
    <xf numFmtId="164" fontId="63" fillId="8" borderId="0" xfId="1" applyNumberFormat="1" applyFont="1" applyFill="1" applyBorder="1"/>
    <xf numFmtId="166" fontId="66" fillId="3" borderId="0" xfId="0" applyNumberFormat="1" applyFont="1" applyFill="1" applyAlignment="1">
      <alignment vertical="top" wrapText="1"/>
    </xf>
    <xf numFmtId="166" fontId="1" fillId="8" borderId="0" xfId="0" applyNumberFormat="1" applyFont="1" applyFill="1"/>
    <xf numFmtId="175" fontId="15" fillId="12" borderId="0" xfId="2" applyNumberFormat="1" applyFont="1" applyFill="1"/>
    <xf numFmtId="2" fontId="1" fillId="12" borderId="0" xfId="0" applyNumberFormat="1" applyFont="1" applyFill="1"/>
    <xf numFmtId="166" fontId="1" fillId="0" borderId="1" xfId="0" applyNumberFormat="1" applyFont="1" applyBorder="1"/>
    <xf numFmtId="41" fontId="12" fillId="8" borderId="0" xfId="0" applyNumberFormat="1" applyFont="1" applyFill="1"/>
    <xf numFmtId="185" fontId="1" fillId="2" borderId="0" xfId="0" applyNumberFormat="1" applyFont="1" applyFill="1"/>
    <xf numFmtId="185" fontId="1" fillId="0" borderId="0" xfId="0" applyNumberFormat="1" applyFont="1"/>
    <xf numFmtId="166" fontId="1" fillId="2" borderId="0" xfId="2" applyNumberFormat="1" applyFont="1" applyFill="1"/>
    <xf numFmtId="166" fontId="1" fillId="2" borderId="1" xfId="2" applyNumberFormat="1" applyFont="1" applyFill="1" applyBorder="1"/>
    <xf numFmtId="0" fontId="1" fillId="0" borderId="23" xfId="0" applyFont="1" applyBorder="1" applyAlignment="1">
      <alignment vertical="center" wrapText="1"/>
    </xf>
    <xf numFmtId="164" fontId="67" fillId="6" borderId="26" xfId="0" applyNumberFormat="1" applyFont="1" applyFill="1" applyBorder="1"/>
    <xf numFmtId="10" fontId="67" fillId="6" borderId="26" xfId="0" applyNumberFormat="1" applyFont="1" applyFill="1" applyBorder="1"/>
    <xf numFmtId="172" fontId="10" fillId="2" borderId="1" xfId="1" applyNumberFormat="1" applyFont="1" applyFill="1" applyBorder="1"/>
    <xf numFmtId="178" fontId="68" fillId="0" borderId="0" xfId="0" applyNumberFormat="1" applyFont="1" applyAlignment="1">
      <alignment horizontal="right" vertical="top"/>
    </xf>
    <xf numFmtId="37" fontId="68" fillId="0" borderId="0" xfId="0" applyNumberFormat="1" applyFont="1" applyAlignment="1">
      <alignment horizontal="right" vertical="top"/>
    </xf>
    <xf numFmtId="0" fontId="69" fillId="0" borderId="0" xfId="0" applyFont="1"/>
    <xf numFmtId="183" fontId="68" fillId="0" borderId="0" xfId="0" applyNumberFormat="1" applyFont="1" applyAlignment="1">
      <alignment horizontal="right" vertical="top"/>
    </xf>
    <xf numFmtId="6" fontId="69" fillId="0" borderId="0" xfId="0" applyNumberFormat="1" applyFont="1"/>
    <xf numFmtId="178" fontId="70" fillId="0" borderId="0" xfId="0" applyNumberFormat="1" applyFont="1" applyAlignment="1">
      <alignment horizontal="right" vertical="top"/>
    </xf>
    <xf numFmtId="37" fontId="70" fillId="0" borderId="0" xfId="0" applyNumberFormat="1" applyFont="1" applyAlignment="1">
      <alignment horizontal="right" vertical="top"/>
    </xf>
    <xf numFmtId="0" fontId="70" fillId="0" borderId="0" xfId="0" applyFont="1"/>
    <xf numFmtId="180" fontId="70" fillId="0" borderId="0" xfId="0" applyNumberFormat="1" applyFont="1" applyAlignment="1">
      <alignment horizontal="right" vertical="top"/>
    </xf>
    <xf numFmtId="166" fontId="36" fillId="0" borderId="0" xfId="2" applyNumberFormat="1" applyFont="1"/>
    <xf numFmtId="167" fontId="54" fillId="8" borderId="0" xfId="3" applyNumberFormat="1" applyFont="1" applyFill="1"/>
    <xf numFmtId="44" fontId="35" fillId="0" borderId="0" xfId="6" applyNumberFormat="1"/>
    <xf numFmtId="172" fontId="35" fillId="0" borderId="0" xfId="1" applyNumberFormat="1" applyFont="1"/>
    <xf numFmtId="172" fontId="0" fillId="0" borderId="0" xfId="0" applyNumberFormat="1"/>
    <xf numFmtId="10" fontId="14" fillId="8" borderId="0" xfId="1" applyNumberFormat="1" applyFont="1" applyFill="1" applyBorder="1"/>
    <xf numFmtId="2" fontId="14" fillId="12" borderId="0" xfId="0" applyNumberFormat="1" applyFont="1" applyFill="1"/>
    <xf numFmtId="0" fontId="10" fillId="0" borderId="1" xfId="0" applyFont="1" applyBorder="1" applyAlignment="1">
      <alignment horizontal="center"/>
    </xf>
    <xf numFmtId="166" fontId="14" fillId="8" borderId="0" xfId="2" applyNumberFormat="1" applyFont="1" applyFill="1" applyBorder="1"/>
    <xf numFmtId="166" fontId="1" fillId="5" borderId="12" xfId="0" applyNumberFormat="1" applyFont="1" applyFill="1" applyBorder="1"/>
    <xf numFmtId="0" fontId="44" fillId="5" borderId="12" xfId="0" applyFont="1" applyFill="1" applyBorder="1" applyAlignment="1">
      <alignment vertical="top" wrapText="1"/>
    </xf>
    <xf numFmtId="44" fontId="28" fillId="2" borderId="0" xfId="3" applyFont="1" applyFill="1"/>
    <xf numFmtId="44" fontId="6" fillId="2" borderId="12" xfId="0" applyNumberFormat="1" applyFont="1" applyFill="1" applyBorder="1"/>
    <xf numFmtId="0" fontId="71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166" fontId="10" fillId="5" borderId="10" xfId="0" applyNumberFormat="1" applyFont="1" applyFill="1" applyBorder="1"/>
    <xf numFmtId="166" fontId="10" fillId="5" borderId="5" xfId="0" applyNumberFormat="1" applyFont="1" applyFill="1" applyBorder="1"/>
    <xf numFmtId="2" fontId="23" fillId="0" borderId="12" xfId="0" applyNumberFormat="1" applyFont="1" applyBorder="1"/>
    <xf numFmtId="0" fontId="72" fillId="0" borderId="0" xfId="0" applyFont="1"/>
    <xf numFmtId="0" fontId="1" fillId="0" borderId="0" xfId="0" applyFont="1" applyAlignment="1">
      <alignment vertical="top"/>
    </xf>
    <xf numFmtId="2" fontId="10" fillId="2" borderId="13" xfId="3" applyNumberFormat="1" applyFont="1" applyFill="1" applyBorder="1"/>
    <xf numFmtId="0" fontId="1" fillId="5" borderId="8" xfId="0" applyFont="1" applyFill="1" applyBorder="1"/>
    <xf numFmtId="0" fontId="1" fillId="5" borderId="3" xfId="0" applyFont="1" applyFill="1" applyBorder="1"/>
    <xf numFmtId="0" fontId="73" fillId="0" borderId="0" xfId="0" applyFont="1"/>
    <xf numFmtId="0" fontId="74" fillId="0" borderId="0" xfId="7" applyFill="1"/>
    <xf numFmtId="166" fontId="75" fillId="2" borderId="26" xfId="0" applyNumberFormat="1" applyFont="1" applyFill="1" applyBorder="1"/>
    <xf numFmtId="177" fontId="75" fillId="2" borderId="26" xfId="0" applyNumberFormat="1" applyFont="1" applyFill="1" applyBorder="1"/>
    <xf numFmtId="0" fontId="74" fillId="0" borderId="0" xfId="7"/>
    <xf numFmtId="186" fontId="6" fillId="2" borderId="26" xfId="0" applyNumberFormat="1" applyFont="1" applyFill="1" applyBorder="1"/>
    <xf numFmtId="186" fontId="75" fillId="2" borderId="26" xfId="0" applyNumberFormat="1" applyFont="1" applyFill="1" applyBorder="1"/>
    <xf numFmtId="2" fontId="6" fillId="2" borderId="26" xfId="0" applyNumberFormat="1" applyFont="1" applyFill="1" applyBorder="1"/>
    <xf numFmtId="0" fontId="1" fillId="0" borderId="1" xfId="0" applyFont="1" applyBorder="1"/>
    <xf numFmtId="1" fontId="1" fillId="0" borderId="2" xfId="0" applyNumberFormat="1" applyFont="1" applyBorder="1"/>
    <xf numFmtId="0" fontId="1" fillId="0" borderId="2" xfId="0" applyFont="1" applyBorder="1"/>
    <xf numFmtId="0" fontId="1" fillId="5" borderId="19" xfId="0" applyFont="1" applyFill="1" applyBorder="1"/>
    <xf numFmtId="0" fontId="1" fillId="0" borderId="1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43" fontId="1" fillId="0" borderId="0" xfId="2" applyFont="1"/>
    <xf numFmtId="170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0" borderId="4" xfId="0" applyFont="1" applyBorder="1" applyAlignment="1">
      <alignment horizontal="left" indent="2"/>
    </xf>
    <xf numFmtId="170" fontId="1" fillId="0" borderId="4" xfId="0" applyNumberFormat="1" applyFont="1" applyBorder="1"/>
    <xf numFmtId="0" fontId="1" fillId="0" borderId="11" xfId="0" applyFont="1" applyBorder="1"/>
    <xf numFmtId="0" fontId="1" fillId="0" borderId="21" xfId="0" applyFont="1" applyBorder="1"/>
    <xf numFmtId="0" fontId="1" fillId="0" borderId="25" xfId="0" applyFont="1" applyBorder="1"/>
    <xf numFmtId="0" fontId="0" fillId="0" borderId="0" xfId="0" applyAlignment="1">
      <alignment horizontal="right"/>
    </xf>
    <xf numFmtId="0" fontId="10" fillId="0" borderId="18" xfId="0" applyFont="1" applyBorder="1" applyAlignment="1">
      <alignment horizontal="right" vertical="center"/>
    </xf>
    <xf numFmtId="0" fontId="0" fillId="0" borderId="18" xfId="0" applyBorder="1" applyAlignment="1">
      <alignment horizontal="right"/>
    </xf>
    <xf numFmtId="181" fontId="40" fillId="2" borderId="0" xfId="0" applyNumberFormat="1" applyFont="1" applyFill="1" applyAlignment="1">
      <alignment horizontal="right" vertical="center" wrapText="1"/>
    </xf>
    <xf numFmtId="0" fontId="17" fillId="0" borderId="0" xfId="0" applyFont="1" applyAlignment="1">
      <alignment horizontal="right" vertical="center"/>
    </xf>
    <xf numFmtId="0" fontId="10" fillId="0" borderId="0" xfId="0" applyFont="1" applyAlignment="1">
      <alignment horizontal="right"/>
    </xf>
    <xf numFmtId="44" fontId="0" fillId="5" borderId="18" xfId="3" applyFont="1" applyFill="1" applyBorder="1"/>
    <xf numFmtId="44" fontId="10" fillId="0" borderId="0" xfId="3" applyFont="1" applyBorder="1"/>
    <xf numFmtId="188" fontId="10" fillId="0" borderId="19" xfId="2" applyNumberFormat="1" applyFont="1" applyBorder="1" applyAlignment="1">
      <alignment horizontal="right"/>
    </xf>
    <xf numFmtId="0" fontId="76" fillId="0" borderId="0" xfId="0" quotePrefix="1" applyFont="1"/>
    <xf numFmtId="189" fontId="37" fillId="2" borderId="12" xfId="0" applyNumberFormat="1" applyFont="1" applyFill="1" applyBorder="1"/>
    <xf numFmtId="2" fontId="37" fillId="2" borderId="12" xfId="0" applyNumberFormat="1" applyFont="1" applyFill="1" applyBorder="1"/>
    <xf numFmtId="190" fontId="1" fillId="0" borderId="0" xfId="0" applyNumberFormat="1" applyFont="1"/>
    <xf numFmtId="186" fontId="37" fillId="2" borderId="12" xfId="2" applyNumberFormat="1" applyFont="1" applyFill="1" applyBorder="1"/>
    <xf numFmtId="186" fontId="65" fillId="2" borderId="12" xfId="2" applyNumberFormat="1" applyFont="1" applyFill="1" applyBorder="1"/>
    <xf numFmtId="182" fontId="6" fillId="15" borderId="0" xfId="0" applyNumberFormat="1" applyFont="1" applyFill="1"/>
    <xf numFmtId="44" fontId="40" fillId="0" borderId="9" xfId="0" applyNumberFormat="1" applyFont="1" applyBorder="1" applyAlignment="1">
      <alignment wrapText="1"/>
    </xf>
    <xf numFmtId="0" fontId="17" fillId="0" borderId="0" xfId="0" applyFont="1" applyAlignment="1">
      <alignment horizontal="right"/>
    </xf>
    <xf numFmtId="0" fontId="1" fillId="0" borderId="9" xfId="0" applyFont="1" applyBorder="1"/>
    <xf numFmtId="0" fontId="1" fillId="0" borderId="18" xfId="0" applyFont="1" applyBorder="1"/>
    <xf numFmtId="187" fontId="40" fillId="2" borderId="14" xfId="0" applyNumberFormat="1" applyFont="1" applyFill="1" applyBorder="1" applyAlignment="1">
      <alignment wrapText="1"/>
    </xf>
    <xf numFmtId="187" fontId="40" fillId="2" borderId="12" xfId="0" applyNumberFormat="1" applyFont="1" applyFill="1" applyBorder="1" applyAlignment="1">
      <alignment wrapText="1"/>
    </xf>
    <xf numFmtId="44" fontId="10" fillId="0" borderId="0" xfId="0" applyNumberFormat="1" applyFont="1" applyAlignment="1">
      <alignment horizontal="right"/>
    </xf>
    <xf numFmtId="0" fontId="40" fillId="2" borderId="10" xfId="0" applyFont="1" applyFill="1" applyBorder="1" applyAlignment="1">
      <alignment vertical="center" wrapText="1"/>
    </xf>
    <xf numFmtId="0" fontId="40" fillId="2" borderId="17" xfId="0" applyFont="1" applyFill="1" applyBorder="1" applyAlignment="1">
      <alignment vertical="center" wrapText="1"/>
    </xf>
    <xf numFmtId="44" fontId="10" fillId="2" borderId="14" xfId="0" applyNumberFormat="1" applyFont="1" applyFill="1" applyBorder="1" applyAlignment="1">
      <alignment horizontal="right"/>
    </xf>
    <xf numFmtId="44" fontId="10" fillId="2" borderId="12" xfId="0" applyNumberFormat="1" applyFont="1" applyFill="1" applyBorder="1" applyAlignment="1">
      <alignment horizontal="right"/>
    </xf>
    <xf numFmtId="0" fontId="0" fillId="0" borderId="0" xfId="0"/>
    <xf numFmtId="0" fontId="44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4" fillId="5" borderId="17" xfId="0" applyFont="1" applyFill="1" applyBorder="1" applyAlignment="1">
      <alignment horizontal="center" vertical="top" wrapText="1"/>
    </xf>
    <xf numFmtId="0" fontId="44" fillId="5" borderId="18" xfId="0" applyFont="1" applyFill="1" applyBorder="1" applyAlignment="1">
      <alignment horizontal="center" vertical="top" wrapText="1"/>
    </xf>
    <xf numFmtId="0" fontId="44" fillId="5" borderId="19" xfId="0" applyFont="1" applyFill="1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6" fillId="5" borderId="17" xfId="0" applyFont="1" applyFill="1" applyBorder="1" applyAlignment="1">
      <alignment horizontal="center"/>
    </xf>
    <xf numFmtId="0" fontId="56" fillId="5" borderId="18" xfId="0" applyFont="1" applyFill="1" applyBorder="1" applyAlignment="1">
      <alignment horizontal="center"/>
    </xf>
    <xf numFmtId="0" fontId="56" fillId="5" borderId="19" xfId="0" applyFont="1" applyFill="1" applyBorder="1" applyAlignment="1">
      <alignment horizontal="center"/>
    </xf>
    <xf numFmtId="2" fontId="10" fillId="0" borderId="7" xfId="0" applyNumberFormat="1" applyFont="1" applyBorder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0" fontId="61" fillId="15" borderId="0" xfId="0" applyFont="1" applyFill="1" applyAlignment="1">
      <alignment horizontal="left" wrapText="1"/>
    </xf>
    <xf numFmtId="0" fontId="61" fillId="7" borderId="0" xfId="0" applyFont="1" applyFill="1" applyAlignment="1">
      <alignment horizontal="left" wrapText="1"/>
    </xf>
    <xf numFmtId="0" fontId="59" fillId="15" borderId="17" xfId="0" applyFont="1" applyFill="1" applyBorder="1" applyAlignment="1">
      <alignment horizontal="left" wrapText="1"/>
    </xf>
    <xf numFmtId="0" fontId="59" fillId="15" borderId="18" xfId="0" applyFont="1" applyFill="1" applyBorder="1" applyAlignment="1">
      <alignment horizontal="left" wrapText="1"/>
    </xf>
    <xf numFmtId="0" fontId="60" fillId="0" borderId="17" xfId="0" applyFont="1" applyBorder="1" applyAlignment="1">
      <alignment horizontal="left" wrapText="1"/>
    </xf>
    <xf numFmtId="0" fontId="60" fillId="0" borderId="18" xfId="0" applyFont="1" applyBorder="1" applyAlignment="1">
      <alignment horizontal="left" wrapText="1"/>
    </xf>
    <xf numFmtId="0" fontId="60" fillId="15" borderId="17" xfId="0" applyFont="1" applyFill="1" applyBorder="1" applyAlignment="1">
      <alignment horizontal="left" wrapText="1"/>
    </xf>
    <xf numFmtId="0" fontId="60" fillId="15" borderId="18" xfId="0" applyFont="1" applyFill="1" applyBorder="1" applyAlignment="1">
      <alignment horizontal="left" wrapText="1"/>
    </xf>
    <xf numFmtId="0" fontId="61" fillId="15" borderId="1" xfId="0" applyFont="1" applyFill="1" applyBorder="1" applyAlignment="1">
      <alignment horizontal="left" wrapText="1"/>
    </xf>
    <xf numFmtId="0" fontId="1" fillId="0" borderId="2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7" fillId="0" borderId="0" xfId="4" applyFont="1" applyAlignment="1">
      <alignment horizontal="center" wrapText="1"/>
    </xf>
    <xf numFmtId="0" fontId="43" fillId="5" borderId="17" xfId="0" applyFont="1" applyFill="1" applyBorder="1" applyAlignment="1">
      <alignment horizontal="center"/>
    </xf>
    <xf numFmtId="0" fontId="43" fillId="5" borderId="18" xfId="0" applyFont="1" applyFill="1" applyBorder="1" applyAlignment="1">
      <alignment horizontal="center"/>
    </xf>
    <xf numFmtId="0" fontId="43" fillId="5" borderId="19" xfId="0" applyFont="1" applyFill="1" applyBorder="1" applyAlignment="1">
      <alignment horizontal="center"/>
    </xf>
  </cellXfs>
  <cellStyles count="8">
    <cellStyle name="Comma" xfId="2" builtinId="3"/>
    <cellStyle name="Currency" xfId="3" builtinId="4"/>
    <cellStyle name="Hyperlink" xfId="7" builtinId="8"/>
    <cellStyle name="Normal" xfId="0" builtinId="0"/>
    <cellStyle name="Normal 2" xfId="4" xr:uid="{00000000-0005-0000-0000-000003000000}"/>
    <cellStyle name="Normal 3" xfId="5" xr:uid="{261B7C26-03FF-449B-A8E1-84E858AC916A}"/>
    <cellStyle name="Normal_Sheet1" xfId="6" xr:uid="{BDFDFB59-8515-4940-94E6-2E2F0BFFE007}"/>
    <cellStyle name="Percent" xfId="1" builtinId="5"/>
  </cellStyles>
  <dxfs count="0"/>
  <tableStyles count="0" defaultTableStyle="TableStyleMedium2" defaultPivotStyle="PivotStyleLight16"/>
  <colors>
    <mruColors>
      <color rgb="FF33CCFF"/>
      <color rgb="FFE2E9F6"/>
      <color rgb="FFCCEEFF"/>
      <color rgb="FFFFFFCC"/>
      <color rgb="FFFFFF99"/>
      <color rgb="FF0000FF"/>
      <color rgb="FFFF0000"/>
      <color rgb="FF005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Football</a:t>
            </a:r>
            <a:r>
              <a:rPr lang="en-US" baseline="0"/>
              <a:t> Analysis</a:t>
            </a:r>
          </a:p>
          <a:p>
            <a:pPr>
              <a:defRPr/>
            </a:pPr>
            <a:r>
              <a:rPr lang="en-US" baseline="0"/>
              <a:t>Per Share Price of Firm</a:t>
            </a:r>
            <a:endParaRPr lang="en-US"/>
          </a:p>
        </c:rich>
      </c:tx>
      <c:layout>
        <c:manualLayout>
          <c:xMode val="edge"/>
          <c:yMode val="edge"/>
          <c:x val="0.35456924404296747"/>
          <c:y val="3.9571678643071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086984840464645E-2"/>
          <c:y val="0.20612887405175978"/>
          <c:w val="0.84359913408940101"/>
          <c:h val="0.67090852211932206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Field'!$O$3:$O$5</c:f>
              <c:numCache>
                <c:formatCode>_("$"* #,##0.00_);_("$"* \(#,##0.00\);_("$"* "-"??_);_(@_)</c:formatCode>
                <c:ptCount val="3"/>
                <c:pt idx="0">
                  <c:v>122.9461940147401</c:v>
                </c:pt>
                <c:pt idx="1">
                  <c:v>50.901120778291059</c:v>
                </c:pt>
                <c:pt idx="2">
                  <c:v>45.208801009059997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5-4598-9B43-CCF6A62C6687}"/>
            </c:ext>
          </c:extLst>
        </c:ser>
        <c:ser>
          <c:idx val="1"/>
          <c:order val="1"/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Field'!$P$3:$P$5</c:f>
              <c:numCache>
                <c:formatCode>_("$"* #,##0.00_);_("$"* \(#,##0.00\);_("$"* "-"??_);_(@_)</c:formatCode>
                <c:ptCount val="3"/>
                <c:pt idx="0">
                  <c:v>24.729407134531684</c:v>
                </c:pt>
                <c:pt idx="1">
                  <c:v>53.797409979149919</c:v>
                </c:pt>
                <c:pt idx="2">
                  <c:v>32.191401917458322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D5-4598-9B43-CCF6A62C668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Field'!$Q$3:$Q$5</c:f>
              <c:numCache>
                <c:formatCode>_("$"* #,##0.00_);_("$"* \(#,##0.00\);_("$"* "-"??_);_(@_)</c:formatCode>
                <c:ptCount val="3"/>
                <c:pt idx="0">
                  <c:v>10.15200282325975</c:v>
                </c:pt>
                <c:pt idx="1">
                  <c:v>22.98838350045969</c:v>
                </c:pt>
                <c:pt idx="2">
                  <c:v>34.536544229025793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D5-4598-9B43-CCF6A62C6687}"/>
            </c:ext>
          </c:extLst>
        </c:ser>
        <c:ser>
          <c:idx val="3"/>
          <c:order val="3"/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Field'!$R$3:$R$5</c:f>
              <c:numCache>
                <c:formatCode>_("$"* #,##0.00_);_("$"* \(#,##0.00\);_("$"* "-"??_);_(@_)</c:formatCode>
                <c:ptCount val="3"/>
                <c:pt idx="0">
                  <c:v>2.1271975213979886</c:v>
                </c:pt>
                <c:pt idx="1">
                  <c:v>41.540949327178538</c:v>
                </c:pt>
                <c:pt idx="2">
                  <c:v>28.458514277764181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D5-4598-9B43-CCF6A62C6687}"/>
            </c:ext>
          </c:extLst>
        </c:ser>
        <c:ser>
          <c:idx val="4"/>
          <c:order val="4"/>
          <c:spPr>
            <a:solidFill>
              <a:schemeClr val="accent3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Field'!$S$3:$S$5</c:f>
              <c:numCache>
                <c:formatCode>_("$"* #,##0.00_);_("$"* \(#,##0.00\);_("$"* "-"??_);_(@_)</c:formatCode>
                <c:ptCount val="3"/>
                <c:pt idx="0">
                  <c:v>0.65499122894638617</c:v>
                </c:pt>
                <c:pt idx="1">
                  <c:v>109.45510745930642</c:v>
                </c:pt>
                <c:pt idx="2">
                  <c:v>13.957312063673555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D5-4598-9B43-CCF6A62C6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9774736"/>
        <c:axId val="1589773904"/>
      </c:barChart>
      <c:catAx>
        <c:axId val="1589774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773904"/>
        <c:crosses val="autoZero"/>
        <c:auto val="1"/>
        <c:lblAlgn val="ctr"/>
        <c:lblOffset val="100"/>
        <c:noMultiLvlLbl val="0"/>
      </c:catAx>
      <c:valAx>
        <c:axId val="15897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77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6</xdr:row>
      <xdr:rowOff>77693</xdr:rowOff>
    </xdr:from>
    <xdr:to>
      <xdr:col>13</xdr:col>
      <xdr:colOff>526676</xdr:colOff>
      <xdr:row>26</xdr:row>
      <xdr:rowOff>74706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1BE94-A730-4525-8823-D879A8218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28581</xdr:colOff>
      <xdr:row>8</xdr:row>
      <xdr:rowOff>19049</xdr:rowOff>
    </xdr:from>
    <xdr:ext cx="352420" cy="14664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1FEAB4-02DC-4DB4-8FB9-E39414DBBF73}"/>
            </a:ext>
          </a:extLst>
        </xdr:cNvPr>
        <xdr:cNvSpPr txBox="1"/>
      </xdr:nvSpPr>
      <xdr:spPr>
        <a:xfrm rot="16200000">
          <a:off x="9287923" y="2178501"/>
          <a:ext cx="1466441" cy="3524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  GROWTH RATES</a:t>
          </a: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28581</xdr:colOff>
      <xdr:row>3</xdr:row>
      <xdr:rowOff>19049</xdr:rowOff>
    </xdr:from>
    <xdr:ext cx="352420" cy="14664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7477A2-DAB8-454D-93C7-EBD9620345C1}"/>
            </a:ext>
          </a:extLst>
        </xdr:cNvPr>
        <xdr:cNvSpPr txBox="1"/>
      </xdr:nvSpPr>
      <xdr:spPr>
        <a:xfrm rot="16200000">
          <a:off x="2462420" y="1176135"/>
          <a:ext cx="1466441" cy="3524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  GROWTH RATES</a:t>
          </a:r>
        </a:p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vier Mota" id="{27CDDDE6-FCFB-44FB-AC7C-F0286ED4A06F}" userId="7de2c26b9b5de37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1-11-08T22:40:57.79" personId="{27CDDDE6-FCFB-44FB-AC7C-F0286ED4A06F}" id="{4EB614DA-CD12-4216-BDFF-514F73D42D1E}">
    <text>Basic</text>
  </threadedComment>
  <threadedComment ref="B22" dT="2021-11-08T22:39:55.26" personId="{27CDDDE6-FCFB-44FB-AC7C-F0286ED4A06F}" id="{351A14A3-1FF5-4F4A-B1AD-9B430D140F42}">
    <text>Basic</text>
  </threadedComment>
  <threadedComment ref="B38" dT="2021-11-10T04:30:25.53" personId="{27CDDDE6-FCFB-44FB-AC7C-F0286ED4A06F}" id="{ACFD32C3-A12E-4CF6-A23D-78A85FF39632}">
    <text>Basic</text>
  </threadedComment>
  <threadedComment ref="B54" dT="2021-11-10T04:51:18.41" personId="{27CDDDE6-FCFB-44FB-AC7C-F0286ED4A06F}" id="{F2B58EE6-F277-4A06-BB1E-8F4CDBD09B8D}">
    <text>Basic</text>
  </threadedComment>
  <threadedComment ref="B70" dT="2021-11-10T04:56:02.61" personId="{27CDDDE6-FCFB-44FB-AC7C-F0286ED4A06F}" id="{2C9815E4-1A4F-4CC2-9C22-1EAA8455CBD1}">
    <text>Basic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Relationship Id="rId4" Type="http://schemas.microsoft.com/office/2017/10/relationships/threadedComment" Target="../threadedComments/threadedComment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E636-5EE7-4612-9F12-52CA2C970F9C}">
  <dimension ref="A1:I5"/>
  <sheetViews>
    <sheetView workbookViewId="0">
      <selection activeCell="G19" sqref="G18:G19"/>
    </sheetView>
  </sheetViews>
  <sheetFormatPr baseColWidth="10" defaultColWidth="8.83203125" defaultRowHeight="15"/>
  <cols>
    <col min="2" max="2" width="13.1640625" customWidth="1"/>
  </cols>
  <sheetData>
    <row r="1" spans="1:9" ht="16" thickBot="1">
      <c r="A1" s="120" t="s">
        <v>0</v>
      </c>
      <c r="B1" s="119" t="s">
        <v>1</v>
      </c>
      <c r="C1" s="202" t="s">
        <v>2</v>
      </c>
      <c r="D1" s="202"/>
      <c r="E1" s="202"/>
      <c r="F1" s="202"/>
      <c r="G1" s="202"/>
      <c r="H1" s="203"/>
      <c r="I1" s="203"/>
    </row>
    <row r="2" spans="1:9" ht="16" thickBot="1">
      <c r="A2" s="120" t="s">
        <v>3</v>
      </c>
      <c r="B2" s="119" t="s">
        <v>418</v>
      </c>
      <c r="C2" s="202" t="s">
        <v>4</v>
      </c>
      <c r="D2" s="202"/>
      <c r="E2" s="202"/>
      <c r="F2" s="202"/>
      <c r="G2" s="202"/>
      <c r="H2" s="203"/>
      <c r="I2" s="203"/>
    </row>
    <row r="3" spans="1:9">
      <c r="C3" s="120"/>
      <c r="D3" s="120"/>
      <c r="E3" s="120"/>
      <c r="F3" s="120"/>
      <c r="G3" s="120"/>
    </row>
    <row r="4" spans="1:9">
      <c r="C4" s="120" t="s">
        <v>5</v>
      </c>
      <c r="D4" s="120"/>
      <c r="E4" s="120"/>
      <c r="F4" s="120"/>
      <c r="G4" s="120"/>
    </row>
    <row r="5" spans="1:9">
      <c r="C5" s="120"/>
      <c r="D5" s="120"/>
      <c r="E5" s="120"/>
      <c r="F5" s="120"/>
      <c r="G5" s="1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view="pageBreakPreview" zoomScaleNormal="100" zoomScaleSheetLayoutView="100" workbookViewId="0">
      <selection activeCell="B14" sqref="B14"/>
    </sheetView>
  </sheetViews>
  <sheetFormatPr baseColWidth="10" defaultColWidth="8.832031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3"/>
  <sheetViews>
    <sheetView zoomScale="98" zoomScaleNormal="98" workbookViewId="0">
      <selection activeCell="H23" sqref="H23"/>
    </sheetView>
  </sheetViews>
  <sheetFormatPr baseColWidth="10" defaultColWidth="8.83203125" defaultRowHeight="15"/>
  <cols>
    <col min="1" max="1" width="49.1640625" customWidth="1"/>
    <col min="2" max="3" width="12" bestFit="1" customWidth="1"/>
    <col min="4" max="4" width="13.33203125" customWidth="1"/>
  </cols>
  <sheetData>
    <row r="1" spans="1:9" ht="16">
      <c r="A1" s="3" t="s">
        <v>6</v>
      </c>
      <c r="B1" s="2"/>
      <c r="C1" s="2"/>
      <c r="D1" s="2"/>
      <c r="E1" s="2"/>
    </row>
    <row r="2" spans="1:9" ht="15.75" customHeight="1">
      <c r="A2" s="393" t="s">
        <v>7</v>
      </c>
      <c r="B2" s="394" t="s">
        <v>8</v>
      </c>
      <c r="C2" s="392"/>
      <c r="D2" s="392"/>
      <c r="E2" s="2"/>
    </row>
    <row r="3" spans="1:9" ht="31.5" customHeight="1">
      <c r="A3" s="392"/>
      <c r="B3" s="221" t="s">
        <v>9</v>
      </c>
      <c r="C3" s="221" t="s">
        <v>10</v>
      </c>
      <c r="D3" s="221" t="s">
        <v>11</v>
      </c>
      <c r="E3" s="2"/>
      <c r="F3" s="2"/>
    </row>
    <row r="4" spans="1:9" ht="16">
      <c r="A4" s="127" t="s">
        <v>12</v>
      </c>
      <c r="B4" s="313">
        <v>67684</v>
      </c>
      <c r="C4" s="313">
        <v>70950</v>
      </c>
      <c r="D4" s="313">
        <v>76118</v>
      </c>
      <c r="E4" s="2"/>
      <c r="F4" s="2"/>
      <c r="G4" s="88"/>
      <c r="H4" s="88"/>
    </row>
    <row r="5" spans="1:9" ht="16">
      <c r="A5" s="127" t="s">
        <v>13</v>
      </c>
      <c r="B5" s="314">
        <v>34768</v>
      </c>
      <c r="C5" s="314">
        <v>35250</v>
      </c>
      <c r="D5" s="314">
        <v>37108</v>
      </c>
      <c r="E5" s="2"/>
      <c r="F5" s="2"/>
      <c r="G5" s="88"/>
    </row>
    <row r="6" spans="1:9" ht="16">
      <c r="A6" s="127" t="s">
        <v>14</v>
      </c>
      <c r="B6" s="314">
        <v>19084</v>
      </c>
      <c r="C6" s="314">
        <v>19994</v>
      </c>
      <c r="D6" s="314">
        <v>21024</v>
      </c>
      <c r="E6" s="2"/>
      <c r="F6" s="2"/>
      <c r="H6" s="89"/>
    </row>
    <row r="7" spans="1:9" ht="32">
      <c r="A7" s="127" t="s">
        <v>15</v>
      </c>
      <c r="B7" s="314">
        <v>8345</v>
      </c>
      <c r="C7" s="314">
        <v>0</v>
      </c>
      <c r="D7" s="314">
        <v>0</v>
      </c>
      <c r="E7" s="2"/>
      <c r="F7" s="2"/>
      <c r="G7" s="89"/>
      <c r="H7" s="89"/>
    </row>
    <row r="8" spans="1:9" ht="16">
      <c r="A8" s="127" t="s">
        <v>16</v>
      </c>
      <c r="B8" s="314">
        <v>5487</v>
      </c>
      <c r="C8" s="314">
        <v>15706</v>
      </c>
      <c r="D8" s="314">
        <v>17986</v>
      </c>
      <c r="E8" s="2"/>
      <c r="F8" s="2"/>
      <c r="G8" s="89"/>
      <c r="H8" s="89"/>
    </row>
    <row r="9" spans="1:9" ht="16">
      <c r="A9" s="127" t="s">
        <v>17</v>
      </c>
      <c r="B9" s="314">
        <v>-509</v>
      </c>
      <c r="C9" s="314">
        <v>-465</v>
      </c>
      <c r="D9" s="314">
        <v>-502</v>
      </c>
      <c r="E9" s="2"/>
      <c r="F9" s="2"/>
      <c r="G9" s="89"/>
      <c r="H9" s="89"/>
    </row>
    <row r="10" spans="1:9" ht="16">
      <c r="A10" s="127" t="s">
        <v>18</v>
      </c>
      <c r="B10" s="314">
        <v>220</v>
      </c>
      <c r="C10" s="314">
        <v>155</v>
      </c>
      <c r="D10" s="314">
        <v>45</v>
      </c>
      <c r="E10" s="2"/>
      <c r="F10" s="2"/>
      <c r="G10" s="89"/>
      <c r="H10" s="89"/>
    </row>
    <row r="11" spans="1:9" ht="16">
      <c r="A11" s="127" t="s">
        <v>19</v>
      </c>
      <c r="B11" s="314">
        <v>871</v>
      </c>
      <c r="C11" s="314">
        <v>438</v>
      </c>
      <c r="D11" s="314">
        <v>86</v>
      </c>
      <c r="E11" s="2"/>
      <c r="F11" s="2"/>
      <c r="G11" s="89"/>
      <c r="H11" s="89"/>
    </row>
    <row r="12" spans="1:9" ht="16">
      <c r="A12" s="127" t="s">
        <v>20</v>
      </c>
      <c r="B12" s="314">
        <v>6069</v>
      </c>
      <c r="C12" s="314">
        <v>15834</v>
      </c>
      <c r="D12" s="314">
        <v>17615</v>
      </c>
      <c r="E12" s="2"/>
      <c r="F12" s="2"/>
      <c r="G12" s="89"/>
      <c r="H12" s="89"/>
    </row>
    <row r="13" spans="1:9" ht="16">
      <c r="A13" s="127" t="s">
        <v>21</v>
      </c>
      <c r="B13" s="314">
        <v>2103</v>
      </c>
      <c r="C13" s="314">
        <v>2731</v>
      </c>
      <c r="D13" s="314">
        <v>3263</v>
      </c>
      <c r="E13" s="2"/>
      <c r="F13" s="2"/>
      <c r="G13" s="89"/>
      <c r="H13" s="89"/>
    </row>
    <row r="14" spans="1:9" ht="16">
      <c r="A14" s="127" t="s">
        <v>22</v>
      </c>
      <c r="B14" s="314">
        <v>3966</v>
      </c>
      <c r="C14" s="314">
        <v>13103</v>
      </c>
      <c r="D14" s="314">
        <v>14352</v>
      </c>
      <c r="E14" s="2"/>
      <c r="F14" s="2"/>
      <c r="G14" s="89"/>
      <c r="H14" s="89"/>
      <c r="I14" s="2"/>
    </row>
    <row r="15" spans="1:9" ht="16">
      <c r="A15" s="127" t="s">
        <v>23</v>
      </c>
      <c r="B15" s="314">
        <v>69</v>
      </c>
      <c r="C15" s="314">
        <v>76</v>
      </c>
      <c r="D15" s="314">
        <v>46</v>
      </c>
      <c r="E15" s="2"/>
      <c r="F15" s="2"/>
      <c r="G15" s="89"/>
      <c r="H15" s="89"/>
      <c r="I15" s="2"/>
    </row>
    <row r="16" spans="1:9" ht="16">
      <c r="A16" s="127" t="s">
        <v>24</v>
      </c>
      <c r="B16" s="313">
        <v>3897</v>
      </c>
      <c r="C16" s="313">
        <v>13027</v>
      </c>
      <c r="D16" s="313">
        <v>14306</v>
      </c>
      <c r="E16" s="2"/>
      <c r="F16" s="2"/>
      <c r="G16" s="89"/>
      <c r="H16" s="89"/>
      <c r="I16" s="2"/>
    </row>
    <row r="17" spans="1:9" ht="16">
      <c r="A17" s="126" t="s">
        <v>25</v>
      </c>
      <c r="B17" s="315"/>
      <c r="C17" s="315"/>
      <c r="D17" s="315"/>
      <c r="E17" s="2"/>
      <c r="F17" s="2"/>
      <c r="G17" s="89"/>
      <c r="H17" s="89"/>
      <c r="I17" s="2"/>
    </row>
    <row r="18" spans="1:9" ht="16">
      <c r="A18" s="127" t="s">
        <v>26</v>
      </c>
      <c r="B18" s="316">
        <v>1.45</v>
      </c>
      <c r="C18" s="316">
        <v>5.13</v>
      </c>
      <c r="D18" s="316">
        <v>5.69</v>
      </c>
      <c r="E18" s="2"/>
      <c r="F18" s="2"/>
      <c r="G18" s="89"/>
      <c r="H18" s="89"/>
      <c r="I18" s="2"/>
    </row>
    <row r="19" spans="1:9" ht="16">
      <c r="A19" s="126" t="s">
        <v>27</v>
      </c>
      <c r="B19" s="315"/>
      <c r="C19" s="315"/>
      <c r="D19" s="315"/>
      <c r="E19" s="2"/>
      <c r="F19" s="2"/>
      <c r="G19" s="89"/>
      <c r="H19" s="89"/>
      <c r="I19" s="2"/>
    </row>
    <row r="20" spans="1:9" ht="16">
      <c r="A20" s="127" t="s">
        <v>28</v>
      </c>
      <c r="B20" s="316">
        <v>1.43</v>
      </c>
      <c r="C20" s="316">
        <v>4.96</v>
      </c>
      <c r="D20" s="316">
        <v>5.5</v>
      </c>
      <c r="E20" s="2"/>
      <c r="F20" s="2"/>
      <c r="G20" s="89"/>
      <c r="H20" s="88"/>
      <c r="I20" s="2"/>
    </row>
    <row r="21" spans="1:9" ht="16">
      <c r="A21" s="2" t="s">
        <v>29</v>
      </c>
      <c r="B21" s="317">
        <v>7498</v>
      </c>
      <c r="C21" s="317">
        <v>7789</v>
      </c>
      <c r="D21" s="317">
        <v>8263</v>
      </c>
      <c r="E21" s="2"/>
      <c r="F21" s="2"/>
      <c r="G21" s="89"/>
      <c r="I21" s="2"/>
    </row>
    <row r="22" spans="1:9" ht="16">
      <c r="A22" s="2"/>
      <c r="B22" s="2"/>
      <c r="C22" s="2"/>
      <c r="D22" s="199"/>
      <c r="E22" s="2"/>
      <c r="F22" s="2"/>
      <c r="G22" s="89"/>
      <c r="H22" s="98"/>
      <c r="I22" s="2"/>
    </row>
    <row r="23" spans="1:9" ht="16">
      <c r="A23" s="1"/>
      <c r="B23" s="201"/>
      <c r="C23" s="200"/>
      <c r="E23" s="2"/>
      <c r="F23" s="201"/>
      <c r="G23" s="88"/>
      <c r="H23" s="89"/>
      <c r="I23" s="2"/>
    </row>
    <row r="24" spans="1:9" ht="16">
      <c r="E24" s="2"/>
      <c r="I24" s="2"/>
    </row>
    <row r="25" spans="1:9" ht="16">
      <c r="B25" s="392"/>
      <c r="C25" s="392"/>
      <c r="E25" s="2"/>
      <c r="F25" s="98"/>
      <c r="G25" s="98"/>
      <c r="H25" s="98"/>
      <c r="I25" s="2"/>
    </row>
    <row r="26" spans="1:9" ht="16">
      <c r="E26" s="2"/>
      <c r="F26" s="89"/>
      <c r="G26" s="122"/>
      <c r="H26" s="89"/>
    </row>
    <row r="27" spans="1:9">
      <c r="G27" s="98"/>
    </row>
    <row r="28" spans="1:9">
      <c r="G28" s="89"/>
    </row>
    <row r="30" spans="1:9">
      <c r="G30" s="98"/>
    </row>
    <row r="31" spans="1:9">
      <c r="G31" s="122"/>
    </row>
    <row r="32" spans="1:9">
      <c r="G32" s="98"/>
    </row>
    <row r="33" spans="7:7">
      <c r="G33" s="89"/>
    </row>
  </sheetData>
  <mergeCells count="3">
    <mergeCell ref="B25:C25"/>
    <mergeCell ref="A2:A3"/>
    <mergeCell ref="B2:D2"/>
  </mergeCells>
  <printOptions headings="1" gridLines="1"/>
  <pageMargins left="0.7" right="0.7" top="0.75" bottom="0.75" header="0.3" footer="0.3"/>
  <pageSetup orientation="portrait" r:id="rId1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0"/>
  <sheetViews>
    <sheetView zoomScale="85" zoomScaleNormal="85" workbookViewId="0">
      <selection activeCell="D3" sqref="D3"/>
    </sheetView>
  </sheetViews>
  <sheetFormatPr baseColWidth="10" defaultColWidth="8.83203125" defaultRowHeight="15"/>
  <cols>
    <col min="1" max="1" width="48.6640625" customWidth="1"/>
    <col min="2" max="3" width="17.1640625" customWidth="1"/>
    <col min="4" max="4" width="14" customWidth="1"/>
    <col min="5" max="6" width="17.1640625" customWidth="1"/>
    <col min="7" max="7" width="15.5" customWidth="1"/>
    <col min="8" max="8" width="14.33203125" customWidth="1"/>
    <col min="9" max="9" width="15.83203125" customWidth="1"/>
  </cols>
  <sheetData>
    <row r="1" spans="1:13" ht="32">
      <c r="A1" s="220" t="s">
        <v>30</v>
      </c>
      <c r="B1" s="221" t="s">
        <v>9</v>
      </c>
      <c r="C1" s="221" t="s">
        <v>10</v>
      </c>
      <c r="D1" s="221" t="s">
        <v>11</v>
      </c>
      <c r="E1" s="221"/>
      <c r="F1" s="221"/>
    </row>
    <row r="2" spans="1:13" ht="16">
      <c r="A2" s="126" t="s">
        <v>31</v>
      </c>
    </row>
    <row r="3" spans="1:13" ht="32">
      <c r="A3" s="127" t="s">
        <v>32</v>
      </c>
      <c r="B3" s="308">
        <f>6048+4239</f>
        <v>10287</v>
      </c>
      <c r="C3" s="308">
        <v>16181</v>
      </c>
      <c r="D3" s="308">
        <v>10288</v>
      </c>
      <c r="E3" s="88"/>
      <c r="F3" s="88"/>
    </row>
    <row r="4" spans="1:13" ht="31.5" customHeight="1">
      <c r="A4" s="127" t="s">
        <v>33</v>
      </c>
      <c r="B4" s="309">
        <v>4951</v>
      </c>
      <c r="C4" s="309">
        <v>4178</v>
      </c>
      <c r="D4" s="309">
        <v>4725</v>
      </c>
      <c r="E4" s="89"/>
      <c r="F4" s="89"/>
    </row>
    <row r="5" spans="1:13" ht="24.75" customHeight="1">
      <c r="A5" s="126" t="s">
        <v>34</v>
      </c>
      <c r="B5" s="310"/>
      <c r="C5" s="310"/>
      <c r="D5" s="310"/>
    </row>
    <row r="6" spans="1:13" ht="16.5" customHeight="1">
      <c r="A6" s="127" t="s">
        <v>35</v>
      </c>
      <c r="B6" s="309">
        <v>1289</v>
      </c>
      <c r="C6" s="309">
        <v>1414</v>
      </c>
      <c r="D6" s="309">
        <v>1645</v>
      </c>
      <c r="E6" s="89"/>
      <c r="F6" s="89"/>
    </row>
    <row r="7" spans="1:13" ht="16.5" customHeight="1">
      <c r="A7" s="127" t="s">
        <v>36</v>
      </c>
      <c r="B7" s="309">
        <v>612</v>
      </c>
      <c r="C7" s="309">
        <v>674</v>
      </c>
      <c r="D7" s="309">
        <v>719</v>
      </c>
      <c r="E7" s="89"/>
      <c r="F7" s="89"/>
    </row>
    <row r="8" spans="1:13" ht="16">
      <c r="A8" s="127" t="s">
        <v>37</v>
      </c>
      <c r="B8" s="309">
        <v>3116</v>
      </c>
      <c r="C8" s="309">
        <v>3410</v>
      </c>
      <c r="D8" s="309">
        <v>3619</v>
      </c>
      <c r="E8" s="89"/>
      <c r="F8" s="89"/>
    </row>
    <row r="9" spans="1:13" ht="16.5" customHeight="1">
      <c r="A9" s="127" t="s">
        <v>38</v>
      </c>
      <c r="B9" s="309">
        <v>5017</v>
      </c>
      <c r="C9" s="309">
        <v>5498</v>
      </c>
      <c r="D9" s="309">
        <v>5983</v>
      </c>
      <c r="E9" s="89"/>
      <c r="F9" s="89"/>
      <c r="G9" s="229"/>
      <c r="H9" s="229"/>
      <c r="I9" s="225"/>
      <c r="K9" s="229"/>
      <c r="L9" s="229"/>
      <c r="M9" s="229"/>
    </row>
    <row r="10" spans="1:13" ht="16.5" customHeight="1">
      <c r="A10" s="127" t="s">
        <v>39</v>
      </c>
      <c r="B10" s="309">
        <v>2218</v>
      </c>
      <c r="C10" s="309">
        <v>2130</v>
      </c>
      <c r="D10" s="309">
        <v>2095</v>
      </c>
      <c r="E10" s="89"/>
      <c r="F10" s="89"/>
    </row>
    <row r="11" spans="1:13" ht="16">
      <c r="A11" s="127" t="s">
        <v>40</v>
      </c>
      <c r="B11" s="309">
        <v>22473</v>
      </c>
      <c r="C11" s="309">
        <v>27987</v>
      </c>
      <c r="D11" s="309">
        <v>23091</v>
      </c>
      <c r="E11" s="89"/>
      <c r="F11" s="89"/>
      <c r="G11" s="229"/>
      <c r="H11" s="229"/>
    </row>
    <row r="12" spans="1:13" ht="16.5" customHeight="1">
      <c r="A12" s="127" t="s">
        <v>41</v>
      </c>
      <c r="B12" s="309">
        <v>21271</v>
      </c>
      <c r="C12" s="309">
        <v>20692</v>
      </c>
      <c r="D12" s="309">
        <v>21686</v>
      </c>
      <c r="E12" s="89"/>
      <c r="F12" s="89"/>
      <c r="H12" s="229"/>
    </row>
    <row r="13" spans="1:13" ht="16.5" customHeight="1">
      <c r="A13" s="127" t="s">
        <v>42</v>
      </c>
      <c r="B13" s="309">
        <v>40273</v>
      </c>
      <c r="C13" s="309">
        <v>39901</v>
      </c>
      <c r="D13" s="309">
        <v>40924</v>
      </c>
      <c r="E13" s="89"/>
      <c r="F13" s="89"/>
    </row>
    <row r="14" spans="1:13" ht="16">
      <c r="A14" s="127" t="s">
        <v>43</v>
      </c>
      <c r="B14" s="309">
        <v>24215</v>
      </c>
      <c r="C14" s="309">
        <v>23792</v>
      </c>
      <c r="D14" s="309">
        <v>23642</v>
      </c>
      <c r="E14" s="89"/>
      <c r="F14" s="89"/>
    </row>
    <row r="15" spans="1:13" ht="16">
      <c r="A15" s="127" t="s">
        <v>44</v>
      </c>
      <c r="B15" s="309">
        <v>6863</v>
      </c>
      <c r="C15" s="309">
        <v>8328</v>
      </c>
      <c r="D15" s="309">
        <v>9964</v>
      </c>
      <c r="E15" s="89"/>
      <c r="F15" s="89"/>
    </row>
    <row r="16" spans="1:13" ht="16">
      <c r="A16" s="127" t="s">
        <v>45</v>
      </c>
      <c r="B16" s="309">
        <v>115095</v>
      </c>
      <c r="C16" s="309">
        <v>120700</v>
      </c>
      <c r="D16" s="309">
        <v>119307</v>
      </c>
      <c r="E16" s="89"/>
      <c r="F16" s="89"/>
    </row>
    <row r="17" spans="1:6" ht="16">
      <c r="A17" s="126" t="s">
        <v>46</v>
      </c>
      <c r="B17" s="310"/>
      <c r="C17" s="310"/>
      <c r="D17" s="310"/>
    </row>
    <row r="18" spans="1:6" ht="16">
      <c r="A18" s="127" t="s">
        <v>47</v>
      </c>
      <c r="B18" s="309">
        <v>11260</v>
      </c>
      <c r="C18" s="309">
        <v>12071</v>
      </c>
      <c r="D18" s="309">
        <v>13720</v>
      </c>
      <c r="E18" s="89"/>
      <c r="F18" s="89"/>
    </row>
    <row r="19" spans="1:6" ht="16.5" customHeight="1">
      <c r="A19" s="127" t="s">
        <v>48</v>
      </c>
      <c r="B19" s="309">
        <v>9054</v>
      </c>
      <c r="C19" s="309">
        <v>9722</v>
      </c>
      <c r="D19" s="309">
        <v>10523</v>
      </c>
      <c r="E19" s="89"/>
      <c r="F19" s="89"/>
    </row>
    <row r="20" spans="1:6" ht="16">
      <c r="A20" s="127" t="s">
        <v>49</v>
      </c>
      <c r="B20" s="309">
        <v>9697</v>
      </c>
      <c r="C20" s="309">
        <v>11183</v>
      </c>
      <c r="D20" s="309">
        <v>8889</v>
      </c>
      <c r="E20" s="89"/>
      <c r="F20" s="89"/>
    </row>
    <row r="21" spans="1:6" ht="16">
      <c r="A21" s="127" t="s">
        <v>50</v>
      </c>
      <c r="B21" s="309">
        <v>30011</v>
      </c>
      <c r="C21" s="309">
        <v>32976</v>
      </c>
      <c r="D21" s="309">
        <v>33132</v>
      </c>
      <c r="E21" s="89"/>
      <c r="F21" s="89"/>
    </row>
    <row r="22" spans="1:6" ht="16">
      <c r="A22" s="127" t="s">
        <v>51</v>
      </c>
      <c r="B22" s="309">
        <v>20395</v>
      </c>
      <c r="C22" s="309">
        <v>23537</v>
      </c>
      <c r="D22" s="309">
        <v>23099</v>
      </c>
      <c r="E22" s="89"/>
      <c r="F22" s="89"/>
    </row>
    <row r="23" spans="1:6" ht="16.5" customHeight="1">
      <c r="A23" s="127" t="s">
        <v>52</v>
      </c>
      <c r="B23" s="309">
        <v>6899</v>
      </c>
      <c r="C23" s="309">
        <v>6199</v>
      </c>
      <c r="D23" s="309">
        <v>6153</v>
      </c>
      <c r="E23" s="89"/>
      <c r="F23" s="89"/>
    </row>
    <row r="24" spans="1:6" ht="16">
      <c r="A24" s="127" t="s">
        <v>53</v>
      </c>
      <c r="B24" s="309">
        <v>10211</v>
      </c>
      <c r="C24" s="309">
        <v>11110</v>
      </c>
      <c r="D24" s="309">
        <v>10269</v>
      </c>
      <c r="E24" s="89"/>
      <c r="F24" s="89"/>
    </row>
    <row r="25" spans="1:6" ht="16">
      <c r="A25" s="127" t="s">
        <v>54</v>
      </c>
      <c r="B25" s="309">
        <v>67516</v>
      </c>
      <c r="C25" s="309">
        <v>73822</v>
      </c>
      <c r="D25" s="309">
        <v>72653</v>
      </c>
      <c r="E25" s="89"/>
      <c r="F25" s="89"/>
    </row>
    <row r="26" spans="1:6" ht="16">
      <c r="A26" s="126" t="s">
        <v>55</v>
      </c>
      <c r="B26" s="310"/>
      <c r="C26" s="310"/>
      <c r="D26" s="310"/>
    </row>
    <row r="27" spans="1:6" ht="16">
      <c r="A27" s="126" t="s">
        <v>56</v>
      </c>
      <c r="B27" s="309">
        <v>928</v>
      </c>
      <c r="C27" s="309">
        <v>897</v>
      </c>
      <c r="D27" s="309">
        <v>870</v>
      </c>
      <c r="E27" s="89"/>
      <c r="F27" s="89"/>
    </row>
    <row r="28" spans="1:6" ht="16.5" customHeight="1">
      <c r="A28" s="127" t="s">
        <v>57</v>
      </c>
      <c r="B28" s="309">
        <v>4009</v>
      </c>
      <c r="C28" s="309">
        <v>4009</v>
      </c>
      <c r="D28" s="309">
        <v>4009</v>
      </c>
      <c r="E28" s="89"/>
      <c r="F28" s="89"/>
    </row>
    <row r="29" spans="1:6" ht="16">
      <c r="A29" s="127" t="s">
        <v>58</v>
      </c>
      <c r="B29" s="309">
        <v>63827</v>
      </c>
      <c r="C29" s="309">
        <v>64194</v>
      </c>
      <c r="D29" s="309">
        <v>64848</v>
      </c>
      <c r="E29" s="89"/>
      <c r="F29" s="89"/>
    </row>
    <row r="30" spans="1:6" ht="16">
      <c r="A30" s="127" t="s">
        <v>59</v>
      </c>
      <c r="B30" s="309">
        <v>-1146</v>
      </c>
      <c r="C30" s="309">
        <v>-1080</v>
      </c>
      <c r="D30" s="309">
        <v>-1006</v>
      </c>
      <c r="E30" s="89"/>
      <c r="F30" s="89"/>
    </row>
    <row r="31" spans="1:6" ht="16">
      <c r="A31" s="127" t="s">
        <v>60</v>
      </c>
      <c r="B31" s="309">
        <v>-14936</v>
      </c>
      <c r="C31" s="309">
        <v>-16165</v>
      </c>
      <c r="D31" s="309">
        <v>-13744</v>
      </c>
      <c r="E31" s="89"/>
      <c r="F31" s="89"/>
    </row>
    <row r="32" spans="1:6" ht="16.5" customHeight="1">
      <c r="A32" s="127" t="s">
        <v>61</v>
      </c>
      <c r="B32" s="309">
        <v>-100406</v>
      </c>
      <c r="C32" s="309">
        <v>-105573</v>
      </c>
      <c r="D32" s="309">
        <v>-114973</v>
      </c>
      <c r="E32" s="89"/>
      <c r="F32" s="89"/>
    </row>
    <row r="33" spans="1:8" ht="16">
      <c r="A33" s="127" t="s">
        <v>62</v>
      </c>
      <c r="B33" s="309">
        <v>94918</v>
      </c>
      <c r="C33" s="309">
        <v>100239</v>
      </c>
      <c r="D33" s="309">
        <v>106374</v>
      </c>
      <c r="E33" s="89"/>
      <c r="F33" s="89"/>
    </row>
    <row r="34" spans="1:8" ht="16">
      <c r="A34" s="127" t="s">
        <v>63</v>
      </c>
      <c r="B34" s="309">
        <v>385</v>
      </c>
      <c r="C34" s="309">
        <v>357</v>
      </c>
      <c r="D34" s="309">
        <v>276</v>
      </c>
      <c r="E34" s="89"/>
      <c r="F34" s="89"/>
    </row>
    <row r="35" spans="1:8" ht="32">
      <c r="A35" s="127" t="s">
        <v>64</v>
      </c>
      <c r="B35" s="309">
        <v>47579</v>
      </c>
      <c r="C35" s="309">
        <v>46878</v>
      </c>
      <c r="D35" s="309">
        <v>46654</v>
      </c>
      <c r="E35" s="89"/>
      <c r="F35" s="89"/>
      <c r="G35" s="229"/>
      <c r="H35" s="229"/>
    </row>
    <row r="36" spans="1:8" ht="16.5" customHeight="1">
      <c r="A36" s="127" t="s">
        <v>65</v>
      </c>
      <c r="B36" s="308">
        <f>SUM(B25,B27,B28:B34)</f>
        <v>115095</v>
      </c>
      <c r="C36" s="308">
        <f>SUM(C25,C27,C28:C34)</f>
        <v>120700</v>
      </c>
      <c r="D36" s="308">
        <f>SUM(D25,D27,D28:D34)</f>
        <v>119307</v>
      </c>
      <c r="E36" s="88"/>
      <c r="F36" s="88"/>
      <c r="G36" s="229"/>
      <c r="H36" s="229"/>
    </row>
    <row r="37" spans="1:8" ht="16">
      <c r="A37" s="127" t="s">
        <v>66</v>
      </c>
      <c r="B37" s="309">
        <v>4009.2</v>
      </c>
      <c r="C37" s="311">
        <v>4009.2</v>
      </c>
      <c r="D37" s="311">
        <v>4009.2</v>
      </c>
      <c r="E37" s="222"/>
      <c r="F37" s="222"/>
      <c r="G37" s="229"/>
      <c r="H37" s="229"/>
    </row>
    <row r="38" spans="1:8" ht="16">
      <c r="A38" s="127" t="s">
        <v>67</v>
      </c>
      <c r="B38" s="312">
        <v>1</v>
      </c>
      <c r="C38" s="308">
        <v>1</v>
      </c>
      <c r="D38" s="308">
        <v>1</v>
      </c>
      <c r="E38" s="88"/>
      <c r="F38" s="88"/>
    </row>
    <row r="39" spans="1:8" ht="16">
      <c r="A39" s="127" t="s">
        <v>68</v>
      </c>
      <c r="B39" s="309">
        <v>10000</v>
      </c>
      <c r="C39" s="309">
        <v>10000</v>
      </c>
      <c r="D39" s="309">
        <v>10000</v>
      </c>
      <c r="E39" s="89"/>
      <c r="F39" s="89"/>
    </row>
    <row r="40" spans="1:8" ht="16.5" customHeight="1">
      <c r="A40" s="127" t="s">
        <v>69</v>
      </c>
      <c r="B40" s="311">
        <v>1504.5</v>
      </c>
      <c r="C40" s="311">
        <v>1529.5</v>
      </c>
      <c r="D40" s="311">
        <v>1579.5</v>
      </c>
      <c r="E40" s="222"/>
      <c r="F40" s="222"/>
    </row>
    <row r="41" spans="1:8">
      <c r="A41" s="127"/>
    </row>
    <row r="42" spans="1:8">
      <c r="A42" s="126"/>
      <c r="B42" s="88"/>
    </row>
    <row r="43" spans="1:8">
      <c r="A43" s="127"/>
      <c r="C43" s="88"/>
      <c r="D43" s="88"/>
      <c r="E43" s="88"/>
      <c r="F43" s="88"/>
    </row>
    <row r="44" spans="1:8" ht="16.5" customHeight="1">
      <c r="A44" s="127"/>
      <c r="C44" s="88"/>
      <c r="D44" s="88"/>
      <c r="E44" s="88"/>
      <c r="F44" s="88"/>
    </row>
    <row r="45" spans="1:8">
      <c r="A45" s="127"/>
      <c r="C45" s="89"/>
      <c r="D45" s="89"/>
      <c r="E45" s="89"/>
      <c r="F45" s="89"/>
    </row>
    <row r="46" spans="1:8">
      <c r="A46" s="127"/>
    </row>
    <row r="47" spans="1:8">
      <c r="A47" s="126"/>
    </row>
    <row r="48" spans="1:8">
      <c r="A48" s="127"/>
      <c r="B48" s="88"/>
      <c r="C48" s="88"/>
      <c r="E48" s="88"/>
      <c r="F48" s="88"/>
    </row>
    <row r="49" spans="1:6">
      <c r="A49" s="127"/>
      <c r="B49" s="88"/>
      <c r="C49" s="88"/>
      <c r="E49" s="88"/>
      <c r="F49" s="88"/>
    </row>
    <row r="50" spans="1:6">
      <c r="A50" s="127"/>
      <c r="B50" s="89"/>
      <c r="C50" s="89"/>
      <c r="E50" s="89"/>
      <c r="F50" s="89"/>
    </row>
  </sheetData>
  <printOptions headings="1"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"/>
  <sheetViews>
    <sheetView view="pageBreakPreview" zoomScaleNormal="100" zoomScaleSheetLayoutView="100" workbookViewId="0">
      <selection activeCell="J22" sqref="J22"/>
    </sheetView>
  </sheetViews>
  <sheetFormatPr baseColWidth="10" defaultColWidth="9.1640625" defaultRowHeight="15"/>
  <cols>
    <col min="1" max="16384" width="9.1640625" style="212"/>
  </cols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1:Q30"/>
  <sheetViews>
    <sheetView showGridLines="0" zoomScaleNormal="100" zoomScaleSheetLayoutView="100" workbookViewId="0">
      <pane xSplit="2" ySplit="3" topLeftCell="C9" activePane="bottomRight" state="frozen"/>
      <selection pane="topRight" activeCell="J22" sqref="J22"/>
      <selection pane="bottomLeft" activeCell="J22" sqref="J22"/>
      <selection pane="bottomRight" activeCell="B12" sqref="B12"/>
    </sheetView>
  </sheetViews>
  <sheetFormatPr baseColWidth="10" defaultColWidth="9.1640625" defaultRowHeight="13"/>
  <cols>
    <col min="1" max="1" width="2.6640625" style="5" customWidth="1"/>
    <col min="2" max="2" width="59.33203125" style="5" customWidth="1"/>
    <col min="3" max="3" width="2.6640625" style="5" customWidth="1"/>
    <col min="4" max="4" width="9.1640625" style="5" customWidth="1"/>
    <col min="5" max="5" width="7.83203125" style="5" bestFit="1" customWidth="1"/>
    <col min="6" max="6" width="9.6640625" style="5" customWidth="1"/>
    <col min="7" max="7" width="2.6640625" style="5" customWidth="1"/>
    <col min="8" max="8" width="9.5" style="5" customWidth="1"/>
    <col min="9" max="9" width="8.83203125" style="5" customWidth="1"/>
    <col min="10" max="10" width="11.5" style="5" customWidth="1"/>
    <col min="11" max="11" width="2.6640625" style="5" customWidth="1"/>
    <col min="12" max="12" width="35.5" style="5" customWidth="1"/>
    <col min="13" max="13" width="33.5" style="5" customWidth="1"/>
    <col min="14" max="14" width="9.1640625" style="5"/>
    <col min="15" max="15" width="9.6640625" style="5" customWidth="1"/>
    <col min="16" max="16384" width="9.1640625" style="5"/>
  </cols>
  <sheetData>
    <row r="1" spans="2:17">
      <c r="B1" s="15" t="s">
        <v>70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2:17">
      <c r="B2" s="285" t="s">
        <v>71</v>
      </c>
      <c r="C2" s="31"/>
      <c r="D2" s="17" t="s">
        <v>72</v>
      </c>
      <c r="E2" s="17"/>
      <c r="F2" s="17"/>
      <c r="G2" s="285"/>
      <c r="H2" s="17" t="s">
        <v>73</v>
      </c>
      <c r="I2" s="17"/>
      <c r="J2" s="17"/>
      <c r="K2" s="15"/>
      <c r="L2" s="31"/>
      <c r="M2" s="31"/>
      <c r="N2" s="31"/>
      <c r="O2" s="31"/>
      <c r="P2" s="31"/>
      <c r="Q2" s="31"/>
    </row>
    <row r="3" spans="2:17">
      <c r="B3" s="31"/>
      <c r="C3" s="31"/>
      <c r="D3" s="348">
        <v>2019</v>
      </c>
      <c r="E3" s="348">
        <v>2020</v>
      </c>
      <c r="F3" s="348">
        <v>2021</v>
      </c>
      <c r="G3" s="31"/>
      <c r="H3" s="349">
        <v>2022</v>
      </c>
      <c r="I3" s="350">
        <v>2023</v>
      </c>
      <c r="J3" s="350">
        <v>2024</v>
      </c>
      <c r="K3" s="31"/>
      <c r="L3" s="31"/>
      <c r="M3" s="31"/>
      <c r="N3" s="31"/>
      <c r="O3" s="31"/>
      <c r="P3" s="31"/>
      <c r="Q3" s="31"/>
    </row>
    <row r="4" spans="2:17" ht="16">
      <c r="B4" s="127" t="s">
        <v>12</v>
      </c>
      <c r="C4" s="31"/>
      <c r="D4" s="195">
        <f>'Income Statement'!B4</f>
        <v>67684</v>
      </c>
      <c r="E4" s="195">
        <f>'Income Statement'!C4</f>
        <v>70950</v>
      </c>
      <c r="F4" s="195">
        <f>'Income Statement'!D4</f>
        <v>76118</v>
      </c>
      <c r="G4" s="179"/>
      <c r="H4" s="112">
        <f>F4*(1+H18)</f>
        <v>79162.720000000001</v>
      </c>
      <c r="I4" s="112">
        <f>H4*(1+I18)</f>
        <v>82329.228799999997</v>
      </c>
      <c r="J4" s="112">
        <f>I4*(1+J18)</f>
        <v>85622.397951999999</v>
      </c>
      <c r="K4" s="181"/>
      <c r="L4" s="34"/>
      <c r="M4" s="31"/>
      <c r="N4" s="31"/>
      <c r="O4" s="31"/>
      <c r="P4" s="31"/>
      <c r="Q4" s="31"/>
    </row>
    <row r="5" spans="2:17" ht="18.75" customHeight="1">
      <c r="B5" s="127" t="s">
        <v>13</v>
      </c>
      <c r="C5" s="31"/>
      <c r="D5" s="195">
        <f>'Income Statement'!B5</f>
        <v>34768</v>
      </c>
      <c r="E5" s="195">
        <f>'Income Statement'!C5</f>
        <v>35250</v>
      </c>
      <c r="F5" s="195">
        <f>'Income Statement'!D5</f>
        <v>37108</v>
      </c>
      <c r="G5" s="285"/>
      <c r="H5" s="112">
        <f>H4*H19</f>
        <v>39529.012792952068</v>
      </c>
      <c r="I5" s="112">
        <f t="shared" ref="I5:J5" si="0">I4*I19</f>
        <v>41110.173304670148</v>
      </c>
      <c r="J5" s="112">
        <f t="shared" si="0"/>
        <v>42754.580236856957</v>
      </c>
      <c r="K5" s="181"/>
      <c r="L5" s="34"/>
      <c r="M5" s="31"/>
      <c r="N5" s="32"/>
      <c r="O5" s="31"/>
      <c r="P5" s="31"/>
      <c r="Q5" s="31"/>
    </row>
    <row r="6" spans="2:17" ht="18.75" customHeight="1">
      <c r="B6" s="127" t="s">
        <v>14</v>
      </c>
      <c r="C6" s="31"/>
      <c r="D6" s="195">
        <f>'Income Statement'!B6</f>
        <v>19084</v>
      </c>
      <c r="E6" s="195">
        <f>'Income Statement'!C6</f>
        <v>19994</v>
      </c>
      <c r="F6" s="195">
        <f>'Income Statement'!D6</f>
        <v>21024</v>
      </c>
      <c r="G6" s="285"/>
      <c r="H6" s="112">
        <f>H4*H20</f>
        <v>22164.615773502213</v>
      </c>
      <c r="I6" s="112">
        <f t="shared" ref="I6:J6" si="1">I4*I20</f>
        <v>23051.200404442301</v>
      </c>
      <c r="J6" s="112">
        <f t="shared" si="1"/>
        <v>23973.248420619995</v>
      </c>
      <c r="K6" s="181"/>
      <c r="L6" s="34"/>
      <c r="M6" s="31"/>
      <c r="N6" s="32"/>
      <c r="O6" s="31"/>
      <c r="P6" s="31"/>
      <c r="Q6" s="31"/>
    </row>
    <row r="7" spans="2:17" ht="18.75" customHeight="1">
      <c r="B7" s="127" t="s">
        <v>15</v>
      </c>
      <c r="C7" s="31"/>
      <c r="D7" s="197">
        <f>'Income Statement'!B7</f>
        <v>8345</v>
      </c>
      <c r="E7" s="197">
        <f>'Income Statement'!C7</f>
        <v>0</v>
      </c>
      <c r="F7" s="197">
        <f>'Income Statement'!D7</f>
        <v>0</v>
      </c>
      <c r="G7" s="285"/>
      <c r="H7" s="152">
        <f>H4*H21</f>
        <v>0</v>
      </c>
      <c r="I7" s="152">
        <f t="shared" ref="I7:J7" si="2">I4*I21</f>
        <v>0</v>
      </c>
      <c r="J7" s="152">
        <f t="shared" si="2"/>
        <v>0</v>
      </c>
      <c r="K7" s="181"/>
      <c r="L7" s="34"/>
      <c r="M7" s="31"/>
      <c r="N7" s="31"/>
      <c r="O7" s="31"/>
      <c r="P7" s="31"/>
      <c r="Q7" s="31"/>
    </row>
    <row r="8" spans="2:17" ht="17" thickBot="1">
      <c r="B8" s="127" t="s">
        <v>16</v>
      </c>
      <c r="C8" s="31"/>
      <c r="D8" s="195">
        <f>D4-SUM(D5:D7)</f>
        <v>5487</v>
      </c>
      <c r="E8" s="195">
        <f t="shared" ref="E8:F8" si="3">E4-SUM(E5:E7)</f>
        <v>15706</v>
      </c>
      <c r="F8" s="195">
        <f t="shared" si="3"/>
        <v>17986</v>
      </c>
      <c r="G8" s="285"/>
      <c r="H8" s="112">
        <f>H4-SUM(H5:H7)</f>
        <v>17469.09143354572</v>
      </c>
      <c r="I8" s="112">
        <f t="shared" ref="I8:J8" si="4">I4-SUM(I5:I7)</f>
        <v>18167.855090887548</v>
      </c>
      <c r="J8" s="112">
        <f t="shared" si="4"/>
        <v>18894.56929452304</v>
      </c>
      <c r="K8" s="181"/>
      <c r="L8" s="34"/>
      <c r="M8" s="31"/>
      <c r="N8" s="31"/>
      <c r="O8" s="31"/>
      <c r="P8" s="31"/>
      <c r="Q8" s="31"/>
    </row>
    <row r="9" spans="2:17" ht="16">
      <c r="B9" s="127" t="s">
        <v>74</v>
      </c>
      <c r="C9" s="31"/>
      <c r="D9" s="195">
        <f>'Income Statement'!B9+'Income Statement'!B10</f>
        <v>-289</v>
      </c>
      <c r="E9" s="195">
        <f>'Income Statement'!C9+'Income Statement'!C10</f>
        <v>-310</v>
      </c>
      <c r="F9" s="195">
        <f>'Income Statement'!D9+'Income Statement'!D10</f>
        <v>-457</v>
      </c>
      <c r="G9" s="285"/>
      <c r="H9" s="112">
        <f ca="1">-H23*('BAL Hist Forecast'!H21+'BAL Hist Forecast'!H19)</f>
        <v>-563.76774669285601</v>
      </c>
      <c r="I9" s="112">
        <f ca="1">-I23*('BAL Hist Forecast'!I21+'BAL Hist Forecast'!I19)</f>
        <v>-507.59793550719786</v>
      </c>
      <c r="J9" s="112">
        <f ca="1">-J23*('BAL Hist Forecast'!J21+'BAL Hist Forecast'!J19)</f>
        <v>-442.17359749639826</v>
      </c>
      <c r="K9" s="181"/>
      <c r="L9" s="332" t="s">
        <v>75</v>
      </c>
      <c r="M9" s="215"/>
      <c r="N9" s="216"/>
      <c r="O9" s="338"/>
      <c r="P9" s="31"/>
      <c r="Q9" s="31"/>
    </row>
    <row r="10" spans="2:17" ht="14.25" customHeight="1" thickBot="1">
      <c r="B10" s="127" t="s">
        <v>19</v>
      </c>
      <c r="C10" s="31"/>
      <c r="D10" s="197">
        <f>'Income Statement'!B11</f>
        <v>871</v>
      </c>
      <c r="E10" s="197">
        <f>'Income Statement'!C11</f>
        <v>438</v>
      </c>
      <c r="F10" s="197">
        <f>'Income Statement'!D11</f>
        <v>86</v>
      </c>
      <c r="G10" s="285"/>
      <c r="H10" s="292">
        <f>H4*H22</f>
        <v>532.28514344716541</v>
      </c>
      <c r="I10" s="292">
        <f t="shared" ref="I10:J10" si="5">I4*I22</f>
        <v>553.57654918505204</v>
      </c>
      <c r="J10" s="292">
        <f t="shared" si="5"/>
        <v>575.71961115245415</v>
      </c>
      <c r="K10" s="181"/>
      <c r="L10" s="333" t="s">
        <v>76</v>
      </c>
      <c r="M10" s="218"/>
      <c r="N10" s="219"/>
      <c r="O10" s="339"/>
      <c r="P10" s="31"/>
      <c r="Q10" s="31"/>
    </row>
    <row r="11" spans="2:17" ht="15.75" customHeight="1">
      <c r="B11" s="127" t="s">
        <v>77</v>
      </c>
      <c r="C11" s="31"/>
      <c r="D11" s="195">
        <f>D8+SUM(D9:D10)</f>
        <v>6069</v>
      </c>
      <c r="E11" s="195">
        <f t="shared" ref="E11:F11" si="6">E8+SUM(E9:E10)</f>
        <v>15834</v>
      </c>
      <c r="F11" s="195">
        <f t="shared" si="6"/>
        <v>17615</v>
      </c>
      <c r="G11" s="285"/>
      <c r="H11" s="112">
        <f ca="1">H8+SUM(H9:H10)</f>
        <v>17437.608830300029</v>
      </c>
      <c r="I11" s="112">
        <f t="shared" ref="I11:J11" ca="1" si="7">I8+SUM(I9:I10)</f>
        <v>18213.833704565401</v>
      </c>
      <c r="J11" s="112">
        <f t="shared" ca="1" si="7"/>
        <v>19028.115308179094</v>
      </c>
      <c r="K11" s="181"/>
      <c r="L11" s="34"/>
      <c r="M11" s="31"/>
      <c r="N11" s="31"/>
      <c r="O11" s="31"/>
      <c r="P11" s="31"/>
      <c r="Q11" s="32"/>
    </row>
    <row r="12" spans="2:17" ht="15" customHeight="1">
      <c r="B12" s="127" t="s">
        <v>21</v>
      </c>
      <c r="C12" s="31"/>
      <c r="D12" s="197">
        <f>'Income Statement'!B13</f>
        <v>2103</v>
      </c>
      <c r="E12" s="197">
        <f>'Income Statement'!C13</f>
        <v>2731</v>
      </c>
      <c r="F12" s="197">
        <f>'Income Statement'!D13</f>
        <v>3263</v>
      </c>
      <c r="G12" s="285"/>
      <c r="H12" s="152">
        <f ca="1">H11*H24</f>
        <v>5754.4109139990096</v>
      </c>
      <c r="I12" s="152">
        <f t="shared" ref="I12:J12" ca="1" si="8">I11*I24</f>
        <v>6010.5651225065822</v>
      </c>
      <c r="J12" s="152">
        <f t="shared" ca="1" si="8"/>
        <v>6279.2780516991015</v>
      </c>
      <c r="K12" s="181"/>
      <c r="L12" s="34"/>
      <c r="M12" s="31"/>
      <c r="N12" s="31"/>
      <c r="O12" s="31"/>
      <c r="P12" s="31"/>
      <c r="Q12" s="31"/>
    </row>
    <row r="13" spans="2:17" ht="17" thickBot="1">
      <c r="B13" s="127" t="s">
        <v>22</v>
      </c>
      <c r="C13" s="31"/>
      <c r="D13" s="195">
        <f>D11-D12</f>
        <v>3966</v>
      </c>
      <c r="E13" s="195">
        <f t="shared" ref="E13:F13" si="9">E11-E12</f>
        <v>13103</v>
      </c>
      <c r="F13" s="195">
        <f t="shared" si="9"/>
        <v>14352</v>
      </c>
      <c r="G13" s="285"/>
      <c r="H13" s="112">
        <f ca="1">H11-H12</f>
        <v>11683.197916301018</v>
      </c>
      <c r="I13" s="112">
        <f t="shared" ref="I13:J13" ca="1" si="10">I11-I12</f>
        <v>12203.268582058819</v>
      </c>
      <c r="J13" s="112">
        <f t="shared" ca="1" si="10"/>
        <v>12748.837256479994</v>
      </c>
      <c r="K13" s="181"/>
      <c r="L13" s="34"/>
      <c r="M13" s="31"/>
      <c r="N13" s="31"/>
      <c r="O13" s="31"/>
      <c r="P13" s="31"/>
      <c r="Q13" s="31"/>
    </row>
    <row r="14" spans="2:17" ht="16.5" customHeight="1" thickBot="1">
      <c r="B14" s="127" t="s">
        <v>23</v>
      </c>
      <c r="C14" s="31"/>
      <c r="D14" s="197">
        <f>'Income Statement'!B15</f>
        <v>69</v>
      </c>
      <c r="E14" s="197">
        <f>'Income Statement'!C15</f>
        <v>76</v>
      </c>
      <c r="F14" s="197">
        <f>'Income Statement'!D15</f>
        <v>46</v>
      </c>
      <c r="G14" s="285"/>
      <c r="H14" s="298"/>
      <c r="I14" s="298"/>
      <c r="J14" s="298"/>
      <c r="K14" s="181"/>
      <c r="L14" s="213" t="s">
        <v>78</v>
      </c>
      <c r="M14" s="351"/>
      <c r="N14" s="31"/>
      <c r="O14" s="31"/>
      <c r="P14" s="31"/>
      <c r="Q14" s="31"/>
    </row>
    <row r="15" spans="2:17" ht="21.75" customHeight="1">
      <c r="B15" s="127" t="s">
        <v>24</v>
      </c>
      <c r="C15" s="31"/>
      <c r="D15" s="195">
        <f>D13-D14</f>
        <v>3897</v>
      </c>
      <c r="E15" s="195">
        <f t="shared" ref="E15:F15" si="11">E13-E14</f>
        <v>13027</v>
      </c>
      <c r="F15" s="195">
        <f t="shared" si="11"/>
        <v>14306</v>
      </c>
      <c r="G15" s="285"/>
      <c r="H15" s="112">
        <f ca="1">H13-H14</f>
        <v>11683.197916301018</v>
      </c>
      <c r="I15" s="112">
        <f t="shared" ref="I15:J15" ca="1" si="12">I13-I14</f>
        <v>12203.268582058819</v>
      </c>
      <c r="J15" s="112">
        <f t="shared" ca="1" si="12"/>
        <v>12748.837256479994</v>
      </c>
      <c r="K15" s="181"/>
      <c r="L15" s="181"/>
      <c r="M15" s="181"/>
      <c r="N15" s="181"/>
      <c r="O15" s="31"/>
      <c r="P15" s="31"/>
      <c r="Q15" s="31"/>
    </row>
    <row r="16" spans="2:17">
      <c r="B16" s="31" t="s">
        <v>29</v>
      </c>
      <c r="C16" s="31"/>
      <c r="D16" s="226">
        <f>'Income Statement'!B21</f>
        <v>7498</v>
      </c>
      <c r="E16" s="226">
        <f>'Income Statement'!C21</f>
        <v>7789</v>
      </c>
      <c r="F16" s="226">
        <f>'Income Statement'!D21</f>
        <v>8263</v>
      </c>
      <c r="G16" s="31"/>
      <c r="H16" s="112">
        <f>IF(H27=1,H26,H13*H25)</f>
        <v>8263</v>
      </c>
      <c r="I16" s="112">
        <f t="shared" ref="I16:J16" si="13">IF(I27=1,I26,I13*I25)</f>
        <v>8263</v>
      </c>
      <c r="J16" s="112">
        <f t="shared" si="13"/>
        <v>8263</v>
      </c>
      <c r="K16" s="181"/>
      <c r="L16" s="34"/>
      <c r="M16" s="34"/>
      <c r="N16" s="34"/>
      <c r="O16" s="34"/>
      <c r="P16" s="34"/>
      <c r="Q16" s="34"/>
    </row>
    <row r="17" spans="2:17">
      <c r="B17" s="31"/>
      <c r="C17" s="31"/>
      <c r="D17" s="31"/>
      <c r="E17" s="31"/>
      <c r="F17" s="31"/>
      <c r="G17" s="31"/>
      <c r="H17" s="31"/>
      <c r="I17" s="31"/>
      <c r="J17" s="31"/>
      <c r="K17" s="181"/>
      <c r="L17" s="34"/>
      <c r="M17" s="34"/>
      <c r="N17" s="34"/>
      <c r="O17" s="34"/>
      <c r="P17" s="34"/>
      <c r="Q17" s="34"/>
    </row>
    <row r="18" spans="2:17">
      <c r="B18" s="31" t="s">
        <v>79</v>
      </c>
      <c r="C18" s="31"/>
      <c r="D18" s="227"/>
      <c r="E18" s="228">
        <f>(E4-D4)/D$4</f>
        <v>4.8253649311506414E-2</v>
      </c>
      <c r="F18" s="228">
        <f>(F4-E4)/E$4</f>
        <v>7.2840028188865397E-2</v>
      </c>
      <c r="G18" s="116"/>
      <c r="H18" s="322">
        <v>0.04</v>
      </c>
      <c r="I18" s="322">
        <v>0.04</v>
      </c>
      <c r="J18" s="322">
        <v>0.04</v>
      </c>
      <c r="K18" s="162"/>
      <c r="L18" s="34"/>
      <c r="M18" s="34"/>
      <c r="N18" s="34"/>
      <c r="O18" s="34"/>
      <c r="P18" s="34"/>
      <c r="Q18" s="34"/>
    </row>
    <row r="19" spans="2:17">
      <c r="B19" s="31" t="s">
        <v>80</v>
      </c>
      <c r="C19" s="31"/>
      <c r="D19" s="228">
        <f t="shared" ref="D19:F20" si="14">D5/D$4</f>
        <v>0.51368122451391762</v>
      </c>
      <c r="E19" s="228">
        <f t="shared" si="14"/>
        <v>0.49682875264270615</v>
      </c>
      <c r="F19" s="228">
        <f t="shared" si="14"/>
        <v>0.48750624031109591</v>
      </c>
      <c r="G19" s="156"/>
      <c r="H19" s="163">
        <f>AVERAGE(D19:F19)</f>
        <v>0.49933873915590654</v>
      </c>
      <c r="I19" s="163">
        <f>H19</f>
        <v>0.49933873915590654</v>
      </c>
      <c r="J19" s="163">
        <f>I19</f>
        <v>0.49933873915590654</v>
      </c>
      <c r="K19" s="164"/>
      <c r="L19" s="34"/>
      <c r="M19" s="31"/>
      <c r="N19" s="31"/>
      <c r="O19" s="31"/>
      <c r="P19" s="31"/>
      <c r="Q19" s="31"/>
    </row>
    <row r="20" spans="2:17" ht="14" thickBot="1">
      <c r="B20" s="31" t="s">
        <v>81</v>
      </c>
      <c r="C20" s="31"/>
      <c r="D20" s="228">
        <f t="shared" si="14"/>
        <v>0.28195733112700194</v>
      </c>
      <c r="E20" s="228">
        <f t="shared" si="14"/>
        <v>0.28180408738548274</v>
      </c>
      <c r="F20" s="228">
        <f t="shared" si="14"/>
        <v>0.27620273785438398</v>
      </c>
      <c r="G20" s="156"/>
      <c r="H20" s="163">
        <f>AVERAGE(D20:F20)</f>
        <v>0.27998805212228955</v>
      </c>
      <c r="I20" s="163">
        <f>H20</f>
        <v>0.27998805212228955</v>
      </c>
      <c r="J20" s="163">
        <f>I20</f>
        <v>0.27998805212228955</v>
      </c>
      <c r="K20" s="164"/>
      <c r="L20" s="34"/>
      <c r="M20" s="31"/>
      <c r="N20" s="31"/>
      <c r="O20" s="31"/>
      <c r="P20" s="31"/>
      <c r="Q20" s="31"/>
    </row>
    <row r="21" spans="2:17" ht="14" thickBot="1">
      <c r="B21" s="31" t="s">
        <v>82</v>
      </c>
      <c r="C21" s="31"/>
      <c r="D21" s="228">
        <f>D7/D4</f>
        <v>0.12329354057088825</v>
      </c>
      <c r="E21" s="228">
        <f>E7/E4</f>
        <v>0</v>
      </c>
      <c r="F21" s="228">
        <f>F7/F4</f>
        <v>0</v>
      </c>
      <c r="G21" s="156"/>
      <c r="H21" s="165">
        <v>0</v>
      </c>
      <c r="I21" s="165">
        <v>0</v>
      </c>
      <c r="J21" s="165">
        <v>0</v>
      </c>
      <c r="K21" s="164"/>
      <c r="L21" s="326" t="s">
        <v>83</v>
      </c>
      <c r="M21" s="31"/>
      <c r="N21" s="31"/>
      <c r="O21" s="31"/>
      <c r="P21" s="31"/>
      <c r="Q21" s="31"/>
    </row>
    <row r="22" spans="2:17">
      <c r="B22" s="31" t="s">
        <v>84</v>
      </c>
      <c r="C22" s="31"/>
      <c r="D22" s="228">
        <f>D10/D4</f>
        <v>1.2868624785769162E-2</v>
      </c>
      <c r="E22" s="228">
        <f t="shared" ref="E22:F22" si="15">E10/E4</f>
        <v>6.1733615221987318E-3</v>
      </c>
      <c r="F22" s="228">
        <f t="shared" si="15"/>
        <v>1.1298247457894321E-3</v>
      </c>
      <c r="G22" s="156"/>
      <c r="H22" s="163">
        <f>AVERAGE(D22:F22)</f>
        <v>6.723937017919109E-3</v>
      </c>
      <c r="I22" s="163">
        <f>H22</f>
        <v>6.723937017919109E-3</v>
      </c>
      <c r="J22" s="163">
        <f>I22</f>
        <v>6.723937017919109E-3</v>
      </c>
      <c r="K22" s="164"/>
      <c r="L22" s="34"/>
      <c r="M22" s="31"/>
      <c r="N22" s="31"/>
      <c r="O22" s="31"/>
      <c r="P22" s="31"/>
      <c r="Q22" s="31"/>
    </row>
    <row r="23" spans="2:17">
      <c r="B23" s="31" t="s">
        <v>85</v>
      </c>
      <c r="C23" s="31"/>
      <c r="D23" s="228">
        <f>ABS(D9)/('BAL Hist Forecast'!D21+'BAL Hist Forecast'!D19)</f>
        <v>9.6038814302804726E-3</v>
      </c>
      <c r="E23" s="228">
        <f>ABS(E9)/('BAL Hist Forecast'!E21+'BAL Hist Forecast'!E19)</f>
        <v>8.9285714285714281E-3</v>
      </c>
      <c r="F23" s="228">
        <f>ABS(F9)/('BAL Hist Forecast'!F21+'BAL Hist Forecast'!F19)</f>
        <v>1.4286607477804176E-2</v>
      </c>
      <c r="G23" s="156"/>
      <c r="H23" s="293">
        <v>1.7999999999999999E-2</v>
      </c>
      <c r="I23" s="293">
        <v>1.7999999999999999E-2</v>
      </c>
      <c r="J23" s="293">
        <v>1.7999999999999999E-2</v>
      </c>
      <c r="K23" s="164"/>
      <c r="L23" s="34"/>
      <c r="M23" s="31"/>
      <c r="N23" s="31"/>
      <c r="O23" s="31"/>
      <c r="P23" s="31"/>
      <c r="Q23" s="31"/>
    </row>
    <row r="24" spans="2:17">
      <c r="B24" s="31" t="s">
        <v>86</v>
      </c>
      <c r="C24" s="31"/>
      <c r="D24" s="228">
        <f>D12/D11</f>
        <v>0.34651507661888287</v>
      </c>
      <c r="E24" s="228">
        <f t="shared" ref="E24:F24" si="16">E12/E11</f>
        <v>0.17247694833901731</v>
      </c>
      <c r="F24" s="228">
        <f t="shared" si="16"/>
        <v>0.18523985239852397</v>
      </c>
      <c r="G24" s="156"/>
      <c r="H24" s="165">
        <f>0.28+0.05</f>
        <v>0.33</v>
      </c>
      <c r="I24" s="165">
        <f>0.28+0.05</f>
        <v>0.33</v>
      </c>
      <c r="J24" s="165">
        <f>0.28+0.05</f>
        <v>0.33</v>
      </c>
      <c r="K24" s="162"/>
      <c r="L24" s="34"/>
      <c r="M24" s="31"/>
      <c r="N24" s="31"/>
      <c r="O24" s="31"/>
      <c r="P24" s="31"/>
      <c r="Q24" s="31"/>
    </row>
    <row r="25" spans="2:17" ht="14" thickBot="1">
      <c r="B25" s="31" t="s">
        <v>87</v>
      </c>
      <c r="C25" s="31"/>
      <c r="D25" s="228">
        <f>D16/D15</f>
        <v>1.9240441365152681</v>
      </c>
      <c r="E25" s="228">
        <f t="shared" ref="E25:F25" si="17">E16/E15</f>
        <v>0.59791202886313044</v>
      </c>
      <c r="F25" s="228">
        <f t="shared" si="17"/>
        <v>0.57758982245211798</v>
      </c>
      <c r="G25" s="156"/>
      <c r="H25" s="163">
        <f>F25</f>
        <v>0.57758982245211798</v>
      </c>
      <c r="I25" s="163">
        <f>H25</f>
        <v>0.57758982245211798</v>
      </c>
      <c r="J25" s="163">
        <f>I25</f>
        <v>0.57758982245211798</v>
      </c>
      <c r="K25" s="164"/>
      <c r="L25" s="34"/>
      <c r="M25" s="31"/>
      <c r="N25" s="31"/>
      <c r="O25" s="31"/>
      <c r="P25" s="31"/>
      <c r="Q25" s="31"/>
    </row>
    <row r="26" spans="2:17">
      <c r="B26" s="31" t="s">
        <v>88</v>
      </c>
      <c r="C26" s="31"/>
      <c r="D26" s="318">
        <f>'Income Statement'!B21</f>
        <v>7498</v>
      </c>
      <c r="E26" s="318">
        <f>'Income Statement'!C21</f>
        <v>7789</v>
      </c>
      <c r="F26" s="318">
        <f>'Income Statement'!D21</f>
        <v>8263</v>
      </c>
      <c r="G26" s="31"/>
      <c r="H26" s="325">
        <v>8263</v>
      </c>
      <c r="I26" s="325">
        <f>H26</f>
        <v>8263</v>
      </c>
      <c r="J26" s="325">
        <f>I26</f>
        <v>8263</v>
      </c>
      <c r="K26" s="13"/>
      <c r="L26" s="214" t="s">
        <v>89</v>
      </c>
      <c r="M26" s="215"/>
      <c r="N26" s="215"/>
      <c r="O26" s="215"/>
      <c r="P26" s="216"/>
      <c r="Q26" s="31"/>
    </row>
    <row r="27" spans="2:17" ht="14" thickBot="1">
      <c r="B27" s="31" t="s">
        <v>90</v>
      </c>
      <c r="C27" s="31"/>
      <c r="D27" s="31"/>
      <c r="E27" s="31"/>
      <c r="F27" s="31"/>
      <c r="G27" s="31"/>
      <c r="H27" s="235">
        <v>1</v>
      </c>
      <c r="I27" s="235">
        <v>1</v>
      </c>
      <c r="J27" s="235">
        <v>1</v>
      </c>
      <c r="K27" s="13"/>
      <c r="L27" s="217" t="s">
        <v>89</v>
      </c>
      <c r="M27" s="218"/>
      <c r="N27" s="218"/>
      <c r="O27" s="218"/>
      <c r="P27" s="219"/>
      <c r="Q27" s="31"/>
    </row>
    <row r="30" spans="2:17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</sheetData>
  <printOptions headings="1" gridLines="1"/>
  <pageMargins left="0.7" right="0.7" top="0.75" bottom="0.75" header="0.3" footer="0.3"/>
  <pageSetup orientation="landscape" r:id="rId1"/>
  <ignoredErrors>
    <ignoredError sqref="D14:F1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63"/>
  <sheetViews>
    <sheetView showGridLines="0" zoomScale="91" zoomScaleNormal="91" zoomScaleSheetLayoutView="91" workbookViewId="0">
      <pane xSplit="2" ySplit="3" topLeftCell="C25" activePane="bottomRight" state="frozen"/>
      <selection pane="topRight" activeCell="J22" sqref="J22"/>
      <selection pane="bottomLeft" activeCell="J22" sqref="J22"/>
      <selection pane="bottomRight" activeCell="F33" sqref="F33"/>
    </sheetView>
  </sheetViews>
  <sheetFormatPr baseColWidth="10" defaultColWidth="9.1640625" defaultRowHeight="13"/>
  <cols>
    <col min="1" max="1" width="3.33203125" style="5" customWidth="1"/>
    <col min="2" max="2" width="68.83203125" style="5" customWidth="1"/>
    <col min="3" max="3" width="2.6640625" style="5" customWidth="1"/>
    <col min="4" max="4" width="12.83203125" style="5" customWidth="1"/>
    <col min="5" max="5" width="15.1640625" style="5" customWidth="1"/>
    <col min="6" max="6" width="12.5" style="5" customWidth="1"/>
    <col min="7" max="7" width="4.33203125" style="5" customWidth="1"/>
    <col min="8" max="8" width="12.1640625" style="5" customWidth="1"/>
    <col min="9" max="9" width="12.6640625" style="5" customWidth="1"/>
    <col min="10" max="10" width="15" style="5" customWidth="1"/>
    <col min="11" max="11" width="2.1640625" style="5" customWidth="1"/>
    <col min="12" max="12" width="64.1640625" style="6" customWidth="1"/>
    <col min="13" max="13" width="20.1640625" style="5" customWidth="1"/>
    <col min="14" max="14" width="12.1640625" style="5" customWidth="1"/>
    <col min="15" max="15" width="13.33203125" style="5" customWidth="1"/>
    <col min="16" max="16384" width="9.1640625" style="5"/>
  </cols>
  <sheetData>
    <row r="1" spans="1:17" ht="15">
      <c r="A1" s="31"/>
      <c r="B1" s="15" t="s">
        <v>70</v>
      </c>
      <c r="C1" s="31"/>
      <c r="D1" s="31"/>
      <c r="E1" s="31"/>
      <c r="F1" s="31"/>
      <c r="G1" s="31"/>
      <c r="H1" s="31"/>
      <c r="I1" s="31"/>
      <c r="J1" s="31"/>
      <c r="K1" s="31"/>
      <c r="L1"/>
      <c r="M1"/>
      <c r="N1"/>
      <c r="O1"/>
      <c r="P1" s="31"/>
      <c r="Q1" s="31"/>
    </row>
    <row r="2" spans="1:17" ht="16">
      <c r="A2" s="31"/>
      <c r="B2" s="220" t="s">
        <v>30</v>
      </c>
      <c r="C2" s="31"/>
      <c r="D2" s="17" t="s">
        <v>91</v>
      </c>
      <c r="E2" s="352"/>
      <c r="F2" s="352"/>
      <c r="G2" s="31"/>
      <c r="H2" s="17" t="s">
        <v>73</v>
      </c>
      <c r="I2" s="352"/>
      <c r="J2" s="352"/>
      <c r="K2" s="353"/>
      <c r="L2"/>
      <c r="M2"/>
      <c r="N2"/>
      <c r="O2"/>
      <c r="P2" s="31"/>
      <c r="Q2" s="31"/>
    </row>
    <row r="3" spans="1:17" ht="16">
      <c r="A3" s="31"/>
      <c r="B3" s="126" t="s">
        <v>31</v>
      </c>
      <c r="C3" s="31"/>
      <c r="D3" s="220" t="s">
        <v>9</v>
      </c>
      <c r="E3" s="220" t="s">
        <v>10</v>
      </c>
      <c r="F3" s="220" t="s">
        <v>11</v>
      </c>
      <c r="G3" s="31"/>
      <c r="H3" s="354">
        <v>2022</v>
      </c>
      <c r="I3" s="354">
        <v>2023</v>
      </c>
      <c r="J3" s="354">
        <v>2024</v>
      </c>
      <c r="K3" s="31"/>
      <c r="L3" s="121"/>
      <c r="M3" s="123"/>
      <c r="N3" s="123"/>
      <c r="O3" s="125"/>
      <c r="P3" s="31"/>
      <c r="Q3" s="31"/>
    </row>
    <row r="4" spans="1:17" ht="28.5" customHeight="1">
      <c r="A4" s="31"/>
      <c r="B4" s="127" t="s">
        <v>32</v>
      </c>
      <c r="C4" s="31"/>
      <c r="D4" s="196">
        <f>'Balance Sheet'!B3</f>
        <v>10287</v>
      </c>
      <c r="E4" s="196">
        <f>'Balance Sheet'!C3</f>
        <v>16181</v>
      </c>
      <c r="F4" s="196">
        <f>'Balance Sheet'!D3</f>
        <v>10288</v>
      </c>
      <c r="G4" s="31"/>
      <c r="H4" s="151">
        <f ca="1">IF(H43+H5+H10+H11+H13+H14&gt;H17+H18+H21+H22+H23+H26+H33,H43,H17+H18+H21+H22+H23+H26+H33-(H43+H5+H10+H11+H13+H14))</f>
        <v>14000</v>
      </c>
      <c r="I4" s="151">
        <f t="shared" ref="I4:J4" ca="1" si="0">IF(I43+I5+I10+I11+I13+I14&gt;I17+I18+I21+I22+I23+I26+I33,I43,I17+I18+I21+I22+I23+I26+I33-(I43+I5+I10+I11+I13+I14))</f>
        <v>14000</v>
      </c>
      <c r="J4" s="151">
        <f t="shared" ca="1" si="0"/>
        <v>14000</v>
      </c>
      <c r="K4" s="31"/>
      <c r="L4" s="294"/>
      <c r="M4"/>
      <c r="N4"/>
      <c r="O4" s="124"/>
      <c r="P4" s="8"/>
      <c r="Q4" s="8"/>
    </row>
    <row r="5" spans="1:17" ht="18" customHeight="1">
      <c r="A5" s="31"/>
      <c r="B5" s="127" t="s">
        <v>33</v>
      </c>
      <c r="C5" s="31"/>
      <c r="D5" s="196">
        <f>'Balance Sheet'!B4</f>
        <v>4951</v>
      </c>
      <c r="E5" s="196">
        <f>'Balance Sheet'!C4</f>
        <v>4178</v>
      </c>
      <c r="F5" s="196">
        <f>'Balance Sheet'!D4</f>
        <v>4725</v>
      </c>
      <c r="G5" s="179"/>
      <c r="H5" s="151">
        <f>('IS Hist Forecast'!H4/365)*'BAL Hist Forecast'!H44</f>
        <v>5122.0908945773226</v>
      </c>
      <c r="I5" s="151">
        <f>('IS Hist Forecast'!I4/365)*'BAL Hist Forecast'!I44</f>
        <v>5326.974530360415</v>
      </c>
      <c r="J5" s="151">
        <f>('IS Hist Forecast'!J4/365)*'BAL Hist Forecast'!J44</f>
        <v>5540.0535115748316</v>
      </c>
      <c r="K5" s="181"/>
      <c r="L5" s="234"/>
      <c r="M5" s="234"/>
      <c r="N5" s="234"/>
      <c r="O5" s="234"/>
      <c r="P5" s="234"/>
      <c r="Q5" s="234"/>
    </row>
    <row r="6" spans="1:17" ht="16">
      <c r="A6" s="31"/>
      <c r="B6" s="126" t="s">
        <v>34</v>
      </c>
      <c r="C6" s="31"/>
      <c r="D6" s="31"/>
      <c r="E6" s="31"/>
      <c r="F6" s="31"/>
      <c r="G6" s="31"/>
      <c r="H6" s="31"/>
      <c r="I6" s="31"/>
      <c r="J6" s="31"/>
      <c r="K6" s="234"/>
      <c r="L6" s="234"/>
      <c r="M6" s="234"/>
      <c r="N6" s="234"/>
      <c r="O6" s="234"/>
      <c r="P6" s="234"/>
      <c r="Q6" s="234"/>
    </row>
    <row r="7" spans="1:17" ht="16.5" customHeight="1">
      <c r="A7" s="31"/>
      <c r="B7" s="127" t="s">
        <v>35</v>
      </c>
      <c r="C7" s="31"/>
      <c r="D7" s="196">
        <f>'Balance Sheet'!B6</f>
        <v>1289</v>
      </c>
      <c r="E7" s="196">
        <f>'Balance Sheet'!C6</f>
        <v>1414</v>
      </c>
      <c r="F7" s="196">
        <f>'Balance Sheet'!D6</f>
        <v>1645</v>
      </c>
      <c r="G7" s="179"/>
      <c r="H7" s="151">
        <f>('IS Hist Forecast'!H$5/365)*'BAL Hist Forecast'!H45</f>
        <v>1601.1603473770488</v>
      </c>
      <c r="I7" s="151">
        <f>('IS Hist Forecast'!I$5/365)*'BAL Hist Forecast'!I45</f>
        <v>1665.2067612721305</v>
      </c>
      <c r="J7" s="151">
        <f>('IS Hist Forecast'!J$5/365)*'BAL Hist Forecast'!J45</f>
        <v>1731.8150317230156</v>
      </c>
      <c r="K7" s="234"/>
      <c r="L7" s="234"/>
      <c r="M7" s="234"/>
      <c r="N7" s="234"/>
      <c r="O7" s="234"/>
      <c r="P7" s="234"/>
      <c r="Q7" s="234"/>
    </row>
    <row r="8" spans="1:17" ht="19.5" customHeight="1">
      <c r="A8" s="31"/>
      <c r="B8" s="127" t="s">
        <v>36</v>
      </c>
      <c r="C8" s="31"/>
      <c r="D8" s="196">
        <f>'Balance Sheet'!B7</f>
        <v>612</v>
      </c>
      <c r="E8" s="196">
        <f>'Balance Sheet'!C7</f>
        <v>674</v>
      </c>
      <c r="F8" s="196">
        <f>'Balance Sheet'!D7</f>
        <v>719</v>
      </c>
      <c r="G8" s="179"/>
      <c r="H8" s="151">
        <f>('IS Hist Forecast'!H$5/365)*'BAL Hist Forecast'!H46</f>
        <v>739.17720464437423</v>
      </c>
      <c r="I8" s="151">
        <f>('IS Hist Forecast'!I$5/365)*'BAL Hist Forecast'!I46</f>
        <v>768.74429283014911</v>
      </c>
      <c r="J8" s="151">
        <f>('IS Hist Forecast'!J$5/365)*'BAL Hist Forecast'!J46</f>
        <v>799.49406454335508</v>
      </c>
      <c r="K8" s="234"/>
      <c r="L8" s="234"/>
      <c r="M8" s="234"/>
      <c r="N8" s="234"/>
      <c r="O8" s="234"/>
      <c r="P8" s="234"/>
      <c r="Q8" s="234"/>
    </row>
    <row r="9" spans="1:17" ht="15" customHeight="1">
      <c r="A9" s="31"/>
      <c r="B9" s="223" t="s">
        <v>37</v>
      </c>
      <c r="C9" s="348"/>
      <c r="D9" s="197">
        <f>'Balance Sheet'!B8</f>
        <v>3116</v>
      </c>
      <c r="E9" s="197">
        <f>'Balance Sheet'!C8</f>
        <v>3410</v>
      </c>
      <c r="F9" s="197">
        <f>'Balance Sheet'!D8</f>
        <v>3619</v>
      </c>
      <c r="G9" s="179"/>
      <c r="H9" s="152">
        <f>('IS Hist Forecast'!H$5/365)*'BAL Hist Forecast'!H47</f>
        <v>3740.5826515171852</v>
      </c>
      <c r="I9" s="152">
        <f>('IS Hist Forecast'!I$5/365)*'BAL Hist Forecast'!I47</f>
        <v>3890.2059575778726</v>
      </c>
      <c r="J9" s="152">
        <f>('IS Hist Forecast'!J$5/365)*'BAL Hist Forecast'!J47</f>
        <v>4045.8141958809874</v>
      </c>
      <c r="K9" s="181"/>
      <c r="L9" s="234"/>
      <c r="M9" s="234"/>
      <c r="N9" s="234"/>
      <c r="O9" s="234"/>
      <c r="P9" s="234"/>
      <c r="Q9" s="234"/>
    </row>
    <row r="10" spans="1:17" ht="16">
      <c r="A10" s="31"/>
      <c r="B10" s="127" t="s">
        <v>38</v>
      </c>
      <c r="C10" s="31"/>
      <c r="D10" s="196">
        <f>SUM(D7:D9)</f>
        <v>5017</v>
      </c>
      <c r="E10" s="196">
        <f t="shared" ref="E10:F10" si="1">SUM(E7:E9)</f>
        <v>5498</v>
      </c>
      <c r="F10" s="196">
        <f t="shared" si="1"/>
        <v>5983</v>
      </c>
      <c r="G10" s="179"/>
      <c r="H10" s="112">
        <f>SUM(H7:H9)</f>
        <v>6080.9202035386079</v>
      </c>
      <c r="I10" s="112">
        <f t="shared" ref="I10:J10" si="2">SUM(I7:I9)</f>
        <v>6324.1570116801522</v>
      </c>
      <c r="J10" s="112">
        <f t="shared" si="2"/>
        <v>6577.1232921473584</v>
      </c>
      <c r="K10" s="181"/>
      <c r="L10" s="234"/>
      <c r="M10" s="234"/>
      <c r="N10" s="234"/>
      <c r="O10" s="234"/>
      <c r="P10" s="234"/>
      <c r="Q10" s="234"/>
    </row>
    <row r="11" spans="1:17" ht="16">
      <c r="A11" s="31"/>
      <c r="B11" s="223" t="s">
        <v>39</v>
      </c>
      <c r="C11" s="348"/>
      <c r="D11" s="197">
        <f>'Balance Sheet'!B10</f>
        <v>2218</v>
      </c>
      <c r="E11" s="197">
        <f>'Balance Sheet'!C10</f>
        <v>2130</v>
      </c>
      <c r="F11" s="197">
        <f>'Balance Sheet'!D10</f>
        <v>2095</v>
      </c>
      <c r="G11" s="180"/>
      <c r="H11" s="152">
        <f>'IS Hist Forecast'!H$4*H48</f>
        <v>2383.170697049869</v>
      </c>
      <c r="I11" s="152">
        <f>'IS Hist Forecast'!I$4*I48</f>
        <v>2478.4975249318636</v>
      </c>
      <c r="J11" s="152">
        <f>'IS Hist Forecast'!J$4*J48</f>
        <v>2577.6374259291383</v>
      </c>
      <c r="K11" s="181"/>
      <c r="L11" s="234"/>
      <c r="M11" s="234"/>
      <c r="N11" s="234"/>
      <c r="O11" s="234"/>
      <c r="P11" s="234"/>
      <c r="Q11" s="234"/>
    </row>
    <row r="12" spans="1:17" ht="16">
      <c r="A12" s="31"/>
      <c r="B12" s="127" t="s">
        <v>40</v>
      </c>
      <c r="C12" s="31"/>
      <c r="D12" s="195">
        <f>SUM(D4:D5,D10:D11)</f>
        <v>22473</v>
      </c>
      <c r="E12" s="195">
        <f>SUM(E4:E5,E10:E11)</f>
        <v>27987</v>
      </c>
      <c r="F12" s="195">
        <f>SUM(F4:F5,F10:F11)</f>
        <v>23091</v>
      </c>
      <c r="G12" s="179"/>
      <c r="H12" s="112">
        <f ca="1">SUM(H4:H5,H10:H11)</f>
        <v>27586.181795165801</v>
      </c>
      <c r="I12" s="112">
        <f t="shared" ref="I12:J12" ca="1" si="3">SUM(I4:I5,I10:I11)</f>
        <v>28129.629066972429</v>
      </c>
      <c r="J12" s="112">
        <f t="shared" ca="1" si="3"/>
        <v>28694.814229651329</v>
      </c>
      <c r="K12" s="181"/>
      <c r="L12" s="234"/>
      <c r="M12" s="234"/>
      <c r="N12" s="234"/>
      <c r="O12" s="234"/>
      <c r="P12" s="234"/>
      <c r="Q12" s="234"/>
    </row>
    <row r="13" spans="1:17" ht="16">
      <c r="A13" s="31"/>
      <c r="B13" s="127" t="s">
        <v>41</v>
      </c>
      <c r="C13" s="31"/>
      <c r="D13" s="195">
        <f>'Balance Sheet'!B12+'Balance Sheet'!B13+'Balance Sheet'!B14</f>
        <v>85759</v>
      </c>
      <c r="E13" s="195">
        <f>'Balance Sheet'!C12+'Balance Sheet'!C13+'Balance Sheet'!C14</f>
        <v>84385</v>
      </c>
      <c r="F13" s="195">
        <f>'Balance Sheet'!D12+'Balance Sheet'!D13+'Balance Sheet'!D14</f>
        <v>86252</v>
      </c>
      <c r="G13" s="179"/>
      <c r="H13" s="112">
        <f ca="1">F13+H49*('IS Hist Forecast'!H8-'IS Hist Forecast'!H12)</f>
        <v>87892.055272736543</v>
      </c>
      <c r="I13" s="112">
        <f ca="1">H13+I49*('IS Hist Forecast'!I8-'IS Hist Forecast'!I12)</f>
        <v>89594.075868309883</v>
      </c>
      <c r="J13" s="112">
        <f ca="1">I13+J49*('IS Hist Forecast'!J8-'IS Hist Forecast'!J12)</f>
        <v>91360.21664230524</v>
      </c>
      <c r="K13" s="181"/>
      <c r="L13" s="234"/>
      <c r="M13" s="234"/>
      <c r="N13" s="234"/>
      <c r="O13" s="234"/>
      <c r="P13" s="234"/>
      <c r="Q13" s="234"/>
    </row>
    <row r="14" spans="1:17" ht="16">
      <c r="A14" s="31"/>
      <c r="B14" s="223" t="s">
        <v>44</v>
      </c>
      <c r="C14" s="348"/>
      <c r="D14" s="197">
        <f>'Balance Sheet'!B15</f>
        <v>6863</v>
      </c>
      <c r="E14" s="197">
        <f>'Balance Sheet'!C15</f>
        <v>8328</v>
      </c>
      <c r="F14" s="197">
        <f>'Balance Sheet'!D15</f>
        <v>9964</v>
      </c>
      <c r="G14" s="224"/>
      <c r="H14" s="152">
        <f>'IS Hist Forecast'!H$4*H50</f>
        <v>9227.1572350399038</v>
      </c>
      <c r="I14" s="152">
        <f>'IS Hist Forecast'!I$4*I50</f>
        <v>9596.243524441501</v>
      </c>
      <c r="J14" s="152">
        <f>'IS Hist Forecast'!J$4*J50</f>
        <v>9980.0932654191602</v>
      </c>
      <c r="K14" s="9"/>
      <c r="L14" s="234"/>
      <c r="M14" s="234"/>
      <c r="N14" s="234"/>
      <c r="O14" s="234"/>
      <c r="P14" s="234"/>
      <c r="Q14" s="234"/>
    </row>
    <row r="15" spans="1:17" ht="16">
      <c r="A15" s="31"/>
      <c r="B15" s="127" t="s">
        <v>45</v>
      </c>
      <c r="C15" s="31"/>
      <c r="D15" s="196">
        <f>SUM(D12:D14)</f>
        <v>115095</v>
      </c>
      <c r="E15" s="196">
        <f t="shared" ref="E15:F15" si="4">SUM(E12:E14)</f>
        <v>120700</v>
      </c>
      <c r="F15" s="196">
        <f t="shared" si="4"/>
        <v>119307</v>
      </c>
      <c r="G15" s="113"/>
      <c r="H15" s="151">
        <f ca="1">SUM(H12:H14)</f>
        <v>124705.39430294225</v>
      </c>
      <c r="I15" s="151">
        <f t="shared" ref="I15:J15" ca="1" si="5">SUM(I12:I14)</f>
        <v>127319.9484597238</v>
      </c>
      <c r="J15" s="151">
        <f t="shared" ca="1" si="5"/>
        <v>130035.12413737572</v>
      </c>
      <c r="K15" s="9"/>
      <c r="L15" s="234"/>
      <c r="M15" s="234"/>
      <c r="N15" s="234"/>
      <c r="O15" s="234"/>
      <c r="P15" s="234"/>
      <c r="Q15" s="234"/>
    </row>
    <row r="16" spans="1:17" ht="16">
      <c r="A16" s="31"/>
      <c r="B16" s="126" t="s">
        <v>46</v>
      </c>
      <c r="C16" s="31"/>
      <c r="D16" s="31"/>
      <c r="E16" s="31"/>
      <c r="F16" s="31"/>
      <c r="G16" s="31"/>
      <c r="H16" s="31"/>
      <c r="I16" s="31"/>
      <c r="J16" s="31"/>
      <c r="K16" s="181"/>
      <c r="L16" s="234"/>
      <c r="M16" s="234"/>
      <c r="N16" s="234"/>
      <c r="O16" s="234"/>
      <c r="P16" s="234"/>
      <c r="Q16" s="234"/>
    </row>
    <row r="17" spans="1:24" ht="16">
      <c r="A17" s="31"/>
      <c r="B17" s="127" t="s">
        <v>47</v>
      </c>
      <c r="C17" s="31"/>
      <c r="D17" s="196">
        <f>'Balance Sheet'!B18</f>
        <v>11260</v>
      </c>
      <c r="E17" s="196">
        <f>'Balance Sheet'!C18</f>
        <v>12071</v>
      </c>
      <c r="F17" s="196">
        <f>'Balance Sheet'!D18</f>
        <v>13720</v>
      </c>
      <c r="G17" s="179"/>
      <c r="H17" s="112">
        <f>('IS Hist Forecast'!H$5/365)*H51</f>
        <v>13651.111771234611</v>
      </c>
      <c r="I17" s="112">
        <f>('IS Hist Forecast'!I$5/365)*I51</f>
        <v>14197.156242083996</v>
      </c>
      <c r="J17" s="112">
        <f>('IS Hist Forecast'!J$5/365)*J51</f>
        <v>14765.042491767355</v>
      </c>
      <c r="K17" s="181"/>
      <c r="L17" s="234"/>
      <c r="M17" s="234"/>
      <c r="N17" s="234"/>
      <c r="O17" s="234"/>
      <c r="P17" s="234"/>
      <c r="Q17" s="234"/>
      <c r="R17" s="31"/>
      <c r="S17" s="31"/>
      <c r="T17" s="31"/>
      <c r="U17" s="31"/>
      <c r="V17" s="31"/>
      <c r="W17" s="31"/>
      <c r="X17" s="31"/>
    </row>
    <row r="18" spans="1:24" ht="16">
      <c r="A18" s="31"/>
      <c r="B18" s="127" t="s">
        <v>48</v>
      </c>
      <c r="C18" s="31"/>
      <c r="D18" s="196">
        <f>'Balance Sheet'!B19</f>
        <v>9054</v>
      </c>
      <c r="E18" s="196">
        <f>'Balance Sheet'!C19</f>
        <v>9722</v>
      </c>
      <c r="F18" s="196">
        <f>'Balance Sheet'!D19</f>
        <v>10523</v>
      </c>
      <c r="G18" s="179"/>
      <c r="H18" s="112">
        <f>'IS Hist Forecast'!H4*H52</f>
        <v>10793.59003970784</v>
      </c>
      <c r="I18" s="112">
        <f>'IS Hist Forecast'!I4*I52</f>
        <v>11225.333641296154</v>
      </c>
      <c r="J18" s="112">
        <f>'IS Hist Forecast'!J4*J52</f>
        <v>11674.346986948001</v>
      </c>
      <c r="K18" s="181"/>
      <c r="L18" s="336"/>
      <c r="M18" s="234"/>
      <c r="N18" s="234"/>
      <c r="O18" s="234"/>
      <c r="P18" s="234"/>
      <c r="Q18" s="234"/>
      <c r="R18" s="31"/>
      <c r="S18" s="31"/>
      <c r="T18" s="31"/>
      <c r="U18" s="31"/>
      <c r="V18" s="31"/>
      <c r="W18" s="31"/>
      <c r="X18" s="31"/>
    </row>
    <row r="19" spans="1:24" ht="19.5" customHeight="1">
      <c r="A19" s="31"/>
      <c r="B19" s="127" t="s">
        <v>49</v>
      </c>
      <c r="C19" s="31"/>
      <c r="D19" s="196">
        <f>'Balance Sheet'!B20</f>
        <v>9697</v>
      </c>
      <c r="E19" s="196">
        <f>'Balance Sheet'!C20</f>
        <v>11183</v>
      </c>
      <c r="F19" s="196">
        <f>'Balance Sheet'!D20</f>
        <v>8889</v>
      </c>
      <c r="G19" s="182"/>
      <c r="H19" s="112">
        <f ca="1">IF(H43+H5+H10+H11+H13+H14&gt;H17+H18+H21+H22+H23+H26+H33,H43+H5+H10+H11+H13+H14-(H17+H18+H21+H22+H23+H26+H33),0)</f>
        <v>8221.4303718253359</v>
      </c>
      <c r="I19" s="112">
        <f t="shared" ref="I19:J19" ca="1" si="6">IF(I43+I5+I10+I11+I13+I14&gt;I17+I18+I21+I22+I23+I26+I33,I43+I5+I10+I11+I13+I14-(I17+I18+I21+I22+I23+I26+I33),0)</f>
        <v>5100.8853059554385</v>
      </c>
      <c r="J19" s="112">
        <f t="shared" ca="1" si="6"/>
        <v>1466.199860911016</v>
      </c>
      <c r="K19" s="181"/>
      <c r="L19" s="234"/>
      <c r="M19" s="234"/>
      <c r="N19" s="234"/>
      <c r="O19" s="234"/>
      <c r="P19" s="234"/>
      <c r="Q19" s="234"/>
      <c r="R19" s="31"/>
      <c r="S19" s="31"/>
      <c r="T19" s="31"/>
      <c r="U19" s="31"/>
      <c r="V19" s="31"/>
      <c r="W19" s="31"/>
      <c r="X19" s="31"/>
    </row>
    <row r="20" spans="1:24" ht="16">
      <c r="A20" s="31"/>
      <c r="B20" s="127" t="s">
        <v>50</v>
      </c>
      <c r="C20" s="31"/>
      <c r="D20" s="196">
        <f>SUM(D17:D19)</f>
        <v>30011</v>
      </c>
      <c r="E20" s="196">
        <f t="shared" ref="E20:F20" si="7">SUM(E17:E19)</f>
        <v>32976</v>
      </c>
      <c r="F20" s="196">
        <f t="shared" si="7"/>
        <v>33132</v>
      </c>
      <c r="G20" s="182"/>
      <c r="H20" s="151">
        <f ca="1">SUM(H17:H19)</f>
        <v>32666.132182767789</v>
      </c>
      <c r="I20" s="151">
        <f t="shared" ref="I20:J20" ca="1" si="8">SUM(I17:I19)</f>
        <v>30523.375189335587</v>
      </c>
      <c r="J20" s="151">
        <f t="shared" ca="1" si="8"/>
        <v>27905.589339626371</v>
      </c>
      <c r="K20" s="181"/>
      <c r="L20" s="234"/>
      <c r="M20" s="234"/>
      <c r="N20" s="234"/>
      <c r="O20" s="234"/>
      <c r="P20" s="234"/>
      <c r="Q20" s="234"/>
      <c r="R20" s="31"/>
      <c r="S20" s="31"/>
      <c r="T20" s="31"/>
      <c r="U20" s="31"/>
      <c r="V20" s="31"/>
      <c r="W20" s="31"/>
      <c r="X20" s="31"/>
    </row>
    <row r="21" spans="1:24" ht="18" customHeight="1">
      <c r="A21" s="31"/>
      <c r="B21" s="127" t="s">
        <v>51</v>
      </c>
      <c r="C21" s="31"/>
      <c r="D21" s="196">
        <f>'Balance Sheet'!B22</f>
        <v>20395</v>
      </c>
      <c r="E21" s="196">
        <f>'Balance Sheet'!C22</f>
        <v>23537</v>
      </c>
      <c r="F21" s="196">
        <f>'Balance Sheet'!D22</f>
        <v>23099</v>
      </c>
      <c r="G21" s="182"/>
      <c r="H21" s="112">
        <f>F21+H53-H54</f>
        <v>23099</v>
      </c>
      <c r="I21" s="112">
        <f>H21+I53-I54</f>
        <v>23099</v>
      </c>
      <c r="J21" s="112">
        <f>I21+J53-J54</f>
        <v>23099</v>
      </c>
      <c r="K21" s="181"/>
      <c r="L21" s="234"/>
      <c r="M21" s="234"/>
      <c r="N21" s="234"/>
      <c r="O21" s="234"/>
      <c r="P21" s="234"/>
      <c r="Q21" s="234"/>
      <c r="R21" s="31"/>
      <c r="S21" s="31"/>
      <c r="T21" s="31"/>
      <c r="U21" s="31"/>
      <c r="V21" s="31"/>
      <c r="W21" s="31"/>
      <c r="X21" s="31"/>
    </row>
    <row r="22" spans="1:24" ht="16">
      <c r="A22" s="31"/>
      <c r="B22" s="127" t="s">
        <v>52</v>
      </c>
      <c r="C22" s="31"/>
      <c r="D22" s="196">
        <f>'Balance Sheet'!B23</f>
        <v>6899</v>
      </c>
      <c r="E22" s="196">
        <f>'Balance Sheet'!C23</f>
        <v>6199</v>
      </c>
      <c r="F22" s="196">
        <f>'Balance Sheet'!D23</f>
        <v>6153</v>
      </c>
      <c r="G22" s="182"/>
      <c r="H22" s="112">
        <f>'IS Hist Forecast'!H4*H55</f>
        <v>7128.2325231989807</v>
      </c>
      <c r="I22" s="112">
        <f>'IS Hist Forecast'!I4*I55</f>
        <v>7413.3618241269396</v>
      </c>
      <c r="J22" s="112">
        <f>'IS Hist Forecast'!J4*J55</f>
        <v>7709.8962970920174</v>
      </c>
      <c r="K22" s="181"/>
      <c r="L22" s="234"/>
      <c r="M22" s="234"/>
      <c r="N22" s="234"/>
      <c r="O22" s="234"/>
      <c r="P22" s="234"/>
      <c r="Q22" s="234"/>
      <c r="R22" s="31"/>
      <c r="S22" s="31"/>
      <c r="T22" s="31"/>
      <c r="U22" s="31"/>
      <c r="V22" s="31"/>
      <c r="W22" s="31"/>
      <c r="X22" s="31"/>
    </row>
    <row r="23" spans="1:24" ht="16">
      <c r="A23" s="31"/>
      <c r="B23" s="127" t="s">
        <v>53</v>
      </c>
      <c r="C23" s="31"/>
      <c r="D23" s="196">
        <f>'Balance Sheet'!B24</f>
        <v>10211</v>
      </c>
      <c r="E23" s="196">
        <f>'Balance Sheet'!C24</f>
        <v>11110</v>
      </c>
      <c r="F23" s="196">
        <f>'Balance Sheet'!D24</f>
        <v>10269</v>
      </c>
      <c r="G23" s="182"/>
      <c r="H23" s="112">
        <f>'IS Hist Forecast'!H4*H56</f>
        <v>11672.831680674461</v>
      </c>
      <c r="I23" s="112">
        <f>'IS Hist Forecast'!I4*I56</f>
        <v>12139.744947901438</v>
      </c>
      <c r="J23" s="112">
        <f>'IS Hist Forecast'!J4*J56</f>
        <v>12625.334745817496</v>
      </c>
      <c r="K23" s="181"/>
      <c r="L23" s="234"/>
      <c r="M23" s="234"/>
      <c r="N23" s="234"/>
      <c r="O23" s="234"/>
      <c r="P23" s="234"/>
      <c r="Q23" s="234"/>
      <c r="R23" s="31"/>
      <c r="S23" s="31"/>
      <c r="T23" s="31"/>
      <c r="U23" s="31"/>
      <c r="V23" s="31"/>
      <c r="W23" s="31"/>
      <c r="X23" s="31"/>
    </row>
    <row r="24" spans="1:24" ht="16">
      <c r="A24" s="31"/>
      <c r="B24" s="127" t="s">
        <v>54</v>
      </c>
      <c r="C24" s="31"/>
      <c r="D24" s="196">
        <f>SUM(D20:D23)</f>
        <v>67516</v>
      </c>
      <c r="E24" s="196">
        <f t="shared" ref="E24:F24" si="9">SUM(E20:E23)</f>
        <v>73822</v>
      </c>
      <c r="F24" s="196">
        <f t="shared" si="9"/>
        <v>72653</v>
      </c>
      <c r="G24" s="182"/>
      <c r="H24" s="151">
        <f ca="1">SUM(H20:H23)</f>
        <v>74566.196386641226</v>
      </c>
      <c r="I24" s="151">
        <f t="shared" ref="I24:J24" ca="1" si="10">SUM(I20:I23)</f>
        <v>73175.481961363956</v>
      </c>
      <c r="J24" s="151">
        <f t="shared" ca="1" si="10"/>
        <v>71339.82038253588</v>
      </c>
      <c r="K24" s="181"/>
      <c r="L24" s="234"/>
      <c r="M24" s="234"/>
      <c r="N24" s="234"/>
      <c r="O24" s="234"/>
      <c r="P24" s="234"/>
      <c r="Q24" s="234"/>
      <c r="R24" s="31"/>
      <c r="S24" s="31"/>
      <c r="T24" s="31"/>
      <c r="U24" s="31"/>
      <c r="V24" s="31"/>
      <c r="W24" s="31"/>
      <c r="X24" s="31"/>
    </row>
    <row r="25" spans="1:24" ht="16">
      <c r="A25" s="31"/>
      <c r="B25" s="126" t="s">
        <v>55</v>
      </c>
      <c r="C25" s="31"/>
      <c r="D25" s="31"/>
      <c r="E25" s="31"/>
      <c r="F25" s="31"/>
      <c r="G25" s="128"/>
      <c r="H25" s="31"/>
      <c r="I25" s="31"/>
      <c r="J25" s="31"/>
      <c r="K25" s="10"/>
      <c r="L25" s="127"/>
      <c r="M25" s="89"/>
      <c r="N25" s="89"/>
      <c r="O25" s="89"/>
      <c r="P25" s="31"/>
      <c r="Q25" s="31"/>
      <c r="R25" s="31"/>
      <c r="S25" s="31"/>
      <c r="T25" s="31"/>
      <c r="U25" s="31"/>
      <c r="V25" s="31"/>
      <c r="W25" s="31"/>
      <c r="X25" s="31"/>
    </row>
    <row r="26" spans="1:24" ht="16">
      <c r="A26" s="31"/>
      <c r="B26" s="127" t="s">
        <v>56</v>
      </c>
      <c r="C26" s="31"/>
      <c r="D26" s="196">
        <f>'Balance Sheet'!B27</f>
        <v>928</v>
      </c>
      <c r="E26" s="196">
        <f>'Balance Sheet'!C27</f>
        <v>897</v>
      </c>
      <c r="F26" s="196">
        <f>'Balance Sheet'!D27</f>
        <v>870</v>
      </c>
      <c r="G26" s="128"/>
      <c r="H26" s="295">
        <f>F26+H62</f>
        <v>870</v>
      </c>
      <c r="I26" s="295">
        <f>H26+I62</f>
        <v>870</v>
      </c>
      <c r="J26" s="295">
        <f>I26+J62</f>
        <v>870</v>
      </c>
      <c r="K26" s="10"/>
      <c r="L26" s="127"/>
      <c r="M26" s="89"/>
      <c r="N26" s="89"/>
      <c r="O26" s="89"/>
      <c r="P26" s="31"/>
      <c r="Q26" s="31"/>
      <c r="R26" s="31"/>
      <c r="S26" s="31"/>
      <c r="T26" s="31"/>
      <c r="U26" s="31"/>
      <c r="V26" s="31"/>
      <c r="W26" s="31"/>
      <c r="X26" s="31"/>
    </row>
    <row r="27" spans="1:24" ht="16">
      <c r="A27" s="31"/>
      <c r="B27" s="127" t="s">
        <v>92</v>
      </c>
      <c r="C27" s="31"/>
      <c r="D27" s="196">
        <f>'Balance Sheet'!B28+'Balance Sheet'!B29</f>
        <v>67836</v>
      </c>
      <c r="E27" s="196">
        <f>'Balance Sheet'!C28+'Balance Sheet'!C29</f>
        <v>68203</v>
      </c>
      <c r="F27" s="196">
        <f>'Balance Sheet'!D28+'Balance Sheet'!D29</f>
        <v>68857</v>
      </c>
      <c r="G27" s="128"/>
      <c r="H27" s="112">
        <f>F27+H57</f>
        <v>68857</v>
      </c>
      <c r="I27" s="112">
        <f>H27+I57</f>
        <v>68857</v>
      </c>
      <c r="J27" s="112">
        <f>I27+J57</f>
        <v>68857</v>
      </c>
      <c r="K27" s="10"/>
      <c r="L27" s="127"/>
      <c r="M27" s="89"/>
      <c r="N27" s="89"/>
      <c r="O27" s="89"/>
      <c r="P27" s="31"/>
      <c r="Q27" s="31"/>
      <c r="R27" s="31"/>
      <c r="S27" s="31"/>
      <c r="T27" s="31"/>
      <c r="U27" s="31"/>
      <c r="V27" s="31"/>
      <c r="W27" s="31"/>
      <c r="X27" s="31"/>
    </row>
    <row r="28" spans="1:24" ht="16">
      <c r="A28" s="31"/>
      <c r="B28" s="127" t="s">
        <v>59</v>
      </c>
      <c r="C28" s="31"/>
      <c r="D28" s="196">
        <f>'Balance Sheet'!B30</f>
        <v>-1146</v>
      </c>
      <c r="E28" s="196">
        <f>'Balance Sheet'!C30</f>
        <v>-1080</v>
      </c>
      <c r="F28" s="196">
        <f>'Balance Sheet'!D30</f>
        <v>-1006</v>
      </c>
      <c r="G28" s="182"/>
      <c r="H28" s="112">
        <f>F28+H59</f>
        <v>-941</v>
      </c>
      <c r="I28" s="112">
        <f>H28+I59</f>
        <v>-876</v>
      </c>
      <c r="J28" s="112">
        <f>I28+J59</f>
        <v>-811</v>
      </c>
      <c r="K28" s="181"/>
      <c r="L28" s="130" t="s">
        <v>93</v>
      </c>
      <c r="M28" s="130" t="s">
        <v>93</v>
      </c>
      <c r="N28" s="89"/>
      <c r="O28" s="89"/>
      <c r="P28" s="31"/>
      <c r="Q28" s="34"/>
      <c r="R28" s="31"/>
      <c r="S28" s="31"/>
      <c r="T28" s="31"/>
      <c r="U28" s="31"/>
      <c r="V28" s="31"/>
      <c r="W28" s="31"/>
      <c r="X28" s="31"/>
    </row>
    <row r="29" spans="1:24" ht="15.75" customHeight="1">
      <c r="A29" s="31"/>
      <c r="B29" s="127" t="s">
        <v>60</v>
      </c>
      <c r="C29" s="31"/>
      <c r="D29" s="196">
        <f>'Balance Sheet'!B31</f>
        <v>-14936</v>
      </c>
      <c r="E29" s="196">
        <f>'Balance Sheet'!C31</f>
        <v>-16165</v>
      </c>
      <c r="F29" s="196">
        <f>'Balance Sheet'!D31</f>
        <v>-13744</v>
      </c>
      <c r="G29" s="182"/>
      <c r="H29" s="112">
        <f t="shared" ref="H29" si="11">F29+H60</f>
        <v>-13744</v>
      </c>
      <c r="I29" s="112">
        <f t="shared" ref="I29:J29" si="12">H29+I60</f>
        <v>-13744</v>
      </c>
      <c r="J29" s="112">
        <f t="shared" si="12"/>
        <v>-13744</v>
      </c>
      <c r="K29" s="181"/>
      <c r="L29" s="234"/>
      <c r="M29" s="89"/>
      <c r="N29" s="89"/>
      <c r="O29" s="89"/>
      <c r="P29" s="31"/>
      <c r="Q29" s="31"/>
      <c r="R29" s="31"/>
      <c r="S29" s="31"/>
      <c r="T29" s="31"/>
      <c r="U29" s="31"/>
      <c r="V29" s="31"/>
      <c r="W29" s="31"/>
      <c r="X29" s="31"/>
    </row>
    <row r="30" spans="1:24" ht="16">
      <c r="A30" s="31"/>
      <c r="B30" s="127" t="s">
        <v>61</v>
      </c>
      <c r="C30" s="31"/>
      <c r="D30" s="196">
        <f>'Balance Sheet'!B32</f>
        <v>-100406</v>
      </c>
      <c r="E30" s="196">
        <f>'Balance Sheet'!C32</f>
        <v>-105573</v>
      </c>
      <c r="F30" s="196">
        <f>'Balance Sheet'!D32</f>
        <v>-114973</v>
      </c>
      <c r="G30" s="182"/>
      <c r="H30" s="112">
        <f>F30+H58</f>
        <v>-114973</v>
      </c>
      <c r="I30" s="112">
        <f>H30+I58</f>
        <v>-114973</v>
      </c>
      <c r="J30" s="112">
        <f>I30+J58</f>
        <v>-114973</v>
      </c>
      <c r="K30" s="181"/>
      <c r="L30" s="127"/>
      <c r="M30" s="89"/>
      <c r="N30" s="89"/>
      <c r="O30" s="89"/>
      <c r="P30" s="31"/>
      <c r="Q30" s="31"/>
      <c r="R30" s="31"/>
      <c r="S30" s="31"/>
      <c r="T30" s="31"/>
      <c r="U30" s="31"/>
      <c r="V30" s="31"/>
      <c r="W30" s="31"/>
      <c r="X30" s="31"/>
    </row>
    <row r="31" spans="1:24" ht="17" thickBot="1">
      <c r="A31" s="31"/>
      <c r="B31" s="127" t="s">
        <v>62</v>
      </c>
      <c r="C31" s="31"/>
      <c r="D31" s="196">
        <f>'Balance Sheet'!B33</f>
        <v>94918</v>
      </c>
      <c r="E31" s="196">
        <f>'Balance Sheet'!C33</f>
        <v>100239</v>
      </c>
      <c r="F31" s="196">
        <f>'Balance Sheet'!D33</f>
        <v>106374</v>
      </c>
      <c r="G31" s="182"/>
      <c r="H31" s="112">
        <f ca="1">F31+'IS Hist Forecast'!H13-'IS Hist Forecast'!H16</f>
        <v>109794.19791630103</v>
      </c>
      <c r="I31" s="112">
        <f ca="1">H31+'IS Hist Forecast'!I13-'IS Hist Forecast'!I16</f>
        <v>113734.46649835985</v>
      </c>
      <c r="J31" s="112">
        <f ca="1">I31+'IS Hist Forecast'!J13-'IS Hist Forecast'!J16</f>
        <v>118220.30375483984</v>
      </c>
      <c r="K31" s="181"/>
      <c r="L31" s="127"/>
      <c r="M31" s="89"/>
      <c r="N31" s="89"/>
      <c r="O31" s="89"/>
      <c r="P31" s="31"/>
      <c r="Q31" s="31"/>
      <c r="R31" s="31"/>
      <c r="S31" s="31"/>
      <c r="T31" s="31"/>
      <c r="U31" s="31"/>
      <c r="V31" s="31"/>
      <c r="W31" s="31"/>
      <c r="X31" s="31"/>
    </row>
    <row r="32" spans="1:24" ht="15" customHeight="1" thickBot="1">
      <c r="A32" s="36"/>
      <c r="B32" s="127" t="s">
        <v>63</v>
      </c>
      <c r="C32" s="31"/>
      <c r="D32" s="196">
        <f>'Balance Sheet'!B34</f>
        <v>385</v>
      </c>
      <c r="E32" s="196">
        <f>'Balance Sheet'!C34</f>
        <v>357</v>
      </c>
      <c r="F32" s="196">
        <f>'Balance Sheet'!D34</f>
        <v>276</v>
      </c>
      <c r="G32" s="128"/>
      <c r="H32" s="231">
        <f>F32+H61</f>
        <v>276</v>
      </c>
      <c r="I32" s="231">
        <f>H32+I61</f>
        <v>276</v>
      </c>
      <c r="J32" s="231">
        <f>I32+J61</f>
        <v>276</v>
      </c>
      <c r="K32" s="10"/>
      <c r="L32" s="395" t="s">
        <v>94</v>
      </c>
      <c r="M32" s="396"/>
      <c r="N32" s="396"/>
      <c r="O32" s="396"/>
      <c r="P32" s="396"/>
      <c r="Q32" s="396"/>
      <c r="R32" s="396"/>
      <c r="S32" s="397"/>
      <c r="T32" s="127"/>
      <c r="U32" s="127"/>
      <c r="V32" s="127"/>
      <c r="W32" s="127"/>
      <c r="X32" s="127"/>
    </row>
    <row r="33" spans="1:26" ht="15.75" customHeight="1" thickBot="1">
      <c r="A33" s="31"/>
      <c r="B33" s="127" t="s">
        <v>64</v>
      </c>
      <c r="C33" s="31"/>
      <c r="D33" s="196">
        <f>SUM(D27:D32)</f>
        <v>46651</v>
      </c>
      <c r="E33" s="196">
        <f t="shared" ref="E33:F33" si="13">SUM(E27:E32)</f>
        <v>45981</v>
      </c>
      <c r="F33" s="196">
        <f t="shared" si="13"/>
        <v>45784</v>
      </c>
      <c r="G33" s="182"/>
      <c r="H33" s="151">
        <f ca="1">SUM(H27:H32)</f>
        <v>49269.197916301026</v>
      </c>
      <c r="I33" s="151">
        <f t="shared" ref="I33:J33" ca="1" si="14">SUM(I27:I32)</f>
        <v>53274.466498359849</v>
      </c>
      <c r="J33" s="151">
        <f t="shared" ca="1" si="14"/>
        <v>57825.303754839842</v>
      </c>
      <c r="K33" s="181"/>
      <c r="L33" s="395" t="s">
        <v>95</v>
      </c>
      <c r="M33" s="396"/>
      <c r="N33" s="396"/>
      <c r="O33" s="396"/>
      <c r="P33" s="396"/>
      <c r="Q33" s="396"/>
      <c r="R33" s="396"/>
      <c r="S33" s="397"/>
      <c r="T33" s="31"/>
      <c r="U33" s="31"/>
      <c r="V33" s="31"/>
      <c r="W33" s="31"/>
      <c r="X33" s="31"/>
      <c r="Y33" s="31"/>
      <c r="Z33" s="31"/>
    </row>
    <row r="34" spans="1:26" ht="16.5" customHeight="1">
      <c r="A34" s="36" t="s">
        <v>93</v>
      </c>
      <c r="B34" s="127" t="s">
        <v>65</v>
      </c>
      <c r="C34" s="31"/>
      <c r="D34" s="196">
        <f>D24+D33</f>
        <v>114167</v>
      </c>
      <c r="E34" s="196">
        <f t="shared" ref="E34:F34" si="15">E24+E33</f>
        <v>119803</v>
      </c>
      <c r="F34" s="196">
        <f t="shared" si="15"/>
        <v>118437</v>
      </c>
      <c r="G34" s="182"/>
      <c r="H34" s="151">
        <f ca="1">H24+H33+H26</f>
        <v>124705.39430294225</v>
      </c>
      <c r="I34" s="151">
        <f t="shared" ref="I34:J34" ca="1" si="16">I24+I33+I26</f>
        <v>127319.9484597238</v>
      </c>
      <c r="J34" s="151">
        <f t="shared" ca="1" si="16"/>
        <v>130035.12413737572</v>
      </c>
      <c r="K34" s="181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spans="1:26" ht="16.5" customHeight="1">
      <c r="A35" s="36"/>
      <c r="B35" s="127"/>
      <c r="C35" s="31"/>
      <c r="D35" s="31"/>
      <c r="E35" s="31"/>
      <c r="F35" s="31"/>
      <c r="G35" s="31"/>
      <c r="H35" s="34"/>
      <c r="I35" s="31"/>
      <c r="J35" s="31"/>
      <c r="K35" s="181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spans="1:26" ht="21" customHeight="1">
      <c r="A36" s="31"/>
      <c r="B36" s="127" t="s">
        <v>66</v>
      </c>
      <c r="C36" s="31"/>
      <c r="D36" s="196">
        <f>'Balance Sheet'!B37</f>
        <v>4009.2</v>
      </c>
      <c r="E36" s="196">
        <f>'Balance Sheet'!C37</f>
        <v>4009.2</v>
      </c>
      <c r="F36" s="196">
        <f>'Balance Sheet'!D37</f>
        <v>4009.2</v>
      </c>
      <c r="G36" s="129"/>
      <c r="H36" s="130"/>
      <c r="I36" s="127"/>
      <c r="J36" s="127"/>
      <c r="K36" s="9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spans="1:26" ht="16">
      <c r="A37" s="31"/>
      <c r="B37" s="127" t="s">
        <v>67</v>
      </c>
      <c r="C37" s="31"/>
      <c r="D37" s="196">
        <f>'Balance Sheet'!B38</f>
        <v>1</v>
      </c>
      <c r="E37" s="196">
        <f>'Balance Sheet'!C38</f>
        <v>1</v>
      </c>
      <c r="F37" s="196">
        <f>'Balance Sheet'!D38</f>
        <v>1</v>
      </c>
      <c r="G37" s="113"/>
      <c r="H37" s="127"/>
      <c r="I37" s="127"/>
      <c r="J37" s="127"/>
      <c r="K37" s="9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spans="1:26" ht="16">
      <c r="A38" s="31"/>
      <c r="B38" s="127" t="s">
        <v>68</v>
      </c>
      <c r="C38" s="31"/>
      <c r="D38" s="196">
        <f>'Balance Sheet'!B39</f>
        <v>10000</v>
      </c>
      <c r="E38" s="196">
        <f>'Balance Sheet'!C39</f>
        <v>10000</v>
      </c>
      <c r="F38" s="196">
        <f>'Balance Sheet'!D39</f>
        <v>10000</v>
      </c>
      <c r="G38" s="31"/>
      <c r="H38" s="127"/>
      <c r="I38" s="127"/>
      <c r="J38" s="127"/>
      <c r="K38" s="11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spans="1:26" ht="16">
      <c r="A39" s="31"/>
      <c r="B39" s="127" t="s">
        <v>69</v>
      </c>
      <c r="C39" s="31"/>
      <c r="D39" s="196">
        <f>'Balance Sheet'!B40</f>
        <v>1504.5</v>
      </c>
      <c r="E39" s="196">
        <f>'Balance Sheet'!C40</f>
        <v>1529.5</v>
      </c>
      <c r="F39" s="196">
        <f>'Balance Sheet'!D40</f>
        <v>1579.5</v>
      </c>
      <c r="G39" s="115"/>
      <c r="H39" s="127"/>
      <c r="I39" s="127"/>
      <c r="J39" s="127"/>
      <c r="K39" s="115"/>
      <c r="L39" s="127"/>
      <c r="M39" s="89"/>
      <c r="N39" s="89"/>
      <c r="O39" s="89"/>
      <c r="P39" s="7"/>
      <c r="Q39" s="7"/>
      <c r="R39" s="7"/>
      <c r="S39" s="31"/>
      <c r="T39" s="31"/>
      <c r="U39" s="31"/>
      <c r="V39" s="31"/>
      <c r="W39" s="31"/>
      <c r="X39" s="31"/>
      <c r="Y39" s="31"/>
      <c r="Z39" s="31"/>
    </row>
    <row r="40" spans="1:26" ht="15">
      <c r="A40" s="31"/>
      <c r="B40" s="127"/>
      <c r="C40" s="31"/>
      <c r="D40" s="127"/>
      <c r="E40" s="127"/>
      <c r="F40" s="127"/>
      <c r="G40" s="127"/>
      <c r="H40" s="127"/>
      <c r="I40" s="127"/>
      <c r="J40" s="127"/>
      <c r="K40" s="115"/>
      <c r="L40" s="127"/>
      <c r="M40" s="89"/>
      <c r="N40" s="89"/>
      <c r="O40" s="89"/>
      <c r="P40" s="7"/>
      <c r="Q40" s="7"/>
      <c r="R40" s="7"/>
      <c r="S40" s="31"/>
      <c r="T40" s="31"/>
      <c r="U40" s="31"/>
      <c r="V40" s="31"/>
      <c r="W40" s="31"/>
      <c r="X40" s="31"/>
      <c r="Y40" s="31"/>
      <c r="Z40" s="31"/>
    </row>
    <row r="41" spans="1:26" ht="15">
      <c r="A41" s="31"/>
      <c r="B41"/>
      <c r="C41" s="31"/>
      <c r="D41"/>
      <c r="E41"/>
      <c r="F41"/>
      <c r="G41"/>
      <c r="H41"/>
      <c r="I41"/>
      <c r="J41"/>
      <c r="K41" s="156"/>
      <c r="L41" s="127"/>
      <c r="M41" s="89"/>
      <c r="N41" s="89"/>
      <c r="O41" s="89"/>
      <c r="P41" s="7"/>
      <c r="Q41" s="7"/>
      <c r="R41" s="7"/>
      <c r="S41" s="31"/>
      <c r="T41" s="31"/>
      <c r="U41" s="31"/>
      <c r="V41" s="31"/>
      <c r="W41" s="31"/>
      <c r="X41" s="31"/>
      <c r="Y41" s="31"/>
      <c r="Z41" s="31"/>
    </row>
    <row r="42" spans="1:26" ht="16" thickBot="1">
      <c r="A42" s="31"/>
      <c r="B42" s="13" t="s">
        <v>96</v>
      </c>
      <c r="C42" s="31"/>
      <c r="D42" s="31"/>
      <c r="E42" s="31"/>
      <c r="F42" s="31"/>
      <c r="G42" s="116"/>
      <c r="H42"/>
      <c r="I42"/>
      <c r="J42"/>
      <c r="K42" s="156"/>
      <c r="L42" s="127"/>
      <c r="M42" s="89"/>
      <c r="N42" s="89"/>
      <c r="O42" s="89"/>
      <c r="P42" s="7"/>
      <c r="Q42" s="7"/>
      <c r="R42" s="7"/>
      <c r="S42" s="31"/>
      <c r="T42" s="31"/>
      <c r="U42" s="31"/>
      <c r="V42" s="31"/>
      <c r="W42" s="31"/>
      <c r="X42" s="31"/>
      <c r="Y42" s="31"/>
      <c r="Z42" s="31"/>
    </row>
    <row r="43" spans="1:26" ht="17" thickBot="1">
      <c r="A43" s="31" t="s">
        <v>97</v>
      </c>
      <c r="B43" s="127" t="s">
        <v>98</v>
      </c>
      <c r="C43" s="31"/>
      <c r="D43" s="31"/>
      <c r="E43" s="31"/>
      <c r="F43" s="31"/>
      <c r="G43" s="116"/>
      <c r="H43" s="296">
        <v>14000</v>
      </c>
      <c r="I43" s="296">
        <v>14000</v>
      </c>
      <c r="J43" s="296">
        <v>14000</v>
      </c>
      <c r="K43" s="156"/>
      <c r="L43" s="327" t="s">
        <v>99</v>
      </c>
      <c r="M43"/>
      <c r="N43"/>
      <c r="O43"/>
      <c r="P43" s="7"/>
      <c r="Q43" s="7"/>
      <c r="R43" s="7"/>
      <c r="S43" s="31"/>
      <c r="T43" s="31"/>
      <c r="U43" s="31"/>
      <c r="V43" s="31"/>
      <c r="W43" s="31"/>
      <c r="X43" s="31"/>
      <c r="Y43" s="31"/>
      <c r="Z43" s="31"/>
    </row>
    <row r="44" spans="1:26" ht="16">
      <c r="A44" s="31" t="s">
        <v>97</v>
      </c>
      <c r="B44" s="127" t="s">
        <v>33</v>
      </c>
      <c r="C44" s="31"/>
      <c r="D44" s="230">
        <f>D5/('IS Hist Forecast'!D$4/365)</f>
        <v>26.699293776963536</v>
      </c>
      <c r="E44" s="230">
        <f>E5/('IS Hist Forecast'!E$4/365)</f>
        <v>21.493587033121919</v>
      </c>
      <c r="F44" s="230">
        <f>F5/('IS Hist Forecast'!F$4/365)</f>
        <v>22.657255839617434</v>
      </c>
      <c r="G44" s="183"/>
      <c r="H44" s="297">
        <f>AVERAGE(D44:F44)</f>
        <v>23.616712216567631</v>
      </c>
      <c r="I44" s="297">
        <f>H44</f>
        <v>23.616712216567631</v>
      </c>
      <c r="J44" s="297">
        <f>I44</f>
        <v>23.616712216567631</v>
      </c>
      <c r="K44" s="12"/>
      <c r="L44" s="126"/>
      <c r="M44" s="89"/>
      <c r="N44" s="89"/>
      <c r="O44" s="89"/>
      <c r="P44" s="7"/>
      <c r="Q44" s="7"/>
      <c r="R44" s="7"/>
      <c r="S44" s="31"/>
      <c r="T44" s="31"/>
      <c r="U44" s="31"/>
      <c r="V44" s="31"/>
      <c r="W44" s="31"/>
      <c r="X44" s="31"/>
      <c r="Y44" s="31"/>
      <c r="Z44" s="31"/>
    </row>
    <row r="45" spans="1:26" ht="16">
      <c r="A45" s="31" t="s">
        <v>97</v>
      </c>
      <c r="B45" s="127" t="s">
        <v>35</v>
      </c>
      <c r="C45" s="31"/>
      <c r="D45" s="230">
        <f>D7/('IS Hist Forecast'!D$5/365)</f>
        <v>13.532127243442245</v>
      </c>
      <c r="E45" s="230">
        <f>E7/('IS Hist Forecast'!E$5/365)</f>
        <v>14.641418439716313</v>
      </c>
      <c r="F45" s="230">
        <f>F7/('IS Hist Forecast'!F$5/365)</f>
        <v>16.180473213323271</v>
      </c>
      <c r="G45" s="31"/>
      <c r="H45" s="297">
        <f t="shared" ref="H45:H48" si="17">AVERAGE(D45:F45)</f>
        <v>14.784672965493945</v>
      </c>
      <c r="I45" s="297">
        <f t="shared" ref="I45:J45" si="18">H45</f>
        <v>14.784672965493945</v>
      </c>
      <c r="J45" s="297">
        <f t="shared" si="18"/>
        <v>14.784672965493945</v>
      </c>
      <c r="K45" s="12"/>
      <c r="L45" s="127"/>
      <c r="M45" s="89"/>
      <c r="N45" s="89"/>
      <c r="O45" s="89"/>
      <c r="P45" s="7"/>
      <c r="Q45" s="7"/>
      <c r="R45" s="7"/>
      <c r="S45" s="31"/>
      <c r="T45" s="31"/>
      <c r="U45" s="31"/>
      <c r="V45" s="31"/>
      <c r="W45" s="31"/>
      <c r="X45" s="31"/>
      <c r="Y45" s="31"/>
      <c r="Z45" s="31"/>
    </row>
    <row r="46" spans="1:26" ht="16">
      <c r="A46" s="31" t="s">
        <v>97</v>
      </c>
      <c r="B46" s="127" t="s">
        <v>36</v>
      </c>
      <c r="C46" s="31"/>
      <c r="D46" s="230">
        <f>D8/('IS Hist Forecast'!D$5/365)</f>
        <v>6.424873446847676</v>
      </c>
      <c r="E46" s="230">
        <f>E8/('IS Hist Forecast'!E$5/365)</f>
        <v>6.9790070921985814</v>
      </c>
      <c r="F46" s="230">
        <f>F8/('IS Hist Forecast'!F$5/365)</f>
        <v>7.0721946750026943</v>
      </c>
      <c r="G46" s="31"/>
      <c r="H46" s="297">
        <f t="shared" si="17"/>
        <v>6.8253584046829836</v>
      </c>
      <c r="I46" s="297">
        <f t="shared" ref="I46:J46" si="19">H46</f>
        <v>6.8253584046829836</v>
      </c>
      <c r="J46" s="297">
        <f t="shared" si="19"/>
        <v>6.8253584046829836</v>
      </c>
      <c r="K46" s="12"/>
      <c r="L46" s="127"/>
      <c r="M46" s="89"/>
      <c r="N46" s="89"/>
      <c r="O46" s="89"/>
      <c r="P46" s="7"/>
      <c r="Q46" s="7"/>
      <c r="R46" s="7"/>
      <c r="S46" s="31"/>
      <c r="T46" s="31"/>
      <c r="U46" s="31"/>
      <c r="V46" s="31"/>
      <c r="W46" s="31"/>
      <c r="X46" s="31"/>
      <c r="Y46" s="31"/>
      <c r="Z46" s="31"/>
    </row>
    <row r="47" spans="1:26" ht="16">
      <c r="A47" s="31" t="s">
        <v>97</v>
      </c>
      <c r="B47" s="223" t="s">
        <v>37</v>
      </c>
      <c r="C47" s="31"/>
      <c r="D47" s="230">
        <f>D9/('IS Hist Forecast'!D$5/365)</f>
        <v>32.712264150943398</v>
      </c>
      <c r="E47" s="230">
        <f>E9/('IS Hist Forecast'!E$5/365)</f>
        <v>35.309219858156027</v>
      </c>
      <c r="F47" s="230">
        <f>F9/('IS Hist Forecast'!F$5/365)</f>
        <v>35.597041069311196</v>
      </c>
      <c r="G47" s="31"/>
      <c r="H47" s="297">
        <f t="shared" si="17"/>
        <v>34.539508359470204</v>
      </c>
      <c r="I47" s="297">
        <f t="shared" ref="I47:J47" si="20">H47</f>
        <v>34.539508359470204</v>
      </c>
      <c r="J47" s="297">
        <f t="shared" si="20"/>
        <v>34.539508359470204</v>
      </c>
      <c r="K47" s="12"/>
      <c r="L47" s="127"/>
      <c r="M47" s="89"/>
      <c r="N47" s="89"/>
      <c r="O47" s="89"/>
      <c r="P47" s="7"/>
      <c r="Q47" s="7"/>
      <c r="R47" s="7"/>
      <c r="S47" s="31"/>
      <c r="T47" s="31"/>
      <c r="U47" s="31"/>
      <c r="V47" s="31"/>
      <c r="W47" s="31"/>
      <c r="X47" s="31"/>
      <c r="Y47" s="31"/>
      <c r="Z47" s="31"/>
    </row>
    <row r="48" spans="1:26" ht="16">
      <c r="A48" s="31" t="s">
        <v>97</v>
      </c>
      <c r="B48" s="127" t="s">
        <v>39</v>
      </c>
      <c r="C48" s="31"/>
      <c r="D48" s="230">
        <f>D11/'IS Hist Forecast'!D$4</f>
        <v>3.2769930855150405E-2</v>
      </c>
      <c r="E48" s="230">
        <f>E11/'IS Hist Forecast'!E$4</f>
        <v>3.0021141649048625E-2</v>
      </c>
      <c r="F48" s="230">
        <f>F11/'IS Hist Forecast'!F$4</f>
        <v>2.7523056307312332E-2</v>
      </c>
      <c r="G48" s="183"/>
      <c r="H48" s="297">
        <f t="shared" si="17"/>
        <v>3.0104709603837123E-2</v>
      </c>
      <c r="I48" s="297">
        <f t="shared" ref="I48:J48" si="21">H48</f>
        <v>3.0104709603837123E-2</v>
      </c>
      <c r="J48" s="297">
        <f t="shared" si="21"/>
        <v>3.0104709603837123E-2</v>
      </c>
      <c r="K48" s="31"/>
      <c r="L48" s="127"/>
      <c r="M48" s="89"/>
      <c r="N48" s="89"/>
      <c r="O48" s="89"/>
      <c r="P48" s="7"/>
      <c r="Q48" s="7"/>
      <c r="R48" s="7"/>
      <c r="S48" s="31"/>
      <c r="T48" s="31"/>
      <c r="U48" s="31"/>
      <c r="V48" s="31"/>
      <c r="W48" s="31"/>
      <c r="X48" s="31"/>
      <c r="Y48" s="31"/>
      <c r="Z48" s="31"/>
    </row>
    <row r="49" spans="1:15" ht="16">
      <c r="A49" s="31" t="s">
        <v>97</v>
      </c>
      <c r="B49" s="127" t="s">
        <v>41</v>
      </c>
      <c r="C49" s="31"/>
      <c r="D49" s="31"/>
      <c r="E49" s="230">
        <f>IF(((E13-D13)/('IS Hist Forecast'!E$8-'IS Hist Forecast'!E12))&lt;0,0,(E13-D13)/('IS Hist Forecast'!E$8-'IS Hist Forecast'!E12))</f>
        <v>0</v>
      </c>
      <c r="F49" s="230">
        <f>IF(((F13-E13)/('IS Hist Forecast'!F$8-'IS Hist Forecast'!F12))&lt;0,0,(F13-E13)/('IS Hist Forecast'!F$8-'IS Hist Forecast'!F12))</f>
        <v>0.12680839502818719</v>
      </c>
      <c r="G49" s="31"/>
      <c r="H49" s="323">
        <v>0.14000000000000001</v>
      </c>
      <c r="I49" s="323">
        <f t="shared" ref="I49:J50" si="22">H49</f>
        <v>0.14000000000000001</v>
      </c>
      <c r="J49" s="323">
        <f t="shared" si="22"/>
        <v>0.14000000000000001</v>
      </c>
      <c r="K49" s="31"/>
      <c r="L49" s="127"/>
      <c r="M49" s="89"/>
      <c r="N49" s="89"/>
      <c r="O49" s="89"/>
    </row>
    <row r="50" spans="1:15" ht="16">
      <c r="A50" s="31" t="s">
        <v>97</v>
      </c>
      <c r="B50" s="223" t="s">
        <v>100</v>
      </c>
      <c r="C50" s="31"/>
      <c r="D50" s="230">
        <f>D14/'IS Hist Forecast'!D$4</f>
        <v>0.10139767153241534</v>
      </c>
      <c r="E50" s="230">
        <f>E14/'IS Hist Forecast'!E$4</f>
        <v>0.11737843551797041</v>
      </c>
      <c r="F50" s="230">
        <f>F14/'IS Hist Forecast'!F$4</f>
        <v>0.13090202054704539</v>
      </c>
      <c r="G50" s="31"/>
      <c r="H50" s="297">
        <f>AVERAGE(D50:F50)</f>
        <v>0.11655937586581037</v>
      </c>
      <c r="I50" s="297">
        <f>H50</f>
        <v>0.11655937586581037</v>
      </c>
      <c r="J50" s="297">
        <f t="shared" si="22"/>
        <v>0.11655937586581037</v>
      </c>
      <c r="K50" s="31"/>
      <c r="L50" s="127"/>
      <c r="M50" s="89"/>
      <c r="N50" s="89"/>
      <c r="O50" s="89"/>
    </row>
    <row r="51" spans="1:15" ht="16">
      <c r="A51" s="31" t="s">
        <v>101</v>
      </c>
      <c r="B51" s="127" t="s">
        <v>47</v>
      </c>
      <c r="C51" s="31"/>
      <c r="D51" s="230">
        <f>D17/('IS Hist Forecast'!D$5/365)</f>
        <v>118.20927289461574</v>
      </c>
      <c r="E51" s="230">
        <f>E17/('IS Hist Forecast'!E$5/365)</f>
        <v>124.99049645390072</v>
      </c>
      <c r="F51" s="230">
        <f>F17/('IS Hist Forecast'!F$5/365)</f>
        <v>134.95203190686644</v>
      </c>
      <c r="G51" s="31"/>
      <c r="H51" s="297">
        <f t="shared" ref="H51:H52" si="23">AVERAGE(D51:F51)</f>
        <v>126.05060041846097</v>
      </c>
      <c r="I51" s="297">
        <f t="shared" ref="I51:I52" si="24">H51</f>
        <v>126.05060041846097</v>
      </c>
      <c r="J51" s="297">
        <f t="shared" ref="J51:J52" si="25">I51</f>
        <v>126.05060041846097</v>
      </c>
      <c r="K51" s="31"/>
      <c r="L51" s="127"/>
      <c r="M51" s="89"/>
      <c r="N51" s="89"/>
      <c r="O51" s="89"/>
    </row>
    <row r="52" spans="1:15" ht="16">
      <c r="A52" s="31" t="s">
        <v>101</v>
      </c>
      <c r="B52" s="127" t="s">
        <v>48</v>
      </c>
      <c r="C52" s="31"/>
      <c r="D52" s="230">
        <f>D18/'IS Hist Forecast'!D4</f>
        <v>0.13376868979374743</v>
      </c>
      <c r="E52" s="230">
        <f>E18/'IS Hist Forecast'!E4</f>
        <v>0.1370260747004933</v>
      </c>
      <c r="F52" s="230">
        <f>F18/'IS Hist Forecast'!F4</f>
        <v>0.1382458813946767</v>
      </c>
      <c r="G52" s="31"/>
      <c r="H52" s="297">
        <f t="shared" si="23"/>
        <v>0.13634688196297248</v>
      </c>
      <c r="I52" s="297">
        <f t="shared" si="24"/>
        <v>0.13634688196297248</v>
      </c>
      <c r="J52" s="297">
        <f t="shared" si="25"/>
        <v>0.13634688196297248</v>
      </c>
      <c r="K52" s="31"/>
      <c r="L52" s="127"/>
      <c r="M52" s="89"/>
      <c r="N52" s="89"/>
      <c r="O52" s="89"/>
    </row>
    <row r="53" spans="1:15" ht="15">
      <c r="A53" s="31" t="s">
        <v>101</v>
      </c>
      <c r="B53" s="31" t="s">
        <v>102</v>
      </c>
      <c r="C53" s="31"/>
      <c r="D53" s="31"/>
      <c r="E53" s="31"/>
      <c r="F53" s="31"/>
      <c r="G53" s="31"/>
      <c r="H53" s="232">
        <v>0</v>
      </c>
      <c r="I53" s="232">
        <v>0</v>
      </c>
      <c r="J53" s="232">
        <v>0</v>
      </c>
      <c r="K53" s="31"/>
      <c r="L53" s="127"/>
      <c r="M53" s="88"/>
      <c r="N53" s="88"/>
      <c r="O53" s="88"/>
    </row>
    <row r="54" spans="1:15">
      <c r="A54" s="31" t="s">
        <v>101</v>
      </c>
      <c r="B54" s="31" t="s">
        <v>103</v>
      </c>
      <c r="C54" s="31"/>
      <c r="D54" s="31"/>
      <c r="E54" s="31"/>
      <c r="F54" s="31"/>
      <c r="G54" s="31"/>
      <c r="H54" s="232">
        <v>0</v>
      </c>
      <c r="I54" s="232">
        <v>0</v>
      </c>
      <c r="J54" s="232">
        <v>0</v>
      </c>
      <c r="K54" s="31"/>
      <c r="L54" s="336"/>
      <c r="M54" s="31"/>
      <c r="N54" s="31"/>
      <c r="O54" s="31"/>
    </row>
    <row r="55" spans="1:15" ht="16">
      <c r="A55" s="31" t="s">
        <v>104</v>
      </c>
      <c r="B55" s="127" t="s">
        <v>105</v>
      </c>
      <c r="C55" s="31"/>
      <c r="D55" s="230">
        <f>D22/'IS Hist Forecast'!D4</f>
        <v>0.10192955499083979</v>
      </c>
      <c r="E55" s="230">
        <f>E22/'IS Hist Forecast'!E4</f>
        <v>8.7371388301620861E-2</v>
      </c>
      <c r="F55" s="230">
        <f>F22/'IS Hist Forecast'!F4</f>
        <v>8.0835019312120657E-2</v>
      </c>
      <c r="G55" s="31"/>
      <c r="H55" s="297">
        <f>AVERAGE(D55:F55)</f>
        <v>9.0045320868193779E-2</v>
      </c>
      <c r="I55" s="297">
        <f>H55</f>
        <v>9.0045320868193779E-2</v>
      </c>
      <c r="J55" s="297">
        <f>I55</f>
        <v>9.0045320868193779E-2</v>
      </c>
      <c r="K55" s="31"/>
      <c r="L55" s="336"/>
      <c r="M55" s="31"/>
      <c r="N55" s="31"/>
      <c r="O55" s="31"/>
    </row>
    <row r="56" spans="1:15" ht="16">
      <c r="A56" s="31" t="s">
        <v>104</v>
      </c>
      <c r="B56" s="127" t="s">
        <v>106</v>
      </c>
      <c r="C56" s="31"/>
      <c r="D56" s="230">
        <f>D23/'IS Hist Forecast'!D4</f>
        <v>0.15086283316588855</v>
      </c>
      <c r="E56" s="230">
        <f>E23/'IS Hist Forecast'!E4</f>
        <v>0.15658914728682172</v>
      </c>
      <c r="F56" s="230">
        <f>F23/'IS Hist Forecast'!F4</f>
        <v>0.13490895714548465</v>
      </c>
      <c r="G56" s="31"/>
      <c r="H56" s="297">
        <f>AVERAGE(D56:F56)</f>
        <v>0.14745364586606499</v>
      </c>
      <c r="I56" s="297">
        <f>H56</f>
        <v>0.14745364586606499</v>
      </c>
      <c r="J56" s="297">
        <f>I56</f>
        <v>0.14745364586606499</v>
      </c>
      <c r="K56" s="31"/>
      <c r="L56" s="336"/>
      <c r="M56" s="31"/>
      <c r="N56" s="31"/>
      <c r="O56" s="31"/>
    </row>
    <row r="57" spans="1:15">
      <c r="A57" s="31" t="s">
        <v>101</v>
      </c>
      <c r="B57" s="31" t="s">
        <v>107</v>
      </c>
      <c r="C57" s="31"/>
      <c r="D57" s="31"/>
      <c r="E57" s="31"/>
      <c r="F57" s="31"/>
      <c r="G57" s="31"/>
      <c r="H57" s="232">
        <v>0</v>
      </c>
      <c r="I57" s="232">
        <v>0</v>
      </c>
      <c r="J57" s="232">
        <v>0</v>
      </c>
      <c r="K57" s="31"/>
      <c r="L57" s="336"/>
      <c r="M57" s="31"/>
      <c r="N57" s="31"/>
      <c r="O57" s="31"/>
    </row>
    <row r="58" spans="1:15">
      <c r="A58" s="31" t="s">
        <v>101</v>
      </c>
      <c r="B58" s="31" t="s">
        <v>108</v>
      </c>
      <c r="C58" s="31"/>
      <c r="D58" s="31"/>
      <c r="E58" s="31"/>
      <c r="F58" s="31"/>
      <c r="G58" s="31"/>
      <c r="H58" s="232">
        <v>0</v>
      </c>
      <c r="I58" s="232">
        <v>0</v>
      </c>
      <c r="J58" s="232">
        <v>0</v>
      </c>
      <c r="K58" s="31"/>
      <c r="L58" s="336"/>
      <c r="M58" s="31"/>
      <c r="N58" s="31"/>
      <c r="O58" s="31"/>
    </row>
    <row r="59" spans="1:15" ht="16">
      <c r="A59" s="31" t="s">
        <v>101</v>
      </c>
      <c r="B59" s="127" t="s">
        <v>59</v>
      </c>
      <c r="C59" s="31"/>
      <c r="D59" s="31"/>
      <c r="E59" s="31"/>
      <c r="F59" s="31"/>
      <c r="G59" s="31"/>
      <c r="H59" s="323">
        <v>65</v>
      </c>
      <c r="I59" s="323">
        <v>65</v>
      </c>
      <c r="J59" s="323">
        <v>65</v>
      </c>
      <c r="K59" s="31"/>
      <c r="L59" s="336"/>
      <c r="M59" s="31"/>
      <c r="N59" s="31"/>
      <c r="O59" s="31"/>
    </row>
    <row r="60" spans="1:15" ht="16">
      <c r="A60" s="31" t="s">
        <v>101</v>
      </c>
      <c r="B60" s="127" t="s">
        <v>60</v>
      </c>
      <c r="C60" s="31"/>
      <c r="D60" s="31"/>
      <c r="E60" s="31"/>
      <c r="F60" s="31"/>
      <c r="G60" s="31"/>
      <c r="H60" s="232">
        <v>0</v>
      </c>
      <c r="I60" s="232">
        <v>0</v>
      </c>
      <c r="J60" s="232">
        <v>0</v>
      </c>
      <c r="K60" s="31"/>
      <c r="L60" s="336"/>
      <c r="M60" s="31"/>
      <c r="N60" s="31"/>
      <c r="O60" s="31"/>
    </row>
    <row r="61" spans="1:15" ht="16">
      <c r="A61" s="31" t="s">
        <v>101</v>
      </c>
      <c r="B61" s="127" t="s">
        <v>63</v>
      </c>
      <c r="C61" s="31"/>
      <c r="D61" s="31"/>
      <c r="E61" s="31"/>
      <c r="F61" s="31"/>
      <c r="G61" s="31"/>
      <c r="H61" s="232">
        <v>0</v>
      </c>
      <c r="I61" s="232">
        <v>0</v>
      </c>
      <c r="J61" s="232">
        <v>0</v>
      </c>
      <c r="K61" s="31"/>
      <c r="L61" s="336"/>
      <c r="M61" s="31"/>
      <c r="N61" s="31"/>
      <c r="O61" s="31"/>
    </row>
    <row r="62" spans="1:15" ht="16">
      <c r="A62" s="31" t="s">
        <v>101</v>
      </c>
      <c r="B62" s="127" t="s">
        <v>109</v>
      </c>
      <c r="C62" s="31"/>
      <c r="D62" s="31"/>
      <c r="E62" s="31"/>
      <c r="F62" s="31"/>
      <c r="G62" s="31"/>
      <c r="H62" s="232">
        <v>0</v>
      </c>
      <c r="I62" s="232">
        <v>0</v>
      </c>
      <c r="J62" s="232">
        <v>0</v>
      </c>
      <c r="K62" s="335"/>
      <c r="L62" s="336"/>
      <c r="M62"/>
      <c r="N62"/>
      <c r="O62"/>
    </row>
    <row r="63" spans="1:15" ht="16">
      <c r="A63" s="31"/>
      <c r="B63" s="127" t="s">
        <v>93</v>
      </c>
      <c r="C63" s="31"/>
      <c r="D63" s="31"/>
      <c r="E63" s="31"/>
      <c r="F63" s="31"/>
      <c r="G63" s="31"/>
      <c r="H63" s="31"/>
      <c r="I63" s="31"/>
      <c r="J63" s="31"/>
      <c r="K63" s="31"/>
      <c r="L63" s="336"/>
      <c r="M63" s="31"/>
      <c r="N63" s="31"/>
      <c r="O63" s="31"/>
    </row>
  </sheetData>
  <mergeCells count="2">
    <mergeCell ref="L32:S32"/>
    <mergeCell ref="L33:S33"/>
  </mergeCells>
  <printOptions headings="1" gridLines="1"/>
  <pageMargins left="0.7" right="0.7" top="0.75" bottom="0.75" header="0.3" footer="0.3"/>
  <pageSetup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1:J38"/>
  <sheetViews>
    <sheetView showGridLines="0" topLeftCell="B16" zoomScale="145" zoomScaleNormal="145" zoomScaleSheetLayoutView="100" workbookViewId="0">
      <selection activeCell="C16" sqref="C16"/>
    </sheetView>
  </sheetViews>
  <sheetFormatPr baseColWidth="10" defaultColWidth="9.1640625" defaultRowHeight="13"/>
  <cols>
    <col min="1" max="1" width="2.6640625" style="5" customWidth="1"/>
    <col min="2" max="2" width="60.1640625" style="5" bestFit="1" customWidth="1"/>
    <col min="3" max="3" width="2.6640625" style="5" customWidth="1"/>
    <col min="4" max="4" width="13.6640625" style="5" customWidth="1"/>
    <col min="5" max="6" width="10.5" style="5" customWidth="1"/>
    <col min="7" max="7" width="2.6640625" style="5" customWidth="1"/>
    <col min="8" max="16384" width="9.1640625" style="5"/>
  </cols>
  <sheetData>
    <row r="1" spans="2:8">
      <c r="B1" s="15" t="s">
        <v>70</v>
      </c>
      <c r="C1" s="31"/>
      <c r="D1" s="31"/>
      <c r="E1" s="31"/>
      <c r="F1" s="31"/>
      <c r="G1" s="31"/>
      <c r="H1" s="31"/>
    </row>
    <row r="2" spans="2:8" ht="14">
      <c r="B2" s="16" t="s">
        <v>110</v>
      </c>
      <c r="C2" s="16"/>
      <c r="D2" s="353" t="s">
        <v>73</v>
      </c>
      <c r="E2" s="353"/>
      <c r="F2" s="353"/>
      <c r="G2" s="31"/>
      <c r="H2" s="31"/>
    </row>
    <row r="3" spans="2:8" ht="14">
      <c r="B3" s="16" t="s">
        <v>111</v>
      </c>
      <c r="C3" s="16"/>
      <c r="D3" s="354">
        <v>2022</v>
      </c>
      <c r="E3" s="354">
        <v>2023</v>
      </c>
      <c r="F3" s="354">
        <v>2024</v>
      </c>
      <c r="G3" s="31"/>
      <c r="H3" s="31"/>
    </row>
    <row r="4" spans="2:8">
      <c r="B4" s="16"/>
      <c r="C4" s="16"/>
      <c r="D4" s="31"/>
      <c r="E4" s="31"/>
      <c r="F4" s="31"/>
      <c r="G4" s="31"/>
      <c r="H4" s="31"/>
    </row>
    <row r="5" spans="2:8">
      <c r="B5" s="13" t="s">
        <v>112</v>
      </c>
      <c r="C5" s="13"/>
      <c r="D5" s="31"/>
      <c r="E5" s="31"/>
      <c r="F5" s="31"/>
      <c r="G5" s="31"/>
      <c r="H5" s="31"/>
    </row>
    <row r="6" spans="2:8">
      <c r="B6" s="31" t="s">
        <v>113</v>
      </c>
      <c r="C6" s="31"/>
      <c r="D6" s="112">
        <f ca="1">'IS Hist Forecast'!H13</f>
        <v>11683.197916301018</v>
      </c>
      <c r="E6" s="112">
        <f ca="1">'IS Hist Forecast'!I13</f>
        <v>12203.268582058819</v>
      </c>
      <c r="F6" s="112">
        <f ca="1">'IS Hist Forecast'!J13</f>
        <v>12748.837256479994</v>
      </c>
      <c r="G6" s="31"/>
      <c r="H6" s="31"/>
    </row>
    <row r="7" spans="2:8" ht="14.25" customHeight="1">
      <c r="B7" s="31" t="s">
        <v>114</v>
      </c>
      <c r="C7" s="31"/>
      <c r="D7" s="181"/>
      <c r="E7" s="181"/>
      <c r="F7" s="181"/>
      <c r="G7" s="31"/>
      <c r="H7" s="31"/>
    </row>
    <row r="8" spans="2:8">
      <c r="B8" s="31" t="s">
        <v>115</v>
      </c>
      <c r="C8" s="31"/>
      <c r="D8" s="112">
        <f>'BAL Hist Forecast'!H22-'BAL Hist Forecast'!F22</f>
        <v>975.23252319898074</v>
      </c>
      <c r="E8" s="112">
        <f>'BAL Hist Forecast'!I22-'BAL Hist Forecast'!H22</f>
        <v>285.12930092795887</v>
      </c>
      <c r="F8" s="112">
        <f>'BAL Hist Forecast'!J22-'BAL Hist Forecast'!I22</f>
        <v>296.53447296507784</v>
      </c>
      <c r="G8" s="31"/>
      <c r="H8" s="31"/>
    </row>
    <row r="9" spans="2:8">
      <c r="B9" s="31" t="s">
        <v>116</v>
      </c>
      <c r="C9" s="31"/>
      <c r="D9" s="112">
        <f>'BAL Hist Forecast'!H23-'BAL Hist Forecast'!F23</f>
        <v>1403.8316806744606</v>
      </c>
      <c r="E9" s="112">
        <f>'BAL Hist Forecast'!I23-'BAL Hist Forecast'!H23</f>
        <v>466.91326722697704</v>
      </c>
      <c r="F9" s="112">
        <f>'BAL Hist Forecast'!J23-'BAL Hist Forecast'!I23</f>
        <v>485.58979791605816</v>
      </c>
      <c r="G9" s="31"/>
      <c r="H9" s="31"/>
    </row>
    <row r="10" spans="2:8">
      <c r="B10" s="31" t="s">
        <v>117</v>
      </c>
      <c r="C10" s="31" t="s">
        <v>93</v>
      </c>
      <c r="D10" s="112">
        <f>-('BAL Hist Forecast'!H5-'BAL Hist Forecast'!F5)</f>
        <v>-397.09089457732262</v>
      </c>
      <c r="E10" s="112">
        <f>-('BAL Hist Forecast'!I5-'BAL Hist Forecast'!H5)</f>
        <v>-204.88363578309236</v>
      </c>
      <c r="F10" s="112">
        <f>-('BAL Hist Forecast'!J5-'BAL Hist Forecast'!I5)</f>
        <v>-213.07898121441667</v>
      </c>
      <c r="G10" s="34"/>
      <c r="H10" s="34"/>
    </row>
    <row r="11" spans="2:8">
      <c r="B11" s="31" t="s">
        <v>118</v>
      </c>
      <c r="C11" s="31" t="s">
        <v>93</v>
      </c>
      <c r="D11" s="112">
        <f>-('BAL Hist Forecast'!H10-'BAL Hist Forecast'!F10)</f>
        <v>-97.920203538607893</v>
      </c>
      <c r="E11" s="112">
        <f>-('BAL Hist Forecast'!I10-'BAL Hist Forecast'!H10)</f>
        <v>-243.23680814154432</v>
      </c>
      <c r="F11" s="112">
        <f>-('BAL Hist Forecast'!J10-'BAL Hist Forecast'!I10)</f>
        <v>-252.96628046720616</v>
      </c>
      <c r="G11" s="31"/>
      <c r="H11" s="31"/>
    </row>
    <row r="12" spans="2:8">
      <c r="B12" s="31" t="s">
        <v>119</v>
      </c>
      <c r="C12" s="31" t="s">
        <v>93</v>
      </c>
      <c r="D12" s="112">
        <f>-('BAL Hist Forecast'!H11-'BAL Hist Forecast'!F11)</f>
        <v>-288.17069704986898</v>
      </c>
      <c r="E12" s="112">
        <f>-('BAL Hist Forecast'!I11-'BAL Hist Forecast'!H11)</f>
        <v>-95.326827881994632</v>
      </c>
      <c r="F12" s="112">
        <f>-('BAL Hist Forecast'!J11-'BAL Hist Forecast'!I11)</f>
        <v>-99.139900997274708</v>
      </c>
      <c r="G12" s="31"/>
      <c r="H12" s="31"/>
    </row>
    <row r="13" spans="2:8">
      <c r="B13" s="31" t="s">
        <v>120</v>
      </c>
      <c r="C13" s="31"/>
      <c r="D13" s="112">
        <f>('BAL Hist Forecast'!H17+'BAL Hist Forecast'!H18)-('BAL Hist Forecast'!F17+'BAL Hist Forecast'!F18)</f>
        <v>201.70181094245345</v>
      </c>
      <c r="E13" s="112">
        <f>('BAL Hist Forecast'!I17+'BAL Hist Forecast'!I18)-('BAL Hist Forecast'!H17+'BAL Hist Forecast'!H18)</f>
        <v>977.78807243769552</v>
      </c>
      <c r="F13" s="112">
        <f>('BAL Hist Forecast'!J17+'BAL Hist Forecast'!J18)-('BAL Hist Forecast'!I17+'BAL Hist Forecast'!I18)</f>
        <v>1016.899595335206</v>
      </c>
      <c r="G13" s="31"/>
      <c r="H13" s="31"/>
    </row>
    <row r="14" spans="2:8" ht="16">
      <c r="B14" s="31" t="s">
        <v>121</v>
      </c>
      <c r="C14" s="31"/>
      <c r="D14" s="114">
        <f>'BAL Hist Forecast'!H28-'BAL Hist Forecast'!F28</f>
        <v>65</v>
      </c>
      <c r="E14" s="114">
        <f>'BAL Hist Forecast'!I28-'BAL Hist Forecast'!H28</f>
        <v>65</v>
      </c>
      <c r="F14" s="114">
        <f>'BAL Hist Forecast'!J28-'BAL Hist Forecast'!I28</f>
        <v>65</v>
      </c>
      <c r="G14" s="31"/>
      <c r="H14" s="31"/>
    </row>
    <row r="15" spans="2:8">
      <c r="B15" s="15" t="s">
        <v>122</v>
      </c>
      <c r="C15" s="15"/>
      <c r="D15" s="112">
        <f ca="1">SUM(D6:D14)</f>
        <v>13545.782135951114</v>
      </c>
      <c r="E15" s="112">
        <f t="shared" ref="E15:F15" ca="1" si="0">SUM(E6:E14)</f>
        <v>13454.65195084482</v>
      </c>
      <c r="F15" s="112">
        <f t="shared" ca="1" si="0"/>
        <v>14047.675960017437</v>
      </c>
      <c r="G15" s="31"/>
      <c r="H15" s="31"/>
    </row>
    <row r="16" spans="2:8">
      <c r="B16" s="31"/>
      <c r="C16" s="31"/>
      <c r="D16" s="181"/>
      <c r="E16" s="181"/>
      <c r="F16" s="181"/>
      <c r="G16" s="31"/>
      <c r="H16" s="31"/>
    </row>
    <row r="17" spans="2:10">
      <c r="B17" s="13" t="s">
        <v>123</v>
      </c>
      <c r="C17" s="13"/>
      <c r="D17" s="181"/>
      <c r="E17" s="181"/>
      <c r="F17" s="181"/>
      <c r="G17" s="31"/>
      <c r="H17" s="31"/>
      <c r="I17" s="31"/>
      <c r="J17" s="31"/>
    </row>
    <row r="18" spans="2:10">
      <c r="B18" s="31" t="s">
        <v>124</v>
      </c>
      <c r="C18" s="31" t="s">
        <v>93</v>
      </c>
      <c r="D18" s="152">
        <f ca="1">-('BAL Hist Forecast'!H13-'BAL Hist Forecast'!F13+'BAL Hist Forecast'!H14-'BAL Hist Forecast'!F14)</f>
        <v>-903.21250777644673</v>
      </c>
      <c r="E18" s="152">
        <f ca="1">-('BAL Hist Forecast'!I13-'BAL Hist Forecast'!H13+'BAL Hist Forecast'!I14-'BAL Hist Forecast'!H14)</f>
        <v>-2071.1068849749372</v>
      </c>
      <c r="F18" s="152">
        <f ca="1">-('BAL Hist Forecast'!J13-'BAL Hist Forecast'!I13+'BAL Hist Forecast'!J14-'BAL Hist Forecast'!I14)</f>
        <v>-2149.9905149730166</v>
      </c>
      <c r="G18" s="31"/>
      <c r="H18" s="31"/>
      <c r="I18" s="31" t="s">
        <v>93</v>
      </c>
      <c r="J18" s="31"/>
    </row>
    <row r="19" spans="2:10">
      <c r="B19" s="15" t="s">
        <v>125</v>
      </c>
      <c r="C19" s="15"/>
      <c r="D19" s="112">
        <f ca="1">SUM(D18:D18)</f>
        <v>-903.21250777644673</v>
      </c>
      <c r="E19" s="112">
        <f t="shared" ref="E19:F19" ca="1" si="1">SUM(E18:E18)</f>
        <v>-2071.1068849749372</v>
      </c>
      <c r="F19" s="112">
        <f t="shared" ca="1" si="1"/>
        <v>-2149.9905149730166</v>
      </c>
      <c r="G19" s="31"/>
      <c r="H19" s="31"/>
      <c r="I19" s="31"/>
      <c r="J19" s="31"/>
    </row>
    <row r="20" spans="2:10">
      <c r="B20" s="31"/>
      <c r="C20" s="31"/>
      <c r="D20" s="181"/>
      <c r="E20" s="181"/>
      <c r="F20" s="181"/>
      <c r="G20" s="31"/>
      <c r="H20" s="31"/>
      <c r="I20" s="31"/>
      <c r="J20" s="31"/>
    </row>
    <row r="21" spans="2:10">
      <c r="B21" s="13" t="s">
        <v>126</v>
      </c>
      <c r="C21" s="13"/>
      <c r="D21" s="181"/>
      <c r="E21" s="181"/>
      <c r="F21" s="181"/>
      <c r="G21" s="31"/>
      <c r="H21" s="31"/>
      <c r="I21" s="31"/>
      <c r="J21" s="31"/>
    </row>
    <row r="22" spans="2:10">
      <c r="B22" s="31" t="s">
        <v>127</v>
      </c>
      <c r="C22" s="31"/>
      <c r="D22" s="112">
        <f ca="1">'BAL Hist Forecast'!H19-'BAL Hist Forecast'!F19</f>
        <v>-667.5696281746641</v>
      </c>
      <c r="E22" s="112">
        <f ca="1">'BAL Hist Forecast'!I19-'BAL Hist Forecast'!H19</f>
        <v>-3120.5450658698974</v>
      </c>
      <c r="F22" s="112">
        <f ca="1">'BAL Hist Forecast'!J19-'BAL Hist Forecast'!I19</f>
        <v>-3634.6854450444225</v>
      </c>
      <c r="G22" s="31"/>
      <c r="H22" s="31"/>
      <c r="I22" s="31"/>
      <c r="J22" s="31"/>
    </row>
    <row r="23" spans="2:10">
      <c r="B23" s="31" t="s">
        <v>128</v>
      </c>
      <c r="C23" s="31"/>
      <c r="D23" s="112">
        <f>'BAL Hist Forecast'!H21-'BAL Hist Forecast'!F21</f>
        <v>0</v>
      </c>
      <c r="E23" s="112">
        <f>'BAL Hist Forecast'!I21-'BAL Hist Forecast'!H21</f>
        <v>0</v>
      </c>
      <c r="F23" s="112">
        <f>'BAL Hist Forecast'!J21-'BAL Hist Forecast'!I21</f>
        <v>0</v>
      </c>
      <c r="G23" s="31"/>
      <c r="H23" s="31"/>
      <c r="I23" s="31"/>
      <c r="J23" s="31"/>
    </row>
    <row r="24" spans="2:10">
      <c r="B24" s="31" t="s">
        <v>129</v>
      </c>
      <c r="C24" s="31"/>
      <c r="D24" s="112">
        <f>'BAL Hist Forecast'!H27-'BAL Hist Forecast'!F27</f>
        <v>0</v>
      </c>
      <c r="E24" s="112">
        <f>'BAL Hist Forecast'!I27-'BAL Hist Forecast'!H27</f>
        <v>0</v>
      </c>
      <c r="F24" s="112">
        <f>'BAL Hist Forecast'!J27-'BAL Hist Forecast'!I27</f>
        <v>0</v>
      </c>
      <c r="G24" s="31"/>
      <c r="H24" s="31"/>
      <c r="I24" s="31"/>
      <c r="J24" s="31"/>
    </row>
    <row r="25" spans="2:10">
      <c r="B25" s="31" t="s">
        <v>130</v>
      </c>
      <c r="C25" s="31"/>
      <c r="D25" s="112">
        <f>'BAL Hist Forecast'!H26-'BAL Hist Forecast'!F26</f>
        <v>0</v>
      </c>
      <c r="E25" s="112">
        <f>'BAL Hist Forecast'!I26-'BAL Hist Forecast'!H26</f>
        <v>0</v>
      </c>
      <c r="F25" s="112">
        <f>'BAL Hist Forecast'!J26-'BAL Hist Forecast'!I26</f>
        <v>0</v>
      </c>
      <c r="G25" s="31"/>
      <c r="H25" s="31"/>
      <c r="I25" s="31"/>
      <c r="J25" s="31"/>
    </row>
    <row r="26" spans="2:10">
      <c r="B26" s="31" t="s">
        <v>131</v>
      </c>
      <c r="C26" s="31"/>
      <c r="D26" s="184">
        <f>-'IS Hist Forecast'!H16</f>
        <v>-8263</v>
      </c>
      <c r="E26" s="184">
        <f>-'IS Hist Forecast'!I16</f>
        <v>-8263</v>
      </c>
      <c r="F26" s="184">
        <f>-'IS Hist Forecast'!J16</f>
        <v>-8263</v>
      </c>
      <c r="G26" s="31"/>
      <c r="H26" s="34" t="s">
        <v>93</v>
      </c>
      <c r="I26" s="35" t="s">
        <v>93</v>
      </c>
      <c r="J26" s="34" t="s">
        <v>93</v>
      </c>
    </row>
    <row r="27" spans="2:10">
      <c r="B27" s="31" t="s">
        <v>132</v>
      </c>
      <c r="C27" s="31"/>
      <c r="D27" s="112">
        <f>'BAL Hist Forecast'!H30-'BAL Hist Forecast'!F30</f>
        <v>0</v>
      </c>
      <c r="E27" s="112">
        <f>'BAL Hist Forecast'!I30-'BAL Hist Forecast'!H30</f>
        <v>0</v>
      </c>
      <c r="F27" s="112">
        <f>'BAL Hist Forecast'!J30-'BAL Hist Forecast'!I30</f>
        <v>0</v>
      </c>
      <c r="G27" s="31"/>
      <c r="H27" s="31"/>
      <c r="I27" s="31"/>
      <c r="J27" s="31"/>
    </row>
    <row r="28" spans="2:10">
      <c r="B28" s="15" t="s">
        <v>133</v>
      </c>
      <c r="C28" s="15"/>
      <c r="D28" s="185">
        <f ca="1">SUM(D22:D27)</f>
        <v>-8930.5696281746641</v>
      </c>
      <c r="E28" s="185">
        <f t="shared" ref="E28:F28" ca="1" si="2">SUM(E22:E27)</f>
        <v>-11383.545065869897</v>
      </c>
      <c r="F28" s="185">
        <f t="shared" ca="1" si="2"/>
        <v>-11897.685445044423</v>
      </c>
      <c r="G28" s="31"/>
      <c r="H28" s="31"/>
      <c r="I28" s="31"/>
      <c r="J28" s="31"/>
    </row>
    <row r="29" spans="2:10">
      <c r="B29" s="31"/>
      <c r="C29" s="31"/>
      <c r="D29" s="181"/>
      <c r="E29" s="181"/>
      <c r="F29" s="181"/>
      <c r="G29" s="183" t="s">
        <v>93</v>
      </c>
      <c r="H29" s="355" t="s">
        <v>93</v>
      </c>
      <c r="I29" s="31"/>
      <c r="J29" s="31"/>
    </row>
    <row r="30" spans="2:10">
      <c r="B30" s="31" t="s">
        <v>134</v>
      </c>
      <c r="C30" s="31"/>
      <c r="D30" s="112">
        <f ca="1">D15+D19+D28</f>
        <v>3712.0000000000036</v>
      </c>
      <c r="E30" s="112">
        <f t="shared" ref="E30:F30" ca="1" si="3">E15+E19+E28</f>
        <v>-1.4551915228366852E-11</v>
      </c>
      <c r="F30" s="112">
        <f t="shared" ca="1" si="3"/>
        <v>0</v>
      </c>
      <c r="G30" s="31"/>
      <c r="H30" s="31"/>
      <c r="I30" s="31"/>
      <c r="J30" s="31"/>
    </row>
    <row r="31" spans="2:10">
      <c r="B31" s="31" t="s">
        <v>135</v>
      </c>
      <c r="C31" s="31"/>
      <c r="D31" s="152">
        <f>'BAL Hist Forecast'!F4</f>
        <v>10288</v>
      </c>
      <c r="E31" s="152">
        <f ca="1">'BAL Hist Forecast'!H4</f>
        <v>14000</v>
      </c>
      <c r="F31" s="152">
        <f ca="1">'BAL Hist Forecast'!I4</f>
        <v>14000</v>
      </c>
      <c r="G31" s="31"/>
      <c r="H31" s="31"/>
      <c r="I31" s="31"/>
      <c r="J31" s="31"/>
    </row>
    <row r="32" spans="2:10" ht="14" thickBot="1">
      <c r="B32" s="31" t="s">
        <v>136</v>
      </c>
      <c r="C32" s="31"/>
      <c r="D32" s="186">
        <f ca="1">D30+D31</f>
        <v>14000.000000000004</v>
      </c>
      <c r="E32" s="186">
        <f t="shared" ref="E32:F32" ca="1" si="4">E30+E31</f>
        <v>13999.999999999985</v>
      </c>
      <c r="F32" s="186">
        <f t="shared" ca="1" si="4"/>
        <v>14000</v>
      </c>
      <c r="G32" s="31"/>
      <c r="H32" s="31"/>
      <c r="I32" s="31"/>
      <c r="J32" s="31"/>
    </row>
    <row r="33" spans="2:6" ht="15" thickTop="1" thickBot="1">
      <c r="B33" s="31"/>
      <c r="C33" s="31"/>
      <c r="D33" s="187"/>
      <c r="E33" s="187"/>
      <c r="F33" s="187"/>
    </row>
    <row r="34" spans="2:6" ht="14" thickBot="1">
      <c r="B34" s="153" t="s">
        <v>137</v>
      </c>
      <c r="C34" s="31"/>
      <c r="D34" s="154" t="str">
        <f ca="1">IF(ROUND(D32,0)=ROUND('BAL Hist Forecast'!H4,0),"YES","NO")</f>
        <v>YES</v>
      </c>
      <c r="E34" s="154" t="str">
        <f ca="1">IF(ROUND(E32,0)=ROUND('BAL Hist Forecast'!I4,0),"YES","NO")</f>
        <v>YES</v>
      </c>
      <c r="F34" s="154" t="str">
        <f ca="1">IF(ROUND(F32,0)=ROUND('BAL Hist Forecast'!J4,0),"YES","NO")</f>
        <v>YES</v>
      </c>
    </row>
    <row r="35" spans="2:6">
      <c r="B35" s="31"/>
      <c r="C35" s="31"/>
      <c r="D35" s="233"/>
      <c r="E35" s="181"/>
      <c r="F35" s="31"/>
    </row>
    <row r="36" spans="2:6">
      <c r="B36" s="31"/>
      <c r="C36" s="31"/>
      <c r="D36" s="188"/>
      <c r="E36" s="181"/>
      <c r="F36" s="31"/>
    </row>
    <row r="37" spans="2:6">
      <c r="B37" s="31"/>
      <c r="C37" s="31"/>
      <c r="D37" s="181"/>
      <c r="E37" s="181"/>
      <c r="F37" s="31"/>
    </row>
    <row r="38" spans="2:6">
      <c r="B38" s="31"/>
      <c r="C38" s="31"/>
      <c r="D38" s="181"/>
      <c r="E38" s="181"/>
      <c r="F38" s="31"/>
    </row>
  </sheetData>
  <printOptions headings="1" gridLines="1"/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FF0000"/>
  </sheetPr>
  <dimension ref="A1"/>
  <sheetViews>
    <sheetView view="pageBreakPreview" zoomScaleNormal="100" zoomScaleSheetLayoutView="100" workbookViewId="0">
      <selection activeCell="J22" sqref="J22"/>
    </sheetView>
  </sheetViews>
  <sheetFormatPr baseColWidth="10" defaultColWidth="8.83203125" defaultRowHeight="1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J25"/>
  <sheetViews>
    <sheetView showGridLines="0" topLeftCell="B9" zoomScaleNormal="100" zoomScaleSheetLayoutView="100" workbookViewId="0">
      <selection activeCell="D32" sqref="D32"/>
    </sheetView>
  </sheetViews>
  <sheetFormatPr baseColWidth="10" defaultColWidth="9.1640625" defaultRowHeight="13"/>
  <cols>
    <col min="1" max="1" width="2.6640625" style="5" customWidth="1"/>
    <col min="2" max="2" width="29.83203125" style="5" bestFit="1" customWidth="1"/>
    <col min="3" max="3" width="4.6640625" style="5" customWidth="1"/>
    <col min="4" max="4" width="11.6640625" style="5" bestFit="1" customWidth="1"/>
    <col min="5" max="5" width="10.5" style="5" bestFit="1" customWidth="1"/>
    <col min="6" max="6" width="11.33203125" style="5" bestFit="1" customWidth="1"/>
    <col min="7" max="7" width="11.33203125" style="5" customWidth="1"/>
    <col min="8" max="8" width="2.6640625" style="5" customWidth="1"/>
    <col min="9" max="16384" width="9.1640625" style="5"/>
  </cols>
  <sheetData>
    <row r="1" spans="2:10">
      <c r="B1" s="13" t="s">
        <v>138</v>
      </c>
      <c r="C1" s="31"/>
      <c r="D1" s="31"/>
      <c r="E1" s="31"/>
      <c r="F1" s="31"/>
      <c r="G1" s="31"/>
      <c r="H1" s="31"/>
      <c r="I1" s="31"/>
      <c r="J1" s="31"/>
    </row>
    <row r="2" spans="2:10">
      <c r="B2" s="13"/>
      <c r="C2" s="31"/>
      <c r="D2" s="31"/>
      <c r="E2" s="31"/>
      <c r="F2" s="31"/>
      <c r="G2" s="31"/>
      <c r="H2" s="31"/>
      <c r="I2" s="31"/>
      <c r="J2" s="13"/>
    </row>
    <row r="3" spans="2:10">
      <c r="B3" s="31"/>
      <c r="C3" s="31"/>
      <c r="D3" s="15">
        <v>2022</v>
      </c>
      <c r="E3" s="15">
        <v>2023</v>
      </c>
      <c r="F3" s="15">
        <v>2024</v>
      </c>
      <c r="G3" s="15"/>
      <c r="H3" s="31"/>
      <c r="I3" s="31"/>
      <c r="J3" s="31"/>
    </row>
    <row r="5" spans="2:10" ht="15" customHeight="1">
      <c r="B5" s="31" t="s">
        <v>139</v>
      </c>
      <c r="C5" s="118" t="s">
        <v>93</v>
      </c>
      <c r="D5" s="189">
        <f>'IS Hist Forecast'!H8</f>
        <v>17469.09143354572</v>
      </c>
      <c r="E5" s="189">
        <f>'IS Hist Forecast'!I8</f>
        <v>18167.855090887548</v>
      </c>
      <c r="F5" s="189">
        <f>'IS Hist Forecast'!J8</f>
        <v>18894.56929452304</v>
      </c>
      <c r="G5" s="31"/>
      <c r="H5" s="31"/>
      <c r="I5" s="31"/>
      <c r="J5" s="31"/>
    </row>
    <row r="6" spans="2:10">
      <c r="B6" s="31" t="s">
        <v>140</v>
      </c>
      <c r="C6" s="31"/>
      <c r="D6" s="190">
        <f ca="1">'IS Hist Forecast'!H12</f>
        <v>5754.4109139990096</v>
      </c>
      <c r="E6" s="190">
        <f ca="1">'IS Hist Forecast'!I12</f>
        <v>6010.5651225065822</v>
      </c>
      <c r="F6" s="190">
        <f ca="1">'IS Hist Forecast'!J12</f>
        <v>6279.2780516991015</v>
      </c>
      <c r="G6" s="87"/>
      <c r="H6" s="31"/>
      <c r="I6" s="31"/>
      <c r="J6" s="31"/>
    </row>
    <row r="7" spans="2:10">
      <c r="B7" s="31" t="s">
        <v>141</v>
      </c>
      <c r="C7" s="31"/>
      <c r="D7" s="190">
        <f>'CF Statement Forecast'!D8</f>
        <v>975.23252319898074</v>
      </c>
      <c r="E7" s="190">
        <f>'CF Statement Forecast'!E8</f>
        <v>285.12930092795887</v>
      </c>
      <c r="F7" s="190">
        <f>'CF Statement Forecast'!F8</f>
        <v>296.53447296507784</v>
      </c>
      <c r="G7" s="87"/>
      <c r="H7" s="31"/>
      <c r="I7" s="31"/>
      <c r="J7" s="31"/>
    </row>
    <row r="8" spans="2:10">
      <c r="B8" s="348" t="s">
        <v>142</v>
      </c>
      <c r="C8" s="348"/>
      <c r="D8" s="191">
        <f>'CF Statement Forecast'!D9</f>
        <v>1403.8316806744606</v>
      </c>
      <c r="E8" s="191">
        <f>'CF Statement Forecast'!E9</f>
        <v>466.91326722697704</v>
      </c>
      <c r="F8" s="191">
        <f>'CF Statement Forecast'!F9</f>
        <v>485.58979791605816</v>
      </c>
      <c r="G8" s="87"/>
      <c r="H8" s="31"/>
      <c r="I8" s="31"/>
      <c r="J8" s="31"/>
    </row>
    <row r="9" spans="2:10">
      <c r="B9" s="31" t="s">
        <v>143</v>
      </c>
      <c r="C9" s="31"/>
      <c r="D9" s="190">
        <f ca="1">D5-D6+D7+D8</f>
        <v>14093.744723420152</v>
      </c>
      <c r="E9" s="190">
        <f t="shared" ref="E9:F9" ca="1" si="0">E5-E6+E7+E8</f>
        <v>12909.332536535901</v>
      </c>
      <c r="F9" s="190">
        <f t="shared" ca="1" si="0"/>
        <v>13397.415513705077</v>
      </c>
      <c r="G9" s="87"/>
      <c r="H9" s="31"/>
      <c r="I9" s="31"/>
      <c r="J9" s="31"/>
    </row>
    <row r="10" spans="2:10">
      <c r="B10" s="31"/>
      <c r="C10" s="31"/>
      <c r="D10" s="87"/>
      <c r="E10" s="87"/>
      <c r="F10" s="87"/>
      <c r="G10" s="87"/>
      <c r="H10" s="31"/>
      <c r="I10" s="31"/>
      <c r="J10" s="31"/>
    </row>
    <row r="11" spans="2:10">
      <c r="B11" s="31" t="s">
        <v>144</v>
      </c>
      <c r="C11" s="31"/>
      <c r="D11" s="190">
        <f>'Supporting Schedules'!E15</f>
        <v>581.47998422334604</v>
      </c>
      <c r="E11" s="190">
        <f>'Supporting Schedules'!F15</f>
        <v>-434.34080063106558</v>
      </c>
      <c r="F11" s="190">
        <f>'Supporting Schedules'!G15</f>
        <v>-451.7144326563066</v>
      </c>
      <c r="G11" s="87"/>
      <c r="H11" s="31"/>
      <c r="I11" s="31"/>
      <c r="J11" s="31"/>
    </row>
    <row r="12" spans="2:10" ht="16">
      <c r="B12" s="348" t="s">
        <v>145</v>
      </c>
      <c r="C12" s="348"/>
      <c r="D12" s="299">
        <f ca="1">'Supporting Schedules'!E18</f>
        <v>903.21250777645037</v>
      </c>
      <c r="E12" s="299">
        <f ca="1">'Supporting Schedules'!F18</f>
        <v>2071.1068849749281</v>
      </c>
      <c r="F12" s="299">
        <f ca="1">'Supporting Schedules'!G18</f>
        <v>2149.9905149730184</v>
      </c>
      <c r="G12" s="87"/>
      <c r="H12" s="31"/>
      <c r="I12" s="31"/>
      <c r="J12" s="31"/>
    </row>
    <row r="13" spans="2:10">
      <c r="B13" s="31"/>
      <c r="C13" s="31"/>
      <c r="D13" s="87"/>
      <c r="E13" s="87"/>
      <c r="F13" s="87"/>
      <c r="G13" s="87"/>
      <c r="H13" s="31"/>
      <c r="I13" s="31"/>
      <c r="J13" s="31"/>
    </row>
    <row r="14" spans="2:10">
      <c r="B14" s="31" t="s">
        <v>146</v>
      </c>
      <c r="C14" s="31"/>
      <c r="D14" s="190">
        <f ca="1">D9-D11-D12</f>
        <v>12609.052231420355</v>
      </c>
      <c r="E14" s="190">
        <f t="shared" ref="E14:F14" ca="1" si="1">E9-E11-E12</f>
        <v>11272.566452192039</v>
      </c>
      <c r="F14" s="190">
        <f t="shared" ca="1" si="1"/>
        <v>11699.139431388365</v>
      </c>
      <c r="G14" s="87"/>
      <c r="H14" s="31"/>
      <c r="I14" s="31"/>
      <c r="J14" s="31"/>
    </row>
    <row r="15" spans="2:10">
      <c r="B15" s="348" t="s">
        <v>147</v>
      </c>
      <c r="C15" s="348"/>
      <c r="D15" s="192"/>
      <c r="E15" s="192"/>
      <c r="F15" s="189">
        <f ca="1">F14*(1+'WACC and Growth'!B20)/('WACC and Growth'!B13-'WACC and Growth'!B20)</f>
        <v>408104.67690833478</v>
      </c>
      <c r="G15" s="111" t="s">
        <v>93</v>
      </c>
      <c r="H15" s="31"/>
      <c r="I15" s="31"/>
      <c r="J15" s="31"/>
    </row>
    <row r="16" spans="2:10">
      <c r="B16" s="31" t="s">
        <v>148</v>
      </c>
      <c r="C16" s="31"/>
      <c r="D16" s="189">
        <f ca="1">D14</f>
        <v>12609.052231420355</v>
      </c>
      <c r="E16" s="189">
        <f ca="1">E14</f>
        <v>11272.566452192039</v>
      </c>
      <c r="F16" s="189">
        <f ca="1">F14+F15</f>
        <v>419803.81633972313</v>
      </c>
      <c r="G16" s="31"/>
      <c r="H16" s="31"/>
      <c r="I16" s="31"/>
      <c r="J16" s="31"/>
    </row>
    <row r="17" spans="2:7">
      <c r="B17" s="31"/>
      <c r="C17" s="31"/>
      <c r="D17" s="32"/>
      <c r="E17" s="32"/>
      <c r="F17" s="32"/>
      <c r="G17" s="32"/>
    </row>
    <row r="18" spans="2:7">
      <c r="B18" s="31"/>
      <c r="C18" s="31"/>
      <c r="D18" s="34"/>
      <c r="E18" s="34"/>
      <c r="F18" s="34"/>
      <c r="G18" s="34"/>
    </row>
    <row r="19" spans="2:7">
      <c r="B19" s="31" t="s">
        <v>149</v>
      </c>
      <c r="C19" s="31"/>
      <c r="D19" s="193">
        <f ca="1">NPV('WACC and Growth'!B13,'DCF Analysis'!D16:F16)</f>
        <v>396912.17689199216</v>
      </c>
      <c r="E19" s="34" t="s">
        <v>150</v>
      </c>
      <c r="F19" s="34"/>
      <c r="G19" s="34"/>
    </row>
    <row r="20" spans="2:7">
      <c r="B20" s="31" t="s">
        <v>417</v>
      </c>
      <c r="C20" s="31"/>
      <c r="D20" s="97">
        <f>'WACC and Growth'!B6+'WACC and Growth'!B8-'Balance Sheet'!D3</f>
        <v>24171.773642</v>
      </c>
      <c r="E20" s="34" t="s">
        <v>151</v>
      </c>
      <c r="F20" s="34"/>
      <c r="G20" s="34"/>
    </row>
    <row r="21" spans="2:7">
      <c r="B21" s="31" t="s">
        <v>152</v>
      </c>
      <c r="C21" s="31"/>
      <c r="D21" s="194">
        <f ca="1">D19-D20</f>
        <v>372740.40324999217</v>
      </c>
      <c r="E21" s="34" t="s">
        <v>153</v>
      </c>
      <c r="F21" s="34"/>
      <c r="G21" s="34"/>
    </row>
    <row r="22" spans="2:7" ht="14" thickBot="1">
      <c r="B22" s="31" t="s">
        <v>154</v>
      </c>
      <c r="C22" s="31"/>
      <c r="D22" s="337">
        <f ca="1">D21/WACC_growth_HARDCODE!B3</f>
        <v>153.40967312505799</v>
      </c>
      <c r="E22" s="34" t="s">
        <v>155</v>
      </c>
      <c r="F22" s="34"/>
      <c r="G22" s="34"/>
    </row>
    <row r="23" spans="2:7" ht="14" thickTop="1">
      <c r="B23" s="31"/>
      <c r="C23" s="31"/>
      <c r="D23" s="31"/>
      <c r="E23" s="31"/>
      <c r="F23" s="31"/>
      <c r="G23" s="31"/>
    </row>
    <row r="24" spans="2:7">
      <c r="B24" s="31"/>
      <c r="C24" s="31"/>
      <c r="D24" s="31"/>
      <c r="E24" s="31"/>
      <c r="F24" s="31"/>
      <c r="G24" s="31"/>
    </row>
    <row r="25" spans="2:7">
      <c r="B25" s="31"/>
      <c r="C25" s="31"/>
      <c r="D25" s="32" t="s">
        <v>93</v>
      </c>
      <c r="E25" s="31"/>
      <c r="F25" s="31"/>
      <c r="G25" s="31"/>
    </row>
  </sheetData>
  <pageMargins left="0.7" right="0.7" top="0.75" bottom="0.75" header="0.3" footer="0.3"/>
  <pageSetup orientation="landscape" r:id="rId1"/>
  <headerFooter>
    <oddHeader xml:space="preserve">&amp;C
</oddHeader>
    <oddFooter>&amp;C&amp;G&amp;R&amp;P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tabColor rgb="FFFF0000"/>
  </sheetPr>
  <dimension ref="A1"/>
  <sheetViews>
    <sheetView zoomScaleNormal="100" zoomScaleSheetLayoutView="100" workbookViewId="0">
      <selection activeCell="H27" sqref="H27"/>
    </sheetView>
  </sheetViews>
  <sheetFormatPr baseColWidth="10" defaultColWidth="9.1640625" defaultRowHeight="15"/>
  <cols>
    <col min="1" max="16384" width="9.1640625" style="212"/>
  </cols>
  <sheetData/>
  <pageMargins left="0.7" right="0.7" top="0.75" bottom="0.75" header="0.3" footer="0.3"/>
  <pageSetup orientation="landscape" r:id="rId1"/>
  <headerFooter>
    <oddHeader xml:space="preserve">&amp;C
</oddHeader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K19"/>
  <sheetViews>
    <sheetView showGridLines="0" zoomScale="90" zoomScaleNormal="90" workbookViewId="0">
      <selection activeCell="N31" sqref="N31"/>
    </sheetView>
  </sheetViews>
  <sheetFormatPr baseColWidth="10" defaultColWidth="9.1640625" defaultRowHeight="13"/>
  <cols>
    <col min="1" max="3" width="9.1640625" style="5"/>
    <col min="4" max="5" width="11.33203125" style="5" bestFit="1" customWidth="1"/>
    <col min="6" max="7" width="10.5" style="5" customWidth="1"/>
    <col min="8" max="8" width="10.5" style="5" bestFit="1" customWidth="1"/>
    <col min="9" max="16384" width="9.1640625" style="5"/>
  </cols>
  <sheetData>
    <row r="1" spans="1:11">
      <c r="A1" s="13" t="s">
        <v>156</v>
      </c>
      <c r="B1" s="31"/>
      <c r="C1" s="31"/>
      <c r="D1" s="31"/>
      <c r="E1" s="31"/>
      <c r="F1" s="31"/>
      <c r="G1" s="31"/>
      <c r="H1" s="13"/>
      <c r="I1" s="13"/>
      <c r="J1" s="31"/>
      <c r="K1" s="31"/>
    </row>
    <row r="2" spans="1:11">
      <c r="A2" s="31"/>
      <c r="B2" s="31"/>
      <c r="C2" s="31"/>
      <c r="D2" s="15">
        <v>2021</v>
      </c>
      <c r="E2" s="324">
        <v>2022</v>
      </c>
      <c r="F2" s="324">
        <v>2023</v>
      </c>
      <c r="G2" s="324">
        <v>2024</v>
      </c>
      <c r="H2" s="31"/>
      <c r="I2" s="31"/>
      <c r="J2" s="31"/>
      <c r="K2" s="31"/>
    </row>
    <row r="4" spans="1:11">
      <c r="A4" s="13" t="s">
        <v>157</v>
      </c>
      <c r="B4" s="31"/>
      <c r="C4" s="31"/>
      <c r="D4" s="31"/>
      <c r="E4" s="31"/>
      <c r="F4" s="31"/>
      <c r="G4" s="31"/>
      <c r="H4" s="13"/>
      <c r="I4" s="13"/>
      <c r="J4" s="31"/>
      <c r="K4" s="31"/>
    </row>
    <row r="5" spans="1:11" ht="15" customHeight="1">
      <c r="A5" s="31" t="s">
        <v>158</v>
      </c>
      <c r="B5" s="31"/>
      <c r="C5" s="31"/>
      <c r="D5" s="300">
        <f>'BAL Hist Forecast'!F5</f>
        <v>4725</v>
      </c>
      <c r="E5" s="300">
        <f>'BAL Hist Forecast'!H5</f>
        <v>5122.0908945773226</v>
      </c>
      <c r="F5" s="300">
        <f>'BAL Hist Forecast'!I5</f>
        <v>5326.974530360415</v>
      </c>
      <c r="G5" s="300">
        <f>'BAL Hist Forecast'!J5</f>
        <v>5540.0535115748316</v>
      </c>
      <c r="H5" s="31"/>
      <c r="I5" s="31"/>
      <c r="J5" s="31"/>
      <c r="K5" s="31"/>
    </row>
    <row r="6" spans="1:11">
      <c r="A6" s="31" t="s">
        <v>159</v>
      </c>
      <c r="B6" s="31"/>
      <c r="C6" s="31"/>
      <c r="D6" s="302">
        <f>'BAL Hist Forecast'!F10</f>
        <v>5983</v>
      </c>
      <c r="E6" s="302">
        <f>'BAL Hist Forecast'!H10</f>
        <v>6080.9202035386079</v>
      </c>
      <c r="F6" s="302">
        <f>'BAL Hist Forecast'!I10</f>
        <v>6324.1570116801522</v>
      </c>
      <c r="G6" s="302">
        <f>'BAL Hist Forecast'!J10</f>
        <v>6577.1232921473584</v>
      </c>
      <c r="H6" s="181"/>
      <c r="I6" s="31"/>
      <c r="J6" s="31"/>
      <c r="K6" s="31"/>
    </row>
    <row r="7" spans="1:11">
      <c r="A7" s="31" t="s">
        <v>119</v>
      </c>
      <c r="B7" s="31"/>
      <c r="C7" s="31"/>
      <c r="D7" s="303">
        <f>'BAL Hist Forecast'!F11</f>
        <v>2095</v>
      </c>
      <c r="E7" s="303">
        <f>'BAL Hist Forecast'!H11</f>
        <v>2383.170697049869</v>
      </c>
      <c r="F7" s="303">
        <f>'BAL Hist Forecast'!I11</f>
        <v>2478.4975249318636</v>
      </c>
      <c r="G7" s="303">
        <f>'BAL Hist Forecast'!J11</f>
        <v>2577.6374259291383</v>
      </c>
      <c r="H7" s="181"/>
      <c r="I7" s="31"/>
      <c r="J7" s="31"/>
      <c r="K7" s="31"/>
    </row>
    <row r="8" spans="1:11">
      <c r="A8" s="31" t="s">
        <v>160</v>
      </c>
      <c r="B8" s="31"/>
      <c r="C8" s="31"/>
      <c r="D8" s="193">
        <f>SUM(D5:D7)</f>
        <v>12803</v>
      </c>
      <c r="E8" s="193">
        <f t="shared" ref="E8:G8" si="0">SUM(E5:E7)</f>
        <v>13586.181795165799</v>
      </c>
      <c r="F8" s="193">
        <f t="shared" si="0"/>
        <v>14129.629066972429</v>
      </c>
      <c r="G8" s="193">
        <f t="shared" si="0"/>
        <v>14694.814229651329</v>
      </c>
      <c r="H8" s="181"/>
      <c r="I8" s="31"/>
      <c r="J8" s="31"/>
      <c r="K8" s="31"/>
    </row>
    <row r="9" spans="1:11">
      <c r="A9" s="31"/>
      <c r="B9" s="31"/>
      <c r="C9" s="31"/>
      <c r="D9" s="301"/>
      <c r="E9" s="301"/>
      <c r="F9" s="301"/>
      <c r="G9" s="301"/>
      <c r="H9" s="31"/>
      <c r="I9" s="13"/>
      <c r="J9" s="13"/>
      <c r="K9" s="13"/>
    </row>
    <row r="10" spans="1:11">
      <c r="A10" s="31" t="s">
        <v>161</v>
      </c>
      <c r="B10" s="31"/>
      <c r="C10" s="31"/>
      <c r="D10" s="303">
        <f>'BAL Hist Forecast'!F17+'BAL Hist Forecast'!F18</f>
        <v>24243</v>
      </c>
      <c r="E10" s="303">
        <f>'BAL Hist Forecast'!H17+'BAL Hist Forecast'!H18</f>
        <v>24444.701810942453</v>
      </c>
      <c r="F10" s="303">
        <f>'BAL Hist Forecast'!I17+'BAL Hist Forecast'!I18</f>
        <v>25422.489883380149</v>
      </c>
      <c r="G10" s="303">
        <f>'BAL Hist Forecast'!J17+'BAL Hist Forecast'!J18</f>
        <v>26439.389478715355</v>
      </c>
      <c r="H10" s="31"/>
      <c r="I10" s="13"/>
      <c r="J10" s="13"/>
      <c r="K10" s="13"/>
    </row>
    <row r="11" spans="1:11">
      <c r="A11" s="31" t="s">
        <v>162</v>
      </c>
      <c r="B11" s="31"/>
      <c r="C11" s="31"/>
      <c r="D11" s="300">
        <f>SUM(D10:D10)</f>
        <v>24243</v>
      </c>
      <c r="E11" s="300">
        <f t="shared" ref="E11:G11" si="1">SUM(E10:E10)</f>
        <v>24444.701810942453</v>
      </c>
      <c r="F11" s="300">
        <f t="shared" si="1"/>
        <v>25422.489883380149</v>
      </c>
      <c r="G11" s="300">
        <f t="shared" si="1"/>
        <v>26439.389478715355</v>
      </c>
      <c r="H11" s="31"/>
      <c r="I11" s="13"/>
      <c r="J11" s="13"/>
      <c r="K11" s="13"/>
    </row>
    <row r="12" spans="1:11">
      <c r="A12" s="31"/>
      <c r="B12" s="31"/>
      <c r="C12" s="31"/>
      <c r="D12" s="301"/>
      <c r="E12" s="301"/>
      <c r="F12" s="301"/>
      <c r="G12" s="301"/>
      <c r="H12" s="31"/>
      <c r="I12" s="13"/>
      <c r="J12" s="13"/>
      <c r="K12" s="13"/>
    </row>
    <row r="13" spans="1:11">
      <c r="A13" s="13" t="s">
        <v>163</v>
      </c>
      <c r="B13" s="31"/>
      <c r="C13" s="31"/>
      <c r="D13" s="300">
        <f>D8-D11</f>
        <v>-11440</v>
      </c>
      <c r="E13" s="300">
        <f t="shared" ref="E13:G13" si="2">E8-E11</f>
        <v>-10858.520015776654</v>
      </c>
      <c r="F13" s="300">
        <f t="shared" si="2"/>
        <v>-11292.86081640772</v>
      </c>
      <c r="G13" s="300">
        <f t="shared" si="2"/>
        <v>-11744.575249064026</v>
      </c>
      <c r="H13" s="13"/>
      <c r="I13" s="13"/>
      <c r="J13" s="13"/>
      <c r="K13" s="13"/>
    </row>
    <row r="14" spans="1:11">
      <c r="A14" s="31"/>
      <c r="B14" s="31"/>
      <c r="C14" s="31"/>
      <c r="D14" s="301"/>
      <c r="E14" s="301"/>
      <c r="F14" s="301"/>
      <c r="G14" s="301"/>
      <c r="H14" s="31"/>
      <c r="I14" s="13"/>
      <c r="J14" s="13"/>
      <c r="K14" s="13"/>
    </row>
    <row r="15" spans="1:11">
      <c r="A15" s="13" t="s">
        <v>164</v>
      </c>
      <c r="B15" s="31"/>
      <c r="C15" s="31"/>
      <c r="D15" s="301"/>
      <c r="E15" s="300">
        <f>E13-D13</f>
        <v>581.47998422334604</v>
      </c>
      <c r="F15" s="300">
        <f t="shared" ref="F15:G15" si="3">F13-E13</f>
        <v>-434.34080063106558</v>
      </c>
      <c r="G15" s="300">
        <f t="shared" si="3"/>
        <v>-451.7144326563066</v>
      </c>
      <c r="H15" s="13"/>
      <c r="I15" s="13"/>
      <c r="J15" s="13"/>
      <c r="K15" s="13"/>
    </row>
    <row r="16" spans="1:11">
      <c r="A16" s="31"/>
      <c r="B16" s="31"/>
      <c r="C16" s="31"/>
      <c r="D16" s="301"/>
      <c r="E16" s="301"/>
      <c r="F16" s="301"/>
      <c r="G16" s="301"/>
      <c r="H16" s="31"/>
      <c r="I16" s="13"/>
      <c r="J16" s="13"/>
      <c r="K16" s="13"/>
    </row>
    <row r="17" spans="1:11">
      <c r="A17" s="31"/>
      <c r="B17" s="31"/>
      <c r="C17" s="31"/>
      <c r="D17" s="301"/>
      <c r="E17" s="301"/>
      <c r="F17" s="301"/>
      <c r="G17" s="301"/>
      <c r="H17" s="31"/>
      <c r="I17" s="13"/>
      <c r="J17" s="13"/>
      <c r="K17" s="13"/>
    </row>
    <row r="18" spans="1:11">
      <c r="A18" s="13" t="s">
        <v>165</v>
      </c>
      <c r="B18" s="31"/>
      <c r="C18" s="31"/>
      <c r="D18" s="301"/>
      <c r="E18" s="300">
        <f ca="1">('BAL Hist Forecast'!H13+'BAL Hist Forecast'!H14)-('BAL Hist Forecast'!F13+'BAL Hist Forecast'!F14)</f>
        <v>903.21250777645037</v>
      </c>
      <c r="F18" s="300">
        <f ca="1">('BAL Hist Forecast'!I13+'BAL Hist Forecast'!I14)-('BAL Hist Forecast'!H13+'BAL Hist Forecast'!H14)</f>
        <v>2071.1068849749281</v>
      </c>
      <c r="G18" s="300">
        <f ca="1">('BAL Hist Forecast'!J13+'BAL Hist Forecast'!J14)-('BAL Hist Forecast'!I13+'BAL Hist Forecast'!I14)</f>
        <v>2149.9905149730184</v>
      </c>
      <c r="H18" s="13"/>
      <c r="I18" s="13"/>
      <c r="J18" s="31"/>
      <c r="K18" s="31"/>
    </row>
    <row r="19" spans="1:11">
      <c r="A19" s="31"/>
      <c r="B19" s="31"/>
      <c r="C19" s="31"/>
      <c r="D19" s="301"/>
      <c r="E19" s="301"/>
      <c r="F19" s="301"/>
      <c r="G19" s="301"/>
      <c r="H19" s="31"/>
      <c r="I19" s="31"/>
      <c r="J19" s="31"/>
      <c r="K19" s="31"/>
    </row>
  </sheetData>
  <pageMargins left="0.7" right="0.7" top="0.75" bottom="0.75" header="0.3" footer="0.3"/>
  <pageSetup orientation="landscape" r:id="rId1"/>
  <headerFooter>
    <oddHeader xml:space="preserve">&amp;C
</oddHeader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B106-C0C6-4DCC-9729-43DBF2256CAA}">
  <sheetPr>
    <tabColor rgb="FFFF0000"/>
  </sheetPr>
  <dimension ref="A1"/>
  <sheetViews>
    <sheetView topLeftCell="A49" workbookViewId="0">
      <selection activeCell="A26" sqref="A26"/>
    </sheetView>
  </sheetViews>
  <sheetFormatPr baseColWidth="10" defaultColWidth="9.1640625" defaultRowHeight="15"/>
  <cols>
    <col min="1" max="16384" width="9.1640625" style="212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S13"/>
  <sheetViews>
    <sheetView showGridLines="0" zoomScale="85" zoomScaleNormal="85" workbookViewId="0">
      <selection activeCell="Q14" sqref="Q14"/>
    </sheetView>
  </sheetViews>
  <sheetFormatPr baseColWidth="10" defaultColWidth="9.1640625" defaultRowHeight="13"/>
  <cols>
    <col min="1" max="1" width="11.1640625" style="5" bestFit="1" customWidth="1"/>
    <col min="2" max="2" width="11.5" style="5" bestFit="1" customWidth="1"/>
    <col min="3" max="3" width="10.5" style="5" customWidth="1"/>
    <col min="4" max="4" width="12.83203125" style="5" bestFit="1" customWidth="1"/>
    <col min="5" max="5" width="12" style="5" bestFit="1" customWidth="1"/>
    <col min="6" max="7" width="9.1640625" style="5"/>
    <col min="8" max="8" width="10.83203125" style="5" customWidth="1"/>
    <col min="9" max="9" width="12.33203125" style="5" bestFit="1" customWidth="1"/>
    <col min="10" max="10" width="9" style="5" customWidth="1"/>
    <col min="11" max="11" width="10" style="5" bestFit="1" customWidth="1"/>
    <col min="12" max="12" width="12" style="5" customWidth="1"/>
    <col min="13" max="14" width="9.1640625" style="5"/>
    <col min="15" max="15" width="11.1640625" style="5" customWidth="1"/>
    <col min="16" max="16" width="10" style="5" bestFit="1" customWidth="1"/>
    <col min="17" max="17" width="10.1640625" style="5" customWidth="1"/>
    <col min="18" max="18" width="10" style="5" bestFit="1" customWidth="1"/>
    <col min="19" max="19" width="10.5" style="5" customWidth="1"/>
    <col min="20" max="16384" width="9.1640625" style="5"/>
  </cols>
  <sheetData>
    <row r="1" spans="1:19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45" t="s">
        <v>93</v>
      </c>
      <c r="Q1" s="31"/>
      <c r="R1" s="31"/>
      <c r="S1" s="31"/>
    </row>
    <row r="2" spans="1:19" ht="28">
      <c r="A2" s="13"/>
      <c r="B2" s="330" t="s">
        <v>166</v>
      </c>
      <c r="C2" s="331" t="s">
        <v>167</v>
      </c>
      <c r="D2" s="331" t="s">
        <v>168</v>
      </c>
      <c r="E2" s="30" t="s">
        <v>169</v>
      </c>
      <c r="F2" s="31"/>
      <c r="G2" s="285"/>
      <c r="H2" s="285" t="s">
        <v>170</v>
      </c>
      <c r="I2" s="285" t="s">
        <v>171</v>
      </c>
      <c r="J2" s="285" t="s">
        <v>172</v>
      </c>
      <c r="K2" s="285" t="s">
        <v>173</v>
      </c>
      <c r="L2" s="285" t="s">
        <v>174</v>
      </c>
      <c r="M2" s="31"/>
      <c r="N2" s="285"/>
      <c r="O2" s="285" t="s">
        <v>170</v>
      </c>
      <c r="P2" s="285" t="s">
        <v>171</v>
      </c>
      <c r="Q2" s="285" t="s">
        <v>172</v>
      </c>
      <c r="R2" s="285" t="s">
        <v>173</v>
      </c>
      <c r="S2" s="285" t="s">
        <v>174</v>
      </c>
    </row>
    <row r="3" spans="1:19">
      <c r="A3" s="285" t="s">
        <v>175</v>
      </c>
      <c r="B3" s="117">
        <f>'Multiple Valuation'!$G21</f>
        <v>155.91873686078233</v>
      </c>
      <c r="C3" s="117">
        <f>'Multiple Valuation'!$G37</f>
        <v>122.9461940147401</v>
      </c>
      <c r="D3" s="117">
        <f>'Multiple Valuation'!$G53</f>
        <v>159.73647108428074</v>
      </c>
      <c r="E3" s="117">
        <f>'Multiple Valuation'!$G69</f>
        <v>160.60979272287591</v>
      </c>
      <c r="F3" s="31" t="s">
        <v>93</v>
      </c>
      <c r="G3" s="285" t="s">
        <v>175</v>
      </c>
      <c r="H3" s="100">
        <f>MIN(B3:E3)</f>
        <v>122.9461940147401</v>
      </c>
      <c r="I3" s="100">
        <f>QUARTILE(B3:E3,1)</f>
        <v>147.67560114927178</v>
      </c>
      <c r="J3" s="100">
        <f>MEDIAN(B3:E3)</f>
        <v>157.82760397253153</v>
      </c>
      <c r="K3" s="100">
        <f>QUARTILE(B3:E3,3)</f>
        <v>159.95480149392952</v>
      </c>
      <c r="L3" s="100">
        <f>MAX(B3:E3)</f>
        <v>160.60979272287591</v>
      </c>
      <c r="M3" s="31"/>
      <c r="N3" s="285" t="s">
        <v>175</v>
      </c>
      <c r="O3" s="100">
        <f>H3</f>
        <v>122.9461940147401</v>
      </c>
      <c r="P3" s="100">
        <f>I3-O3</f>
        <v>24.729407134531684</v>
      </c>
      <c r="Q3" s="100">
        <f t="shared" ref="Q3:S5" si="0">J3-I3</f>
        <v>10.15200282325975</v>
      </c>
      <c r="R3" s="100">
        <f t="shared" si="0"/>
        <v>2.1271975213979886</v>
      </c>
      <c r="S3" s="100">
        <f t="shared" si="0"/>
        <v>0.65499122894638617</v>
      </c>
    </row>
    <row r="4" spans="1:19">
      <c r="A4" s="285" t="s">
        <v>176</v>
      </c>
      <c r="B4" s="117">
        <f>'Multiple Valuation'!$G20</f>
        <v>132.74282776531038</v>
      </c>
      <c r="C4" s="117">
        <f>'Multiple Valuation'!$G36</f>
        <v>50.901120778291059</v>
      </c>
      <c r="D4" s="117">
        <f>'Multiple Valuation'!$G52</f>
        <v>122.63100075049095</v>
      </c>
      <c r="E4" s="117">
        <f>'Multiple Valuation'!$G68</f>
        <v>278.68297104438562</v>
      </c>
      <c r="F4" s="31" t="s">
        <v>93</v>
      </c>
      <c r="G4" s="285" t="s">
        <v>176</v>
      </c>
      <c r="H4" s="100">
        <f>MIN(B4:E4)</f>
        <v>50.901120778291059</v>
      </c>
      <c r="I4" s="100">
        <f>QUARTILE(B4:E4,1)</f>
        <v>104.69853075744098</v>
      </c>
      <c r="J4" s="100">
        <f>MEDIAN(B4:E4)</f>
        <v>127.68691425790067</v>
      </c>
      <c r="K4" s="100">
        <f>QUARTILE(B4:E4,3)</f>
        <v>169.22786358507921</v>
      </c>
      <c r="L4" s="100">
        <f>MAX(B4:E4)</f>
        <v>278.68297104438562</v>
      </c>
      <c r="M4" s="31"/>
      <c r="N4" s="285" t="s">
        <v>176</v>
      </c>
      <c r="O4" s="100">
        <f>H4</f>
        <v>50.901120778291059</v>
      </c>
      <c r="P4" s="100">
        <f>I4-O4</f>
        <v>53.797409979149919</v>
      </c>
      <c r="Q4" s="100">
        <f t="shared" si="0"/>
        <v>22.98838350045969</v>
      </c>
      <c r="R4" s="100">
        <f t="shared" si="0"/>
        <v>41.540949327178538</v>
      </c>
      <c r="S4" s="100">
        <f t="shared" si="0"/>
        <v>109.45510745930642</v>
      </c>
    </row>
    <row r="5" spans="1:19">
      <c r="A5" s="285" t="s">
        <v>177</v>
      </c>
      <c r="B5" s="117">
        <f>'Multiple Valuation'!$G19</f>
        <v>135.74282407875046</v>
      </c>
      <c r="C5" s="117">
        <f>'Multiple Valuation'!$G35</f>
        <v>45.208801009059997</v>
      </c>
      <c r="D5" s="117">
        <f>'Multiple Valuation'!$G51</f>
        <v>154.35257349698185</v>
      </c>
      <c r="E5" s="117">
        <f>'Multiple Valuation'!$G67</f>
        <v>88.130670232337749</v>
      </c>
      <c r="F5" s="31" t="s">
        <v>93</v>
      </c>
      <c r="G5" s="285" t="s">
        <v>177</v>
      </c>
      <c r="H5" s="100">
        <f>MIN(B5:E5)</f>
        <v>45.208801009059997</v>
      </c>
      <c r="I5" s="100">
        <f>QUARTILE(B5:E5,1)</f>
        <v>77.400202926518318</v>
      </c>
      <c r="J5" s="100">
        <f>MEDIAN(B5:E5)</f>
        <v>111.93674715554411</v>
      </c>
      <c r="K5" s="100">
        <f>QUARTILE(B5:E5,3)</f>
        <v>140.39526143330829</v>
      </c>
      <c r="L5" s="100">
        <f>MAX(B5:E5)</f>
        <v>154.35257349698185</v>
      </c>
      <c r="M5" s="31"/>
      <c r="N5" s="285" t="s">
        <v>177</v>
      </c>
      <c r="O5" s="100">
        <f>H5</f>
        <v>45.208801009059997</v>
      </c>
      <c r="P5" s="100">
        <f>I5-O5</f>
        <v>32.191401917458322</v>
      </c>
      <c r="Q5" s="100">
        <f t="shared" si="0"/>
        <v>34.536544229025793</v>
      </c>
      <c r="R5" s="100">
        <f t="shared" si="0"/>
        <v>28.458514277764181</v>
      </c>
      <c r="S5" s="100">
        <f t="shared" si="0"/>
        <v>13.957312063673555</v>
      </c>
    </row>
    <row r="6" spans="1:19">
      <c r="A6" s="356"/>
      <c r="B6" s="356"/>
      <c r="C6" s="356"/>
      <c r="D6" s="45"/>
      <c r="E6" s="31"/>
      <c r="F6" s="31"/>
      <c r="G6" s="31"/>
      <c r="H6" s="31"/>
      <c r="I6" s="31"/>
      <c r="J6" s="31" t="s">
        <v>93</v>
      </c>
      <c r="K6" s="31"/>
      <c r="L6" s="31"/>
      <c r="M6" s="31"/>
      <c r="N6" s="31"/>
      <c r="O6" s="31"/>
      <c r="P6" s="31"/>
      <c r="Q6" s="31"/>
      <c r="R6" s="31"/>
      <c r="S6" s="31"/>
    </row>
    <row r="7" spans="1:19">
      <c r="A7" s="31" t="s">
        <v>93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>
      <c r="A8" s="31"/>
      <c r="B8" s="31"/>
      <c r="C8" s="31"/>
      <c r="D8" s="31"/>
      <c r="E8" s="31"/>
      <c r="F8" s="31"/>
      <c r="G8" s="31"/>
      <c r="H8" s="31"/>
      <c r="I8" s="31" t="s">
        <v>93</v>
      </c>
      <c r="J8" s="31"/>
      <c r="K8" s="31"/>
      <c r="L8" s="31"/>
      <c r="M8" s="31"/>
      <c r="N8" s="31"/>
      <c r="O8" s="31"/>
      <c r="P8" s="31"/>
      <c r="Q8" s="31"/>
      <c r="R8" s="31"/>
      <c r="S8" s="31"/>
    </row>
    <row r="13" spans="1:19">
      <c r="A13" s="31"/>
      <c r="B13" s="31"/>
      <c r="C13" s="31"/>
      <c r="D13" s="31" t="s">
        <v>93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</sheetData>
  <pageMargins left="0.7" right="0.7" top="0.75" bottom="0.75" header="0.3" footer="0.3"/>
  <pageSetup orientation="landscape" r:id="rId1"/>
  <headerFooter>
    <oddHeader xml:space="preserve">&amp;C
</oddHeader>
    <oddFooter>&amp;C&amp;G&amp;R&amp;P</oddFoot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H79"/>
  <sheetViews>
    <sheetView showGridLines="0" zoomScale="85" zoomScaleNormal="85" zoomScaleSheetLayoutView="100" workbookViewId="0">
      <pane ySplit="3" topLeftCell="A4" activePane="bottomLeft" state="frozen"/>
      <selection pane="bottomLeft" activeCell="B12" sqref="B12"/>
    </sheetView>
  </sheetViews>
  <sheetFormatPr baseColWidth="10" defaultColWidth="9.1640625" defaultRowHeight="13"/>
  <cols>
    <col min="1" max="1" width="45.6640625" style="5" bestFit="1" customWidth="1"/>
    <col min="2" max="2" width="16.33203125" style="5" customWidth="1"/>
    <col min="3" max="3" width="2.6640625" style="5" customWidth="1"/>
    <col min="4" max="4" width="57.1640625" style="5" customWidth="1"/>
    <col min="5" max="5" width="2.6640625" style="5" customWidth="1"/>
    <col min="6" max="6" width="57.83203125" style="5" bestFit="1" customWidth="1"/>
    <col min="7" max="7" width="15.33203125" style="14" customWidth="1"/>
    <col min="8" max="8" width="52.1640625" style="5" customWidth="1"/>
    <col min="9" max="16384" width="9.1640625" style="5"/>
  </cols>
  <sheetData>
    <row r="1" spans="1:8" ht="16">
      <c r="A1" s="3" t="s">
        <v>178</v>
      </c>
      <c r="B1" s="2"/>
      <c r="C1" s="31"/>
      <c r="D1" s="31"/>
      <c r="E1" s="31"/>
      <c r="F1" s="31"/>
      <c r="G1" s="285"/>
      <c r="H1" s="31"/>
    </row>
    <row r="2" spans="1:8" ht="16">
      <c r="A2" s="2"/>
      <c r="B2" s="2"/>
      <c r="C2" s="31"/>
      <c r="D2" s="31"/>
      <c r="E2" s="31"/>
      <c r="F2" s="31"/>
      <c r="G2" s="285"/>
      <c r="H2" s="31"/>
    </row>
    <row r="3" spans="1:8" ht="16">
      <c r="A3" s="3" t="s">
        <v>179</v>
      </c>
      <c r="B3" s="2"/>
      <c r="C3" s="31"/>
      <c r="D3" s="13" t="s">
        <v>93</v>
      </c>
      <c r="E3" s="31"/>
      <c r="F3" s="31"/>
      <c r="G3" s="285"/>
      <c r="H3" s="31"/>
    </row>
    <row r="4" spans="1:8" ht="16">
      <c r="A4" s="3"/>
      <c r="B4" s="2"/>
      <c r="C4" s="31"/>
      <c r="D4" s="340" t="s">
        <v>180</v>
      </c>
      <c r="E4" s="31"/>
      <c r="F4" s="341" t="str">
        <f>HYPERLINK("https://www.sec.gov/ix?doc=/Archives/edgar/data/0000080424/000008042421000100/pg-20210630.htm","Link to 10-K")</f>
        <v>Link to 10-K</v>
      </c>
      <c r="G4" s="285"/>
      <c r="H4" s="31"/>
    </row>
    <row r="5" spans="1:8" ht="16">
      <c r="A5" s="3" t="s">
        <v>70</v>
      </c>
      <c r="B5" s="79" t="s">
        <v>181</v>
      </c>
      <c r="C5" s="31"/>
      <c r="D5" s="13" t="s">
        <v>182</v>
      </c>
      <c r="E5" s="31"/>
      <c r="F5" s="31"/>
      <c r="G5" s="285"/>
      <c r="H5" s="31" t="s">
        <v>183</v>
      </c>
    </row>
    <row r="6" spans="1:8" ht="29">
      <c r="A6" s="80" t="s">
        <v>184</v>
      </c>
      <c r="B6" s="342">
        <f>'IS Hist Forecast'!F4</f>
        <v>76118</v>
      </c>
      <c r="C6" s="31"/>
      <c r="D6" s="342" t="str">
        <f ca="1">_xlfn.FORMULATEXT(B6)</f>
        <v>='IS Hist Forecast'!F4</v>
      </c>
      <c r="E6" s="31"/>
      <c r="F6" s="75" t="s">
        <v>185</v>
      </c>
      <c r="G6" s="31"/>
      <c r="H6" s="31" t="s">
        <v>186</v>
      </c>
    </row>
    <row r="7" spans="1:8" ht="16">
      <c r="A7" s="80" t="s">
        <v>187</v>
      </c>
      <c r="B7" s="342">
        <f>'IS Hist Forecast'!F15</f>
        <v>14306</v>
      </c>
      <c r="C7" s="31"/>
      <c r="D7" s="342" t="str">
        <f ca="1">_xlfn.FORMULATEXT(B7)</f>
        <v>='IS Hist Forecast'!F15</v>
      </c>
      <c r="E7" s="31"/>
      <c r="F7" s="45"/>
      <c r="G7" s="31"/>
      <c r="H7" s="31" t="s">
        <v>188</v>
      </c>
    </row>
    <row r="8" spans="1:8" ht="29">
      <c r="A8" s="80" t="s">
        <v>189</v>
      </c>
      <c r="B8" s="342">
        <v>271</v>
      </c>
      <c r="C8" s="31"/>
      <c r="D8" s="343" t="s">
        <v>190</v>
      </c>
      <c r="E8" s="31"/>
      <c r="F8" s="75" t="s">
        <v>191</v>
      </c>
      <c r="G8" s="31"/>
      <c r="H8" s="31"/>
    </row>
    <row r="9" spans="1:8" ht="16">
      <c r="A9" s="80" t="s">
        <v>192</v>
      </c>
      <c r="B9" s="342">
        <f>'BAL Hist Forecast'!F33-'BAL Hist Forecast'!F32</f>
        <v>45508</v>
      </c>
      <c r="C9" s="31"/>
      <c r="D9" s="342" t="str">
        <f ca="1">_xlfn.FORMULATEXT(B9)</f>
        <v>='BAL Hist Forecast'!F33-'BAL Hist Forecast'!F32</v>
      </c>
      <c r="E9" s="31"/>
      <c r="F9" s="31"/>
      <c r="G9" s="31"/>
      <c r="H9" s="31" t="s">
        <v>193</v>
      </c>
    </row>
    <row r="10" spans="1:8" ht="16">
      <c r="A10" s="80" t="s">
        <v>194</v>
      </c>
      <c r="B10" s="346">
        <v>2465.8000000000002</v>
      </c>
      <c r="C10" s="31"/>
      <c r="D10" s="343" t="s">
        <v>195</v>
      </c>
      <c r="E10" s="31"/>
      <c r="F10" s="31"/>
      <c r="G10" s="285"/>
      <c r="H10" s="31" t="s">
        <v>196</v>
      </c>
    </row>
    <row r="11" spans="1:8" ht="16">
      <c r="A11" s="80" t="s">
        <v>197</v>
      </c>
      <c r="B11" s="343">
        <v>2429.6999999999998</v>
      </c>
      <c r="C11" s="31"/>
      <c r="D11" s="343" t="s">
        <v>198</v>
      </c>
      <c r="E11" s="31"/>
      <c r="F11" s="31"/>
      <c r="G11" s="285"/>
      <c r="H11" s="31"/>
    </row>
    <row r="12" spans="1:8" ht="16">
      <c r="A12" s="80" t="s">
        <v>199</v>
      </c>
      <c r="B12" s="99">
        <f>B6/B10</f>
        <v>30.869494687322572</v>
      </c>
      <c r="C12" s="31"/>
      <c r="D12" s="342" t="str">
        <f ca="1">_xlfn.FORMULATEXT(B12)</f>
        <v>=B6/B10</v>
      </c>
      <c r="E12" s="46" t="s">
        <v>93</v>
      </c>
      <c r="F12" s="31"/>
      <c r="G12" s="285"/>
      <c r="H12" s="31"/>
    </row>
    <row r="13" spans="1:8" ht="16">
      <c r="A13" s="80" t="s">
        <v>200</v>
      </c>
      <c r="B13" s="99">
        <f>B9/B11</f>
        <v>18.729884347861876</v>
      </c>
      <c r="C13" s="31"/>
      <c r="D13" s="342" t="str">
        <f ca="1">_xlfn.FORMULATEXT(B13)</f>
        <v>=B9/B11</v>
      </c>
      <c r="E13" s="45" t="s">
        <v>93</v>
      </c>
      <c r="F13" s="31"/>
      <c r="G13" s="285"/>
      <c r="H13" s="45"/>
    </row>
    <row r="14" spans="1:8" ht="16">
      <c r="A14" s="80" t="s">
        <v>201</v>
      </c>
      <c r="B14" s="99">
        <f>(B7-B8)/B10</f>
        <v>5.691864709222159</v>
      </c>
      <c r="C14" s="31"/>
      <c r="D14" s="342" t="str">
        <f ca="1">_xlfn.FORMULATEXT(B14)</f>
        <v>=(B7-B8)/B10</v>
      </c>
      <c r="E14" s="31"/>
      <c r="F14" s="31"/>
      <c r="G14" s="285"/>
      <c r="H14" s="47" t="s">
        <v>93</v>
      </c>
    </row>
    <row r="15" spans="1:8" ht="17" thickBot="1">
      <c r="A15" s="81"/>
      <c r="B15" s="82"/>
      <c r="C15" s="94"/>
      <c r="D15" s="94"/>
      <c r="E15" s="94"/>
      <c r="F15" s="94"/>
      <c r="G15" s="357"/>
      <c r="H15" s="94"/>
    </row>
    <row r="16" spans="1:8" ht="16">
      <c r="A16" s="2"/>
      <c r="B16" s="2"/>
      <c r="C16" s="31"/>
      <c r="D16" s="31" t="s">
        <v>202</v>
      </c>
      <c r="E16" s="31"/>
      <c r="F16" s="344" t="str">
        <f>HYPERLINK("https://www.sec.gov/ix?doc=/Archives/edgar/data/0000313927/000156459021006669/chd-10k_20201231.htm","Link to 10-K")</f>
        <v>Link to 10-K</v>
      </c>
      <c r="G16" s="285"/>
      <c r="H16" s="31"/>
    </row>
    <row r="17" spans="1:8" ht="16">
      <c r="A17" s="83" t="s">
        <v>166</v>
      </c>
      <c r="B17" s="79" t="s">
        <v>181</v>
      </c>
      <c r="C17" s="31"/>
      <c r="D17" s="31" t="s">
        <v>203</v>
      </c>
      <c r="E17" s="31"/>
      <c r="F17" s="31"/>
      <c r="G17" s="285"/>
      <c r="H17" s="31"/>
    </row>
    <row r="18" spans="1:8" ht="16">
      <c r="A18" s="84" t="s">
        <v>184</v>
      </c>
      <c r="B18" s="101">
        <v>4895.8</v>
      </c>
      <c r="C18" s="31"/>
      <c r="D18" s="101" t="s">
        <v>204</v>
      </c>
      <c r="E18" s="31"/>
      <c r="F18" s="31"/>
      <c r="G18" s="15" t="s">
        <v>205</v>
      </c>
      <c r="H18" s="31"/>
    </row>
    <row r="19" spans="1:8" ht="16">
      <c r="A19" s="84" t="s">
        <v>206</v>
      </c>
      <c r="B19" s="101">
        <v>785.9</v>
      </c>
      <c r="C19" s="31"/>
      <c r="D19" s="101" t="s">
        <v>204</v>
      </c>
      <c r="E19" s="31"/>
      <c r="F19" s="13" t="s">
        <v>207</v>
      </c>
      <c r="G19" s="100">
        <f>B28*$B$12</f>
        <v>135.74282407875046</v>
      </c>
      <c r="H19" s="31"/>
    </row>
    <row r="20" spans="1:8" ht="16">
      <c r="A20" s="84" t="s">
        <v>189</v>
      </c>
      <c r="B20" s="101">
        <v>0</v>
      </c>
      <c r="C20" s="31"/>
      <c r="D20" s="102" t="s">
        <v>208</v>
      </c>
      <c r="E20" s="31"/>
      <c r="F20" s="13" t="s">
        <v>209</v>
      </c>
      <c r="G20" s="100">
        <f>B30*$B$13</f>
        <v>132.74282776531038</v>
      </c>
      <c r="H20" s="31"/>
    </row>
    <row r="21" spans="1:8" ht="16">
      <c r="A21" s="84" t="s">
        <v>192</v>
      </c>
      <c r="B21" s="101">
        <v>3020.4</v>
      </c>
      <c r="C21" s="31"/>
      <c r="D21" s="101" t="s">
        <v>210</v>
      </c>
      <c r="E21" s="31"/>
      <c r="F21" s="13" t="s">
        <v>211</v>
      </c>
      <c r="G21" s="100">
        <f>B29*$B$14</f>
        <v>155.91873686078233</v>
      </c>
      <c r="H21" s="31"/>
    </row>
    <row r="22" spans="1:8" ht="16">
      <c r="A22" s="84" t="s">
        <v>194</v>
      </c>
      <c r="B22" s="345">
        <v>246.8</v>
      </c>
      <c r="C22" s="31"/>
      <c r="D22" s="101" t="s">
        <v>204</v>
      </c>
      <c r="E22" s="31"/>
      <c r="F22" s="31"/>
      <c r="G22" s="285"/>
      <c r="H22" s="31"/>
    </row>
    <row r="23" spans="1:8" ht="16">
      <c r="A23" s="84" t="s">
        <v>197</v>
      </c>
      <c r="B23" s="345">
        <f>292.8-47.4</f>
        <v>245.4</v>
      </c>
      <c r="C23" s="31"/>
      <c r="D23" s="101" t="s">
        <v>212</v>
      </c>
      <c r="E23" s="31"/>
      <c r="F23" s="204" t="s">
        <v>213</v>
      </c>
      <c r="G23" s="205"/>
      <c r="H23" s="358"/>
    </row>
    <row r="24" spans="1:8" ht="16">
      <c r="A24" s="84" t="s">
        <v>199</v>
      </c>
      <c r="B24" s="99">
        <f>B18/B22</f>
        <v>19.83711507293355</v>
      </c>
      <c r="C24" s="31"/>
      <c r="D24" s="99" t="str">
        <f ca="1">_xlfn.FORMULATEXT(B24)</f>
        <v>=B18/B22</v>
      </c>
      <c r="E24" s="31"/>
      <c r="F24" s="31"/>
      <c r="G24" s="285"/>
      <c r="H24" s="31"/>
    </row>
    <row r="25" spans="1:8" ht="16">
      <c r="A25" s="84" t="s">
        <v>200</v>
      </c>
      <c r="B25" s="99">
        <f>B21/B23</f>
        <v>12.308068459657703</v>
      </c>
      <c r="C25" s="31"/>
      <c r="D25" s="99" t="str">
        <f ca="1">_xlfn.FORMULATEXT(B25)</f>
        <v>=B21/B23</v>
      </c>
      <c r="E25" s="31"/>
      <c r="F25" s="31"/>
      <c r="G25" s="285"/>
      <c r="H25" s="31"/>
    </row>
    <row r="26" spans="1:8" ht="16">
      <c r="A26" s="84" t="s">
        <v>201</v>
      </c>
      <c r="B26" s="99">
        <f>(B19-B20)/B22</f>
        <v>3.1843598055105344</v>
      </c>
      <c r="C26" s="31"/>
      <c r="D26" s="99" t="str">
        <f ca="1">_xlfn.FORMULATEXT(B26)</f>
        <v>=(B19-B20)/B22</v>
      </c>
      <c r="E26" s="31"/>
      <c r="F26" s="31"/>
      <c r="G26" s="285"/>
      <c r="H26" s="31"/>
    </row>
    <row r="27" spans="1:8" ht="16">
      <c r="A27" s="84" t="s">
        <v>214</v>
      </c>
      <c r="B27" s="99">
        <v>87.23</v>
      </c>
      <c r="C27" s="31"/>
      <c r="D27" s="99" t="s">
        <v>215</v>
      </c>
      <c r="E27" s="31"/>
      <c r="F27" s="31"/>
      <c r="G27" s="285"/>
      <c r="H27" s="31"/>
    </row>
    <row r="28" spans="1:8" ht="16">
      <c r="A28" s="84" t="s">
        <v>216</v>
      </c>
      <c r="B28" s="103">
        <f>B27/B24</f>
        <v>4.3973127987254381</v>
      </c>
      <c r="C28" s="31"/>
      <c r="D28" s="99" t="str">
        <f ca="1">_xlfn.FORMULATEXT(B28)</f>
        <v>=B27/B24</v>
      </c>
      <c r="E28" s="31"/>
      <c r="F28" s="31"/>
      <c r="G28" s="285"/>
      <c r="H28" s="31"/>
    </row>
    <row r="29" spans="1:8" ht="16">
      <c r="A29" s="84" t="s">
        <v>217</v>
      </c>
      <c r="B29" s="103">
        <f>B27/B26</f>
        <v>27.393261229164022</v>
      </c>
      <c r="C29" s="31"/>
      <c r="D29" s="99" t="str">
        <f ca="1">_xlfn.FORMULATEXT(B29)</f>
        <v>=B27/B26</v>
      </c>
      <c r="E29" s="31"/>
      <c r="F29" s="31"/>
      <c r="G29" s="285"/>
      <c r="H29" s="31"/>
    </row>
    <row r="30" spans="1:8" ht="16">
      <c r="A30" s="84" t="s">
        <v>218</v>
      </c>
      <c r="B30" s="103">
        <f>B27/B25</f>
        <v>7.0872208978943183</v>
      </c>
      <c r="C30" s="31"/>
      <c r="D30" s="99" t="str">
        <f ca="1">_xlfn.FORMULATEXT(B30)</f>
        <v>=B27/B25</v>
      </c>
      <c r="E30" s="31"/>
      <c r="F30" s="31"/>
      <c r="G30" s="285"/>
      <c r="H30" s="31"/>
    </row>
    <row r="31" spans="1:8" ht="17" thickBot="1">
      <c r="A31" s="85"/>
      <c r="B31" s="86"/>
      <c r="C31" s="94"/>
      <c r="D31" s="94"/>
      <c r="E31" s="94"/>
      <c r="F31" s="94"/>
      <c r="G31" s="357"/>
      <c r="H31" s="94"/>
    </row>
    <row r="32" spans="1:8" ht="15">
      <c r="A32" s="31"/>
      <c r="B32" s="31"/>
      <c r="C32" s="31"/>
      <c r="D32" s="31" t="s">
        <v>202</v>
      </c>
      <c r="E32" s="31"/>
      <c r="F32" s="344" t="str">
        <f>HYPERLINK("https://www.sec.gov/ix?doc=/Archives/edgar/data/0000094049/000156459021009289/scl-10k_20201231.htm","Link to 10-K")</f>
        <v>Link to 10-K</v>
      </c>
      <c r="G32" s="285"/>
      <c r="H32" s="31"/>
    </row>
    <row r="33" spans="1:8" ht="16">
      <c r="A33" s="30" t="s">
        <v>167</v>
      </c>
      <c r="B33" s="79" t="s">
        <v>181</v>
      </c>
      <c r="C33" s="31"/>
      <c r="D33" s="31" t="s">
        <v>203</v>
      </c>
      <c r="E33" s="31"/>
      <c r="F33" s="31"/>
      <c r="G33" s="285"/>
      <c r="H33" s="31"/>
    </row>
    <row r="34" spans="1:8" ht="16">
      <c r="A34" s="95" t="s">
        <v>184</v>
      </c>
      <c r="B34" s="101">
        <v>1869.75</v>
      </c>
      <c r="C34" s="31"/>
      <c r="D34" s="101" t="s">
        <v>204</v>
      </c>
      <c r="E34" s="31"/>
      <c r="F34" s="31"/>
      <c r="G34" s="15" t="s">
        <v>205</v>
      </c>
      <c r="H34" s="31"/>
    </row>
    <row r="35" spans="1:8" ht="16">
      <c r="A35" s="95" t="s">
        <v>206</v>
      </c>
      <c r="B35" s="101">
        <v>126.77</v>
      </c>
      <c r="C35" s="31"/>
      <c r="D35" s="101" t="s">
        <v>204</v>
      </c>
      <c r="E35" s="31"/>
      <c r="F35" s="13" t="s">
        <v>207</v>
      </c>
      <c r="G35" s="100">
        <f>B44*$B$12</f>
        <v>45.208801009059997</v>
      </c>
      <c r="H35" s="31"/>
    </row>
    <row r="36" spans="1:8" ht="16">
      <c r="A36" s="95" t="s">
        <v>189</v>
      </c>
      <c r="B36" s="101">
        <v>0</v>
      </c>
      <c r="C36" s="31"/>
      <c r="D36" s="101" t="s">
        <v>208</v>
      </c>
      <c r="E36" s="31"/>
      <c r="F36" s="13" t="s">
        <v>209</v>
      </c>
      <c r="G36" s="100">
        <f>B46*$B$13</f>
        <v>50.901120778291059</v>
      </c>
      <c r="H36" s="31"/>
    </row>
    <row r="37" spans="1:8" ht="16">
      <c r="A37" s="95" t="s">
        <v>192</v>
      </c>
      <c r="B37" s="101">
        <v>986.69299999999998</v>
      </c>
      <c r="C37" s="31"/>
      <c r="D37" s="102" t="s">
        <v>210</v>
      </c>
      <c r="E37" s="31"/>
      <c r="F37" s="13" t="s">
        <v>211</v>
      </c>
      <c r="G37" s="100">
        <f>B45*$B$14</f>
        <v>122.9461940147401</v>
      </c>
      <c r="H37" s="31"/>
    </row>
    <row r="38" spans="1:8" ht="16">
      <c r="A38" s="95" t="s">
        <v>194</v>
      </c>
      <c r="B38" s="102">
        <v>22.949000000000002</v>
      </c>
      <c r="C38" s="31"/>
      <c r="D38" s="102" t="s">
        <v>219</v>
      </c>
      <c r="E38" s="31"/>
      <c r="F38" s="31"/>
      <c r="G38" s="285"/>
      <c r="H38" s="31"/>
    </row>
    <row r="39" spans="1:8" ht="16">
      <c r="A39" s="95" t="s">
        <v>197</v>
      </c>
      <c r="B39" s="102">
        <f>26.658-4.185</f>
        <v>22.473000000000003</v>
      </c>
      <c r="C39" s="31"/>
      <c r="D39" s="99" t="s">
        <v>210</v>
      </c>
      <c r="E39" s="31"/>
      <c r="F39" s="204" t="s">
        <v>213</v>
      </c>
      <c r="G39" s="359"/>
      <c r="H39" s="358"/>
    </row>
    <row r="40" spans="1:8" ht="16">
      <c r="A40" s="95" t="s">
        <v>199</v>
      </c>
      <c r="B40" s="99">
        <f>B34/B38</f>
        <v>81.474138306680018</v>
      </c>
      <c r="C40" s="31"/>
      <c r="D40" s="99" t="str">
        <f ca="1">_xlfn.FORMULATEXT(B40)</f>
        <v>=B34/B38</v>
      </c>
      <c r="E40" s="31"/>
      <c r="F40" s="31"/>
      <c r="G40" s="285"/>
      <c r="H40" s="31"/>
    </row>
    <row r="41" spans="1:8" ht="16">
      <c r="A41" s="95" t="s">
        <v>200</v>
      </c>
      <c r="B41" s="99">
        <f>B37/B39</f>
        <v>43.905709073109946</v>
      </c>
      <c r="C41" s="31"/>
      <c r="D41" s="99" t="str">
        <f ca="1">_xlfn.FORMULATEXT(B41)</f>
        <v>=B37/B39</v>
      </c>
      <c r="E41" s="31"/>
      <c r="F41" s="31"/>
      <c r="G41" s="285"/>
      <c r="H41" s="31"/>
    </row>
    <row r="42" spans="1:8" ht="16">
      <c r="A42" s="95" t="s">
        <v>201</v>
      </c>
      <c r="B42" s="99">
        <f>(B35-B36)/B38</f>
        <v>5.5239879733321704</v>
      </c>
      <c r="C42" s="31"/>
      <c r="D42" s="99" t="str">
        <f ca="1">_xlfn.FORMULATEXT(B42)</f>
        <v>=(B35-B36)/B38</v>
      </c>
      <c r="E42" s="31"/>
      <c r="F42" s="31"/>
      <c r="G42" s="285"/>
      <c r="H42" s="31"/>
    </row>
    <row r="43" spans="1:8" ht="16">
      <c r="A43" s="95" t="s">
        <v>214</v>
      </c>
      <c r="B43" s="99">
        <v>119.32</v>
      </c>
      <c r="C43" s="31"/>
      <c r="D43" s="99" t="s">
        <v>215</v>
      </c>
      <c r="E43" s="31"/>
      <c r="F43" s="31"/>
      <c r="G43" s="285"/>
      <c r="H43" s="31"/>
    </row>
    <row r="44" spans="1:8" ht="16">
      <c r="A44" s="95" t="s">
        <v>216</v>
      </c>
      <c r="B44" s="103">
        <f>B43/B40</f>
        <v>1.4645138013103358</v>
      </c>
      <c r="C44" s="31"/>
      <c r="D44" s="99" t="str">
        <f ca="1">_xlfn.FORMULATEXT(B44)</f>
        <v>=B43/B40</v>
      </c>
      <c r="E44" s="31"/>
      <c r="F44" s="31"/>
      <c r="G44" s="285"/>
      <c r="H44" s="31"/>
    </row>
    <row r="45" spans="1:8" ht="16">
      <c r="A45" s="95" t="s">
        <v>217</v>
      </c>
      <c r="B45" s="103">
        <f>B43/B42</f>
        <v>21.600336672714366</v>
      </c>
      <c r="C45" s="31"/>
      <c r="D45" s="99" t="str">
        <f ca="1">_xlfn.FORMULATEXT(B45)</f>
        <v>=B43/B42</v>
      </c>
      <c r="E45" s="31"/>
      <c r="F45" s="31"/>
      <c r="G45" s="285"/>
      <c r="H45" s="31"/>
    </row>
    <row r="46" spans="1:8" ht="16">
      <c r="A46" s="95" t="s">
        <v>218</v>
      </c>
      <c r="B46" s="103">
        <f>B43/B41</f>
        <v>2.7176420223919702</v>
      </c>
      <c r="C46" s="31"/>
      <c r="D46" s="99" t="str">
        <f ca="1">_xlfn.FORMULATEXT(B46)</f>
        <v>=B43/B41</v>
      </c>
      <c r="E46" s="31"/>
      <c r="F46" s="31"/>
      <c r="G46" s="285"/>
      <c r="H46" s="31"/>
    </row>
    <row r="47" spans="1:8" ht="14" thickBot="1">
      <c r="A47" s="360"/>
      <c r="B47" s="361"/>
      <c r="C47" s="94"/>
      <c r="D47" s="94"/>
      <c r="E47" s="94"/>
      <c r="F47" s="94"/>
      <c r="G47" s="357"/>
      <c r="H47" s="94"/>
    </row>
    <row r="48" spans="1:8" ht="15">
      <c r="A48" s="31"/>
      <c r="B48" s="31"/>
      <c r="C48" s="31"/>
      <c r="D48" s="31" t="s">
        <v>220</v>
      </c>
      <c r="E48" s="31"/>
      <c r="F48" s="344" t="str">
        <f>HYPERLINK("https://www.sec.gov/ix?doc=/Archives/edgar/data/200406/000020040621000008/jnj-20210103.htm","Link to 10-K")</f>
        <v>Link to 10-K</v>
      </c>
      <c r="G48" s="285"/>
      <c r="H48" s="31"/>
    </row>
    <row r="49" spans="1:8" ht="16">
      <c r="A49" s="30" t="s">
        <v>168</v>
      </c>
      <c r="B49" s="79" t="s">
        <v>181</v>
      </c>
      <c r="C49" s="31"/>
      <c r="D49" s="31" t="s">
        <v>203</v>
      </c>
      <c r="E49" s="31"/>
      <c r="F49" s="31"/>
      <c r="G49" s="285"/>
      <c r="H49" s="31"/>
    </row>
    <row r="50" spans="1:8" ht="16">
      <c r="A50" s="95" t="s">
        <v>184</v>
      </c>
      <c r="B50" s="101">
        <v>82584</v>
      </c>
      <c r="C50" s="31"/>
      <c r="D50" s="101" t="s">
        <v>221</v>
      </c>
      <c r="E50" s="31"/>
      <c r="F50" s="31"/>
      <c r="G50" s="15"/>
      <c r="H50" s="31"/>
    </row>
    <row r="51" spans="1:8" ht="16">
      <c r="A51" s="95" t="s">
        <v>206</v>
      </c>
      <c r="B51" s="101">
        <v>14714</v>
      </c>
      <c r="C51" s="31"/>
      <c r="D51" s="101" t="s">
        <v>221</v>
      </c>
      <c r="E51" s="31"/>
      <c r="F51" s="13" t="s">
        <v>207</v>
      </c>
      <c r="G51" s="100">
        <f>B60*$B$12</f>
        <v>154.35257349698185</v>
      </c>
      <c r="H51" s="31"/>
    </row>
    <row r="52" spans="1:8" ht="16">
      <c r="A52" s="95" t="s">
        <v>189</v>
      </c>
      <c r="B52" s="101">
        <v>0</v>
      </c>
      <c r="C52" s="31"/>
      <c r="D52" s="101" t="s">
        <v>208</v>
      </c>
      <c r="E52" s="31"/>
      <c r="F52" s="13" t="s">
        <v>209</v>
      </c>
      <c r="G52" s="100">
        <f>B62*$B$13</f>
        <v>122.63100075049095</v>
      </c>
      <c r="H52" s="31"/>
    </row>
    <row r="53" spans="1:8" ht="16">
      <c r="A53" s="95" t="s">
        <v>192</v>
      </c>
      <c r="B53" s="101">
        <v>63278</v>
      </c>
      <c r="C53" s="31"/>
      <c r="D53" s="99" t="s">
        <v>210</v>
      </c>
      <c r="E53" s="31"/>
      <c r="F53" s="13" t="s">
        <v>211</v>
      </c>
      <c r="G53" s="100">
        <f>B61*$B$14</f>
        <v>159.73647108428074</v>
      </c>
      <c r="H53" s="31"/>
    </row>
    <row r="54" spans="1:8" ht="16">
      <c r="A54" s="95" t="s">
        <v>194</v>
      </c>
      <c r="B54" s="345">
        <v>2623.8</v>
      </c>
      <c r="C54" s="31"/>
      <c r="D54" s="101" t="s">
        <v>221</v>
      </c>
      <c r="E54" s="31"/>
      <c r="F54" s="31"/>
      <c r="G54" s="285"/>
      <c r="H54" s="31"/>
    </row>
    <row r="55" spans="1:8" ht="16">
      <c r="A55" s="95" t="s">
        <v>197</v>
      </c>
      <c r="B55" s="345">
        <f>3119.8-487.3</f>
        <v>2632.5</v>
      </c>
      <c r="C55" s="31"/>
      <c r="D55" s="99" t="s">
        <v>210</v>
      </c>
      <c r="E55" s="31"/>
      <c r="F55" s="204" t="s">
        <v>213</v>
      </c>
      <c r="G55" s="359"/>
      <c r="H55" s="358"/>
    </row>
    <row r="56" spans="1:8" ht="16">
      <c r="A56" s="95" t="s">
        <v>199</v>
      </c>
      <c r="B56" s="347">
        <f>B50/B54</f>
        <v>31.474959981705922</v>
      </c>
      <c r="C56" s="31"/>
      <c r="D56" s="99" t="str">
        <f ca="1">_xlfn.FORMULATEXT(B56)</f>
        <v>=B50/B54</v>
      </c>
      <c r="E56" s="31"/>
      <c r="F56" s="31"/>
      <c r="G56" s="285"/>
      <c r="H56" s="31"/>
    </row>
    <row r="57" spans="1:8" ht="16">
      <c r="A57" s="95" t="s">
        <v>200</v>
      </c>
      <c r="B57" s="347">
        <f>B53/B55</f>
        <v>24.037226970560305</v>
      </c>
      <c r="C57" s="31"/>
      <c r="D57" s="99" t="str">
        <f ca="1">_xlfn.FORMULATEXT(B57)</f>
        <v>=B53/B55</v>
      </c>
      <c r="E57" s="31"/>
      <c r="F57" s="31"/>
      <c r="G57" s="285"/>
      <c r="H57" s="31"/>
    </row>
    <row r="58" spans="1:8" ht="16">
      <c r="A58" s="95" t="s">
        <v>201</v>
      </c>
      <c r="B58" s="347">
        <f>(B51-B52)/B54</f>
        <v>5.6078969433645849</v>
      </c>
      <c r="C58" s="31"/>
      <c r="D58" s="99" t="str">
        <f ca="1">_xlfn.FORMULATEXT(B58)</f>
        <v>=(B51-B52)/B54</v>
      </c>
      <c r="E58" s="31"/>
      <c r="F58" s="31"/>
      <c r="G58" s="285"/>
      <c r="H58" s="31"/>
    </row>
    <row r="59" spans="1:8" ht="16">
      <c r="A59" s="95" t="s">
        <v>214</v>
      </c>
      <c r="B59" s="99">
        <v>157.38</v>
      </c>
      <c r="C59" s="31"/>
      <c r="D59" s="99" t="s">
        <v>215</v>
      </c>
      <c r="E59" s="31"/>
      <c r="F59" s="31"/>
      <c r="G59" s="285"/>
      <c r="H59" s="31"/>
    </row>
    <row r="60" spans="1:8" ht="16">
      <c r="A60" s="95" t="s">
        <v>216</v>
      </c>
      <c r="B60" s="347">
        <f>B59/B56</f>
        <v>5.0001652136006971</v>
      </c>
      <c r="C60" s="31"/>
      <c r="D60" s="99" t="str">
        <f ca="1">_xlfn.FORMULATEXT(B60)</f>
        <v>=B59/B56</v>
      </c>
      <c r="E60" s="31"/>
      <c r="F60" s="31"/>
      <c r="G60" s="285"/>
      <c r="H60" s="31"/>
    </row>
    <row r="61" spans="1:8" ht="16">
      <c r="A61" s="95" t="s">
        <v>217</v>
      </c>
      <c r="B61" s="347">
        <f>B59/B58</f>
        <v>28.063996465950797</v>
      </c>
      <c r="C61" s="31"/>
      <c r="D61" s="99" t="str">
        <f ca="1">_xlfn.FORMULATEXT(B61)</f>
        <v>=B59/B58</v>
      </c>
      <c r="E61" s="31"/>
      <c r="F61" s="31"/>
      <c r="G61" s="285"/>
      <c r="H61" s="31"/>
    </row>
    <row r="62" spans="1:8" ht="16">
      <c r="A62" s="95" t="s">
        <v>218</v>
      </c>
      <c r="B62" s="347">
        <f>B59/B57</f>
        <v>6.5473442586680992</v>
      </c>
      <c r="C62" s="31"/>
      <c r="D62" s="99" t="str">
        <f ca="1">_xlfn.FORMULATEXT(B62)</f>
        <v>=B59/B57</v>
      </c>
      <c r="E62" s="31"/>
      <c r="F62" s="31"/>
      <c r="G62" s="285"/>
      <c r="H62" s="31"/>
    </row>
    <row r="63" spans="1:8" ht="14" thickBot="1">
      <c r="A63" s="360"/>
      <c r="B63" s="361"/>
      <c r="C63" s="94"/>
      <c r="D63" s="94" t="s">
        <v>93</v>
      </c>
      <c r="E63" s="94"/>
      <c r="F63" s="94"/>
      <c r="G63" s="357"/>
      <c r="H63" s="94"/>
    </row>
    <row r="64" spans="1:8" ht="15">
      <c r="A64" s="31" t="s">
        <v>93</v>
      </c>
      <c r="B64" s="31"/>
      <c r="C64" s="31"/>
      <c r="D64" s="31" t="s">
        <v>222</v>
      </c>
      <c r="E64" s="31"/>
      <c r="F64" s="344" t="str">
        <f>HYPERLINK("https://www.sec.gov/ix?doc=/Archives/edgar/data/77476/000007747621000007/pep-20201226.htm","Link to 10-K")</f>
        <v>Link to 10-K</v>
      </c>
      <c r="G64" s="285"/>
      <c r="H64" s="31"/>
    </row>
    <row r="65" spans="1:8" ht="16">
      <c r="A65" s="30" t="s">
        <v>169</v>
      </c>
      <c r="B65" s="79" t="s">
        <v>181</v>
      </c>
      <c r="C65" s="31"/>
      <c r="D65" s="31" t="s">
        <v>203</v>
      </c>
      <c r="E65" s="31"/>
      <c r="F65" s="31"/>
      <c r="G65" s="285"/>
      <c r="H65" s="31"/>
    </row>
    <row r="66" spans="1:8" ht="16">
      <c r="A66" s="95" t="s">
        <v>184</v>
      </c>
      <c r="B66" s="101">
        <v>70372</v>
      </c>
      <c r="C66" s="31"/>
      <c r="D66" s="101" t="s">
        <v>223</v>
      </c>
      <c r="E66" s="31"/>
      <c r="F66" s="31"/>
      <c r="G66" s="15" t="s">
        <v>205</v>
      </c>
      <c r="H66" s="31"/>
    </row>
    <row r="67" spans="1:8" ht="16">
      <c r="A67" s="95" t="s">
        <v>206</v>
      </c>
      <c r="B67" s="101">
        <v>7120</v>
      </c>
      <c r="C67" s="31"/>
      <c r="D67" s="101" t="s">
        <v>223</v>
      </c>
      <c r="E67" s="31"/>
      <c r="F67" s="13" t="s">
        <v>207</v>
      </c>
      <c r="G67" s="100">
        <f>B76*$B$12</f>
        <v>88.130670232337749</v>
      </c>
      <c r="H67" s="31"/>
    </row>
    <row r="68" spans="1:8" ht="16">
      <c r="A68" s="95" t="s">
        <v>189</v>
      </c>
      <c r="B68" s="101">
        <v>0</v>
      </c>
      <c r="C68" s="31"/>
      <c r="D68" s="101" t="s">
        <v>208</v>
      </c>
      <c r="E68" s="31"/>
      <c r="F68" s="13" t="s">
        <v>209</v>
      </c>
      <c r="G68" s="100">
        <f>B78*$B$13</f>
        <v>278.68297104438562</v>
      </c>
      <c r="H68" s="31"/>
    </row>
    <row r="69" spans="1:8" ht="16">
      <c r="A69" s="95" t="s">
        <v>192</v>
      </c>
      <c r="B69" s="101">
        <v>13454</v>
      </c>
      <c r="C69" s="31"/>
      <c r="D69" s="99" t="s">
        <v>224</v>
      </c>
      <c r="E69" s="31"/>
      <c r="F69" s="13" t="s">
        <v>211</v>
      </c>
      <c r="G69" s="100">
        <f>B77*$B$14</f>
        <v>160.60979272287591</v>
      </c>
      <c r="H69" s="31"/>
    </row>
    <row r="70" spans="1:8" ht="16">
      <c r="A70" s="95" t="s">
        <v>194</v>
      </c>
      <c r="B70" s="345">
        <v>1385</v>
      </c>
      <c r="C70" s="31"/>
      <c r="D70" s="101" t="s">
        <v>223</v>
      </c>
      <c r="E70" s="31"/>
      <c r="F70" s="31"/>
      <c r="G70" s="285"/>
      <c r="H70" s="31"/>
    </row>
    <row r="71" spans="1:8" ht="16">
      <c r="A71" s="95" t="s">
        <v>197</v>
      </c>
      <c r="B71" s="345">
        <f>1380</f>
        <v>1380</v>
      </c>
      <c r="C71" s="31"/>
      <c r="D71" s="99" t="s">
        <v>224</v>
      </c>
      <c r="E71" s="31"/>
      <c r="F71" s="204" t="s">
        <v>213</v>
      </c>
      <c r="G71" s="359"/>
      <c r="H71" s="358"/>
    </row>
    <row r="72" spans="1:8" ht="16">
      <c r="A72" s="95" t="s">
        <v>199</v>
      </c>
      <c r="B72" s="347">
        <f>B66/B70</f>
        <v>50.810108303249095</v>
      </c>
      <c r="C72" s="31"/>
      <c r="D72" s="99" t="str">
        <f ca="1">_xlfn.FORMULATEXT(B72)</f>
        <v>=B66/B70</v>
      </c>
      <c r="E72" s="31"/>
      <c r="F72" s="31"/>
      <c r="G72" s="285"/>
      <c r="H72" s="31"/>
    </row>
    <row r="73" spans="1:8" ht="16">
      <c r="A73" s="95" t="s">
        <v>200</v>
      </c>
      <c r="B73" s="347">
        <f>B69/B71</f>
        <v>9.7492753623188406</v>
      </c>
      <c r="C73" s="31"/>
      <c r="D73" s="99" t="str">
        <f ca="1">_xlfn.FORMULATEXT(B73)</f>
        <v>=B69/B71</v>
      </c>
      <c r="E73" s="31"/>
      <c r="F73" s="31"/>
      <c r="G73" s="285"/>
      <c r="H73" s="31"/>
    </row>
    <row r="74" spans="1:8" ht="16">
      <c r="A74" s="95" t="s">
        <v>201</v>
      </c>
      <c r="B74" s="347">
        <f>(B67-B68)/B70</f>
        <v>5.140794223826715</v>
      </c>
      <c r="C74" s="31"/>
      <c r="D74" s="99" t="str">
        <f ca="1">_xlfn.FORMULATEXT(B74)</f>
        <v>=(B67-B68)/B70</v>
      </c>
      <c r="E74" s="31"/>
      <c r="F74" s="31"/>
      <c r="G74" s="285"/>
      <c r="H74" s="31"/>
    </row>
    <row r="75" spans="1:8" ht="16">
      <c r="A75" s="95" t="s">
        <v>214</v>
      </c>
      <c r="B75" s="99">
        <v>145.06</v>
      </c>
      <c r="C75" s="31"/>
      <c r="D75" s="99" t="s">
        <v>225</v>
      </c>
      <c r="E75" s="31"/>
      <c r="F75" s="31"/>
      <c r="G75" s="285"/>
      <c r="H75" s="31"/>
    </row>
    <row r="76" spans="1:8" ht="16">
      <c r="A76" s="95" t="s">
        <v>216</v>
      </c>
      <c r="B76" s="347">
        <f>B75/B72</f>
        <v>2.8549437276189393</v>
      </c>
      <c r="C76" s="31"/>
      <c r="D76" s="99" t="str">
        <f ca="1">_xlfn.FORMULATEXT(B76)</f>
        <v>=B75/B72</v>
      </c>
      <c r="E76" s="31"/>
      <c r="F76" s="31"/>
      <c r="G76" s="285"/>
      <c r="H76" s="31"/>
    </row>
    <row r="77" spans="1:8" ht="16">
      <c r="A77" s="95" t="s">
        <v>217</v>
      </c>
      <c r="B77" s="347">
        <f>B75/B74</f>
        <v>28.217429775280898</v>
      </c>
      <c r="C77" s="31"/>
      <c r="D77" s="99" t="str">
        <f ca="1">_xlfn.FORMULATEXT(B77)</f>
        <v>=B75/B74</v>
      </c>
      <c r="E77" s="31"/>
      <c r="F77" s="31"/>
      <c r="G77" s="285"/>
      <c r="H77" s="31"/>
    </row>
    <row r="78" spans="1:8" ht="16">
      <c r="A78" s="95" t="s">
        <v>218</v>
      </c>
      <c r="B78" s="347">
        <f>B75/B73</f>
        <v>14.879054556265794</v>
      </c>
      <c r="C78" s="31"/>
      <c r="D78" s="99" t="str">
        <f ca="1">_xlfn.FORMULATEXT(B78)</f>
        <v>=B75/B73</v>
      </c>
      <c r="E78" s="31"/>
      <c r="F78" s="31"/>
      <c r="G78" s="285"/>
      <c r="H78" s="31"/>
    </row>
    <row r="79" spans="1:8">
      <c r="A79" s="31"/>
      <c r="B79" s="31"/>
      <c r="C79" s="31"/>
      <c r="D79" s="31"/>
      <c r="E79" s="31"/>
      <c r="F79" s="31"/>
      <c r="G79" s="285"/>
      <c r="H79" s="31"/>
    </row>
  </sheetData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2F81-01B4-4D75-A353-F9982CD6E509}">
  <sheetPr>
    <tabColor rgb="FFFF0000"/>
  </sheetPr>
  <dimension ref="A1"/>
  <sheetViews>
    <sheetView topLeftCell="B1" workbookViewId="0">
      <selection activeCell="M33" sqref="M33"/>
    </sheetView>
  </sheetViews>
  <sheetFormatPr baseColWidth="10" defaultColWidth="9.1640625" defaultRowHeight="15"/>
  <cols>
    <col min="1" max="16384" width="9.1640625" style="212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V24"/>
  <sheetViews>
    <sheetView showGridLines="0" tabSelected="1" zoomScale="85" zoomScaleNormal="85" workbookViewId="0">
      <selection activeCell="A24" sqref="A24"/>
    </sheetView>
  </sheetViews>
  <sheetFormatPr baseColWidth="10" defaultColWidth="9.1640625" defaultRowHeight="13"/>
  <cols>
    <col min="1" max="1" width="30.5" style="5" customWidth="1"/>
    <col min="2" max="2" width="24" style="5" bestFit="1" customWidth="1"/>
    <col min="3" max="3" width="10.33203125" style="5" customWidth="1"/>
    <col min="4" max="4" width="4.5" style="5" customWidth="1"/>
    <col min="5" max="5" width="5.1640625" style="5" customWidth="1"/>
    <col min="6" max="12" width="9.1640625" style="5"/>
    <col min="13" max="13" width="9.6640625" style="5" bestFit="1" customWidth="1"/>
    <col min="14" max="14" width="9.1640625" style="5"/>
    <col min="15" max="15" width="11.6640625" style="5" bestFit="1" customWidth="1"/>
    <col min="16" max="20" width="14.5" style="5" bestFit="1" customWidth="1"/>
    <col min="21" max="16384" width="9.1640625" style="5"/>
  </cols>
  <sheetData>
    <row r="1" spans="1:22" ht="18">
      <c r="A1" s="55" t="s">
        <v>226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 t="s">
        <v>93</v>
      </c>
      <c r="N1" s="31"/>
      <c r="O1" s="31"/>
      <c r="P1" s="31"/>
      <c r="Q1" s="31"/>
      <c r="R1" s="31"/>
      <c r="S1" s="31"/>
      <c r="T1" s="31"/>
      <c r="U1" s="31"/>
      <c r="V1" s="31"/>
    </row>
    <row r="2" spans="1:22" ht="18">
      <c r="A2" s="55" t="s">
        <v>227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ht="14" thickBot="1">
      <c r="A3" s="13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ht="20" thickBot="1">
      <c r="A4" s="13" t="s">
        <v>228</v>
      </c>
      <c r="B4" s="377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401" t="s">
        <v>229</v>
      </c>
      <c r="O4" s="402"/>
      <c r="P4" s="402"/>
      <c r="Q4" s="402"/>
      <c r="R4" s="402"/>
      <c r="S4" s="402"/>
      <c r="T4" s="402"/>
      <c r="U4" s="402"/>
      <c r="V4" s="403"/>
    </row>
    <row r="5" spans="1:22" ht="14" thickBot="1">
      <c r="A5" s="31" t="s">
        <v>230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2" ht="17" thickBot="1">
      <c r="A6" s="2" t="s">
        <v>231</v>
      </c>
      <c r="B6" s="378">
        <f>'MV Debt and Weighted YTM (Rd)'!B49</f>
        <v>33589.773642</v>
      </c>
      <c r="C6" s="2" t="s">
        <v>232</v>
      </c>
      <c r="D6" s="2"/>
      <c r="E6" s="2"/>
      <c r="F6" s="2"/>
      <c r="G6" s="2"/>
      <c r="H6" s="2"/>
      <c r="I6" s="2"/>
      <c r="J6" s="2"/>
      <c r="K6" s="2"/>
      <c r="L6" s="2"/>
      <c r="M6" s="71" t="s">
        <v>93</v>
      </c>
      <c r="N6" s="2"/>
      <c r="O6" s="2"/>
      <c r="P6" s="2"/>
      <c r="Q6" s="2"/>
      <c r="R6" s="2"/>
      <c r="S6" s="31"/>
      <c r="T6" s="31"/>
      <c r="U6" s="31"/>
      <c r="V6" s="31"/>
    </row>
    <row r="7" spans="1:22" ht="19.5" customHeight="1">
      <c r="A7" s="2" t="s">
        <v>233</v>
      </c>
      <c r="B7" s="379">
        <f>B17*B16</f>
        <v>327839.42099999997</v>
      </c>
      <c r="C7" s="2" t="s">
        <v>234</v>
      </c>
      <c r="D7" s="2"/>
      <c r="E7" s="2"/>
      <c r="F7" s="2"/>
      <c r="G7" s="2"/>
      <c r="H7" s="2"/>
      <c r="I7" s="2"/>
      <c r="J7" s="2"/>
      <c r="K7" s="2"/>
      <c r="L7" s="2"/>
      <c r="M7" s="2"/>
      <c r="N7"/>
      <c r="O7" s="398" t="s">
        <v>235</v>
      </c>
      <c r="P7" s="399"/>
      <c r="Q7" s="399"/>
      <c r="R7" s="399"/>
      <c r="S7" s="399"/>
      <c r="T7" s="400"/>
      <c r="U7" s="31"/>
      <c r="V7" s="31"/>
    </row>
    <row r="8" spans="1:22" ht="16">
      <c r="A8" s="2" t="s">
        <v>236</v>
      </c>
      <c r="B8" s="284">
        <f>'Balance Sheet'!D27</f>
        <v>870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72" t="s">
        <v>93</v>
      </c>
      <c r="O8" s="329">
        <f ca="1">'DCF Analysis'!D22</f>
        <v>153.40967312505799</v>
      </c>
      <c r="P8" s="70">
        <v>2.5000000000000001E-2</v>
      </c>
      <c r="Q8" s="70">
        <v>0.03</v>
      </c>
      <c r="R8" s="70">
        <v>3.5000000000000003E-2</v>
      </c>
      <c r="S8" s="70">
        <v>0.04</v>
      </c>
      <c r="T8" s="70">
        <v>4.4999999999999998E-2</v>
      </c>
      <c r="U8"/>
      <c r="V8" s="31"/>
    </row>
    <row r="9" spans="1:22" ht="21">
      <c r="A9" s="2" t="s">
        <v>237</v>
      </c>
      <c r="B9" s="104">
        <f>'MV Debt and Weighted YTM (Rd)'!E49/100</f>
        <v>7.0227104781619889E-3</v>
      </c>
      <c r="C9" s="2" t="s">
        <v>232</v>
      </c>
      <c r="D9" s="2"/>
      <c r="E9" s="2"/>
      <c r="F9" s="2"/>
      <c r="G9" s="2"/>
      <c r="H9" s="2"/>
      <c r="I9" s="2"/>
      <c r="J9" s="2"/>
      <c r="K9" s="2"/>
      <c r="L9" s="2"/>
      <c r="M9" s="2"/>
      <c r="N9" s="38"/>
      <c r="O9" s="73">
        <v>0</v>
      </c>
      <c r="P9" s="328">
        <f t="dataTable" ref="P9:T16" dt2D="1" dtr="1" r1="B13" r2="B20" ca="1"/>
        <v>153.40967312505799</v>
      </c>
      <c r="Q9" s="328">
        <v>153.40967312505799</v>
      </c>
      <c r="R9" s="328">
        <v>153.40967312505799</v>
      </c>
      <c r="S9" s="328">
        <v>153.40967312505799</v>
      </c>
      <c r="T9" s="328">
        <v>153.40967312505799</v>
      </c>
      <c r="U9" s="56"/>
      <c r="V9" s="31"/>
    </row>
    <row r="10" spans="1:22" ht="22" thickBot="1">
      <c r="A10" s="2" t="s">
        <v>238</v>
      </c>
      <c r="B10" s="105">
        <f>'Required return equity, (Re)'!B11</f>
        <v>4.1739454243250373E-2</v>
      </c>
      <c r="C10" s="2" t="s">
        <v>239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39"/>
      <c r="O10" s="73">
        <v>2.5000000000000001E-4</v>
      </c>
      <c r="P10" s="328">
        <v>153.40967312505799</v>
      </c>
      <c r="Q10" s="328">
        <v>153.40967312505799</v>
      </c>
      <c r="R10" s="328">
        <v>153.40967312505799</v>
      </c>
      <c r="S10" s="328">
        <v>153.40967312505799</v>
      </c>
      <c r="T10" s="328">
        <v>153.40967312505799</v>
      </c>
      <c r="U10" s="56"/>
      <c r="V10" s="31"/>
    </row>
    <row r="11" spans="1:22" ht="20">
      <c r="A11" s="2" t="s">
        <v>240</v>
      </c>
      <c r="B11" s="375">
        <f>'Multiple Valuation'!B8/'WACC and Growth'!B8</f>
        <v>0.31149425287356319</v>
      </c>
      <c r="C11" s="374" t="s">
        <v>241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39"/>
      <c r="O11" s="73">
        <v>5.0000000000000001E-3</v>
      </c>
      <c r="P11" s="328">
        <v>153.40967312505799</v>
      </c>
      <c r="Q11" s="328">
        <v>153.40967312505799</v>
      </c>
      <c r="R11" s="328">
        <v>153.40967312505799</v>
      </c>
      <c r="S11" s="328">
        <v>153.40967312505799</v>
      </c>
      <c r="T11" s="328">
        <v>153.40967312505799</v>
      </c>
      <c r="U11" s="56"/>
      <c r="V11" s="31"/>
    </row>
    <row r="12" spans="1:22" ht="21" thickBot="1">
      <c r="A12" s="2" t="s">
        <v>242</v>
      </c>
      <c r="B12" s="161">
        <f>'IS Hist Forecast'!H24</f>
        <v>0.33</v>
      </c>
      <c r="C12" s="2" t="s">
        <v>243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39"/>
      <c r="O12" s="73">
        <v>7.4999999999999997E-3</v>
      </c>
      <c r="P12" s="328">
        <v>153.40967312505799</v>
      </c>
      <c r="Q12" s="328">
        <v>153.40967312505799</v>
      </c>
      <c r="R12" s="328">
        <v>153.40967312505799</v>
      </c>
      <c r="S12" s="328">
        <v>153.40967312505799</v>
      </c>
      <c r="T12" s="328">
        <v>153.40967312505799</v>
      </c>
      <c r="U12" s="56"/>
      <c r="V12" s="31"/>
    </row>
    <row r="13" spans="1:22" ht="21" thickBot="1">
      <c r="A13" s="2" t="s">
        <v>235</v>
      </c>
      <c r="B13" s="198">
        <f>(B6/(B6+B7+B8))*B9*(1-B12)+(B7/(B6+B7+B8))*B10+(B8/(B6+B7+B8))*B11</f>
        <v>3.8953676579296576E-2</v>
      </c>
      <c r="C13" s="2" t="str">
        <f ca="1">_xlfn.FORMULATEXT(B13)</f>
        <v>=(B6/(B6+B7+B8))*B9*(1-B12)+(B7/(B6+B7+B8))*B10+(B8/(B6+B7+B8))*B11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39"/>
      <c r="O13" s="73">
        <v>0.01</v>
      </c>
      <c r="P13" s="328">
        <v>153.40967312505799</v>
      </c>
      <c r="Q13" s="328">
        <v>153.40967312505799</v>
      </c>
      <c r="R13" s="328">
        <v>153.40967312505799</v>
      </c>
      <c r="S13" s="328">
        <v>153.40967312505799</v>
      </c>
      <c r="T13" s="328">
        <v>153.40967312505799</v>
      </c>
      <c r="U13" s="56"/>
      <c r="V13" s="31"/>
    </row>
    <row r="14" spans="1:22" ht="20">
      <c r="A14" s="2"/>
      <c r="B14" s="380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9"/>
      <c r="O14" s="73">
        <v>1.025E-2</v>
      </c>
      <c r="P14" s="328">
        <v>153.40967312505799</v>
      </c>
      <c r="Q14" s="328">
        <v>153.40967312505799</v>
      </c>
      <c r="R14" s="328">
        <v>153.40967312505799</v>
      </c>
      <c r="S14" s="328">
        <v>153.40967312505799</v>
      </c>
      <c r="T14" s="328">
        <v>153.40967312505799</v>
      </c>
      <c r="U14" s="56"/>
      <c r="V14" s="31"/>
    </row>
    <row r="15" spans="1:22" ht="21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9"/>
      <c r="O15" s="73">
        <v>1.0500000000000001E-2</v>
      </c>
      <c r="P15" s="328">
        <v>153.40967312505799</v>
      </c>
      <c r="Q15" s="328">
        <v>153.40967312505799</v>
      </c>
      <c r="R15" s="328">
        <v>153.40967312505799</v>
      </c>
      <c r="S15" s="328">
        <v>153.40967312505799</v>
      </c>
      <c r="T15" s="328">
        <v>153.40967312505799</v>
      </c>
      <c r="U15" s="56"/>
      <c r="V15" s="31"/>
    </row>
    <row r="16" spans="1:22" ht="21" thickBot="1">
      <c r="A16" s="2" t="s">
        <v>197</v>
      </c>
      <c r="B16" s="376">
        <f>'Multiple Valuation'!B11</f>
        <v>2429.6999999999998</v>
      </c>
      <c r="C16" s="2" t="s">
        <v>244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40"/>
      <c r="O16" s="73">
        <v>1.0749999999999999E-2</v>
      </c>
      <c r="P16" s="328">
        <v>153.40967312505799</v>
      </c>
      <c r="Q16" s="328">
        <v>153.40967312505799</v>
      </c>
      <c r="R16" s="328">
        <v>153.40967312505799</v>
      </c>
      <c r="S16" s="328">
        <v>153.40967312505799</v>
      </c>
      <c r="T16" s="328">
        <v>153.40967312505799</v>
      </c>
      <c r="U16" s="56"/>
      <c r="V16" s="31"/>
    </row>
    <row r="17" spans="1:22" ht="21" thickBot="1">
      <c r="A17" s="2" t="s">
        <v>154</v>
      </c>
      <c r="B17" s="106">
        <f>'Beta computation'!AB5</f>
        <v>134.93</v>
      </c>
      <c r="C17" s="2" t="s">
        <v>245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/>
      <c r="O17" s="56"/>
      <c r="P17" s="74"/>
      <c r="Q17" s="74"/>
      <c r="R17" s="74"/>
      <c r="S17" s="74"/>
      <c r="T17" s="74"/>
      <c r="U17" s="56"/>
      <c r="V17" s="31"/>
    </row>
    <row r="18" spans="1:22" ht="17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/>
      <c r="O18" s="2"/>
      <c r="P18" s="2"/>
      <c r="Q18" s="2"/>
      <c r="R18" s="2"/>
      <c r="S18" s="31"/>
      <c r="T18" s="31"/>
      <c r="U18" s="31"/>
      <c r="V18" s="31"/>
    </row>
    <row r="19" spans="1:22" ht="20" thickBot="1">
      <c r="A19" s="3" t="s">
        <v>246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401" t="s">
        <v>229</v>
      </c>
      <c r="O19" s="402"/>
      <c r="P19" s="402"/>
      <c r="Q19" s="402"/>
      <c r="R19" s="402"/>
      <c r="S19" s="402"/>
      <c r="T19" s="402"/>
      <c r="U19" s="402"/>
      <c r="V19" s="403"/>
    </row>
    <row r="20" spans="1:22" ht="16">
      <c r="A20" s="31" t="s">
        <v>247</v>
      </c>
      <c r="B20" s="155">
        <v>0.01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1"/>
      <c r="T20" s="31"/>
      <c r="U20" s="31"/>
      <c r="V20" s="31"/>
    </row>
    <row r="21" spans="1:22" ht="16">
      <c r="A21" s="3" t="s">
        <v>93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1"/>
      <c r="T21" s="31"/>
      <c r="U21" s="31"/>
      <c r="V21" s="31"/>
    </row>
    <row r="22" spans="1:22" ht="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1"/>
      <c r="T22" s="31"/>
      <c r="U22" s="31"/>
      <c r="V22" s="31"/>
    </row>
    <row r="23" spans="1:22" ht="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1"/>
      <c r="T23" s="31"/>
      <c r="U23" s="31"/>
      <c r="V23" s="31"/>
    </row>
    <row r="24" spans="1:22" ht="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1"/>
      <c r="T24" s="31"/>
      <c r="U24" s="31"/>
      <c r="V24" s="31"/>
    </row>
  </sheetData>
  <mergeCells count="3">
    <mergeCell ref="O7:T7"/>
    <mergeCell ref="N19:V19"/>
    <mergeCell ref="N4:V4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98B3-EBCF-4A19-A2E4-212CF7AA11CA}">
  <dimension ref="A1:S52"/>
  <sheetViews>
    <sheetView topLeftCell="A19" zoomScale="81" zoomScaleNormal="81" workbookViewId="0">
      <selection activeCell="K48" sqref="K48"/>
    </sheetView>
  </sheetViews>
  <sheetFormatPr baseColWidth="10" defaultColWidth="8.83203125" defaultRowHeight="15"/>
  <cols>
    <col min="1" max="1" width="42" customWidth="1"/>
    <col min="2" max="2" width="17.5" customWidth="1"/>
    <col min="3" max="3" width="17" customWidth="1"/>
    <col min="4" max="4" width="17.83203125" customWidth="1"/>
    <col min="5" max="5" width="17.1640625" customWidth="1"/>
    <col min="6" max="6" width="11.6640625" bestFit="1" customWidth="1"/>
    <col min="7" max="7" width="12" customWidth="1"/>
    <col min="8" max="8" width="15.33203125" bestFit="1" customWidth="1"/>
    <col min="9" max="9" width="12.33203125" style="365" customWidth="1"/>
    <col min="11" max="11" width="16.1640625" customWidth="1"/>
    <col min="13" max="13" width="12.1640625" customWidth="1"/>
  </cols>
  <sheetData>
    <row r="1" spans="1:19" ht="26.75" customHeight="1">
      <c r="A1" s="404" t="s">
        <v>248</v>
      </c>
      <c r="B1" s="405"/>
      <c r="C1" s="405"/>
      <c r="D1" s="405"/>
    </row>
    <row r="4" spans="1:19" ht="16" thickBot="1">
      <c r="M4" s="242"/>
      <c r="N4" s="242"/>
      <c r="O4" s="242"/>
      <c r="P4" s="242"/>
      <c r="Q4" s="242"/>
      <c r="R4" s="242"/>
      <c r="S4" s="242"/>
    </row>
    <row r="5" spans="1:19" ht="16" thickBot="1">
      <c r="A5" s="408" t="s">
        <v>249</v>
      </c>
      <c r="B5" s="409"/>
      <c r="C5" s="409"/>
      <c r="D5" s="262" t="s">
        <v>250</v>
      </c>
      <c r="E5" s="262" t="s">
        <v>251</v>
      </c>
      <c r="F5" s="262" t="s">
        <v>252</v>
      </c>
      <c r="G5" s="260" t="s">
        <v>253</v>
      </c>
      <c r="H5" s="260" t="s">
        <v>254</v>
      </c>
      <c r="I5" s="366" t="s">
        <v>255</v>
      </c>
      <c r="J5" s="263" t="s">
        <v>256</v>
      </c>
      <c r="K5" s="261" t="s">
        <v>257</v>
      </c>
      <c r="M5" s="242"/>
      <c r="N5" s="242"/>
      <c r="O5" s="242"/>
      <c r="P5" s="242"/>
      <c r="Q5" s="242"/>
      <c r="R5" s="242"/>
      <c r="S5" s="242"/>
    </row>
    <row r="6" spans="1:19" ht="16" thickBot="1">
      <c r="A6" s="410" t="s">
        <v>258</v>
      </c>
      <c r="B6" s="411"/>
      <c r="C6" s="411"/>
      <c r="D6" s="256"/>
      <c r="E6" s="256"/>
      <c r="F6" s="256"/>
      <c r="G6" s="256"/>
      <c r="H6" s="256"/>
      <c r="I6" s="367"/>
      <c r="J6" s="256"/>
      <c r="K6" s="257"/>
      <c r="M6" s="242"/>
      <c r="N6" s="242"/>
      <c r="O6" s="242"/>
      <c r="P6" s="242"/>
      <c r="Q6" s="242"/>
      <c r="R6" s="242"/>
      <c r="S6" s="242"/>
    </row>
    <row r="7" spans="1:19">
      <c r="A7" s="406" t="s">
        <v>259</v>
      </c>
      <c r="B7" s="406"/>
      <c r="C7" s="406"/>
      <c r="D7" s="236">
        <v>2021</v>
      </c>
      <c r="E7" s="241">
        <v>1.7000000000000001E-2</v>
      </c>
      <c r="F7" s="236">
        <v>875</v>
      </c>
      <c r="G7" s="175" cm="1">
        <f t="array" ref="G7">_xlfn.XLOOKUP(D7&amp;E7,'Debt details'!$E$2:$E$27&amp;'Debt details'!$C$2:$C$27,'Debt details'!$F$2:$F$27)</f>
        <v>100.5309</v>
      </c>
      <c r="H7" s="244">
        <f t="shared" ref="H7:H33" si="0">F7*G7/100</f>
        <v>879.64537500000006</v>
      </c>
      <c r="I7" s="368">
        <f t="shared" ref="I7:I33" si="1">H7/$H$35</f>
        <v>3.1060075763448668E-2</v>
      </c>
      <c r="J7" s="175" cm="1">
        <f t="array" ref="J7">_xlfn.XLOOKUP(D7&amp;E7,'Debt details'!$E$2:$E$27&amp;'Debt details'!$C$2:$C$27,'Debt details'!$G$2:$G$27)</f>
        <v>0.119495</v>
      </c>
      <c r="K7" s="96">
        <f t="shared" ref="K7:K33" si="2">I7*J7</f>
        <v>3.7115237533532986E-3</v>
      </c>
      <c r="M7" s="319"/>
      <c r="N7" s="320"/>
      <c r="O7" s="242"/>
      <c r="P7" s="242"/>
      <c r="Q7" s="242"/>
      <c r="R7" s="242"/>
      <c r="S7" s="242"/>
    </row>
    <row r="8" spans="1:19">
      <c r="A8" s="407" t="s">
        <v>260</v>
      </c>
      <c r="B8" s="407"/>
      <c r="C8" s="407"/>
      <c r="D8" s="237">
        <v>2021</v>
      </c>
      <c r="E8" s="240">
        <v>0.02</v>
      </c>
      <c r="F8" s="237">
        <v>893</v>
      </c>
      <c r="G8" s="175" cm="1">
        <f t="array" ref="G8">_xlfn.XLOOKUP(D8&amp;E8,'Debt details'!$E$2:$E$27&amp;'Debt details'!$C$2:$C$27,'Debt details'!$F$2:$F$27)</f>
        <v>100.877</v>
      </c>
      <c r="H8" s="244">
        <f t="shared" si="0"/>
        <v>900.83160999999996</v>
      </c>
      <c r="I8" s="368">
        <f t="shared" si="1"/>
        <v>3.1808156845830556E-2</v>
      </c>
      <c r="J8" s="175" cm="1">
        <f t="array" ref="J8">_xlfn.XLOOKUP(D8&amp;E8,'Debt details'!$E$2:$E$27&amp;'Debt details'!$C$2:$C$27,'Debt details'!$G$2:$G$27)</f>
        <v>-0.52895000000000003</v>
      </c>
      <c r="K8" s="96">
        <f t="shared" si="2"/>
        <v>-1.6824924563602073E-2</v>
      </c>
      <c r="M8" s="319"/>
      <c r="N8" s="320"/>
      <c r="O8" s="242"/>
      <c r="P8" s="242"/>
      <c r="Q8" s="242"/>
      <c r="R8" s="242"/>
      <c r="S8" s="242"/>
    </row>
    <row r="9" spans="1:19">
      <c r="A9" s="406" t="s">
        <v>261</v>
      </c>
      <c r="B9" s="406"/>
      <c r="C9" s="406"/>
      <c r="D9" s="238">
        <v>2022</v>
      </c>
      <c r="E9" s="240">
        <v>2.3E-2</v>
      </c>
      <c r="F9" s="238">
        <v>1000</v>
      </c>
      <c r="G9" s="175" cm="1">
        <f t="array" ref="G9">_xlfn.XLOOKUP(D9&amp;E9,'Debt details'!$E$2:$E$27&amp;'Debt details'!$C$2:$C$27,'Debt details'!$F$2:$F$27)</f>
        <v>101.2715</v>
      </c>
      <c r="H9" s="244">
        <f t="shared" si="0"/>
        <v>1012.715</v>
      </c>
      <c r="I9" s="368">
        <f t="shared" si="1"/>
        <v>3.5758733599640553E-2</v>
      </c>
      <c r="J9" s="175" cm="1">
        <f t="array" ref="J9">_xlfn.XLOOKUP(D9&amp;E9,'Debt details'!$E$2:$E$27&amp;'Debt details'!$C$2:$C$27,'Debt details'!$G$2:$G$27)</f>
        <v>0.15904799999999999</v>
      </c>
      <c r="K9" s="96">
        <f t="shared" si="2"/>
        <v>5.6873550615556302E-3</v>
      </c>
      <c r="M9" s="319"/>
      <c r="N9" s="320"/>
      <c r="O9" s="242"/>
      <c r="P9" s="242"/>
      <c r="Q9" s="242"/>
      <c r="R9" s="242"/>
      <c r="S9" s="242"/>
    </row>
    <row r="10" spans="1:19">
      <c r="A10" s="407" t="s">
        <v>262</v>
      </c>
      <c r="B10" s="407"/>
      <c r="C10" s="407"/>
      <c r="D10" s="239">
        <v>2022</v>
      </c>
      <c r="E10" s="240">
        <v>2.1499999999999998E-2</v>
      </c>
      <c r="F10" s="239">
        <v>1250</v>
      </c>
      <c r="G10" s="175" cm="1">
        <f t="array" ref="G10">_xlfn.XLOOKUP(D10&amp;E10,'Debt details'!$E$2:$E$27&amp;'Debt details'!$C$2:$C$27,'Debt details'!$F$2:$F$27)</f>
        <v>102.1623</v>
      </c>
      <c r="H10" s="244">
        <f t="shared" si="0"/>
        <v>1277.0287499999999</v>
      </c>
      <c r="I10" s="368">
        <f t="shared" si="1"/>
        <v>4.5091591287116289E-2</v>
      </c>
      <c r="J10" s="175" cm="1">
        <f t="array" ref="J10">_xlfn.XLOOKUP(D10&amp;E10,'Debt details'!$E$2:$E$27&amp;'Debt details'!$C$2:$C$27,'Debt details'!$G$2:$G$27)</f>
        <v>0.19589799999999999</v>
      </c>
      <c r="K10" s="96">
        <f t="shared" si="2"/>
        <v>8.8333525499635062E-3</v>
      </c>
      <c r="M10" s="319"/>
      <c r="N10" s="320"/>
      <c r="O10" s="243"/>
      <c r="P10" s="242"/>
      <c r="Q10" s="242"/>
      <c r="R10" s="242"/>
      <c r="S10" s="242"/>
    </row>
    <row r="11" spans="1:19">
      <c r="A11" s="406" t="s">
        <v>263</v>
      </c>
      <c r="B11" s="406"/>
      <c r="C11" s="406"/>
      <c r="D11" s="238">
        <v>2022</v>
      </c>
      <c r="E11" s="240">
        <v>0.02</v>
      </c>
      <c r="F11" s="238">
        <v>1190</v>
      </c>
      <c r="G11" s="175" cm="1">
        <f t="array" ref="G11">_xlfn.XLOOKUP(D11&amp;E11,'Debt details'!$E$2:$E$27&amp;'Debt details'!$C$2:$C$27,'Debt details'!$F$2:$F$27)</f>
        <v>102.813</v>
      </c>
      <c r="H11" s="244">
        <f t="shared" si="0"/>
        <v>1223.4747</v>
      </c>
      <c r="I11" s="368">
        <f t="shared" si="1"/>
        <v>4.3200610105706097E-2</v>
      </c>
      <c r="J11" s="175" cm="1">
        <f t="array" ref="J11">_xlfn.XLOOKUP(D11&amp;E11,'Debt details'!$E$2:$E$27&amp;'Debt details'!$C$2:$C$27,'Debt details'!$G$2:$G$27)</f>
        <v>-0.49074000000000001</v>
      </c>
      <c r="K11" s="96">
        <f t="shared" si="2"/>
        <v>-2.1200267403274211E-2</v>
      </c>
      <c r="M11" s="319"/>
      <c r="N11" s="320"/>
      <c r="O11" s="243"/>
      <c r="P11" s="242"/>
      <c r="Q11" s="242"/>
      <c r="R11" s="242"/>
      <c r="S11" s="242"/>
    </row>
    <row r="12" spans="1:19">
      <c r="A12" s="407" t="s">
        <v>264</v>
      </c>
      <c r="B12" s="407"/>
      <c r="C12" s="407"/>
      <c r="D12" s="239">
        <v>2023</v>
      </c>
      <c r="E12" s="240">
        <v>3.1E-2</v>
      </c>
      <c r="F12" s="239">
        <v>1000</v>
      </c>
      <c r="G12" s="175" cm="1">
        <f t="array" ref="G12">_xlfn.XLOOKUP(D12&amp;E12,'Debt details'!$E$2:$E$27&amp;'Debt details'!$C$2:$C$27,'Debt details'!$F$2:$F$27)</f>
        <v>106.03270000000001</v>
      </c>
      <c r="H12" s="244">
        <f t="shared" si="0"/>
        <v>1060.3270000000002</v>
      </c>
      <c r="I12" s="368">
        <f t="shared" si="1"/>
        <v>3.7439902362961026E-2</v>
      </c>
      <c r="J12" s="175" cm="1">
        <f t="array" ref="J12">_xlfn.XLOOKUP(D12&amp;E12,'Debt details'!$E$2:$E$27&amp;'Debt details'!$C$2:$C$27,'Debt details'!$G$2:$G$27)</f>
        <v>0.24444099999999999</v>
      </c>
      <c r="K12" s="96">
        <f t="shared" si="2"/>
        <v>9.1518471735045556E-3</v>
      </c>
      <c r="M12" s="319"/>
      <c r="N12" s="320"/>
      <c r="O12" s="243"/>
      <c r="P12" s="242"/>
      <c r="Q12" s="242"/>
      <c r="R12" s="242"/>
      <c r="S12" s="242"/>
    </row>
    <row r="13" spans="1:19">
      <c r="A13" s="406" t="s">
        <v>265</v>
      </c>
      <c r="B13" s="406"/>
      <c r="C13" s="406"/>
      <c r="D13" s="238">
        <v>2023</v>
      </c>
      <c r="E13" s="240">
        <v>1.125E-2</v>
      </c>
      <c r="F13" s="238">
        <v>1488</v>
      </c>
      <c r="G13" s="175" cm="1">
        <f t="array" ref="G13">_xlfn.XLOOKUP(D13&amp;E13,'Debt details'!$E$2:$E$27&amp;'Debt details'!$C$2:$C$27,'Debt details'!$F$2:$F$27)</f>
        <v>103.501</v>
      </c>
      <c r="H13" s="244">
        <f t="shared" si="0"/>
        <v>1540.0948800000001</v>
      </c>
      <c r="I13" s="368">
        <f t="shared" si="1"/>
        <v>5.4380395799499749E-2</v>
      </c>
      <c r="J13" s="175" cm="1">
        <f t="array" ref="J13">_xlfn.XLOOKUP(D13&amp;E13,'Debt details'!$E$2:$E$27&amp;'Debt details'!$C$2:$C$27,'Debt details'!$G$2:$G$27)</f>
        <v>-0.36380200000000001</v>
      </c>
      <c r="K13" s="96">
        <f t="shared" si="2"/>
        <v>-1.9783696752649609E-2</v>
      </c>
      <c r="M13" s="319"/>
      <c r="N13" s="320"/>
      <c r="O13" s="243"/>
      <c r="P13" s="242"/>
      <c r="Q13" s="242"/>
      <c r="R13" s="242"/>
      <c r="S13" s="242"/>
    </row>
    <row r="14" spans="1:19">
      <c r="A14" s="407" t="s">
        <v>266</v>
      </c>
      <c r="B14" s="407"/>
      <c r="C14" s="407"/>
      <c r="D14" s="237">
        <v>2024</v>
      </c>
      <c r="E14" s="240">
        <v>5.0000000000000001E-3</v>
      </c>
      <c r="F14" s="237">
        <v>595</v>
      </c>
      <c r="G14" s="175" cm="1">
        <f t="array" ref="G14">_xlfn.XLOOKUP(D14&amp;E14,'Debt details'!$E$2:$E$27&amp;'Debt details'!$C$2:$C$27,'Debt details'!$F$2:$F$27)</f>
        <v>102.592</v>
      </c>
      <c r="H14" s="244">
        <f t="shared" si="0"/>
        <v>610.42239999999993</v>
      </c>
      <c r="I14" s="368">
        <f t="shared" si="1"/>
        <v>2.1553874470955029E-2</v>
      </c>
      <c r="J14" s="175" cm="1">
        <f t="array" ref="J14">_xlfn.XLOOKUP(D14&amp;E14,'Debt details'!$E$2:$E$27&amp;'Debt details'!$C$2:$C$27,'Debt details'!$G$2:$G$27)</f>
        <v>-0.277169</v>
      </c>
      <c r="K14" s="96">
        <f t="shared" si="2"/>
        <v>-5.9740658332401346E-3</v>
      </c>
      <c r="M14" s="319"/>
      <c r="N14" s="320"/>
      <c r="O14" s="243"/>
      <c r="P14" s="242"/>
      <c r="Q14" s="242"/>
      <c r="R14" s="242"/>
      <c r="S14" s="242"/>
    </row>
    <row r="15" spans="1:19">
      <c r="A15" s="406" t="s">
        <v>267</v>
      </c>
      <c r="B15" s="406"/>
      <c r="C15" s="406"/>
      <c r="D15" s="236">
        <v>2024</v>
      </c>
      <c r="E15" s="240">
        <v>6.2500000000000003E-3</v>
      </c>
      <c r="F15" s="236">
        <v>952</v>
      </c>
      <c r="G15" s="175" cm="1">
        <f t="array" ref="G15">_xlfn.XLOOKUP(D15&amp;E15,'Debt details'!$E$2:$E$27&amp;'Debt details'!$C$2:$C$27,'Debt details'!$F$2:$F$27)</f>
        <v>102.919</v>
      </c>
      <c r="H15" s="244">
        <f t="shared" si="0"/>
        <v>979.78887999999995</v>
      </c>
      <c r="I15" s="368">
        <f t="shared" si="1"/>
        <v>3.4596119879541809E-2</v>
      </c>
      <c r="J15" s="175" cm="1">
        <f t="array" ref="J15">_xlfn.XLOOKUP(D15&amp;E15,'Debt details'!$E$2:$E$27&amp;'Debt details'!$C$2:$C$27,'Debt details'!$G$2:$G$27)</f>
        <v>-0.24716399999999999</v>
      </c>
      <c r="K15" s="96">
        <f t="shared" si="2"/>
        <v>-8.5509153739070712E-3</v>
      </c>
      <c r="M15" s="319"/>
      <c r="N15" s="320"/>
      <c r="O15" s="243"/>
      <c r="P15" s="242"/>
      <c r="Q15" s="242"/>
      <c r="R15" s="242"/>
      <c r="S15" s="242"/>
    </row>
    <row r="16" spans="1:19">
      <c r="A16" s="407" t="s">
        <v>268</v>
      </c>
      <c r="B16" s="407"/>
      <c r="C16" s="407"/>
      <c r="D16" s="237">
        <v>2025</v>
      </c>
      <c r="E16" s="240">
        <v>1.375E-2</v>
      </c>
      <c r="F16" s="237">
        <v>519</v>
      </c>
      <c r="G16" s="175" cm="1">
        <f t="array" ref="G16">_xlfn.XLOOKUP(D16&amp;E16,'Debt details'!$E$2:$E$27&amp;'Debt details'!$C$2:$C$27,'Debt details'!$F$2:$F$27)</f>
        <v>103.307</v>
      </c>
      <c r="H16" s="244">
        <f t="shared" si="0"/>
        <v>536.16332999999997</v>
      </c>
      <c r="I16" s="368">
        <f t="shared" si="1"/>
        <v>1.893180379807366E-2</v>
      </c>
      <c r="J16" s="175" cm="1">
        <f t="array" ref="J16">_xlfn.XLOOKUP(D16&amp;E16,'Debt details'!$E$2:$E$27&amp;'Debt details'!$C$2:$C$27,'Debt details'!$G$2:$G$27)</f>
        <v>0.50157099999999999</v>
      </c>
      <c r="K16" s="96">
        <f t="shared" si="2"/>
        <v>9.4956437628036031E-3</v>
      </c>
      <c r="M16" s="319"/>
      <c r="N16" s="320"/>
      <c r="O16" s="243"/>
      <c r="P16" s="242"/>
      <c r="Q16" s="242"/>
      <c r="R16" s="242"/>
      <c r="S16" s="242"/>
    </row>
    <row r="17" spans="1:19">
      <c r="A17" s="406" t="s">
        <v>269</v>
      </c>
      <c r="B17" s="406"/>
      <c r="C17" s="406"/>
      <c r="D17" s="238">
        <v>2025</v>
      </c>
      <c r="E17" s="240">
        <v>5.4999999999999997E-3</v>
      </c>
      <c r="F17" s="238">
        <v>1000</v>
      </c>
      <c r="G17" s="175" cm="1">
        <f t="array" ref="G17">_xlfn.XLOOKUP(D17&amp;E17,'Debt details'!$E$2:$E$27&amp;'Debt details'!$C$2:$C$27,'Debt details'!$F$2:$F$27)</f>
        <v>98.847309999999993</v>
      </c>
      <c r="H17" s="244">
        <f t="shared" si="0"/>
        <v>988.47309999999993</v>
      </c>
      <c r="I17" s="368">
        <f t="shared" si="1"/>
        <v>3.4902757689291512E-2</v>
      </c>
      <c r="J17" s="175" cm="1">
        <f t="array" ref="J17">_xlfn.XLOOKUP(D17&amp;E17,'Debt details'!$E$2:$E$27&amp;'Debt details'!$C$2:$C$27,'Debt details'!$G$2:$G$27)</f>
        <v>0.82179899999999995</v>
      </c>
      <c r="K17" s="96">
        <f t="shared" si="2"/>
        <v>2.8683051366302073E-2</v>
      </c>
      <c r="M17" s="319"/>
      <c r="N17" s="320"/>
      <c r="O17" s="243"/>
      <c r="P17" s="242"/>
      <c r="Q17" s="242"/>
      <c r="R17" s="242"/>
      <c r="S17" s="242"/>
    </row>
    <row r="18" spans="1:19">
      <c r="A18" s="407" t="s">
        <v>270</v>
      </c>
      <c r="B18" s="407"/>
      <c r="C18" s="407"/>
      <c r="D18" s="237">
        <v>2026</v>
      </c>
      <c r="E18" s="240">
        <v>2.7E-2</v>
      </c>
      <c r="F18" s="237">
        <v>600</v>
      </c>
      <c r="G18" s="175" cm="1">
        <f t="array" ref="G18">_xlfn.XLOOKUP(D18&amp;E18,'Debt details'!$E$2:$E$27&amp;'Debt details'!$C$2:$C$27,'Debt details'!$F$2:$F$27)</f>
        <v>107.9555</v>
      </c>
      <c r="H18" s="244">
        <f t="shared" si="0"/>
        <v>647.73300000000006</v>
      </c>
      <c r="I18" s="368">
        <f t="shared" si="1"/>
        <v>2.2871303170878262E-2</v>
      </c>
      <c r="J18" s="175" cm="1">
        <f t="array" ref="J18">_xlfn.XLOOKUP(D18&amp;E18,'Debt details'!$E$2:$E$27&amp;'Debt details'!$C$2:$C$27,'Debt details'!$G$2:$G$27)</f>
        <v>0.92317499999999997</v>
      </c>
      <c r="K18" s="96">
        <f t="shared" si="2"/>
        <v>2.111421530477554E-2</v>
      </c>
      <c r="M18" s="319"/>
      <c r="N18" s="320"/>
      <c r="O18" s="243"/>
      <c r="P18" s="242"/>
      <c r="Q18" s="242"/>
      <c r="R18" s="242"/>
      <c r="S18" s="242"/>
    </row>
    <row r="19" spans="1:19">
      <c r="A19" s="406" t="s">
        <v>271</v>
      </c>
      <c r="B19" s="406"/>
      <c r="C19" s="406"/>
      <c r="D19" s="238">
        <v>2026</v>
      </c>
      <c r="E19" s="240">
        <v>0.01</v>
      </c>
      <c r="F19" s="238">
        <v>1000</v>
      </c>
      <c r="G19" s="175" cm="1">
        <f t="array" ref="G19">_xlfn.XLOOKUP(D19&amp;E19,'Debt details'!$E$2:$E$27&amp;'Debt details'!$C$2:$C$27,'Debt details'!$F$2:$F$27)</f>
        <v>100.7813</v>
      </c>
      <c r="H19" s="244">
        <f t="shared" si="0"/>
        <v>1007.813</v>
      </c>
      <c r="I19" s="368">
        <f t="shared" si="1"/>
        <v>3.5585645107710014E-2</v>
      </c>
      <c r="J19" s="175" cm="1">
        <f t="array" ref="J19">_xlfn.XLOOKUP(D19&amp;E19,'Debt details'!$E$2:$E$27&amp;'Debt details'!$C$2:$C$27,'Debt details'!$G$2:$G$27)</f>
        <v>0.83384100000000005</v>
      </c>
      <c r="K19" s="96">
        <f t="shared" si="2"/>
        <v>2.9672769902258027E-2</v>
      </c>
      <c r="M19" s="319"/>
      <c r="N19" s="320"/>
      <c r="O19" s="243"/>
      <c r="P19" s="242"/>
      <c r="Q19" s="242"/>
      <c r="R19" s="242"/>
      <c r="S19" s="242"/>
    </row>
    <row r="20" spans="1:19">
      <c r="A20" s="407" t="s">
        <v>272</v>
      </c>
      <c r="B20" s="407"/>
      <c r="C20" s="407"/>
      <c r="D20" s="237">
        <v>2026</v>
      </c>
      <c r="E20" s="240">
        <v>2.4500000000000001E-2</v>
      </c>
      <c r="F20" s="237">
        <v>875</v>
      </c>
      <c r="G20" s="175" cm="1">
        <f t="array" ref="G20">_xlfn.XLOOKUP(D20&amp;E20,'Debt details'!$E$2:$E$27&amp;'Debt details'!$C$2:$C$27,'Debt details'!$F$2:$F$27)</f>
        <v>107.0497</v>
      </c>
      <c r="H20" s="244">
        <f t="shared" si="0"/>
        <v>936.68487500000003</v>
      </c>
      <c r="I20" s="368">
        <f t="shared" si="1"/>
        <v>3.3074127382272028E-2</v>
      </c>
      <c r="J20" s="175" cm="1">
        <f t="array" ref="J20">_xlfn.XLOOKUP(D20&amp;E20,'Debt details'!$E$2:$E$27&amp;'Debt details'!$C$2:$C$27,'Debt details'!$G$2:$G$27)</f>
        <v>1.0864769999999999</v>
      </c>
      <c r="K20" s="96">
        <f t="shared" si="2"/>
        <v>3.5934278695908761E-2</v>
      </c>
      <c r="M20" s="319"/>
      <c r="N20" s="320"/>
      <c r="O20" s="243"/>
      <c r="P20" s="242"/>
      <c r="Q20" s="242"/>
      <c r="R20" s="242"/>
      <c r="S20" s="242"/>
    </row>
    <row r="21" spans="1:19">
      <c r="A21" s="406" t="s">
        <v>273</v>
      </c>
      <c r="B21" s="406"/>
      <c r="C21" s="406"/>
      <c r="D21" s="236">
        <v>2027</v>
      </c>
      <c r="E21" s="240">
        <v>2.8000000000000001E-2</v>
      </c>
      <c r="F21" s="236">
        <v>500</v>
      </c>
      <c r="G21" s="175" cm="1">
        <f t="array" ref="G21">_xlfn.XLOOKUP(D21&amp;E21,'Debt details'!$E$2:$E$27&amp;'Debt details'!$C$2:$C$27,'Debt details'!$F$2:$F$27)</f>
        <v>108.24809999999999</v>
      </c>
      <c r="H21" s="244">
        <f t="shared" si="0"/>
        <v>541.2405</v>
      </c>
      <c r="I21" s="368">
        <f t="shared" si="1"/>
        <v>1.9111077502393322E-2</v>
      </c>
      <c r="J21" s="175" cm="1">
        <f t="array" ref="J21">_xlfn.XLOOKUP(D21&amp;E21,'Debt details'!$E$2:$E$27&amp;'Debt details'!$C$2:$C$27,'Debt details'!$G$2:$G$27)</f>
        <v>1.3014600000000001</v>
      </c>
      <c r="K21" s="96">
        <f t="shared" si="2"/>
        <v>2.4872302926264814E-2</v>
      </c>
      <c r="M21" s="319"/>
      <c r="N21" s="320"/>
      <c r="O21" s="243"/>
      <c r="P21" s="242"/>
      <c r="Q21" s="242"/>
      <c r="R21" s="242"/>
      <c r="S21" s="242"/>
    </row>
    <row r="22" spans="1:19">
      <c r="A22" s="407" t="s">
        <v>274</v>
      </c>
      <c r="B22" s="407"/>
      <c r="C22" s="407"/>
      <c r="D22" s="239">
        <v>2027</v>
      </c>
      <c r="E22" s="240">
        <v>4.8750000000000002E-2</v>
      </c>
      <c r="F22" s="239">
        <v>1190</v>
      </c>
      <c r="G22" s="175" cm="1">
        <f t="array" ref="G22">_xlfn.XLOOKUP(D22&amp;E22,'Debt details'!$E$2:$E$27&amp;'Debt details'!$C$2:$C$27,'Debt details'!$F$2:$F$27)</f>
        <v>128.892</v>
      </c>
      <c r="H22" s="244">
        <f t="shared" si="0"/>
        <v>1533.8147999999999</v>
      </c>
      <c r="I22" s="368">
        <f t="shared" si="1"/>
        <v>5.4158647619898935E-2</v>
      </c>
      <c r="J22" s="175" cm="1">
        <f t="array" ref="J22">_xlfn.XLOOKUP(D22&amp;E22,'Debt details'!$E$2:$E$27&amp;'Debt details'!$C$2:$C$27,'Debt details'!$G$2:$G$27)</f>
        <v>-4.9121999999999999E-2</v>
      </c>
      <c r="K22" s="96">
        <f t="shared" si="2"/>
        <v>-2.6603810883846753E-3</v>
      </c>
      <c r="M22" s="319"/>
      <c r="N22" s="320"/>
      <c r="O22" s="243"/>
      <c r="P22" s="242"/>
      <c r="Q22" s="242"/>
      <c r="R22" s="242"/>
      <c r="S22" s="242"/>
    </row>
    <row r="23" spans="1:19">
      <c r="A23" s="406" t="s">
        <v>275</v>
      </c>
      <c r="B23" s="406"/>
      <c r="C23" s="406"/>
      <c r="D23" s="236">
        <v>2027</v>
      </c>
      <c r="E23" s="240">
        <v>2.8500000000000001E-2</v>
      </c>
      <c r="F23" s="236">
        <v>750</v>
      </c>
      <c r="G23" s="175" cm="1">
        <f t="array" ref="G23">_xlfn.XLOOKUP(D23&amp;E23,'Debt details'!$E$2:$E$27&amp;'Debt details'!$C$2:$C$27,'Debt details'!$F$2:$F$27)</f>
        <v>109.0343</v>
      </c>
      <c r="H23" s="244">
        <f t="shared" si="0"/>
        <v>817.75725000000011</v>
      </c>
      <c r="I23" s="368">
        <f t="shared" si="1"/>
        <v>2.8874820311661883E-2</v>
      </c>
      <c r="J23" s="175" cm="1">
        <f t="array" ref="J23">_xlfn.XLOOKUP(D23&amp;E23,'Debt details'!$E$2:$E$27&amp;'Debt details'!$C$2:$C$27,'Debt details'!$G$2:$G$27)</f>
        <v>1.3062419999999999</v>
      </c>
      <c r="K23" s="96">
        <f t="shared" si="2"/>
        <v>3.7717503033545839E-2</v>
      </c>
      <c r="M23" s="319"/>
      <c r="N23" s="320"/>
      <c r="O23" s="243"/>
      <c r="P23" s="242"/>
      <c r="Q23" s="242"/>
      <c r="R23" s="242"/>
      <c r="S23" s="242"/>
    </row>
    <row r="24" spans="1:19">
      <c r="A24" s="407" t="s">
        <v>276</v>
      </c>
      <c r="B24" s="407"/>
      <c r="C24" s="407"/>
      <c r="D24" s="237">
        <v>2028</v>
      </c>
      <c r="E24" s="240">
        <v>1.2E-2</v>
      </c>
      <c r="F24" s="237">
        <v>952</v>
      </c>
      <c r="G24" s="175" cm="1">
        <f t="array" ref="G24">_xlfn.XLOOKUP(D24&amp;E24,'Debt details'!$E$2:$E$27&amp;'Debt details'!$C$2:$C$27,'Debt details'!$F$2:$F$27)</f>
        <v>108.06100000000001</v>
      </c>
      <c r="H24" s="244">
        <f t="shared" si="0"/>
        <v>1028.74072</v>
      </c>
      <c r="I24" s="368">
        <f t="shared" si="1"/>
        <v>3.6324598084932498E-2</v>
      </c>
      <c r="J24" s="175" cm="1">
        <f t="array" ref="J24">_xlfn.XLOOKUP(D24&amp;E24,'Debt details'!$E$2:$E$27&amp;'Debt details'!$C$2:$C$27,'Debt details'!$G$2:$G$27)</f>
        <v>9.5683000000000004E-2</v>
      </c>
      <c r="K24" s="96">
        <f t="shared" si="2"/>
        <v>3.4756465185605966E-3</v>
      </c>
      <c r="M24" s="319"/>
      <c r="N24" s="320"/>
      <c r="O24" s="243"/>
      <c r="P24" s="242"/>
      <c r="Q24" s="242"/>
      <c r="R24" s="242"/>
      <c r="S24" s="242"/>
    </row>
    <row r="25" spans="1:19">
      <c r="A25" s="406" t="s">
        <v>277</v>
      </c>
      <c r="B25" s="406"/>
      <c r="C25" s="406"/>
      <c r="D25" s="236">
        <v>2029</v>
      </c>
      <c r="E25" s="240">
        <v>1.7999999999999999E-2</v>
      </c>
      <c r="F25" s="236">
        <v>519</v>
      </c>
      <c r="G25" s="175" cm="1">
        <f t="array" ref="G25">_xlfn.XLOOKUP(D25&amp;E25,'Debt details'!$E$2:$E$27&amp;'Debt details'!$C$2:$C$27,'Debt details'!$F$2:$F$27)</f>
        <v>105.986</v>
      </c>
      <c r="H25" s="244">
        <f t="shared" si="0"/>
        <v>550.06734000000006</v>
      </c>
      <c r="I25" s="368">
        <f t="shared" si="1"/>
        <v>1.9422751191522696E-2</v>
      </c>
      <c r="J25" s="175" cm="1">
        <f t="array" ref="J25">_xlfn.XLOOKUP(D25&amp;E25,'Debt details'!$E$2:$E$27&amp;'Debt details'!$C$2:$C$27,'Debt details'!$G$2:$G$27)</f>
        <v>0.99920100000000001</v>
      </c>
      <c r="K25" s="96">
        <f t="shared" si="2"/>
        <v>1.9407232413320669E-2</v>
      </c>
      <c r="M25" s="319"/>
      <c r="N25" s="320"/>
      <c r="O25" s="243"/>
      <c r="P25" s="242"/>
      <c r="Q25" s="242"/>
      <c r="R25" s="242"/>
      <c r="S25" s="242"/>
    </row>
    <row r="26" spans="1:19">
      <c r="A26" s="407" t="s">
        <v>278</v>
      </c>
      <c r="B26" s="407"/>
      <c r="C26" s="407"/>
      <c r="D26" s="237">
        <v>2029</v>
      </c>
      <c r="E26" s="240">
        <v>1.2500000000000001E-2</v>
      </c>
      <c r="F26" s="237">
        <v>595</v>
      </c>
      <c r="G26" s="175" cm="1">
        <f t="array" ref="G26">_xlfn.XLOOKUP(D26&amp;E26,'Debt details'!$E$2:$E$27&amp;'Debt details'!$C$2:$C$27,'Debt details'!$F$2:$F$27)</f>
        <v>108.9</v>
      </c>
      <c r="H26" s="244">
        <f t="shared" si="0"/>
        <v>647.95500000000004</v>
      </c>
      <c r="I26" s="368">
        <f t="shared" si="1"/>
        <v>2.2879141939790657E-2</v>
      </c>
      <c r="J26" s="175" cm="1">
        <f t="array" ref="J26">_xlfn.XLOOKUP(D26&amp;E26,'Debt details'!$E$2:$E$27&amp;'Debt details'!$C$2:$C$27,'Debt details'!$G$2:$G$27)</f>
        <v>0.17108000000000001</v>
      </c>
      <c r="K26" s="96">
        <f t="shared" si="2"/>
        <v>3.9141636030593854E-3</v>
      </c>
      <c r="M26" s="319"/>
      <c r="N26" s="320"/>
      <c r="O26" s="243"/>
      <c r="P26" s="242"/>
      <c r="Q26" s="242"/>
      <c r="R26" s="242"/>
      <c r="S26" s="242"/>
    </row>
    <row r="27" spans="1:19">
      <c r="A27" s="406" t="s">
        <v>279</v>
      </c>
      <c r="B27" s="406"/>
      <c r="C27" s="406"/>
      <c r="D27" s="238">
        <v>2030</v>
      </c>
      <c r="E27" s="240">
        <v>0.03</v>
      </c>
      <c r="F27" s="238">
        <v>1500</v>
      </c>
      <c r="G27" s="175" cm="1">
        <f t="array" ref="G27">_xlfn.XLOOKUP(D27&amp;E27,'Debt details'!$E$2:$E$27&amp;'Debt details'!$C$2:$C$27,'Debt details'!$F$2:$F$27)</f>
        <v>110.0652</v>
      </c>
      <c r="H27" s="244">
        <f t="shared" si="0"/>
        <v>1650.9780000000001</v>
      </c>
      <c r="I27" s="368">
        <f t="shared" si="1"/>
        <v>5.8295653249796207E-2</v>
      </c>
      <c r="J27" s="175" cm="1">
        <f t="array" ref="J27">_xlfn.XLOOKUP(D27&amp;E27,'Debt details'!$E$2:$E$27&amp;'Debt details'!$C$2:$C$27,'Debt details'!$G$2:$G$27)</f>
        <v>1.7515050000000001</v>
      </c>
      <c r="K27" s="96">
        <f t="shared" si="2"/>
        <v>0.10210512814528432</v>
      </c>
      <c r="M27" s="319"/>
      <c r="N27" s="320"/>
      <c r="O27" s="243"/>
      <c r="P27" s="242"/>
      <c r="Q27" s="242"/>
      <c r="R27" s="242"/>
      <c r="S27" s="242"/>
    </row>
    <row r="28" spans="1:19">
      <c r="A28" s="407" t="s">
        <v>280</v>
      </c>
      <c r="B28" s="407"/>
      <c r="C28" s="407"/>
      <c r="D28" s="239">
        <v>2030</v>
      </c>
      <c r="E28" s="240">
        <v>1.2E-2</v>
      </c>
      <c r="F28" s="239">
        <v>1250</v>
      </c>
      <c r="G28" s="175" cm="1">
        <f t="array" ref="G28">_xlfn.XLOOKUP(D28&amp;E28,'Debt details'!$E$2:$E$27&amp;'Debt details'!$C$2:$C$27,'Debt details'!$F$2:$F$27)</f>
        <v>95.231380000000001</v>
      </c>
      <c r="H28" s="244">
        <f t="shared" si="0"/>
        <v>1190.3922500000001</v>
      </c>
      <c r="I28" s="368">
        <f t="shared" si="1"/>
        <v>4.203247640928269E-2</v>
      </c>
      <c r="J28" s="175" cm="1">
        <f t="array" ref="J28">_xlfn.XLOOKUP(D28&amp;E28,'Debt details'!$E$2:$E$27&amp;'Debt details'!$C$2:$C$27,'Debt details'!$G$2:$G$27)</f>
        <v>1.7565729999999999</v>
      </c>
      <c r="K28" s="96">
        <f t="shared" si="2"/>
        <v>7.3833113183682922E-2</v>
      </c>
      <c r="M28" s="319"/>
      <c r="N28" s="320"/>
      <c r="O28" s="243"/>
      <c r="P28" s="242"/>
      <c r="Q28" s="242"/>
      <c r="R28" s="242"/>
      <c r="S28" s="242"/>
    </row>
    <row r="29" spans="1:19">
      <c r="A29" s="406" t="s">
        <v>281</v>
      </c>
      <c r="B29" s="406"/>
      <c r="C29" s="406"/>
      <c r="D29" s="238">
        <v>2031</v>
      </c>
      <c r="E29" s="240">
        <v>1.95E-2</v>
      </c>
      <c r="F29" s="238">
        <v>1000</v>
      </c>
      <c r="G29" s="175" cm="1">
        <f t="array" ref="G29">_xlfn.XLOOKUP(D29&amp;E29,'Debt details'!$E$2:$E$27&amp;'Debt details'!$C$2:$C$27,'Debt details'!$F$2:$F$27)</f>
        <v>101.6246</v>
      </c>
      <c r="H29" s="244">
        <f t="shared" si="0"/>
        <v>1016.2460000000001</v>
      </c>
      <c r="I29" s="368">
        <f t="shared" si="1"/>
        <v>3.5883412397071553E-2</v>
      </c>
      <c r="J29" s="175" cm="1">
        <f t="array" ref="J29">_xlfn.XLOOKUP(D29&amp;E29,'Debt details'!$E$2:$E$27&amp;'Debt details'!$C$2:$C$27,'Debt details'!$G$2:$G$27)</f>
        <v>1.76874</v>
      </c>
      <c r="K29" s="96">
        <f t="shared" si="2"/>
        <v>6.3468426843196341E-2</v>
      </c>
      <c r="M29" s="319"/>
      <c r="N29" s="320"/>
      <c r="O29" s="243"/>
      <c r="P29" s="242"/>
      <c r="Q29" s="242"/>
      <c r="R29" s="242"/>
      <c r="S29" s="242"/>
    </row>
    <row r="30" spans="1:19">
      <c r="A30" s="407" t="s">
        <v>282</v>
      </c>
      <c r="B30" s="407"/>
      <c r="C30" s="407"/>
      <c r="D30" s="237">
        <v>2037</v>
      </c>
      <c r="E30" s="240">
        <v>5.5500000000000001E-2</v>
      </c>
      <c r="F30" s="237">
        <v>716</v>
      </c>
      <c r="G30" s="175" cm="1">
        <f t="array" ref="G30">_xlfn.XLOOKUP(D30&amp;E30,'Debt details'!$E$2:$E$27&amp;'Debt details'!$C$2:$C$27,'Debt details'!$F$2:$F$27)</f>
        <v>143.9691</v>
      </c>
      <c r="H30" s="244">
        <f t="shared" si="0"/>
        <v>1030.8187559999999</v>
      </c>
      <c r="I30" s="368">
        <f t="shared" si="1"/>
        <v>3.6397973057885856E-2</v>
      </c>
      <c r="J30" s="175" cm="1">
        <f t="array" ref="J30">_xlfn.XLOOKUP(D30&amp;E30,'Debt details'!$E$2:$E$27&amp;'Debt details'!$C$2:$C$27,'Debt details'!$G$2:$G$27)</f>
        <v>2.2144080000000002</v>
      </c>
      <c r="K30" s="96">
        <f t="shared" si="2"/>
        <v>8.0599962723166912E-2</v>
      </c>
      <c r="M30" s="319"/>
      <c r="N30" s="320"/>
      <c r="O30" s="243"/>
      <c r="P30" s="242"/>
      <c r="Q30" s="242"/>
      <c r="R30" s="242"/>
      <c r="S30" s="242"/>
    </row>
    <row r="31" spans="1:19">
      <c r="A31" s="406" t="s">
        <v>283</v>
      </c>
      <c r="B31" s="406"/>
      <c r="C31" s="406"/>
      <c r="D31" s="236">
        <v>2038</v>
      </c>
      <c r="E31" s="240">
        <v>1.8749999999999999E-2</v>
      </c>
      <c r="F31" s="236">
        <v>595</v>
      </c>
      <c r="G31" s="175" cm="1">
        <f t="array" ref="G31">_xlfn.XLOOKUP(D31&amp;E31,'Debt details'!$E$2:$E$27&amp;'Debt details'!$C$2:$C$27,'Debt details'!$F$2:$F$27)</f>
        <v>119.107</v>
      </c>
      <c r="H31" s="244">
        <f t="shared" si="0"/>
        <v>708.68664999999999</v>
      </c>
      <c r="I31" s="368">
        <f t="shared" si="1"/>
        <v>2.5023562525460476E-2</v>
      </c>
      <c r="J31" s="175" cm="1">
        <f t="array" ref="J31">_xlfn.XLOOKUP(D31&amp;E31,'Debt details'!$E$2:$E$27&amp;'Debt details'!$C$2:$C$27,'Debt details'!$G$2:$G$27)</f>
        <v>0.70019699999999996</v>
      </c>
      <c r="K31" s="96">
        <f t="shared" si="2"/>
        <v>1.7521423409639848E-2</v>
      </c>
      <c r="M31" s="319"/>
      <c r="N31" s="320"/>
      <c r="O31" s="243"/>
      <c r="P31" s="242"/>
      <c r="Q31" s="242"/>
      <c r="R31" s="242"/>
      <c r="S31" s="242"/>
    </row>
    <row r="32" spans="1:19">
      <c r="A32" s="407" t="s">
        <v>284</v>
      </c>
      <c r="B32" s="407"/>
      <c r="C32" s="407"/>
      <c r="D32" s="237">
        <v>2040</v>
      </c>
      <c r="E32" s="240">
        <v>3.5499999999999997E-2</v>
      </c>
      <c r="F32" s="237">
        <v>516</v>
      </c>
      <c r="G32" s="175" cm="1">
        <f t="array" ref="G32">_xlfn.XLOOKUP(D32&amp;E32,'Debt details'!$E$2:$E$27&amp;'Debt details'!$C$2:$C$27,'Debt details'!$F$2:$F$27)</f>
        <v>117.0311</v>
      </c>
      <c r="H32" s="244">
        <f t="shared" si="0"/>
        <v>603.88047599999993</v>
      </c>
      <c r="I32" s="368">
        <f t="shared" si="1"/>
        <v>2.1322880639970898E-2</v>
      </c>
      <c r="J32" s="175" cm="1">
        <f t="array" ref="J32">_xlfn.XLOOKUP(D32&amp;E32,'Debt details'!$E$2:$E$27&amp;'Debt details'!$C$2:$C$27,'Debt details'!$G$2:$G$27)</f>
        <v>2.4141509999999999</v>
      </c>
      <c r="K32" s="96">
        <f t="shared" si="2"/>
        <v>5.1476653619866385E-2</v>
      </c>
      <c r="M32" s="319"/>
      <c r="N32" s="320"/>
    </row>
    <row r="33" spans="1:14">
      <c r="A33" s="414" t="s">
        <v>285</v>
      </c>
      <c r="B33" s="414"/>
      <c r="C33" s="414"/>
      <c r="D33" s="286" t="s">
        <v>93</v>
      </c>
      <c r="E33" s="286" t="s">
        <v>93</v>
      </c>
      <c r="F33" s="286">
        <v>3399</v>
      </c>
      <c r="G33" s="287">
        <v>100</v>
      </c>
      <c r="H33" s="244">
        <f t="shared" si="0"/>
        <v>3399</v>
      </c>
      <c r="I33" s="368">
        <f t="shared" si="1"/>
        <v>0.12001790780740706</v>
      </c>
      <c r="J33" s="175">
        <v>2</v>
      </c>
      <c r="K33" s="96">
        <f t="shared" si="2"/>
        <v>0.24003581561481413</v>
      </c>
      <c r="M33" s="319"/>
      <c r="N33" s="320"/>
    </row>
    <row r="34" spans="1:14" ht="16" thickBot="1">
      <c r="N34" s="321"/>
    </row>
    <row r="35" spans="1:14" ht="19">
      <c r="A35" s="412" t="s">
        <v>286</v>
      </c>
      <c r="B35" s="413"/>
      <c r="C35" s="413"/>
      <c r="D35" s="256"/>
      <c r="E35" s="276" t="s">
        <v>93</v>
      </c>
      <c r="F35" s="280">
        <f>SUM(F7:F34)</f>
        <v>26719</v>
      </c>
      <c r="G35" s="277" t="s">
        <v>93</v>
      </c>
      <c r="H35" s="279">
        <f>SUM(H7:H34)</f>
        <v>28320.773642</v>
      </c>
      <c r="I35" s="282">
        <f>SUM(I7:I34)</f>
        <v>1</v>
      </c>
      <c r="J35" s="278"/>
      <c r="K35" s="283">
        <f>SUM(K7:K33)</f>
        <v>0.79571715858976944</v>
      </c>
      <c r="L35" s="13" t="s">
        <v>287</v>
      </c>
    </row>
    <row r="36" spans="1:14" ht="24" customHeight="1"/>
    <row r="38" spans="1:14" ht="16" thickBot="1">
      <c r="A38" s="20" t="s">
        <v>288</v>
      </c>
      <c r="D38" s="264" t="s">
        <v>289</v>
      </c>
      <c r="E38" s="264" t="s">
        <v>290</v>
      </c>
      <c r="F38" s="265">
        <v>44045</v>
      </c>
      <c r="G38" s="18" t="s">
        <v>253</v>
      </c>
      <c r="H38" s="109" t="s">
        <v>254</v>
      </c>
      <c r="I38" s="369" t="s">
        <v>255</v>
      </c>
      <c r="J38" s="382" t="s">
        <v>256</v>
      </c>
      <c r="K38" s="18" t="s">
        <v>257</v>
      </c>
      <c r="L38" s="13"/>
      <c r="M38" s="31"/>
    </row>
    <row r="39" spans="1:14" ht="16" thickBot="1">
      <c r="A39" s="266" t="s">
        <v>291</v>
      </c>
      <c r="B39" s="267"/>
      <c r="C39" s="267"/>
      <c r="D39" s="383">
        <v>2022</v>
      </c>
      <c r="E39" s="268">
        <v>0.2</v>
      </c>
      <c r="F39" s="263">
        <v>5171</v>
      </c>
      <c r="G39" s="268">
        <v>100</v>
      </c>
      <c r="H39" s="388">
        <f>G39*F39/100</f>
        <v>5171</v>
      </c>
      <c r="I39" s="390">
        <f>H39/$H$42</f>
        <v>0.98140064528373505</v>
      </c>
      <c r="J39" s="268">
        <v>0.2</v>
      </c>
      <c r="K39" s="385">
        <f>I39*J39</f>
        <v>0.19628012905674702</v>
      </c>
      <c r="L39" s="68" t="s">
        <v>93</v>
      </c>
      <c r="M39" s="31"/>
    </row>
    <row r="40" spans="1:14" ht="16" thickBot="1">
      <c r="A40" s="269" t="s">
        <v>292</v>
      </c>
      <c r="D40" s="31">
        <v>2022</v>
      </c>
      <c r="E40" s="68">
        <v>0.2</v>
      </c>
      <c r="F40" s="270">
        <v>98</v>
      </c>
      <c r="G40" s="68">
        <v>100</v>
      </c>
      <c r="H40" s="389">
        <f>G40*F40/100</f>
        <v>98</v>
      </c>
      <c r="I40" s="391">
        <f t="shared" ref="I40" si="3">H40/$H$42</f>
        <v>1.8599354716264945E-2</v>
      </c>
      <c r="J40" s="68">
        <v>0.2</v>
      </c>
      <c r="K40" s="386">
        <f>I40*J40</f>
        <v>3.7198709432529893E-3</v>
      </c>
      <c r="L40" s="68"/>
      <c r="M40" s="31"/>
    </row>
    <row r="41" spans="1:14" ht="16" thickBot="1">
      <c r="A41" s="271"/>
      <c r="B41" s="272"/>
      <c r="C41" s="272"/>
      <c r="D41" s="94"/>
      <c r="E41" s="94"/>
      <c r="F41" s="91"/>
      <c r="G41" s="92"/>
      <c r="H41" s="93"/>
      <c r="I41" s="387"/>
      <c r="J41" s="93"/>
      <c r="K41" s="381"/>
      <c r="L41" s="13"/>
      <c r="M41" s="31"/>
    </row>
    <row r="42" spans="1:14" ht="16" thickBot="1">
      <c r="A42" s="273" t="s">
        <v>293</v>
      </c>
      <c r="B42" s="256"/>
      <c r="C42" s="256"/>
      <c r="D42" s="384" t="s">
        <v>93</v>
      </c>
      <c r="E42" s="384"/>
      <c r="F42" s="281">
        <f>SUM(F39:F41)</f>
        <v>5269</v>
      </c>
      <c r="G42" s="274"/>
      <c r="H42" s="281">
        <f>SUM(H39:H41)</f>
        <v>5269</v>
      </c>
      <c r="I42" s="275">
        <f>SUM(I39:I41)</f>
        <v>1</v>
      </c>
      <c r="J42" s="275" t="s">
        <v>93</v>
      </c>
      <c r="K42" s="373">
        <f>SUM(K39:K41)</f>
        <v>0.2</v>
      </c>
      <c r="L42" s="13" t="s">
        <v>294</v>
      </c>
      <c r="M42" s="90"/>
    </row>
    <row r="43" spans="1:14">
      <c r="A43" s="13"/>
      <c r="D43" s="31" t="s">
        <v>93</v>
      </c>
      <c r="E43" s="31"/>
      <c r="F43" s="13"/>
      <c r="G43" s="13"/>
      <c r="H43" s="19"/>
      <c r="I43" s="370"/>
      <c r="J43" s="13"/>
      <c r="K43" s="13"/>
      <c r="L43" s="13"/>
      <c r="M43" s="13"/>
    </row>
    <row r="44" spans="1:14">
      <c r="A44" s="13"/>
      <c r="B44" s="13"/>
      <c r="C44" s="13"/>
      <c r="D44" s="13"/>
      <c r="E44" s="13"/>
      <c r="F44" s="13"/>
      <c r="G44" s="13"/>
      <c r="H44" s="13"/>
      <c r="I44" s="370"/>
      <c r="J44" s="13"/>
    </row>
    <row r="45" spans="1:14" ht="16" thickBot="1">
      <c r="A45" s="13" t="s">
        <v>295</v>
      </c>
      <c r="B45" s="13"/>
      <c r="C45" s="13"/>
      <c r="D45" s="69"/>
      <c r="E45" s="13"/>
      <c r="F45" s="13"/>
      <c r="G45" s="13"/>
      <c r="H45" s="13"/>
      <c r="I45" s="370"/>
      <c r="J45" s="13"/>
    </row>
    <row r="46" spans="1:14">
      <c r="A46" s="21"/>
      <c r="B46" s="22" t="s">
        <v>296</v>
      </c>
      <c r="C46" s="22" t="s">
        <v>255</v>
      </c>
      <c r="D46" s="22" t="s">
        <v>256</v>
      </c>
      <c r="E46" s="23" t="s">
        <v>297</v>
      </c>
      <c r="F46" s="13"/>
      <c r="G46" s="13"/>
      <c r="H46" s="13"/>
      <c r="I46" s="370"/>
      <c r="J46" s="13"/>
    </row>
    <row r="47" spans="1:14">
      <c r="A47" s="24" t="s">
        <v>298</v>
      </c>
      <c r="B47" s="372">
        <f>H35</f>
        <v>28320.773642</v>
      </c>
      <c r="C47" s="258">
        <f>B47/B$49</f>
        <v>0.84313678156462046</v>
      </c>
      <c r="D47" s="259">
        <f>K35</f>
        <v>0.79571715858976944</v>
      </c>
      <c r="E47" s="25">
        <f>D47*C47</f>
        <v>0.67089840412912294</v>
      </c>
      <c r="F47" s="13"/>
      <c r="G47" s="13"/>
      <c r="H47" s="13"/>
      <c r="I47" s="370"/>
      <c r="J47" s="13"/>
    </row>
    <row r="48" spans="1:14" ht="16" thickBot="1">
      <c r="A48" s="24" t="s">
        <v>299</v>
      </c>
      <c r="B48" s="288">
        <f>H42</f>
        <v>5269</v>
      </c>
      <c r="C48" s="258">
        <f>B48/B$49</f>
        <v>0.15686321843537954</v>
      </c>
      <c r="D48" s="258">
        <f>K42</f>
        <v>0.2</v>
      </c>
      <c r="E48" s="25">
        <f>D48*C48</f>
        <v>3.1372643687075909E-2</v>
      </c>
      <c r="F48" s="13"/>
      <c r="G48" s="13"/>
      <c r="H48" s="13"/>
      <c r="I48" s="370"/>
      <c r="J48" s="13"/>
    </row>
    <row r="49" spans="1:7" ht="16" thickBot="1">
      <c r="A49" s="289" t="s">
        <v>300</v>
      </c>
      <c r="B49" s="371">
        <f>SUM(B47:B48)</f>
        <v>33589.773642</v>
      </c>
      <c r="C49" s="290">
        <f>SUM(C47:C48)</f>
        <v>1</v>
      </c>
      <c r="D49" s="256"/>
      <c r="E49" s="291">
        <f>SUM(E47:E48)</f>
        <v>0.70227104781619887</v>
      </c>
      <c r="F49" s="256" t="s">
        <v>301</v>
      </c>
      <c r="G49" s="257"/>
    </row>
    <row r="50" spans="1:7">
      <c r="B50" s="72"/>
    </row>
    <row r="52" spans="1:7">
      <c r="B52" s="72"/>
    </row>
  </sheetData>
  <mergeCells count="31">
    <mergeCell ref="A35:C35"/>
    <mergeCell ref="A33:C33"/>
    <mergeCell ref="A31:C31"/>
    <mergeCell ref="A32:C32"/>
    <mergeCell ref="A29:C29"/>
    <mergeCell ref="A30:C30"/>
    <mergeCell ref="A27:C27"/>
    <mergeCell ref="A28:C28"/>
    <mergeCell ref="A25:C25"/>
    <mergeCell ref="A26:C26"/>
    <mergeCell ref="A23:C23"/>
    <mergeCell ref="A24:C24"/>
    <mergeCell ref="A21:C21"/>
    <mergeCell ref="A22:C22"/>
    <mergeCell ref="A19:C19"/>
    <mergeCell ref="A20:C20"/>
    <mergeCell ref="A17:C17"/>
    <mergeCell ref="A18:C18"/>
    <mergeCell ref="A15:C15"/>
    <mergeCell ref="A16:C16"/>
    <mergeCell ref="A13:C13"/>
    <mergeCell ref="A14:C14"/>
    <mergeCell ref="A5:C5"/>
    <mergeCell ref="A6:C6"/>
    <mergeCell ref="A1:D1"/>
    <mergeCell ref="A11:C11"/>
    <mergeCell ref="A12:C12"/>
    <mergeCell ref="A9:C9"/>
    <mergeCell ref="A10:C10"/>
    <mergeCell ref="A7:C7"/>
    <mergeCell ref="A8:C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EE7D-0616-44F9-8D2A-6F7B9F0A3C68}">
  <sheetPr codeName="Sheet17"/>
  <dimension ref="A1:S2885"/>
  <sheetViews>
    <sheetView topLeftCell="C1" zoomScale="82" zoomScaleNormal="82" workbookViewId="0">
      <selection activeCell="H13" sqref="H13"/>
    </sheetView>
  </sheetViews>
  <sheetFormatPr baseColWidth="10" defaultColWidth="8.83203125" defaultRowHeight="15"/>
  <cols>
    <col min="1" max="1" width="36" customWidth="1"/>
    <col min="2" max="8" width="17" customWidth="1"/>
    <col min="10" max="10" width="17.33203125" customWidth="1"/>
    <col min="11" max="11" width="27.6640625" customWidth="1"/>
    <col min="12" max="12" width="21.1640625" bestFit="1" customWidth="1"/>
    <col min="14" max="14" width="18.5" customWidth="1"/>
    <col min="15" max="15" width="14.5" customWidth="1"/>
    <col min="22" max="22" width="12" customWidth="1"/>
    <col min="23" max="23" width="18" customWidth="1"/>
    <col min="24" max="24" width="37" customWidth="1"/>
    <col min="25" max="26" width="15" customWidth="1"/>
    <col min="27" max="29" width="12" customWidth="1"/>
  </cols>
  <sheetData>
    <row r="1" spans="1:19" ht="17" thickBot="1">
      <c r="A1" s="173" t="s">
        <v>302</v>
      </c>
      <c r="B1" s="173" t="s">
        <v>303</v>
      </c>
      <c r="C1" s="173" t="s">
        <v>251</v>
      </c>
      <c r="D1" s="173" t="s">
        <v>304</v>
      </c>
      <c r="E1" s="173" t="s">
        <v>305</v>
      </c>
      <c r="F1" s="173" t="s">
        <v>253</v>
      </c>
      <c r="G1" s="173" t="s">
        <v>306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245" t="s">
        <v>307</v>
      </c>
      <c r="B2" s="246" t="s">
        <v>308</v>
      </c>
      <c r="C2" s="247">
        <v>0.01</v>
      </c>
      <c r="D2" s="246" t="s">
        <v>309</v>
      </c>
      <c r="E2" s="246">
        <f>YEAR(D2)</f>
        <v>2026</v>
      </c>
      <c r="F2" s="246">
        <v>100.7813</v>
      </c>
      <c r="G2" s="248">
        <v>0.83384100000000005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</row>
    <row r="3" spans="1:19">
      <c r="A3" s="249" t="s">
        <v>307</v>
      </c>
      <c r="B3" s="242" t="s">
        <v>308</v>
      </c>
      <c r="C3" s="250">
        <v>1.95E-2</v>
      </c>
      <c r="D3" s="242" t="s">
        <v>310</v>
      </c>
      <c r="E3" s="242">
        <f t="shared" ref="E3:E27" si="0">YEAR(D3)</f>
        <v>2031</v>
      </c>
      <c r="F3" s="242">
        <v>101.6246</v>
      </c>
      <c r="G3" s="251">
        <v>1.76874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</row>
    <row r="4" spans="1:19">
      <c r="A4" s="249" t="s">
        <v>307</v>
      </c>
      <c r="B4" s="242" t="s">
        <v>308</v>
      </c>
      <c r="C4" s="250">
        <v>2.8000000000000001E-2</v>
      </c>
      <c r="D4" s="242" t="s">
        <v>311</v>
      </c>
      <c r="E4" s="242">
        <f t="shared" si="0"/>
        <v>2027</v>
      </c>
      <c r="F4" s="242">
        <v>108.24809999999999</v>
      </c>
      <c r="G4" s="251">
        <v>1.3014600000000001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>
      <c r="A5" s="249" t="s">
        <v>307</v>
      </c>
      <c r="B5" s="242" t="s">
        <v>308</v>
      </c>
      <c r="C5" s="250">
        <f>0.55/100</f>
        <v>5.5000000000000005E-3</v>
      </c>
      <c r="D5" s="242" t="s">
        <v>312</v>
      </c>
      <c r="E5" s="242">
        <f t="shared" si="0"/>
        <v>2025</v>
      </c>
      <c r="F5" s="242">
        <v>98.847309999999993</v>
      </c>
      <c r="G5" s="251">
        <v>0.82179899999999995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249" t="s">
        <v>307</v>
      </c>
      <c r="B6" s="242" t="s">
        <v>308</v>
      </c>
      <c r="C6" s="250">
        <v>1.2E-2</v>
      </c>
      <c r="D6" s="242" t="s">
        <v>313</v>
      </c>
      <c r="E6" s="242">
        <f t="shared" si="0"/>
        <v>2030</v>
      </c>
      <c r="F6" s="242">
        <v>95.231380000000001</v>
      </c>
      <c r="G6" s="251">
        <v>1.7565729999999999</v>
      </c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249" t="s">
        <v>307</v>
      </c>
      <c r="B7" s="242" t="s">
        <v>308</v>
      </c>
      <c r="C7" s="250">
        <v>2.1499999999999998E-2</v>
      </c>
      <c r="D7" s="242" t="s">
        <v>314</v>
      </c>
      <c r="E7" s="242">
        <f t="shared" si="0"/>
        <v>2022</v>
      </c>
      <c r="F7" s="242">
        <v>102.1623</v>
      </c>
      <c r="G7" s="251">
        <v>0.19589799999999999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</row>
    <row r="8" spans="1:19">
      <c r="A8" s="249" t="s">
        <v>307</v>
      </c>
      <c r="B8" s="242" t="s">
        <v>308</v>
      </c>
      <c r="C8" s="250">
        <v>2.4500000000000001E-2</v>
      </c>
      <c r="D8" s="242" t="s">
        <v>315</v>
      </c>
      <c r="E8" s="242">
        <f t="shared" si="0"/>
        <v>2026</v>
      </c>
      <c r="F8" s="242">
        <v>107.0497</v>
      </c>
      <c r="G8" s="251">
        <v>1.0864769999999999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</row>
    <row r="9" spans="1:19">
      <c r="A9" s="249" t="s">
        <v>307</v>
      </c>
      <c r="B9" s="242" t="s">
        <v>308</v>
      </c>
      <c r="C9" s="250">
        <v>3.1E-2</v>
      </c>
      <c r="D9" s="242" t="s">
        <v>316</v>
      </c>
      <c r="E9" s="242">
        <f t="shared" si="0"/>
        <v>2023</v>
      </c>
      <c r="F9" s="242">
        <v>106.03270000000001</v>
      </c>
      <c r="G9" s="251">
        <v>0.24444099999999999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</row>
    <row r="10" spans="1:19">
      <c r="A10" s="249" t="s">
        <v>307</v>
      </c>
      <c r="B10" s="242" t="s">
        <v>308</v>
      </c>
      <c r="C10" s="250">
        <v>0.03</v>
      </c>
      <c r="D10" s="242" t="s">
        <v>317</v>
      </c>
      <c r="E10" s="242">
        <f t="shared" si="0"/>
        <v>2030</v>
      </c>
      <c r="F10" s="242">
        <v>110.0652</v>
      </c>
      <c r="G10" s="251">
        <v>1.7515050000000001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249" t="s">
        <v>307</v>
      </c>
      <c r="B11" s="242" t="s">
        <v>308</v>
      </c>
      <c r="C11" s="250">
        <v>2.3E-2</v>
      </c>
      <c r="D11" s="242" t="s">
        <v>318</v>
      </c>
      <c r="E11" s="242">
        <f t="shared" si="0"/>
        <v>2022</v>
      </c>
      <c r="F11" s="242">
        <v>101.2715</v>
      </c>
      <c r="G11" s="251">
        <v>0.15904799999999999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249" t="s">
        <v>307</v>
      </c>
      <c r="B12" s="242" t="s">
        <v>308</v>
      </c>
      <c r="C12" s="250">
        <v>2.8500000000000001E-2</v>
      </c>
      <c r="D12" s="242" t="s">
        <v>319</v>
      </c>
      <c r="E12" s="242">
        <f t="shared" si="0"/>
        <v>2027</v>
      </c>
      <c r="F12" s="242">
        <v>109.0343</v>
      </c>
      <c r="G12" s="251">
        <v>1.3062419999999999</v>
      </c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249" t="s">
        <v>307</v>
      </c>
      <c r="B13" s="242" t="s">
        <v>308</v>
      </c>
      <c r="C13" s="250">
        <v>2.7E-2</v>
      </c>
      <c r="D13" s="242" t="s">
        <v>320</v>
      </c>
      <c r="E13" s="242">
        <f t="shared" si="0"/>
        <v>2026</v>
      </c>
      <c r="F13" s="242">
        <v>107.9555</v>
      </c>
      <c r="G13" s="251">
        <v>0.92317499999999997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249" t="s">
        <v>307</v>
      </c>
      <c r="B14" s="242" t="s">
        <v>308</v>
      </c>
      <c r="C14" s="250">
        <v>3.5499999999999997E-2</v>
      </c>
      <c r="D14" s="242" t="s">
        <v>321</v>
      </c>
      <c r="E14" s="242">
        <f t="shared" si="0"/>
        <v>2040</v>
      </c>
      <c r="F14" s="242">
        <v>117.0311</v>
      </c>
      <c r="G14" s="251">
        <v>2.4141509999999999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>
      <c r="A15" s="249" t="s">
        <v>307</v>
      </c>
      <c r="B15" s="242" t="s">
        <v>308</v>
      </c>
      <c r="C15" s="250">
        <v>1.7000000000000001E-2</v>
      </c>
      <c r="D15" s="242" t="s">
        <v>322</v>
      </c>
      <c r="E15" s="242">
        <f t="shared" si="0"/>
        <v>2021</v>
      </c>
      <c r="F15" s="242">
        <v>100.5309</v>
      </c>
      <c r="G15" s="251">
        <v>0.119495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</row>
    <row r="16" spans="1:19">
      <c r="A16" s="249" t="s">
        <v>307</v>
      </c>
      <c r="B16" s="242" t="s">
        <v>308</v>
      </c>
      <c r="C16" s="250">
        <v>1.125E-2</v>
      </c>
      <c r="D16" s="242" t="s">
        <v>323</v>
      </c>
      <c r="E16" s="242">
        <f t="shared" si="0"/>
        <v>2023</v>
      </c>
      <c r="F16" s="242">
        <v>103.501</v>
      </c>
      <c r="G16" s="251">
        <v>-0.36380200000000001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249" t="s">
        <v>307</v>
      </c>
      <c r="B17" s="242" t="s">
        <v>308</v>
      </c>
      <c r="C17" s="250">
        <v>0.02</v>
      </c>
      <c r="D17" s="242" t="s">
        <v>324</v>
      </c>
      <c r="E17" s="242">
        <f t="shared" si="0"/>
        <v>2022</v>
      </c>
      <c r="F17" s="242">
        <v>102.813</v>
      </c>
      <c r="G17" s="251">
        <v>-0.49074000000000001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249" t="s">
        <v>307</v>
      </c>
      <c r="B18" s="242" t="s">
        <v>308</v>
      </c>
      <c r="C18" s="250">
        <v>0.02</v>
      </c>
      <c r="D18" s="242" t="s">
        <v>325</v>
      </c>
      <c r="E18" s="242">
        <f t="shared" si="0"/>
        <v>2021</v>
      </c>
      <c r="F18" s="242">
        <v>100.877</v>
      </c>
      <c r="G18" s="251">
        <v>-0.52895000000000003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249" t="s">
        <v>307</v>
      </c>
      <c r="B19" s="242" t="s">
        <v>308</v>
      </c>
      <c r="C19" s="250">
        <v>4.8750000000000002E-2</v>
      </c>
      <c r="D19" s="242" t="s">
        <v>326</v>
      </c>
      <c r="E19" s="242">
        <f t="shared" si="0"/>
        <v>2027</v>
      </c>
      <c r="F19" s="242">
        <v>128.892</v>
      </c>
      <c r="G19" s="251">
        <v>-4.9121999999999999E-2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</row>
    <row r="20" spans="1:19">
      <c r="A20" s="249" t="s">
        <v>307</v>
      </c>
      <c r="B20" s="242" t="s">
        <v>308</v>
      </c>
      <c r="C20" s="250">
        <v>1.8749999999999999E-2</v>
      </c>
      <c r="D20" s="242" t="s">
        <v>327</v>
      </c>
      <c r="E20" s="242">
        <f t="shared" si="0"/>
        <v>2038</v>
      </c>
      <c r="F20" s="242">
        <v>119.107</v>
      </c>
      <c r="G20" s="251">
        <v>0.70019699999999996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</row>
    <row r="21" spans="1:19">
      <c r="A21" s="249" t="s">
        <v>307</v>
      </c>
      <c r="B21" s="242" t="s">
        <v>308</v>
      </c>
      <c r="C21" s="250">
        <v>1.375E-2</v>
      </c>
      <c r="D21" s="242" t="s">
        <v>328</v>
      </c>
      <c r="E21" s="242">
        <f t="shared" si="0"/>
        <v>2025</v>
      </c>
      <c r="F21" s="242">
        <v>103.307</v>
      </c>
      <c r="G21" s="251">
        <v>0.50157099999999999</v>
      </c>
      <c r="K21" s="49"/>
    </row>
    <row r="22" spans="1:19">
      <c r="A22" s="249" t="s">
        <v>307</v>
      </c>
      <c r="B22" s="242" t="s">
        <v>308</v>
      </c>
      <c r="C22" s="250">
        <v>1.2E-2</v>
      </c>
      <c r="D22" s="242" t="s">
        <v>329</v>
      </c>
      <c r="E22" s="242">
        <f t="shared" si="0"/>
        <v>2028</v>
      </c>
      <c r="F22" s="242">
        <v>108.06100000000001</v>
      </c>
      <c r="G22" s="251">
        <v>9.5683000000000004E-2</v>
      </c>
      <c r="K22" s="49"/>
    </row>
    <row r="23" spans="1:19">
      <c r="A23" s="249" t="s">
        <v>307</v>
      </c>
      <c r="B23" s="242" t="s">
        <v>308</v>
      </c>
      <c r="C23" s="250">
        <v>1.2500000000000001E-2</v>
      </c>
      <c r="D23" s="242" t="s">
        <v>330</v>
      </c>
      <c r="E23" s="242">
        <f t="shared" si="0"/>
        <v>2029</v>
      </c>
      <c r="F23" s="242">
        <v>108.9</v>
      </c>
      <c r="G23" s="251">
        <v>0.17108000000000001</v>
      </c>
      <c r="K23" s="49"/>
    </row>
    <row r="24" spans="1:19">
      <c r="A24" s="249" t="s">
        <v>307</v>
      </c>
      <c r="B24" s="242" t="s">
        <v>308</v>
      </c>
      <c r="C24" s="250">
        <v>5.5500000000000001E-2</v>
      </c>
      <c r="D24" s="242" t="s">
        <v>331</v>
      </c>
      <c r="E24" s="242">
        <f t="shared" si="0"/>
        <v>2037</v>
      </c>
      <c r="F24" s="242">
        <v>143.9691</v>
      </c>
      <c r="G24" s="251">
        <v>2.2144080000000002</v>
      </c>
      <c r="K24" s="49"/>
    </row>
    <row r="25" spans="1:19">
      <c r="A25" s="249" t="s">
        <v>307</v>
      </c>
      <c r="B25" s="242" t="s">
        <v>308</v>
      </c>
      <c r="C25" s="250">
        <v>1.7999999999999999E-2</v>
      </c>
      <c r="D25" s="242" t="s">
        <v>332</v>
      </c>
      <c r="E25" s="242">
        <f t="shared" si="0"/>
        <v>2029</v>
      </c>
      <c r="F25" s="242">
        <v>105.986</v>
      </c>
      <c r="G25" s="251">
        <v>0.99920100000000001</v>
      </c>
    </row>
    <row r="26" spans="1:19">
      <c r="A26" s="249" t="s">
        <v>307</v>
      </c>
      <c r="B26" s="242" t="s">
        <v>308</v>
      </c>
      <c r="C26" s="250">
        <v>6.2500000000000003E-3</v>
      </c>
      <c r="D26" s="242" t="s">
        <v>333</v>
      </c>
      <c r="E26" s="242">
        <f t="shared" si="0"/>
        <v>2024</v>
      </c>
      <c r="F26" s="242">
        <v>102.919</v>
      </c>
      <c r="G26" s="251">
        <v>-0.24716399999999999</v>
      </c>
    </row>
    <row r="27" spans="1:19" ht="16" thickBot="1">
      <c r="A27" s="252" t="s">
        <v>307</v>
      </c>
      <c r="B27" s="253" t="s">
        <v>308</v>
      </c>
      <c r="C27" s="254">
        <v>5.0000000000000001E-3</v>
      </c>
      <c r="D27" s="253" t="s">
        <v>334</v>
      </c>
      <c r="E27" s="253">
        <f t="shared" si="0"/>
        <v>2024</v>
      </c>
      <c r="F27" s="253">
        <v>102.592</v>
      </c>
      <c r="G27" s="255">
        <v>-0.277169</v>
      </c>
      <c r="N27" s="174"/>
      <c r="O27" s="174"/>
    </row>
    <row r="28" spans="1:19">
      <c r="C28" s="37"/>
      <c r="J28" t="s">
        <v>93</v>
      </c>
      <c r="N28" s="174"/>
      <c r="O28" s="174"/>
    </row>
    <row r="29" spans="1:19">
      <c r="N29" s="174"/>
      <c r="O29" s="174"/>
    </row>
    <row r="30" spans="1:19">
      <c r="N30" s="174"/>
      <c r="O30" s="174"/>
    </row>
    <row r="31" spans="1:19">
      <c r="N31" s="174"/>
      <c r="O31" s="174"/>
    </row>
    <row r="32" spans="1:19">
      <c r="N32" s="174"/>
      <c r="O32" s="174"/>
    </row>
    <row r="33" spans="14:15">
      <c r="N33" s="174"/>
      <c r="O33" s="174"/>
    </row>
    <row r="34" spans="14:15">
      <c r="N34" s="174"/>
      <c r="O34" s="174"/>
    </row>
    <row r="35" spans="14:15">
      <c r="N35" s="174"/>
      <c r="O35" s="174"/>
    </row>
    <row r="36" spans="14:15">
      <c r="N36" s="174"/>
      <c r="O36" s="174"/>
    </row>
    <row r="37" spans="14:15">
      <c r="N37" s="174"/>
      <c r="O37" s="174"/>
    </row>
    <row r="38" spans="14:15">
      <c r="N38" s="174"/>
      <c r="O38" s="174"/>
    </row>
    <row r="39" spans="14:15">
      <c r="N39" s="174"/>
      <c r="O39" s="174"/>
    </row>
    <row r="40" spans="14:15">
      <c r="N40" s="174"/>
      <c r="O40" s="174"/>
    </row>
    <row r="41" spans="14:15">
      <c r="N41" s="174"/>
      <c r="O41" s="174"/>
    </row>
    <row r="42" spans="14:15">
      <c r="N42" s="174"/>
      <c r="O42" s="174"/>
    </row>
    <row r="43" spans="14:15">
      <c r="N43" s="174"/>
      <c r="O43" s="174"/>
    </row>
    <row r="44" spans="14:15">
      <c r="N44" s="174"/>
      <c r="O44" s="174"/>
    </row>
    <row r="45" spans="14:15">
      <c r="N45" s="174"/>
      <c r="O45" s="174"/>
    </row>
    <row r="46" spans="14:15">
      <c r="N46" s="174"/>
      <c r="O46" s="174"/>
    </row>
    <row r="77" spans="4:4">
      <c r="D77" s="168"/>
    </row>
    <row r="78" spans="4:4">
      <c r="D78" s="168"/>
    </row>
    <row r="79" spans="4:4">
      <c r="D79" s="168"/>
    </row>
    <row r="80" spans="4:4">
      <c r="D80" s="168"/>
    </row>
    <row r="81" spans="4:4">
      <c r="D81" s="168"/>
    </row>
    <row r="82" spans="4:4">
      <c r="D82" s="168"/>
    </row>
    <row r="83" spans="4:4">
      <c r="D83" s="168"/>
    </row>
    <row r="84" spans="4:4">
      <c r="D84" s="168"/>
    </row>
    <row r="85" spans="4:4">
      <c r="D85" s="168"/>
    </row>
    <row r="86" spans="4:4">
      <c r="D86" s="168"/>
    </row>
    <row r="87" spans="4:4">
      <c r="D87" s="168"/>
    </row>
    <row r="88" spans="4:4">
      <c r="D88" s="168"/>
    </row>
    <row r="89" spans="4:4">
      <c r="D89" s="168"/>
    </row>
    <row r="90" spans="4:4">
      <c r="D90" s="168"/>
    </row>
    <row r="91" spans="4:4">
      <c r="D91" s="168"/>
    </row>
    <row r="92" spans="4:4">
      <c r="D92" s="168"/>
    </row>
    <row r="93" spans="4:4">
      <c r="D93" s="168"/>
    </row>
    <row r="94" spans="4:4">
      <c r="D94" s="168"/>
    </row>
    <row r="95" spans="4:4">
      <c r="D95" s="168"/>
    </row>
    <row r="96" spans="4:4">
      <c r="D96" s="168"/>
    </row>
    <row r="97" spans="4:4">
      <c r="D97" s="168"/>
    </row>
    <row r="98" spans="4:4">
      <c r="D98" s="168"/>
    </row>
    <row r="99" spans="4:4">
      <c r="D99" s="168"/>
    </row>
    <row r="100" spans="4:4">
      <c r="D100" s="168"/>
    </row>
    <row r="101" spans="4:4">
      <c r="D101" s="168"/>
    </row>
    <row r="102" spans="4:4">
      <c r="D102" s="168"/>
    </row>
    <row r="103" spans="4:4">
      <c r="D103" s="168"/>
    </row>
    <row r="104" spans="4:4">
      <c r="D104" s="168"/>
    </row>
    <row r="105" spans="4:4">
      <c r="D105" s="168"/>
    </row>
    <row r="106" spans="4:4">
      <c r="D106" s="168"/>
    </row>
    <row r="107" spans="4:4">
      <c r="D107" s="168"/>
    </row>
    <row r="108" spans="4:4">
      <c r="D108" s="168"/>
    </row>
    <row r="109" spans="4:4">
      <c r="D109" s="168"/>
    </row>
    <row r="110" spans="4:4">
      <c r="D110" s="168"/>
    </row>
    <row r="111" spans="4:4">
      <c r="D111" s="168"/>
    </row>
    <row r="112" spans="4:4">
      <c r="D112" s="168"/>
    </row>
    <row r="113" spans="4:4">
      <c r="D113" s="168"/>
    </row>
    <row r="114" spans="4:4">
      <c r="D114" s="168"/>
    </row>
    <row r="115" spans="4:4">
      <c r="D115" s="168"/>
    </row>
    <row r="116" spans="4:4">
      <c r="D116" s="168"/>
    </row>
    <row r="117" spans="4:4">
      <c r="D117" s="168"/>
    </row>
    <row r="118" spans="4:4">
      <c r="D118" s="168"/>
    </row>
    <row r="119" spans="4:4">
      <c r="D119" s="168"/>
    </row>
    <row r="120" spans="4:4">
      <c r="D120" s="168"/>
    </row>
    <row r="121" spans="4:4">
      <c r="D121" s="168"/>
    </row>
    <row r="122" spans="4:4">
      <c r="D122" s="168"/>
    </row>
    <row r="123" spans="4:4">
      <c r="D123" s="168"/>
    </row>
    <row r="124" spans="4:4">
      <c r="D124" s="168"/>
    </row>
    <row r="125" spans="4:4">
      <c r="D125" s="168"/>
    </row>
    <row r="126" spans="4:4">
      <c r="D126" s="168"/>
    </row>
    <row r="127" spans="4:4">
      <c r="D127" s="168"/>
    </row>
    <row r="128" spans="4:4">
      <c r="D128" s="168"/>
    </row>
    <row r="129" spans="4:4">
      <c r="D129" s="168"/>
    </row>
    <row r="130" spans="4:4">
      <c r="D130" s="168"/>
    </row>
    <row r="131" spans="4:4">
      <c r="D131" s="168"/>
    </row>
    <row r="132" spans="4:4">
      <c r="D132" s="168"/>
    </row>
    <row r="133" spans="4:4">
      <c r="D133" s="168"/>
    </row>
    <row r="134" spans="4:4">
      <c r="D134" s="168"/>
    </row>
    <row r="135" spans="4:4">
      <c r="D135" s="168"/>
    </row>
    <row r="136" spans="4:4">
      <c r="D136" s="168"/>
    </row>
    <row r="137" spans="4:4">
      <c r="D137" s="168"/>
    </row>
    <row r="138" spans="4:4">
      <c r="D138" s="168"/>
    </row>
    <row r="139" spans="4:4">
      <c r="D139" s="168"/>
    </row>
    <row r="140" spans="4:4">
      <c r="D140" s="168"/>
    </row>
    <row r="141" spans="4:4">
      <c r="D141" s="168"/>
    </row>
    <row r="142" spans="4:4">
      <c r="D142" s="168"/>
    </row>
    <row r="143" spans="4:4">
      <c r="D143" s="168"/>
    </row>
    <row r="144" spans="4:4">
      <c r="D144" s="168"/>
    </row>
    <row r="145" spans="4:4">
      <c r="D145" s="168"/>
    </row>
    <row r="146" spans="4:4">
      <c r="D146" s="168"/>
    </row>
    <row r="147" spans="4:4">
      <c r="D147" s="168"/>
    </row>
    <row r="148" spans="4:4">
      <c r="D148" s="168"/>
    </row>
    <row r="149" spans="4:4">
      <c r="D149" s="168"/>
    </row>
    <row r="150" spans="4:4">
      <c r="D150" s="168"/>
    </row>
    <row r="151" spans="4:4">
      <c r="D151" s="168"/>
    </row>
    <row r="152" spans="4:4">
      <c r="D152" s="168"/>
    </row>
    <row r="153" spans="4:4">
      <c r="D153" s="168"/>
    </row>
    <row r="154" spans="4:4">
      <c r="D154" s="168"/>
    </row>
    <row r="155" spans="4:4">
      <c r="D155" s="168"/>
    </row>
    <row r="156" spans="4:4">
      <c r="D156" s="168"/>
    </row>
    <row r="157" spans="4:4">
      <c r="D157" s="168"/>
    </row>
    <row r="158" spans="4:4">
      <c r="D158" s="168"/>
    </row>
    <row r="159" spans="4:4">
      <c r="D159" s="168"/>
    </row>
    <row r="160" spans="4:4">
      <c r="D160" s="168"/>
    </row>
    <row r="161" spans="4:4">
      <c r="D161" s="168"/>
    </row>
    <row r="162" spans="4:4">
      <c r="D162" s="168"/>
    </row>
    <row r="163" spans="4:4">
      <c r="D163" s="168"/>
    </row>
    <row r="164" spans="4:4">
      <c r="D164" s="168"/>
    </row>
    <row r="165" spans="4:4">
      <c r="D165" s="168"/>
    </row>
    <row r="166" spans="4:4">
      <c r="D166" s="168"/>
    </row>
    <row r="167" spans="4:4">
      <c r="D167" s="168"/>
    </row>
    <row r="168" spans="4:4">
      <c r="D168" s="168"/>
    </row>
    <row r="169" spans="4:4">
      <c r="D169" s="168"/>
    </row>
    <row r="170" spans="4:4">
      <c r="D170" s="168"/>
    </row>
    <row r="171" spans="4:4">
      <c r="D171" s="168"/>
    </row>
    <row r="172" spans="4:4">
      <c r="D172" s="168"/>
    </row>
    <row r="173" spans="4:4">
      <c r="D173" s="168"/>
    </row>
    <row r="174" spans="4:4">
      <c r="D174" s="168"/>
    </row>
    <row r="175" spans="4:4">
      <c r="D175" s="168"/>
    </row>
    <row r="176" spans="4:4">
      <c r="D176" s="168"/>
    </row>
    <row r="177" spans="4:4">
      <c r="D177" s="168"/>
    </row>
    <row r="178" spans="4:4">
      <c r="D178" s="168"/>
    </row>
    <row r="179" spans="4:4">
      <c r="D179" s="168"/>
    </row>
    <row r="180" spans="4:4">
      <c r="D180" s="168"/>
    </row>
    <row r="181" spans="4:4">
      <c r="D181" s="168"/>
    </row>
    <row r="182" spans="4:4">
      <c r="D182" s="168"/>
    </row>
    <row r="183" spans="4:4">
      <c r="D183" s="168"/>
    </row>
    <row r="184" spans="4:4">
      <c r="D184" s="168"/>
    </row>
    <row r="185" spans="4:4">
      <c r="D185" s="168"/>
    </row>
    <row r="186" spans="4:4">
      <c r="D186" s="168"/>
    </row>
    <row r="187" spans="4:4">
      <c r="D187" s="168"/>
    </row>
    <row r="188" spans="4:4">
      <c r="D188" s="168"/>
    </row>
    <row r="189" spans="4:4">
      <c r="D189" s="168"/>
    </row>
    <row r="190" spans="4:4">
      <c r="D190" s="168"/>
    </row>
    <row r="191" spans="4:4">
      <c r="D191" s="168"/>
    </row>
    <row r="192" spans="4:4">
      <c r="D192" s="168"/>
    </row>
    <row r="193" spans="4:4">
      <c r="D193" s="168"/>
    </row>
    <row r="194" spans="4:4">
      <c r="D194" s="168"/>
    </row>
    <row r="195" spans="4:4">
      <c r="D195" s="168"/>
    </row>
    <row r="196" spans="4:4">
      <c r="D196" s="168"/>
    </row>
    <row r="197" spans="4:4">
      <c r="D197" s="168"/>
    </row>
    <row r="198" spans="4:4">
      <c r="D198" s="168"/>
    </row>
    <row r="199" spans="4:4">
      <c r="D199" s="168"/>
    </row>
    <row r="200" spans="4:4">
      <c r="D200" s="168"/>
    </row>
    <row r="201" spans="4:4">
      <c r="D201" s="168"/>
    </row>
    <row r="202" spans="4:4">
      <c r="D202" s="168"/>
    </row>
    <row r="203" spans="4:4">
      <c r="D203" s="168"/>
    </row>
    <row r="204" spans="4:4">
      <c r="D204" s="168"/>
    </row>
    <row r="205" spans="4:4">
      <c r="D205" s="168"/>
    </row>
    <row r="206" spans="4:4">
      <c r="D206" s="168"/>
    </row>
    <row r="207" spans="4:4">
      <c r="D207" s="168"/>
    </row>
    <row r="208" spans="4:4">
      <c r="D208" s="168"/>
    </row>
    <row r="209" spans="4:4">
      <c r="D209" s="168"/>
    </row>
    <row r="210" spans="4:4">
      <c r="D210" s="168"/>
    </row>
    <row r="211" spans="4:4">
      <c r="D211" s="168"/>
    </row>
    <row r="212" spans="4:4">
      <c r="D212" s="168"/>
    </row>
    <row r="213" spans="4:4">
      <c r="D213" s="168"/>
    </row>
    <row r="214" spans="4:4">
      <c r="D214" s="168"/>
    </row>
    <row r="215" spans="4:4">
      <c r="D215" s="168"/>
    </row>
    <row r="216" spans="4:4">
      <c r="D216" s="168"/>
    </row>
    <row r="217" spans="4:4">
      <c r="D217" s="168"/>
    </row>
    <row r="218" spans="4:4">
      <c r="D218" s="168"/>
    </row>
    <row r="219" spans="4:4">
      <c r="D219" s="168"/>
    </row>
    <row r="220" spans="4:4">
      <c r="D220" s="168"/>
    </row>
    <row r="221" spans="4:4">
      <c r="D221" s="168"/>
    </row>
    <row r="222" spans="4:4">
      <c r="D222" s="168"/>
    </row>
    <row r="223" spans="4:4">
      <c r="D223" s="168"/>
    </row>
    <row r="224" spans="4:4">
      <c r="D224" s="168"/>
    </row>
    <row r="225" spans="4:4">
      <c r="D225" s="168"/>
    </row>
    <row r="226" spans="4:4">
      <c r="D226" s="168"/>
    </row>
    <row r="227" spans="4:4">
      <c r="D227" s="168"/>
    </row>
    <row r="228" spans="4:4">
      <c r="D228" s="168"/>
    </row>
    <row r="229" spans="4:4">
      <c r="D229" s="168"/>
    </row>
    <row r="230" spans="4:4">
      <c r="D230" s="168"/>
    </row>
    <row r="231" spans="4:4">
      <c r="D231" s="168"/>
    </row>
    <row r="232" spans="4:4">
      <c r="D232" s="168"/>
    </row>
    <row r="233" spans="4:4">
      <c r="D233" s="168"/>
    </row>
    <row r="234" spans="4:4">
      <c r="D234" s="168"/>
    </row>
    <row r="235" spans="4:4">
      <c r="D235" s="168"/>
    </row>
    <row r="236" spans="4:4">
      <c r="D236" s="168"/>
    </row>
    <row r="237" spans="4:4">
      <c r="D237" s="168"/>
    </row>
    <row r="238" spans="4:4">
      <c r="D238" s="168"/>
    </row>
    <row r="239" spans="4:4">
      <c r="D239" s="168"/>
    </row>
    <row r="240" spans="4:4">
      <c r="D240" s="168"/>
    </row>
    <row r="241" spans="4:4">
      <c r="D241" s="168"/>
    </row>
    <row r="242" spans="4:4">
      <c r="D242" s="168"/>
    </row>
    <row r="243" spans="4:4">
      <c r="D243" s="168"/>
    </row>
    <row r="244" spans="4:4">
      <c r="D244" s="168"/>
    </row>
    <row r="245" spans="4:4">
      <c r="D245" s="168"/>
    </row>
    <row r="246" spans="4:4">
      <c r="D246" s="168"/>
    </row>
    <row r="247" spans="4:4">
      <c r="D247" s="168"/>
    </row>
    <row r="248" spans="4:4">
      <c r="D248" s="168"/>
    </row>
    <row r="249" spans="4:4">
      <c r="D249" s="168"/>
    </row>
    <row r="250" spans="4:4">
      <c r="D250" s="168"/>
    </row>
    <row r="251" spans="4:4">
      <c r="D251" s="168"/>
    </row>
    <row r="252" spans="4:4">
      <c r="D252" s="168"/>
    </row>
    <row r="253" spans="4:4">
      <c r="D253" s="168"/>
    </row>
    <row r="254" spans="4:4">
      <c r="D254" s="168"/>
    </row>
    <row r="255" spans="4:4">
      <c r="D255" s="168"/>
    </row>
    <row r="256" spans="4:4">
      <c r="D256" s="168"/>
    </row>
    <row r="257" spans="4:4">
      <c r="D257" s="168"/>
    </row>
    <row r="258" spans="4:4">
      <c r="D258" s="168"/>
    </row>
    <row r="259" spans="4:4">
      <c r="D259" s="168"/>
    </row>
    <row r="260" spans="4:4">
      <c r="D260" s="168"/>
    </row>
    <row r="261" spans="4:4">
      <c r="D261" s="168"/>
    </row>
    <row r="262" spans="4:4">
      <c r="D262" s="168"/>
    </row>
    <row r="263" spans="4:4">
      <c r="D263" s="168"/>
    </row>
    <row r="264" spans="4:4">
      <c r="D264" s="168"/>
    </row>
    <row r="265" spans="4:4">
      <c r="D265" s="168"/>
    </row>
    <row r="266" spans="4:4">
      <c r="D266" s="168"/>
    </row>
    <row r="267" spans="4:4">
      <c r="D267" s="168"/>
    </row>
    <row r="268" spans="4:4">
      <c r="D268" s="168"/>
    </row>
    <row r="269" spans="4:4">
      <c r="D269" s="168"/>
    </row>
    <row r="270" spans="4:4">
      <c r="D270" s="168"/>
    </row>
    <row r="271" spans="4:4">
      <c r="D271" s="168"/>
    </row>
    <row r="272" spans="4:4">
      <c r="D272" s="168"/>
    </row>
    <row r="273" spans="4:4">
      <c r="D273" s="168"/>
    </row>
    <row r="274" spans="4:4">
      <c r="D274" s="168"/>
    </row>
    <row r="275" spans="4:4">
      <c r="D275" s="168"/>
    </row>
    <row r="276" spans="4:4">
      <c r="D276" s="168"/>
    </row>
    <row r="277" spans="4:4">
      <c r="D277" s="168"/>
    </row>
    <row r="278" spans="4:4">
      <c r="D278" s="168"/>
    </row>
    <row r="279" spans="4:4">
      <c r="D279" s="168"/>
    </row>
    <row r="280" spans="4:4">
      <c r="D280" s="168"/>
    </row>
    <row r="281" spans="4:4">
      <c r="D281" s="168"/>
    </row>
    <row r="282" spans="4:4">
      <c r="D282" s="168"/>
    </row>
    <row r="283" spans="4:4">
      <c r="D283" s="168"/>
    </row>
    <row r="284" spans="4:4">
      <c r="D284" s="168"/>
    </row>
    <row r="285" spans="4:4">
      <c r="D285" s="168"/>
    </row>
    <row r="286" spans="4:4">
      <c r="D286" s="168"/>
    </row>
    <row r="287" spans="4:4">
      <c r="D287" s="168"/>
    </row>
    <row r="288" spans="4:4">
      <c r="D288" s="168"/>
    </row>
    <row r="289" spans="4:4">
      <c r="D289" s="168"/>
    </row>
    <row r="290" spans="4:4">
      <c r="D290" s="168"/>
    </row>
    <row r="291" spans="4:4">
      <c r="D291" s="168"/>
    </row>
    <row r="292" spans="4:4">
      <c r="D292" s="168"/>
    </row>
    <row r="293" spans="4:4">
      <c r="D293" s="168"/>
    </row>
    <row r="294" spans="4:4">
      <c r="D294" s="168"/>
    </row>
    <row r="295" spans="4:4">
      <c r="D295" s="168"/>
    </row>
    <row r="296" spans="4:4">
      <c r="D296" s="168"/>
    </row>
    <row r="297" spans="4:4">
      <c r="D297" s="168"/>
    </row>
    <row r="298" spans="4:4">
      <c r="D298" s="168"/>
    </row>
    <row r="299" spans="4:4">
      <c r="D299" s="168"/>
    </row>
    <row r="300" spans="4:4">
      <c r="D300" s="168"/>
    </row>
    <row r="301" spans="4:4">
      <c r="D301" s="168"/>
    </row>
    <row r="302" spans="4:4">
      <c r="D302" s="168"/>
    </row>
    <row r="303" spans="4:4">
      <c r="D303" s="168"/>
    </row>
    <row r="304" spans="4:4">
      <c r="D304" s="168"/>
    </row>
    <row r="305" spans="4:4">
      <c r="D305" s="168"/>
    </row>
    <row r="306" spans="4:4">
      <c r="D306" s="168"/>
    </row>
    <row r="307" spans="4:4">
      <c r="D307" s="168"/>
    </row>
    <row r="308" spans="4:4">
      <c r="D308" s="168"/>
    </row>
    <row r="309" spans="4:4">
      <c r="D309" s="168"/>
    </row>
    <row r="310" spans="4:4">
      <c r="D310" s="168"/>
    </row>
    <row r="311" spans="4:4">
      <c r="D311" s="168"/>
    </row>
    <row r="312" spans="4:4">
      <c r="D312" s="168"/>
    </row>
    <row r="313" spans="4:4">
      <c r="D313" s="168"/>
    </row>
    <row r="314" spans="4:4">
      <c r="D314" s="168"/>
    </row>
    <row r="315" spans="4:4">
      <c r="D315" s="168"/>
    </row>
    <row r="316" spans="4:4">
      <c r="D316" s="168"/>
    </row>
    <row r="317" spans="4:4">
      <c r="D317" s="168"/>
    </row>
    <row r="318" spans="4:4">
      <c r="D318" s="168"/>
    </row>
    <row r="319" spans="4:4">
      <c r="D319" s="168"/>
    </row>
    <row r="320" spans="4:4">
      <c r="D320" s="168"/>
    </row>
    <row r="321" spans="4:4">
      <c r="D321" s="168"/>
    </row>
    <row r="322" spans="4:4">
      <c r="D322" s="168"/>
    </row>
    <row r="323" spans="4:4">
      <c r="D323" s="168"/>
    </row>
    <row r="324" spans="4:4">
      <c r="D324" s="168"/>
    </row>
    <row r="325" spans="4:4">
      <c r="D325" s="168"/>
    </row>
    <row r="326" spans="4:4">
      <c r="D326" s="168"/>
    </row>
    <row r="327" spans="4:4">
      <c r="D327" s="168"/>
    </row>
    <row r="328" spans="4:4">
      <c r="D328" s="168"/>
    </row>
    <row r="329" spans="4:4">
      <c r="D329" s="168"/>
    </row>
    <row r="330" spans="4:4">
      <c r="D330" s="168"/>
    </row>
    <row r="331" spans="4:4">
      <c r="D331" s="168"/>
    </row>
    <row r="332" spans="4:4">
      <c r="D332" s="168"/>
    </row>
    <row r="333" spans="4:4">
      <c r="D333" s="168"/>
    </row>
    <row r="334" spans="4:4">
      <c r="D334" s="168"/>
    </row>
    <row r="335" spans="4:4">
      <c r="D335" s="168"/>
    </row>
    <row r="336" spans="4:4">
      <c r="D336" s="168"/>
    </row>
    <row r="337" spans="4:4">
      <c r="D337" s="168"/>
    </row>
    <row r="338" spans="4:4">
      <c r="D338" s="168"/>
    </row>
    <row r="339" spans="4:4">
      <c r="D339" s="168"/>
    </row>
    <row r="340" spans="4:4">
      <c r="D340" s="168"/>
    </row>
    <row r="341" spans="4:4">
      <c r="D341" s="168"/>
    </row>
    <row r="342" spans="4:4">
      <c r="D342" s="168"/>
    </row>
    <row r="343" spans="4:4">
      <c r="D343" s="168"/>
    </row>
    <row r="344" spans="4:4">
      <c r="D344" s="168"/>
    </row>
    <row r="345" spans="4:4">
      <c r="D345" s="168"/>
    </row>
    <row r="346" spans="4:4">
      <c r="D346" s="168"/>
    </row>
    <row r="347" spans="4:4">
      <c r="D347" s="168"/>
    </row>
    <row r="348" spans="4:4">
      <c r="D348" s="168"/>
    </row>
    <row r="349" spans="4:4">
      <c r="D349" s="168"/>
    </row>
    <row r="350" spans="4:4">
      <c r="D350" s="168"/>
    </row>
    <row r="351" spans="4:4">
      <c r="D351" s="168"/>
    </row>
    <row r="352" spans="4:4">
      <c r="D352" s="168"/>
    </row>
    <row r="353" spans="4:4">
      <c r="D353" s="168"/>
    </row>
    <row r="354" spans="4:4">
      <c r="D354" s="168"/>
    </row>
    <row r="355" spans="4:4">
      <c r="D355" s="168"/>
    </row>
    <row r="356" spans="4:4">
      <c r="D356" s="168"/>
    </row>
    <row r="357" spans="4:4">
      <c r="D357" s="168"/>
    </row>
    <row r="358" spans="4:4">
      <c r="D358" s="168"/>
    </row>
    <row r="359" spans="4:4">
      <c r="D359" s="168"/>
    </row>
    <row r="360" spans="4:4">
      <c r="D360" s="168"/>
    </row>
    <row r="361" spans="4:4">
      <c r="D361" s="168"/>
    </row>
    <row r="362" spans="4:4">
      <c r="D362" s="168"/>
    </row>
    <row r="363" spans="4:4">
      <c r="D363" s="168"/>
    </row>
    <row r="364" spans="4:4">
      <c r="D364" s="168"/>
    </row>
    <row r="365" spans="4:4">
      <c r="D365" s="168"/>
    </row>
    <row r="366" spans="4:4">
      <c r="D366" s="168"/>
    </row>
    <row r="367" spans="4:4">
      <c r="D367" s="168"/>
    </row>
    <row r="368" spans="4:4">
      <c r="D368" s="168"/>
    </row>
    <row r="369" spans="4:4">
      <c r="D369" s="168"/>
    </row>
    <row r="370" spans="4:4">
      <c r="D370" s="168"/>
    </row>
    <row r="371" spans="4:4">
      <c r="D371" s="168"/>
    </row>
    <row r="372" spans="4:4">
      <c r="D372" s="168"/>
    </row>
    <row r="373" spans="4:4">
      <c r="D373" s="168"/>
    </row>
    <row r="374" spans="4:4">
      <c r="D374" s="168"/>
    </row>
    <row r="375" spans="4:4">
      <c r="D375" s="168"/>
    </row>
    <row r="376" spans="4:4">
      <c r="D376" s="168"/>
    </row>
    <row r="377" spans="4:4">
      <c r="D377" s="168"/>
    </row>
    <row r="378" spans="4:4">
      <c r="D378" s="168"/>
    </row>
    <row r="379" spans="4:4">
      <c r="D379" s="168"/>
    </row>
    <row r="380" spans="4:4">
      <c r="D380" s="168"/>
    </row>
    <row r="381" spans="4:4">
      <c r="D381" s="168"/>
    </row>
    <row r="382" spans="4:4">
      <c r="D382" s="168"/>
    </row>
    <row r="383" spans="4:4">
      <c r="D383" s="168"/>
    </row>
    <row r="384" spans="4:4">
      <c r="D384" s="168"/>
    </row>
    <row r="385" spans="4:4">
      <c r="D385" s="168"/>
    </row>
    <row r="386" spans="4:4">
      <c r="D386" s="168"/>
    </row>
    <row r="387" spans="4:4">
      <c r="D387" s="168"/>
    </row>
    <row r="388" spans="4:4">
      <c r="D388" s="168"/>
    </row>
    <row r="389" spans="4:4">
      <c r="D389" s="168"/>
    </row>
    <row r="390" spans="4:4">
      <c r="D390" s="168"/>
    </row>
    <row r="391" spans="4:4">
      <c r="D391" s="168"/>
    </row>
    <row r="392" spans="4:4">
      <c r="D392" s="168"/>
    </row>
    <row r="393" spans="4:4">
      <c r="D393" s="168"/>
    </row>
    <row r="394" spans="4:4">
      <c r="D394" s="168"/>
    </row>
    <row r="395" spans="4:4">
      <c r="D395" s="168"/>
    </row>
    <row r="396" spans="4:4">
      <c r="D396" s="168"/>
    </row>
    <row r="397" spans="4:4">
      <c r="D397" s="168"/>
    </row>
    <row r="398" spans="4:4">
      <c r="D398" s="168"/>
    </row>
    <row r="399" spans="4:4">
      <c r="D399" s="168"/>
    </row>
    <row r="400" spans="4:4">
      <c r="D400" s="168"/>
    </row>
    <row r="401" spans="4:4">
      <c r="D401" s="168"/>
    </row>
    <row r="402" spans="4:4">
      <c r="D402" s="168"/>
    </row>
    <row r="403" spans="4:4">
      <c r="D403" s="168"/>
    </row>
    <row r="404" spans="4:4">
      <c r="D404" s="168"/>
    </row>
    <row r="405" spans="4:4">
      <c r="D405" s="168"/>
    </row>
    <row r="406" spans="4:4">
      <c r="D406" s="168"/>
    </row>
    <row r="407" spans="4:4">
      <c r="D407" s="168"/>
    </row>
    <row r="408" spans="4:4">
      <c r="D408" s="168"/>
    </row>
    <row r="409" spans="4:4">
      <c r="D409" s="168"/>
    </row>
    <row r="410" spans="4:4">
      <c r="D410" s="168"/>
    </row>
    <row r="411" spans="4:4">
      <c r="D411" s="168"/>
    </row>
    <row r="412" spans="4:4">
      <c r="D412" s="168"/>
    </row>
    <row r="413" spans="4:4">
      <c r="D413" s="168"/>
    </row>
    <row r="414" spans="4:4">
      <c r="D414" s="168"/>
    </row>
    <row r="415" spans="4:4">
      <c r="D415" s="168"/>
    </row>
    <row r="416" spans="4:4">
      <c r="D416" s="168"/>
    </row>
    <row r="417" spans="4:4">
      <c r="D417" s="168"/>
    </row>
    <row r="418" spans="4:4">
      <c r="D418" s="168"/>
    </row>
    <row r="419" spans="4:4">
      <c r="D419" s="168"/>
    </row>
    <row r="420" spans="4:4">
      <c r="D420" s="168"/>
    </row>
    <row r="421" spans="4:4">
      <c r="D421" s="168"/>
    </row>
    <row r="422" spans="4:4">
      <c r="D422" s="168"/>
    </row>
    <row r="423" spans="4:4">
      <c r="D423" s="168"/>
    </row>
    <row r="424" spans="4:4">
      <c r="D424" s="168"/>
    </row>
    <row r="425" spans="4:4">
      <c r="D425" s="168"/>
    </row>
    <row r="426" spans="4:4">
      <c r="D426" s="168"/>
    </row>
    <row r="427" spans="4:4">
      <c r="D427" s="168"/>
    </row>
    <row r="428" spans="4:4">
      <c r="D428" s="168"/>
    </row>
    <row r="429" spans="4:4">
      <c r="D429" s="168"/>
    </row>
    <row r="430" spans="4:4">
      <c r="D430" s="168"/>
    </row>
    <row r="431" spans="4:4">
      <c r="D431" s="168"/>
    </row>
    <row r="432" spans="4:4">
      <c r="D432" s="168"/>
    </row>
    <row r="433" spans="4:4">
      <c r="D433" s="168"/>
    </row>
    <row r="434" spans="4:4">
      <c r="D434" s="168"/>
    </row>
    <row r="435" spans="4:4">
      <c r="D435" s="168"/>
    </row>
    <row r="436" spans="4:4">
      <c r="D436" s="168"/>
    </row>
    <row r="437" spans="4:4">
      <c r="D437" s="168"/>
    </row>
    <row r="438" spans="4:4">
      <c r="D438" s="168"/>
    </row>
    <row r="439" spans="4:4">
      <c r="D439" s="168"/>
    </row>
    <row r="440" spans="4:4">
      <c r="D440" s="168"/>
    </row>
    <row r="441" spans="4:4">
      <c r="D441" s="168"/>
    </row>
    <row r="442" spans="4:4">
      <c r="D442" s="168"/>
    </row>
    <row r="443" spans="4:4">
      <c r="D443" s="168"/>
    </row>
    <row r="444" spans="4:4">
      <c r="D444" s="168"/>
    </row>
    <row r="445" spans="4:4">
      <c r="D445" s="168"/>
    </row>
    <row r="446" spans="4:4">
      <c r="D446" s="168"/>
    </row>
    <row r="447" spans="4:4">
      <c r="D447" s="168"/>
    </row>
    <row r="448" spans="4:4">
      <c r="D448" s="168"/>
    </row>
    <row r="449" spans="4:4">
      <c r="D449" s="168"/>
    </row>
    <row r="450" spans="4:4">
      <c r="D450" s="168"/>
    </row>
    <row r="451" spans="4:4">
      <c r="D451" s="168"/>
    </row>
    <row r="452" spans="4:4">
      <c r="D452" s="168"/>
    </row>
    <row r="453" spans="4:4">
      <c r="D453" s="168"/>
    </row>
    <row r="454" spans="4:4">
      <c r="D454" s="168"/>
    </row>
    <row r="455" spans="4:4">
      <c r="D455" s="168"/>
    </row>
    <row r="456" spans="4:4">
      <c r="D456" s="168"/>
    </row>
    <row r="457" spans="4:4">
      <c r="D457" s="168"/>
    </row>
    <row r="458" spans="4:4">
      <c r="D458" s="168"/>
    </row>
    <row r="459" spans="4:4">
      <c r="D459" s="168"/>
    </row>
    <row r="460" spans="4:4">
      <c r="D460" s="168"/>
    </row>
    <row r="461" spans="4:4">
      <c r="D461" s="168"/>
    </row>
    <row r="462" spans="4:4">
      <c r="D462" s="168"/>
    </row>
    <row r="463" spans="4:4">
      <c r="D463" s="168"/>
    </row>
    <row r="464" spans="4:4">
      <c r="D464" s="168"/>
    </row>
    <row r="465" spans="4:4">
      <c r="D465" s="168"/>
    </row>
    <row r="466" spans="4:4">
      <c r="D466" s="168"/>
    </row>
    <row r="467" spans="4:4">
      <c r="D467" s="168"/>
    </row>
    <row r="468" spans="4:4">
      <c r="D468" s="168"/>
    </row>
    <row r="469" spans="4:4">
      <c r="D469" s="168"/>
    </row>
    <row r="470" spans="4:4">
      <c r="D470" s="168"/>
    </row>
    <row r="471" spans="4:4">
      <c r="D471" s="168"/>
    </row>
    <row r="472" spans="4:4">
      <c r="D472" s="168"/>
    </row>
    <row r="473" spans="4:4">
      <c r="D473" s="168"/>
    </row>
    <row r="474" spans="4:4">
      <c r="D474" s="168"/>
    </row>
    <row r="475" spans="4:4">
      <c r="D475" s="168"/>
    </row>
    <row r="476" spans="4:4">
      <c r="D476" s="168"/>
    </row>
    <row r="477" spans="4:4">
      <c r="D477" s="168"/>
    </row>
    <row r="478" spans="4:4">
      <c r="D478" s="168"/>
    </row>
    <row r="479" spans="4:4">
      <c r="D479" s="168"/>
    </row>
    <row r="480" spans="4:4">
      <c r="D480" s="168"/>
    </row>
    <row r="481" spans="4:4">
      <c r="D481" s="168"/>
    </row>
    <row r="482" spans="4:4">
      <c r="D482" s="168"/>
    </row>
    <row r="483" spans="4:4">
      <c r="D483" s="168"/>
    </row>
    <row r="484" spans="4:4">
      <c r="D484" s="168"/>
    </row>
    <row r="485" spans="4:4">
      <c r="D485" s="168"/>
    </row>
    <row r="486" spans="4:4">
      <c r="D486" s="168"/>
    </row>
    <row r="487" spans="4:4">
      <c r="D487" s="168"/>
    </row>
    <row r="488" spans="4:4">
      <c r="D488" s="168"/>
    </row>
    <row r="489" spans="4:4">
      <c r="D489" s="168"/>
    </row>
    <row r="490" spans="4:4">
      <c r="D490" s="168"/>
    </row>
    <row r="491" spans="4:4">
      <c r="D491" s="168"/>
    </row>
    <row r="492" spans="4:4">
      <c r="D492" s="168"/>
    </row>
    <row r="493" spans="4:4">
      <c r="D493" s="168"/>
    </row>
    <row r="494" spans="4:4">
      <c r="D494" s="168"/>
    </row>
    <row r="495" spans="4:4">
      <c r="D495" s="168"/>
    </row>
    <row r="496" spans="4:4">
      <c r="D496" s="168"/>
    </row>
    <row r="497" spans="4:4">
      <c r="D497" s="168"/>
    </row>
    <row r="498" spans="4:4">
      <c r="D498" s="168"/>
    </row>
    <row r="499" spans="4:4">
      <c r="D499" s="168"/>
    </row>
    <row r="500" spans="4:4">
      <c r="D500" s="168"/>
    </row>
    <row r="501" spans="4:4">
      <c r="D501" s="168"/>
    </row>
    <row r="502" spans="4:4">
      <c r="D502" s="168"/>
    </row>
    <row r="503" spans="4:4">
      <c r="D503" s="168"/>
    </row>
    <row r="504" spans="4:4">
      <c r="D504" s="168"/>
    </row>
    <row r="505" spans="4:4">
      <c r="D505" s="168"/>
    </row>
    <row r="506" spans="4:4">
      <c r="D506" s="168"/>
    </row>
    <row r="507" spans="4:4">
      <c r="D507" s="168"/>
    </row>
    <row r="508" spans="4:4">
      <c r="D508" s="168"/>
    </row>
    <row r="509" spans="4:4">
      <c r="D509" s="168"/>
    </row>
    <row r="510" spans="4:4">
      <c r="D510" s="168"/>
    </row>
    <row r="511" spans="4:4">
      <c r="D511" s="168"/>
    </row>
    <row r="512" spans="4:4">
      <c r="D512" s="168"/>
    </row>
    <row r="513" spans="4:4">
      <c r="D513" s="168"/>
    </row>
    <row r="514" spans="4:4">
      <c r="D514" s="168"/>
    </row>
    <row r="515" spans="4:4">
      <c r="D515" s="168"/>
    </row>
    <row r="516" spans="4:4">
      <c r="D516" s="168"/>
    </row>
    <row r="517" spans="4:4">
      <c r="D517" s="168"/>
    </row>
    <row r="518" spans="4:4">
      <c r="D518" s="168"/>
    </row>
    <row r="519" spans="4:4">
      <c r="D519" s="168"/>
    </row>
    <row r="520" spans="4:4">
      <c r="D520" s="168"/>
    </row>
    <row r="521" spans="4:4">
      <c r="D521" s="168"/>
    </row>
    <row r="522" spans="4:4">
      <c r="D522" s="168"/>
    </row>
    <row r="523" spans="4:4">
      <c r="D523" s="168"/>
    </row>
    <row r="524" spans="4:4">
      <c r="D524" s="168"/>
    </row>
    <row r="525" spans="4:4">
      <c r="D525" s="168"/>
    </row>
    <row r="526" spans="4:4">
      <c r="D526" s="168"/>
    </row>
    <row r="527" spans="4:4">
      <c r="D527" s="168"/>
    </row>
    <row r="528" spans="4:4">
      <c r="D528" s="168"/>
    </row>
    <row r="529" spans="4:4">
      <c r="D529" s="168"/>
    </row>
    <row r="530" spans="4:4">
      <c r="D530" s="168"/>
    </row>
    <row r="531" spans="4:4">
      <c r="D531" s="168"/>
    </row>
    <row r="532" spans="4:4">
      <c r="D532" s="168"/>
    </row>
    <row r="533" spans="4:4">
      <c r="D533" s="168"/>
    </row>
    <row r="534" spans="4:4">
      <c r="D534" s="168"/>
    </row>
    <row r="535" spans="4:4">
      <c r="D535" s="168"/>
    </row>
    <row r="536" spans="4:4">
      <c r="D536" s="168"/>
    </row>
    <row r="537" spans="4:4">
      <c r="D537" s="168"/>
    </row>
    <row r="538" spans="4:4">
      <c r="D538" s="168"/>
    </row>
    <row r="539" spans="4:4">
      <c r="D539" s="168"/>
    </row>
    <row r="540" spans="4:4">
      <c r="D540" s="168"/>
    </row>
    <row r="541" spans="4:4">
      <c r="D541" s="168"/>
    </row>
    <row r="542" spans="4:4">
      <c r="D542" s="168"/>
    </row>
    <row r="543" spans="4:4">
      <c r="D543" s="168"/>
    </row>
    <row r="544" spans="4:4">
      <c r="D544" s="168"/>
    </row>
    <row r="545" spans="4:4">
      <c r="D545" s="168"/>
    </row>
    <row r="546" spans="4:4">
      <c r="D546" s="168"/>
    </row>
    <row r="547" spans="4:4">
      <c r="D547" s="168"/>
    </row>
    <row r="548" spans="4:4">
      <c r="D548" s="168"/>
    </row>
    <row r="549" spans="4:4">
      <c r="D549" s="168"/>
    </row>
    <row r="550" spans="4:4">
      <c r="D550" s="168"/>
    </row>
    <row r="551" spans="4:4">
      <c r="D551" s="168"/>
    </row>
    <row r="552" spans="4:4">
      <c r="D552" s="168"/>
    </row>
    <row r="553" spans="4:4">
      <c r="D553" s="168"/>
    </row>
    <row r="554" spans="4:4">
      <c r="D554" s="168"/>
    </row>
    <row r="555" spans="4:4">
      <c r="D555" s="168"/>
    </row>
    <row r="556" spans="4:4">
      <c r="D556" s="168"/>
    </row>
    <row r="557" spans="4:4">
      <c r="D557" s="168"/>
    </row>
    <row r="558" spans="4:4">
      <c r="D558" s="168"/>
    </row>
    <row r="559" spans="4:4">
      <c r="D559" s="168"/>
    </row>
    <row r="560" spans="4:4">
      <c r="D560" s="168"/>
    </row>
    <row r="561" spans="4:4">
      <c r="D561" s="168"/>
    </row>
    <row r="562" spans="4:4">
      <c r="D562" s="168"/>
    </row>
    <row r="563" spans="4:4">
      <c r="D563" s="168"/>
    </row>
    <row r="564" spans="4:4">
      <c r="D564" s="168"/>
    </row>
    <row r="565" spans="4:4">
      <c r="D565" s="168"/>
    </row>
    <row r="566" spans="4:4">
      <c r="D566" s="168"/>
    </row>
    <row r="567" spans="4:4">
      <c r="D567" s="168"/>
    </row>
    <row r="568" spans="4:4">
      <c r="D568" s="168"/>
    </row>
    <row r="569" spans="4:4">
      <c r="D569" s="168"/>
    </row>
    <row r="570" spans="4:4">
      <c r="D570" s="168"/>
    </row>
    <row r="571" spans="4:4">
      <c r="D571" s="168"/>
    </row>
    <row r="572" spans="4:4">
      <c r="D572" s="168"/>
    </row>
    <row r="573" spans="4:4">
      <c r="D573" s="168"/>
    </row>
    <row r="574" spans="4:4">
      <c r="D574" s="168"/>
    </row>
    <row r="575" spans="4:4">
      <c r="D575" s="168"/>
    </row>
    <row r="576" spans="4:4">
      <c r="D576" s="168"/>
    </row>
    <row r="577" spans="4:4">
      <c r="D577" s="168"/>
    </row>
    <row r="578" spans="4:4">
      <c r="D578" s="168"/>
    </row>
    <row r="579" spans="4:4">
      <c r="D579" s="168"/>
    </row>
    <row r="580" spans="4:4">
      <c r="D580" s="168"/>
    </row>
    <row r="581" spans="4:4">
      <c r="D581" s="168"/>
    </row>
    <row r="582" spans="4:4">
      <c r="D582" s="168"/>
    </row>
    <row r="583" spans="4:4">
      <c r="D583" s="168"/>
    </row>
    <row r="584" spans="4:4">
      <c r="D584" s="168"/>
    </row>
    <row r="585" spans="4:4">
      <c r="D585" s="168"/>
    </row>
    <row r="586" spans="4:4">
      <c r="D586" s="168"/>
    </row>
    <row r="587" spans="4:4">
      <c r="D587" s="168"/>
    </row>
    <row r="588" spans="4:4">
      <c r="D588" s="168"/>
    </row>
    <row r="589" spans="4:4">
      <c r="D589" s="168"/>
    </row>
    <row r="590" spans="4:4">
      <c r="D590" s="168"/>
    </row>
    <row r="591" spans="4:4">
      <c r="D591" s="168"/>
    </row>
    <row r="592" spans="4:4">
      <c r="D592" s="168"/>
    </row>
    <row r="593" spans="4:4">
      <c r="D593" s="168"/>
    </row>
    <row r="594" spans="4:4">
      <c r="D594" s="168"/>
    </row>
    <row r="595" spans="4:4">
      <c r="D595" s="168"/>
    </row>
    <row r="596" spans="4:4">
      <c r="D596" s="168"/>
    </row>
    <row r="597" spans="4:4">
      <c r="D597" s="168"/>
    </row>
    <row r="598" spans="4:4">
      <c r="D598" s="168"/>
    </row>
    <row r="599" spans="4:4">
      <c r="D599" s="168"/>
    </row>
    <row r="600" spans="4:4">
      <c r="D600" s="168"/>
    </row>
    <row r="601" spans="4:4">
      <c r="D601" s="168"/>
    </row>
    <row r="602" spans="4:4">
      <c r="D602" s="168"/>
    </row>
    <row r="603" spans="4:4">
      <c r="D603" s="168"/>
    </row>
    <row r="604" spans="4:4">
      <c r="D604" s="168"/>
    </row>
    <row r="605" spans="4:4">
      <c r="D605" s="168"/>
    </row>
    <row r="606" spans="4:4">
      <c r="D606" s="168"/>
    </row>
    <row r="607" spans="4:4">
      <c r="D607" s="168"/>
    </row>
    <row r="608" spans="4:4">
      <c r="D608" s="168"/>
    </row>
    <row r="609" spans="4:4">
      <c r="D609" s="168"/>
    </row>
    <row r="610" spans="4:4">
      <c r="D610" s="168"/>
    </row>
    <row r="611" spans="4:4">
      <c r="D611" s="168"/>
    </row>
    <row r="612" spans="4:4">
      <c r="D612" s="168"/>
    </row>
    <row r="613" spans="4:4">
      <c r="D613" s="168"/>
    </row>
    <row r="614" spans="4:4">
      <c r="D614" s="168"/>
    </row>
    <row r="615" spans="4:4">
      <c r="D615" s="168"/>
    </row>
    <row r="616" spans="4:4">
      <c r="D616" s="168"/>
    </row>
    <row r="617" spans="4:4">
      <c r="D617" s="168"/>
    </row>
    <row r="618" spans="4:4">
      <c r="D618" s="168"/>
    </row>
    <row r="619" spans="4:4">
      <c r="D619" s="168"/>
    </row>
    <row r="620" spans="4:4">
      <c r="D620" s="168"/>
    </row>
    <row r="621" spans="4:4">
      <c r="D621" s="168"/>
    </row>
    <row r="622" spans="4:4">
      <c r="D622" s="168"/>
    </row>
    <row r="623" spans="4:4">
      <c r="D623" s="168"/>
    </row>
    <row r="624" spans="4:4">
      <c r="D624" s="168"/>
    </row>
    <row r="625" spans="4:4">
      <c r="D625" s="168"/>
    </row>
    <row r="626" spans="4:4">
      <c r="D626" s="168"/>
    </row>
    <row r="627" spans="4:4">
      <c r="D627" s="168"/>
    </row>
    <row r="628" spans="4:4">
      <c r="D628" s="168"/>
    </row>
    <row r="629" spans="4:4">
      <c r="D629" s="168"/>
    </row>
    <row r="630" spans="4:4">
      <c r="D630" s="168"/>
    </row>
    <row r="631" spans="4:4">
      <c r="D631" s="168"/>
    </row>
    <row r="632" spans="4:4">
      <c r="D632" s="168"/>
    </row>
    <row r="633" spans="4:4">
      <c r="D633" s="168"/>
    </row>
    <row r="634" spans="4:4">
      <c r="D634" s="168"/>
    </row>
    <row r="635" spans="4:4">
      <c r="D635" s="168"/>
    </row>
    <row r="636" spans="4:4">
      <c r="D636" s="168"/>
    </row>
    <row r="637" spans="4:4">
      <c r="D637" s="168"/>
    </row>
    <row r="638" spans="4:4">
      <c r="D638" s="168"/>
    </row>
    <row r="639" spans="4:4">
      <c r="D639" s="168"/>
    </row>
    <row r="640" spans="4:4">
      <c r="D640" s="168"/>
    </row>
    <row r="641" spans="4:4">
      <c r="D641" s="168"/>
    </row>
    <row r="642" spans="4:4">
      <c r="D642" s="168"/>
    </row>
    <row r="643" spans="4:4">
      <c r="D643" s="168"/>
    </row>
    <row r="644" spans="4:4">
      <c r="D644" s="168"/>
    </row>
    <row r="645" spans="4:4">
      <c r="D645" s="168"/>
    </row>
    <row r="646" spans="4:4">
      <c r="D646" s="168"/>
    </row>
    <row r="647" spans="4:4">
      <c r="D647" s="168"/>
    </row>
    <row r="648" spans="4:4">
      <c r="D648" s="168"/>
    </row>
    <row r="649" spans="4:4">
      <c r="D649" s="168"/>
    </row>
    <row r="650" spans="4:4">
      <c r="D650" s="168"/>
    </row>
    <row r="651" spans="4:4">
      <c r="D651" s="168"/>
    </row>
    <row r="652" spans="4:4">
      <c r="D652" s="168"/>
    </row>
    <row r="653" spans="4:4">
      <c r="D653" s="168"/>
    </row>
    <row r="654" spans="4:4">
      <c r="D654" s="168"/>
    </row>
    <row r="655" spans="4:4">
      <c r="D655" s="168"/>
    </row>
    <row r="656" spans="4:4">
      <c r="D656" s="168"/>
    </row>
    <row r="657" spans="4:4">
      <c r="D657" s="168"/>
    </row>
    <row r="658" spans="4:4">
      <c r="D658" s="168"/>
    </row>
    <row r="659" spans="4:4">
      <c r="D659" s="168"/>
    </row>
    <row r="660" spans="4:4">
      <c r="D660" s="168"/>
    </row>
    <row r="661" spans="4:4">
      <c r="D661" s="168"/>
    </row>
    <row r="662" spans="4:4">
      <c r="D662" s="168"/>
    </row>
    <row r="663" spans="4:4">
      <c r="D663" s="168"/>
    </row>
    <row r="664" spans="4:4">
      <c r="D664" s="168"/>
    </row>
    <row r="665" spans="4:4">
      <c r="D665" s="168"/>
    </row>
    <row r="666" spans="4:4">
      <c r="D666" s="168"/>
    </row>
    <row r="667" spans="4:4">
      <c r="D667" s="168"/>
    </row>
    <row r="668" spans="4:4">
      <c r="D668" s="168"/>
    </row>
    <row r="669" spans="4:4">
      <c r="D669" s="168"/>
    </row>
    <row r="670" spans="4:4">
      <c r="D670" s="168"/>
    </row>
    <row r="671" spans="4:4">
      <c r="D671" s="168"/>
    </row>
    <row r="672" spans="4:4">
      <c r="D672" s="168"/>
    </row>
    <row r="673" spans="4:4">
      <c r="D673" s="168"/>
    </row>
    <row r="674" spans="4:4">
      <c r="D674" s="168"/>
    </row>
    <row r="675" spans="4:4">
      <c r="D675" s="168"/>
    </row>
    <row r="676" spans="4:4">
      <c r="D676" s="168"/>
    </row>
    <row r="677" spans="4:4">
      <c r="D677" s="168"/>
    </row>
    <row r="678" spans="4:4">
      <c r="D678" s="168"/>
    </row>
    <row r="679" spans="4:4">
      <c r="D679" s="168"/>
    </row>
    <row r="680" spans="4:4">
      <c r="D680" s="168"/>
    </row>
    <row r="681" spans="4:4">
      <c r="D681" s="168"/>
    </row>
    <row r="682" spans="4:4">
      <c r="D682" s="168"/>
    </row>
    <row r="683" spans="4:4">
      <c r="D683" s="168"/>
    </row>
    <row r="684" spans="4:4">
      <c r="D684" s="168"/>
    </row>
    <row r="685" spans="4:4">
      <c r="D685" s="168"/>
    </row>
    <row r="686" spans="4:4">
      <c r="D686" s="168"/>
    </row>
    <row r="687" spans="4:4">
      <c r="D687" s="168"/>
    </row>
    <row r="688" spans="4:4">
      <c r="D688" s="168"/>
    </row>
    <row r="689" spans="4:4">
      <c r="D689" s="168"/>
    </row>
    <row r="690" spans="4:4">
      <c r="D690" s="168"/>
    </row>
    <row r="691" spans="4:4">
      <c r="D691" s="168"/>
    </row>
    <row r="692" spans="4:4">
      <c r="D692" s="168"/>
    </row>
    <row r="693" spans="4:4">
      <c r="D693" s="168"/>
    </row>
    <row r="694" spans="4:4">
      <c r="D694" s="168"/>
    </row>
    <row r="695" spans="4:4">
      <c r="D695" s="168"/>
    </row>
    <row r="696" spans="4:4">
      <c r="D696" s="168"/>
    </row>
    <row r="697" spans="4:4">
      <c r="D697" s="168"/>
    </row>
    <row r="698" spans="4:4">
      <c r="D698" s="168"/>
    </row>
    <row r="699" spans="4:4">
      <c r="D699" s="168"/>
    </row>
    <row r="700" spans="4:4">
      <c r="D700" s="168"/>
    </row>
    <row r="701" spans="4:4">
      <c r="D701" s="168"/>
    </row>
    <row r="702" spans="4:4">
      <c r="D702" s="168"/>
    </row>
    <row r="703" spans="4:4">
      <c r="D703" s="168"/>
    </row>
    <row r="704" spans="4:4">
      <c r="D704" s="168"/>
    </row>
    <row r="705" spans="4:4">
      <c r="D705" s="168"/>
    </row>
    <row r="706" spans="4:4">
      <c r="D706" s="168"/>
    </row>
    <row r="707" spans="4:4">
      <c r="D707" s="168"/>
    </row>
    <row r="708" spans="4:4">
      <c r="D708" s="168"/>
    </row>
    <row r="709" spans="4:4">
      <c r="D709" s="168"/>
    </row>
    <row r="710" spans="4:4">
      <c r="D710" s="168"/>
    </row>
    <row r="711" spans="4:4">
      <c r="D711" s="168"/>
    </row>
    <row r="712" spans="4:4">
      <c r="D712" s="168"/>
    </row>
    <row r="713" spans="4:4">
      <c r="D713" s="168"/>
    </row>
    <row r="714" spans="4:4">
      <c r="D714" s="168"/>
    </row>
    <row r="715" spans="4:4">
      <c r="D715" s="168"/>
    </row>
    <row r="716" spans="4:4">
      <c r="D716" s="168"/>
    </row>
    <row r="717" spans="4:4">
      <c r="D717" s="168"/>
    </row>
    <row r="718" spans="4:4">
      <c r="D718" s="168"/>
    </row>
    <row r="719" spans="4:4">
      <c r="D719" s="168"/>
    </row>
    <row r="720" spans="4:4">
      <c r="D720" s="168"/>
    </row>
    <row r="721" spans="4:4">
      <c r="D721" s="168"/>
    </row>
    <row r="722" spans="4:4">
      <c r="D722" s="168"/>
    </row>
    <row r="723" spans="4:4">
      <c r="D723" s="168"/>
    </row>
    <row r="724" spans="4:4">
      <c r="D724" s="168"/>
    </row>
    <row r="725" spans="4:4">
      <c r="D725" s="168"/>
    </row>
    <row r="726" spans="4:4">
      <c r="D726" s="168"/>
    </row>
    <row r="727" spans="4:4">
      <c r="D727" s="168"/>
    </row>
    <row r="728" spans="4:4">
      <c r="D728" s="168"/>
    </row>
    <row r="729" spans="4:4">
      <c r="D729" s="168"/>
    </row>
    <row r="730" spans="4:4">
      <c r="D730" s="168"/>
    </row>
    <row r="731" spans="4:4">
      <c r="D731" s="168"/>
    </row>
    <row r="732" spans="4:4">
      <c r="D732" s="168"/>
    </row>
    <row r="733" spans="4:4">
      <c r="D733" s="168"/>
    </row>
    <row r="734" spans="4:4">
      <c r="D734" s="168"/>
    </row>
    <row r="735" spans="4:4">
      <c r="D735" s="168"/>
    </row>
    <row r="736" spans="4:4">
      <c r="D736" s="168"/>
    </row>
    <row r="737" spans="4:4">
      <c r="D737" s="168"/>
    </row>
    <row r="738" spans="4:4">
      <c r="D738" s="168"/>
    </row>
    <row r="739" spans="4:4">
      <c r="D739" s="168"/>
    </row>
    <row r="740" spans="4:4">
      <c r="D740" s="168"/>
    </row>
    <row r="741" spans="4:4">
      <c r="D741" s="168"/>
    </row>
    <row r="742" spans="4:4">
      <c r="D742" s="168"/>
    </row>
    <row r="743" spans="4:4">
      <c r="D743" s="168"/>
    </row>
    <row r="744" spans="4:4">
      <c r="D744" s="168"/>
    </row>
    <row r="745" spans="4:4">
      <c r="D745" s="168"/>
    </row>
    <row r="746" spans="4:4">
      <c r="D746" s="168"/>
    </row>
    <row r="747" spans="4:4">
      <c r="D747" s="168"/>
    </row>
    <row r="748" spans="4:4">
      <c r="D748" s="168"/>
    </row>
    <row r="749" spans="4:4">
      <c r="D749" s="168"/>
    </row>
    <row r="750" spans="4:4">
      <c r="D750" s="168"/>
    </row>
    <row r="751" spans="4:4">
      <c r="D751" s="168"/>
    </row>
    <row r="752" spans="4:4">
      <c r="D752" s="168"/>
    </row>
    <row r="753" spans="4:4">
      <c r="D753" s="168"/>
    </row>
    <row r="754" spans="4:4">
      <c r="D754" s="168"/>
    </row>
    <row r="755" spans="4:4">
      <c r="D755" s="168"/>
    </row>
    <row r="756" spans="4:4">
      <c r="D756" s="168"/>
    </row>
    <row r="757" spans="4:4">
      <c r="D757" s="168"/>
    </row>
    <row r="758" spans="4:4">
      <c r="D758" s="168"/>
    </row>
    <row r="759" spans="4:4">
      <c r="D759" s="168"/>
    </row>
    <row r="760" spans="4:4">
      <c r="D760" s="168"/>
    </row>
    <row r="761" spans="4:4">
      <c r="D761" s="168"/>
    </row>
    <row r="762" spans="4:4">
      <c r="D762" s="168"/>
    </row>
    <row r="763" spans="4:4">
      <c r="D763" s="168"/>
    </row>
    <row r="764" spans="4:4">
      <c r="D764" s="168"/>
    </row>
    <row r="765" spans="4:4">
      <c r="D765" s="168"/>
    </row>
    <row r="766" spans="4:4">
      <c r="D766" s="168"/>
    </row>
    <row r="767" spans="4:4">
      <c r="D767" s="168"/>
    </row>
    <row r="768" spans="4:4">
      <c r="D768" s="168"/>
    </row>
    <row r="769" spans="4:4">
      <c r="D769" s="168"/>
    </row>
    <row r="770" spans="4:4">
      <c r="D770" s="168"/>
    </row>
    <row r="771" spans="4:4">
      <c r="D771" s="168"/>
    </row>
    <row r="772" spans="4:4">
      <c r="D772" s="168"/>
    </row>
    <row r="773" spans="4:4">
      <c r="D773" s="168"/>
    </row>
    <row r="774" spans="4:4">
      <c r="D774" s="168"/>
    </row>
    <row r="775" spans="4:4">
      <c r="D775" s="168"/>
    </row>
    <row r="776" spans="4:4">
      <c r="D776" s="168"/>
    </row>
    <row r="777" spans="4:4">
      <c r="D777" s="168"/>
    </row>
    <row r="778" spans="4:4">
      <c r="D778" s="168"/>
    </row>
    <row r="779" spans="4:4">
      <c r="D779" s="168"/>
    </row>
    <row r="780" spans="4:4">
      <c r="D780" s="168"/>
    </row>
    <row r="781" spans="4:4">
      <c r="D781" s="168"/>
    </row>
    <row r="782" spans="4:4">
      <c r="D782" s="168"/>
    </row>
    <row r="783" spans="4:4">
      <c r="D783" s="168"/>
    </row>
    <row r="784" spans="4:4">
      <c r="D784" s="168"/>
    </row>
    <row r="785" spans="4:4">
      <c r="D785" s="168"/>
    </row>
    <row r="786" spans="4:4">
      <c r="D786" s="168"/>
    </row>
    <row r="787" spans="4:4">
      <c r="D787" s="168"/>
    </row>
    <row r="788" spans="4:4">
      <c r="D788" s="168"/>
    </row>
    <row r="789" spans="4:4">
      <c r="D789" s="168"/>
    </row>
    <row r="790" spans="4:4">
      <c r="D790" s="168"/>
    </row>
    <row r="791" spans="4:4">
      <c r="D791" s="168"/>
    </row>
    <row r="792" spans="4:4">
      <c r="D792" s="168"/>
    </row>
    <row r="793" spans="4:4">
      <c r="D793" s="168"/>
    </row>
    <row r="794" spans="4:4">
      <c r="D794" s="168"/>
    </row>
    <row r="795" spans="4:4">
      <c r="D795" s="168"/>
    </row>
    <row r="796" spans="4:4">
      <c r="D796" s="168"/>
    </row>
    <row r="797" spans="4:4">
      <c r="D797" s="168"/>
    </row>
    <row r="798" spans="4:4">
      <c r="D798" s="168"/>
    </row>
    <row r="799" spans="4:4">
      <c r="D799" s="168"/>
    </row>
    <row r="800" spans="4:4">
      <c r="D800" s="168"/>
    </row>
    <row r="801" spans="4:4">
      <c r="D801" s="168"/>
    </row>
    <row r="802" spans="4:4">
      <c r="D802" s="168"/>
    </row>
    <row r="803" spans="4:4">
      <c r="D803" s="168"/>
    </row>
    <row r="804" spans="4:4">
      <c r="D804" s="168"/>
    </row>
    <row r="805" spans="4:4">
      <c r="D805" s="168"/>
    </row>
    <row r="806" spans="4:4">
      <c r="D806" s="168"/>
    </row>
    <row r="807" spans="4:4">
      <c r="D807" s="168"/>
    </row>
    <row r="808" spans="4:4">
      <c r="D808" s="168"/>
    </row>
    <row r="809" spans="4:4">
      <c r="D809" s="168"/>
    </row>
    <row r="810" spans="4:4">
      <c r="D810" s="168"/>
    </row>
    <row r="811" spans="4:4">
      <c r="D811" s="168"/>
    </row>
    <row r="812" spans="4:4">
      <c r="D812" s="168"/>
    </row>
    <row r="813" spans="4:4">
      <c r="D813" s="168"/>
    </row>
    <row r="814" spans="4:4">
      <c r="D814" s="168"/>
    </row>
    <row r="815" spans="4:4">
      <c r="D815" s="168"/>
    </row>
    <row r="816" spans="4:4">
      <c r="D816" s="168"/>
    </row>
    <row r="817" spans="4:4">
      <c r="D817" s="168"/>
    </row>
    <row r="818" spans="4:4">
      <c r="D818" s="168"/>
    </row>
    <row r="819" spans="4:4">
      <c r="D819" s="168"/>
    </row>
    <row r="820" spans="4:4">
      <c r="D820" s="168"/>
    </row>
    <row r="821" spans="4:4">
      <c r="D821" s="168"/>
    </row>
    <row r="822" spans="4:4">
      <c r="D822" s="168"/>
    </row>
    <row r="823" spans="4:4">
      <c r="D823" s="168"/>
    </row>
    <row r="824" spans="4:4">
      <c r="D824" s="168"/>
    </row>
    <row r="825" spans="4:4">
      <c r="D825" s="168"/>
    </row>
    <row r="826" spans="4:4">
      <c r="D826" s="168"/>
    </row>
    <row r="827" spans="4:4">
      <c r="D827" s="168"/>
    </row>
    <row r="828" spans="4:4">
      <c r="D828" s="168"/>
    </row>
    <row r="829" spans="4:4">
      <c r="D829" s="168"/>
    </row>
    <row r="830" spans="4:4">
      <c r="D830" s="168"/>
    </row>
    <row r="831" spans="4:4">
      <c r="D831" s="168"/>
    </row>
    <row r="832" spans="4:4">
      <c r="D832" s="168"/>
    </row>
    <row r="833" spans="4:4">
      <c r="D833" s="168"/>
    </row>
    <row r="834" spans="4:4">
      <c r="D834" s="168"/>
    </row>
    <row r="835" spans="4:4">
      <c r="D835" s="168"/>
    </row>
    <row r="836" spans="4:4">
      <c r="D836" s="168"/>
    </row>
    <row r="837" spans="4:4">
      <c r="D837" s="168"/>
    </row>
    <row r="838" spans="4:4">
      <c r="D838" s="168"/>
    </row>
    <row r="839" spans="4:4">
      <c r="D839" s="168"/>
    </row>
    <row r="840" spans="4:4">
      <c r="D840" s="168"/>
    </row>
    <row r="841" spans="4:4">
      <c r="D841" s="168"/>
    </row>
    <row r="842" spans="4:4">
      <c r="D842" s="168"/>
    </row>
    <row r="843" spans="4:4">
      <c r="D843" s="168"/>
    </row>
    <row r="844" spans="4:4">
      <c r="D844" s="168"/>
    </row>
    <row r="845" spans="4:4">
      <c r="D845" s="168"/>
    </row>
    <row r="846" spans="4:4">
      <c r="D846" s="168"/>
    </row>
    <row r="847" spans="4:4">
      <c r="D847" s="168"/>
    </row>
    <row r="848" spans="4:4">
      <c r="D848" s="168"/>
    </row>
    <row r="849" spans="4:4">
      <c r="D849" s="168"/>
    </row>
    <row r="850" spans="4:4">
      <c r="D850" s="168"/>
    </row>
    <row r="851" spans="4:4">
      <c r="D851" s="168"/>
    </row>
    <row r="852" spans="4:4">
      <c r="D852" s="168"/>
    </row>
    <row r="853" spans="4:4">
      <c r="D853" s="168"/>
    </row>
    <row r="854" spans="4:4">
      <c r="D854" s="168"/>
    </row>
    <row r="855" spans="4:4">
      <c r="D855" s="168"/>
    </row>
    <row r="856" spans="4:4">
      <c r="D856" s="168"/>
    </row>
    <row r="857" spans="4:4">
      <c r="D857" s="168"/>
    </row>
    <row r="858" spans="4:4">
      <c r="D858" s="168"/>
    </row>
    <row r="859" spans="4:4">
      <c r="D859" s="168"/>
    </row>
    <row r="860" spans="4:4">
      <c r="D860" s="168"/>
    </row>
    <row r="861" spans="4:4">
      <c r="D861" s="168"/>
    </row>
    <row r="862" spans="4:4">
      <c r="D862" s="168"/>
    </row>
    <row r="863" spans="4:4">
      <c r="D863" s="168"/>
    </row>
    <row r="864" spans="4:4">
      <c r="D864" s="168"/>
    </row>
    <row r="865" spans="4:4">
      <c r="D865" s="168"/>
    </row>
    <row r="866" spans="4:4">
      <c r="D866" s="168"/>
    </row>
    <row r="867" spans="4:4">
      <c r="D867" s="168"/>
    </row>
    <row r="868" spans="4:4">
      <c r="D868" s="168"/>
    </row>
    <row r="869" spans="4:4">
      <c r="D869" s="168"/>
    </row>
    <row r="870" spans="4:4">
      <c r="D870" s="168"/>
    </row>
    <row r="871" spans="4:4">
      <c r="D871" s="168"/>
    </row>
    <row r="872" spans="4:4">
      <c r="D872" s="168"/>
    </row>
    <row r="873" spans="4:4">
      <c r="D873" s="168"/>
    </row>
    <row r="874" spans="4:4">
      <c r="D874" s="168"/>
    </row>
    <row r="875" spans="4:4">
      <c r="D875" s="168"/>
    </row>
    <row r="876" spans="4:4">
      <c r="D876" s="168"/>
    </row>
    <row r="877" spans="4:4">
      <c r="D877" s="168"/>
    </row>
    <row r="878" spans="4:4">
      <c r="D878" s="168"/>
    </row>
    <row r="879" spans="4:4">
      <c r="D879" s="168"/>
    </row>
    <row r="880" spans="4:4">
      <c r="D880" s="168"/>
    </row>
    <row r="881" spans="4:4">
      <c r="D881" s="168"/>
    </row>
    <row r="882" spans="4:4">
      <c r="D882" s="168"/>
    </row>
    <row r="883" spans="4:4">
      <c r="D883" s="168"/>
    </row>
    <row r="884" spans="4:4">
      <c r="D884" s="168"/>
    </row>
    <row r="885" spans="4:4">
      <c r="D885" s="168"/>
    </row>
    <row r="886" spans="4:4">
      <c r="D886" s="168"/>
    </row>
    <row r="887" spans="4:4">
      <c r="D887" s="168"/>
    </row>
    <row r="888" spans="4:4">
      <c r="D888" s="168"/>
    </row>
    <row r="889" spans="4:4">
      <c r="D889" s="168"/>
    </row>
    <row r="890" spans="4:4">
      <c r="D890" s="168"/>
    </row>
    <row r="891" spans="4:4">
      <c r="D891" s="168"/>
    </row>
    <row r="892" spans="4:4">
      <c r="D892" s="168"/>
    </row>
    <row r="893" spans="4:4">
      <c r="D893" s="168"/>
    </row>
    <row r="894" spans="4:4">
      <c r="D894" s="168"/>
    </row>
    <row r="895" spans="4:4">
      <c r="D895" s="168"/>
    </row>
    <row r="896" spans="4:4">
      <c r="D896" s="168"/>
    </row>
    <row r="897" spans="4:4">
      <c r="D897" s="168"/>
    </row>
    <row r="898" spans="4:4">
      <c r="D898" s="168"/>
    </row>
    <row r="899" spans="4:4">
      <c r="D899" s="168"/>
    </row>
    <row r="900" spans="4:4">
      <c r="D900" s="168"/>
    </row>
    <row r="901" spans="4:4">
      <c r="D901" s="168"/>
    </row>
    <row r="902" spans="4:4">
      <c r="D902" s="168"/>
    </row>
    <row r="903" spans="4:4">
      <c r="D903" s="168"/>
    </row>
    <row r="904" spans="4:4">
      <c r="D904" s="168"/>
    </row>
    <row r="905" spans="4:4">
      <c r="D905" s="168"/>
    </row>
    <row r="906" spans="4:4">
      <c r="D906" s="168"/>
    </row>
    <row r="907" spans="4:4">
      <c r="D907" s="168"/>
    </row>
    <row r="908" spans="4:4">
      <c r="D908" s="168"/>
    </row>
    <row r="909" spans="4:4">
      <c r="D909" s="168"/>
    </row>
    <row r="910" spans="4:4">
      <c r="D910" s="168"/>
    </row>
    <row r="911" spans="4:4">
      <c r="D911" s="168"/>
    </row>
    <row r="912" spans="4:4">
      <c r="D912" s="168"/>
    </row>
    <row r="913" spans="4:4">
      <c r="D913" s="168"/>
    </row>
    <row r="914" spans="4:4">
      <c r="D914" s="168"/>
    </row>
    <row r="915" spans="4:4">
      <c r="D915" s="168"/>
    </row>
    <row r="916" spans="4:4">
      <c r="D916" s="168"/>
    </row>
    <row r="917" spans="4:4">
      <c r="D917" s="168"/>
    </row>
    <row r="918" spans="4:4">
      <c r="D918" s="168"/>
    </row>
    <row r="919" spans="4:4">
      <c r="D919" s="168"/>
    </row>
    <row r="920" spans="4:4">
      <c r="D920" s="168"/>
    </row>
    <row r="921" spans="4:4">
      <c r="D921" s="168"/>
    </row>
    <row r="922" spans="4:4">
      <c r="D922" s="168"/>
    </row>
    <row r="923" spans="4:4">
      <c r="D923" s="168"/>
    </row>
    <row r="924" spans="4:4">
      <c r="D924" s="168"/>
    </row>
    <row r="925" spans="4:4">
      <c r="D925" s="168"/>
    </row>
    <row r="926" spans="4:4">
      <c r="D926" s="168"/>
    </row>
    <row r="927" spans="4:4">
      <c r="D927" s="168"/>
    </row>
    <row r="928" spans="4:4">
      <c r="D928" s="168"/>
    </row>
    <row r="929" spans="4:4">
      <c r="D929" s="168"/>
    </row>
    <row r="930" spans="4:4">
      <c r="D930" s="168"/>
    </row>
    <row r="931" spans="4:4">
      <c r="D931" s="168"/>
    </row>
    <row r="932" spans="4:4">
      <c r="D932" s="168"/>
    </row>
    <row r="933" spans="4:4">
      <c r="D933" s="168"/>
    </row>
    <row r="934" spans="4:4">
      <c r="D934" s="168"/>
    </row>
    <row r="935" spans="4:4">
      <c r="D935" s="168"/>
    </row>
    <row r="936" spans="4:4">
      <c r="D936" s="168"/>
    </row>
    <row r="937" spans="4:4">
      <c r="D937" s="168"/>
    </row>
    <row r="938" spans="4:4">
      <c r="D938" s="168"/>
    </row>
    <row r="939" spans="4:4">
      <c r="D939" s="168"/>
    </row>
    <row r="940" spans="4:4">
      <c r="D940" s="168"/>
    </row>
    <row r="941" spans="4:4">
      <c r="D941" s="168"/>
    </row>
    <row r="942" spans="4:4">
      <c r="D942" s="168"/>
    </row>
    <row r="943" spans="4:4">
      <c r="D943" s="168"/>
    </row>
    <row r="944" spans="4:4">
      <c r="D944" s="168"/>
    </row>
    <row r="945" spans="4:4">
      <c r="D945" s="168"/>
    </row>
    <row r="946" spans="4:4">
      <c r="D946" s="168"/>
    </row>
    <row r="947" spans="4:4">
      <c r="D947" s="168"/>
    </row>
    <row r="948" spans="4:4">
      <c r="D948" s="168"/>
    </row>
    <row r="949" spans="4:4">
      <c r="D949" s="168"/>
    </row>
    <row r="950" spans="4:4">
      <c r="D950" s="168"/>
    </row>
    <row r="951" spans="4:4">
      <c r="D951" s="168"/>
    </row>
    <row r="952" spans="4:4">
      <c r="D952" s="168"/>
    </row>
    <row r="953" spans="4:4">
      <c r="D953" s="168"/>
    </row>
    <row r="954" spans="4:4">
      <c r="D954" s="168"/>
    </row>
    <row r="955" spans="4:4">
      <c r="D955" s="168"/>
    </row>
    <row r="956" spans="4:4">
      <c r="D956" s="168"/>
    </row>
    <row r="957" spans="4:4">
      <c r="D957" s="168"/>
    </row>
    <row r="958" spans="4:4">
      <c r="D958" s="168"/>
    </row>
    <row r="959" spans="4:4">
      <c r="D959" s="168"/>
    </row>
    <row r="960" spans="4:4">
      <c r="D960" s="168"/>
    </row>
    <row r="961" spans="4:4">
      <c r="D961" s="168"/>
    </row>
    <row r="962" spans="4:4">
      <c r="D962" s="168"/>
    </row>
    <row r="963" spans="4:4">
      <c r="D963" s="168"/>
    </row>
    <row r="964" spans="4:4">
      <c r="D964" s="168"/>
    </row>
    <row r="965" spans="4:4">
      <c r="D965" s="168"/>
    </row>
    <row r="966" spans="4:4">
      <c r="D966" s="168"/>
    </row>
    <row r="967" spans="4:4">
      <c r="D967" s="168"/>
    </row>
    <row r="968" spans="4:4">
      <c r="D968" s="168"/>
    </row>
    <row r="969" spans="4:4">
      <c r="D969" s="168"/>
    </row>
    <row r="970" spans="4:4">
      <c r="D970" s="168"/>
    </row>
    <row r="971" spans="4:4">
      <c r="D971" s="168"/>
    </row>
    <row r="972" spans="4:4">
      <c r="D972" s="168"/>
    </row>
    <row r="973" spans="4:4">
      <c r="D973" s="168"/>
    </row>
    <row r="974" spans="4:4">
      <c r="D974" s="168"/>
    </row>
    <row r="975" spans="4:4">
      <c r="D975" s="168"/>
    </row>
    <row r="976" spans="4:4">
      <c r="D976" s="168"/>
    </row>
    <row r="977" spans="4:4">
      <c r="D977" s="168"/>
    </row>
    <row r="978" spans="4:4">
      <c r="D978" s="168"/>
    </row>
    <row r="979" spans="4:4">
      <c r="D979" s="168"/>
    </row>
    <row r="980" spans="4:4">
      <c r="D980" s="168"/>
    </row>
    <row r="981" spans="4:4">
      <c r="D981" s="168"/>
    </row>
    <row r="982" spans="4:4">
      <c r="D982" s="168"/>
    </row>
    <row r="983" spans="4:4">
      <c r="D983" s="168"/>
    </row>
    <row r="984" spans="4:4">
      <c r="D984" s="168"/>
    </row>
    <row r="985" spans="4:4">
      <c r="D985" s="168"/>
    </row>
    <row r="986" spans="4:4">
      <c r="D986" s="168"/>
    </row>
    <row r="987" spans="4:4">
      <c r="D987" s="168"/>
    </row>
    <row r="988" spans="4:4">
      <c r="D988" s="168"/>
    </row>
    <row r="989" spans="4:4">
      <c r="D989" s="168"/>
    </row>
    <row r="990" spans="4:4">
      <c r="D990" s="168"/>
    </row>
    <row r="991" spans="4:4">
      <c r="D991" s="168"/>
    </row>
    <row r="992" spans="4:4">
      <c r="D992" s="168"/>
    </row>
    <row r="993" spans="4:4">
      <c r="D993" s="168"/>
    </row>
    <row r="994" spans="4:4">
      <c r="D994" s="168"/>
    </row>
    <row r="995" spans="4:4">
      <c r="D995" s="168"/>
    </row>
    <row r="996" spans="4:4">
      <c r="D996" s="168"/>
    </row>
    <row r="997" spans="4:4">
      <c r="D997" s="168"/>
    </row>
    <row r="998" spans="4:4">
      <c r="D998" s="168"/>
    </row>
    <row r="999" spans="4:4">
      <c r="D999" s="168"/>
    </row>
    <row r="1000" spans="4:4">
      <c r="D1000" s="168"/>
    </row>
    <row r="1001" spans="4:4">
      <c r="D1001" s="168"/>
    </row>
    <row r="1002" spans="4:4">
      <c r="D1002" s="168"/>
    </row>
    <row r="1003" spans="4:4">
      <c r="D1003" s="168"/>
    </row>
    <row r="1004" spans="4:4">
      <c r="D1004" s="168"/>
    </row>
    <row r="1005" spans="4:4">
      <c r="D1005" s="168"/>
    </row>
    <row r="1006" spans="4:4">
      <c r="D1006" s="168"/>
    </row>
    <row r="1007" spans="4:4">
      <c r="D1007" s="168"/>
    </row>
    <row r="1008" spans="4:4">
      <c r="D1008" s="168"/>
    </row>
    <row r="1009" spans="4:4">
      <c r="D1009" s="168"/>
    </row>
    <row r="1010" spans="4:4">
      <c r="D1010" s="168"/>
    </row>
    <row r="1011" spans="4:4">
      <c r="D1011" s="168"/>
    </row>
    <row r="1012" spans="4:4">
      <c r="D1012" s="168"/>
    </row>
    <row r="1013" spans="4:4">
      <c r="D1013" s="168"/>
    </row>
    <row r="1014" spans="4:4">
      <c r="D1014" s="168"/>
    </row>
    <row r="1015" spans="4:4">
      <c r="D1015" s="168"/>
    </row>
    <row r="1016" spans="4:4">
      <c r="D1016" s="168"/>
    </row>
    <row r="1017" spans="4:4">
      <c r="D1017" s="168"/>
    </row>
    <row r="1018" spans="4:4">
      <c r="D1018" s="168"/>
    </row>
    <row r="1019" spans="4:4">
      <c r="D1019" s="168"/>
    </row>
    <row r="1020" spans="4:4">
      <c r="D1020" s="168"/>
    </row>
    <row r="1021" spans="4:4">
      <c r="D1021" s="168"/>
    </row>
    <row r="1022" spans="4:4">
      <c r="D1022" s="168"/>
    </row>
    <row r="1023" spans="4:4">
      <c r="D1023" s="168"/>
    </row>
    <row r="1024" spans="4:4">
      <c r="D1024" s="168"/>
    </row>
    <row r="1025" spans="4:4">
      <c r="D1025" s="168"/>
    </row>
    <row r="1026" spans="4:4">
      <c r="D1026" s="168"/>
    </row>
    <row r="1027" spans="4:4">
      <c r="D1027" s="168"/>
    </row>
    <row r="1028" spans="4:4">
      <c r="D1028" s="168"/>
    </row>
    <row r="1029" spans="4:4">
      <c r="D1029" s="168"/>
    </row>
    <row r="1030" spans="4:4">
      <c r="D1030" s="168"/>
    </row>
    <row r="1031" spans="4:4">
      <c r="D1031" s="168"/>
    </row>
    <row r="1032" spans="4:4">
      <c r="D1032" s="168"/>
    </row>
    <row r="1033" spans="4:4">
      <c r="D1033" s="168"/>
    </row>
    <row r="1034" spans="4:4">
      <c r="D1034" s="168"/>
    </row>
    <row r="1035" spans="4:4">
      <c r="D1035" s="168"/>
    </row>
    <row r="1036" spans="4:4">
      <c r="D1036" s="168"/>
    </row>
    <row r="1037" spans="4:4">
      <c r="D1037" s="168"/>
    </row>
    <row r="1038" spans="4:4">
      <c r="D1038" s="168"/>
    </row>
    <row r="1039" spans="4:4">
      <c r="D1039" s="168"/>
    </row>
    <row r="1040" spans="4:4">
      <c r="D1040" s="168"/>
    </row>
    <row r="1041" spans="4:4">
      <c r="D1041" s="168"/>
    </row>
    <row r="1042" spans="4:4">
      <c r="D1042" s="168"/>
    </row>
    <row r="1043" spans="4:4">
      <c r="D1043" s="168"/>
    </row>
    <row r="1044" spans="4:4">
      <c r="D1044" s="168"/>
    </row>
    <row r="1045" spans="4:4">
      <c r="D1045" s="168"/>
    </row>
    <row r="1046" spans="4:4">
      <c r="D1046" s="168"/>
    </row>
    <row r="1047" spans="4:4">
      <c r="D1047" s="168"/>
    </row>
    <row r="1048" spans="4:4">
      <c r="D1048" s="168"/>
    </row>
    <row r="1049" spans="4:4">
      <c r="D1049" s="168"/>
    </row>
    <row r="1050" spans="4:4">
      <c r="D1050" s="168"/>
    </row>
    <row r="1051" spans="4:4">
      <c r="D1051" s="168"/>
    </row>
    <row r="1052" spans="4:4">
      <c r="D1052" s="168"/>
    </row>
    <row r="1053" spans="4:4">
      <c r="D1053" s="168"/>
    </row>
    <row r="1054" spans="4:4">
      <c r="D1054" s="168"/>
    </row>
    <row r="1055" spans="4:4">
      <c r="D1055" s="168"/>
    </row>
    <row r="1056" spans="4:4">
      <c r="D1056" s="168"/>
    </row>
    <row r="1057" spans="4:4">
      <c r="D1057" s="168"/>
    </row>
    <row r="1058" spans="4:4">
      <c r="D1058" s="168"/>
    </row>
    <row r="1059" spans="4:4">
      <c r="D1059" s="168"/>
    </row>
    <row r="1060" spans="4:4">
      <c r="D1060" s="168"/>
    </row>
    <row r="1061" spans="4:4">
      <c r="D1061" s="168"/>
    </row>
    <row r="1062" spans="4:4">
      <c r="D1062" s="168"/>
    </row>
    <row r="1063" spans="4:4">
      <c r="D1063" s="168"/>
    </row>
    <row r="1064" spans="4:4">
      <c r="D1064" s="168"/>
    </row>
    <row r="1065" spans="4:4">
      <c r="D1065" s="168"/>
    </row>
    <row r="1066" spans="4:4">
      <c r="D1066" s="168"/>
    </row>
    <row r="1067" spans="4:4">
      <c r="D1067" s="168"/>
    </row>
    <row r="1068" spans="4:4">
      <c r="D1068" s="168"/>
    </row>
    <row r="1069" spans="4:4">
      <c r="D1069" s="168"/>
    </row>
    <row r="1070" spans="4:4">
      <c r="D1070" s="168"/>
    </row>
    <row r="1071" spans="4:4">
      <c r="D1071" s="168"/>
    </row>
    <row r="1072" spans="4:4">
      <c r="D1072" s="168"/>
    </row>
    <row r="1073" spans="4:4">
      <c r="D1073" s="168"/>
    </row>
    <row r="1074" spans="4:4">
      <c r="D1074" s="168"/>
    </row>
    <row r="1075" spans="4:4">
      <c r="D1075" s="168"/>
    </row>
    <row r="1076" spans="4:4">
      <c r="D1076" s="168"/>
    </row>
    <row r="1077" spans="4:4">
      <c r="D1077" s="168"/>
    </row>
    <row r="1078" spans="4:4">
      <c r="D1078" s="168"/>
    </row>
    <row r="1079" spans="4:4">
      <c r="D1079" s="168"/>
    </row>
    <row r="1080" spans="4:4">
      <c r="D1080" s="168"/>
    </row>
    <row r="1081" spans="4:4">
      <c r="D1081" s="168"/>
    </row>
    <row r="1082" spans="4:4">
      <c r="D1082" s="168"/>
    </row>
    <row r="1083" spans="4:4">
      <c r="D1083" s="168"/>
    </row>
    <row r="1084" spans="4:4">
      <c r="D1084" s="168"/>
    </row>
    <row r="1085" spans="4:4">
      <c r="D1085" s="168"/>
    </row>
    <row r="1086" spans="4:4">
      <c r="D1086" s="168"/>
    </row>
    <row r="1087" spans="4:4">
      <c r="D1087" s="168"/>
    </row>
    <row r="1088" spans="4:4">
      <c r="D1088" s="168"/>
    </row>
    <row r="1089" spans="4:4">
      <c r="D1089" s="168"/>
    </row>
    <row r="1090" spans="4:4">
      <c r="D1090" s="168"/>
    </row>
    <row r="1091" spans="4:4">
      <c r="D1091" s="168"/>
    </row>
    <row r="1092" spans="4:4">
      <c r="D1092" s="168"/>
    </row>
    <row r="1093" spans="4:4">
      <c r="D1093" s="168"/>
    </row>
    <row r="1094" spans="4:4">
      <c r="D1094" s="168"/>
    </row>
    <row r="1095" spans="4:4">
      <c r="D1095" s="168"/>
    </row>
    <row r="1096" spans="4:4">
      <c r="D1096" s="168"/>
    </row>
    <row r="1097" spans="4:4">
      <c r="D1097" s="168"/>
    </row>
    <row r="1098" spans="4:4">
      <c r="D1098" s="168"/>
    </row>
    <row r="1099" spans="4:4">
      <c r="D1099" s="168"/>
    </row>
    <row r="1100" spans="4:4">
      <c r="D1100" s="168"/>
    </row>
    <row r="1101" spans="4:4">
      <c r="D1101" s="168"/>
    </row>
    <row r="1102" spans="4:4">
      <c r="D1102" s="168"/>
    </row>
    <row r="1103" spans="4:4">
      <c r="D1103" s="168"/>
    </row>
    <row r="1104" spans="4:4">
      <c r="D1104" s="168"/>
    </row>
    <row r="1105" spans="4:4">
      <c r="D1105" s="168"/>
    </row>
    <row r="1106" spans="4:4">
      <c r="D1106" s="168"/>
    </row>
    <row r="1107" spans="4:4">
      <c r="D1107" s="168"/>
    </row>
    <row r="1108" spans="4:4">
      <c r="D1108" s="168"/>
    </row>
    <row r="1109" spans="4:4">
      <c r="D1109" s="168"/>
    </row>
    <row r="1110" spans="4:4">
      <c r="D1110" s="168"/>
    </row>
    <row r="1111" spans="4:4">
      <c r="D1111" s="168"/>
    </row>
    <row r="1112" spans="4:4">
      <c r="D1112" s="168"/>
    </row>
    <row r="1113" spans="4:4">
      <c r="D1113" s="168"/>
    </row>
    <row r="1114" spans="4:4">
      <c r="D1114" s="168"/>
    </row>
    <row r="1115" spans="4:4">
      <c r="D1115" s="168"/>
    </row>
    <row r="1116" spans="4:4">
      <c r="D1116" s="168"/>
    </row>
    <row r="1117" spans="4:4">
      <c r="D1117" s="168"/>
    </row>
    <row r="1118" spans="4:4">
      <c r="D1118" s="168"/>
    </row>
    <row r="1119" spans="4:4">
      <c r="D1119" s="168"/>
    </row>
    <row r="1120" spans="4:4">
      <c r="D1120" s="168"/>
    </row>
    <row r="1121" spans="4:4">
      <c r="D1121" s="168"/>
    </row>
    <row r="1122" spans="4:4">
      <c r="D1122" s="168"/>
    </row>
    <row r="1123" spans="4:4">
      <c r="D1123" s="168"/>
    </row>
    <row r="1124" spans="4:4">
      <c r="D1124" s="168"/>
    </row>
    <row r="1125" spans="4:4">
      <c r="D1125" s="168"/>
    </row>
    <row r="1126" spans="4:4">
      <c r="D1126" s="168"/>
    </row>
    <row r="1127" spans="4:4">
      <c r="D1127" s="168"/>
    </row>
    <row r="1128" spans="4:4">
      <c r="D1128" s="168"/>
    </row>
    <row r="1129" spans="4:4">
      <c r="D1129" s="168"/>
    </row>
    <row r="1130" spans="4:4">
      <c r="D1130" s="168"/>
    </row>
    <row r="1131" spans="4:4">
      <c r="D1131" s="168"/>
    </row>
    <row r="1132" spans="4:4">
      <c r="D1132" s="168"/>
    </row>
    <row r="1133" spans="4:4">
      <c r="D1133" s="168"/>
    </row>
    <row r="1134" spans="4:4">
      <c r="D1134" s="168"/>
    </row>
    <row r="1135" spans="4:4">
      <c r="D1135" s="168"/>
    </row>
    <row r="1136" spans="4:4">
      <c r="D1136" s="168"/>
    </row>
    <row r="1137" spans="4:4">
      <c r="D1137" s="168"/>
    </row>
    <row r="1138" spans="4:4">
      <c r="D1138" s="168"/>
    </row>
    <row r="1139" spans="4:4">
      <c r="D1139" s="168"/>
    </row>
    <row r="1140" spans="4:4">
      <c r="D1140" s="168"/>
    </row>
    <row r="1141" spans="4:4">
      <c r="D1141" s="168"/>
    </row>
    <row r="1142" spans="4:4">
      <c r="D1142" s="168"/>
    </row>
    <row r="1143" spans="4:4">
      <c r="D1143" s="168"/>
    </row>
    <row r="1144" spans="4:4">
      <c r="D1144" s="168"/>
    </row>
    <row r="1145" spans="4:4">
      <c r="D1145" s="168"/>
    </row>
    <row r="1146" spans="4:4">
      <c r="D1146" s="168"/>
    </row>
    <row r="1147" spans="4:4">
      <c r="D1147" s="168"/>
    </row>
    <row r="1148" spans="4:4">
      <c r="D1148" s="168"/>
    </row>
    <row r="1149" spans="4:4">
      <c r="D1149" s="168"/>
    </row>
    <row r="1150" spans="4:4">
      <c r="D1150" s="168"/>
    </row>
    <row r="1151" spans="4:4">
      <c r="D1151" s="168"/>
    </row>
    <row r="1152" spans="4:4">
      <c r="D1152" s="168"/>
    </row>
    <row r="1153" spans="4:4">
      <c r="D1153" s="168"/>
    </row>
    <row r="1154" spans="4:4">
      <c r="D1154" s="168"/>
    </row>
    <row r="1155" spans="4:4">
      <c r="D1155" s="168"/>
    </row>
    <row r="1156" spans="4:4">
      <c r="D1156" s="168"/>
    </row>
    <row r="1157" spans="4:4">
      <c r="D1157" s="168"/>
    </row>
    <row r="1158" spans="4:4">
      <c r="D1158" s="168"/>
    </row>
    <row r="1159" spans="4:4">
      <c r="D1159" s="168"/>
    </row>
    <row r="1160" spans="4:4">
      <c r="D1160" s="168"/>
    </row>
    <row r="1161" spans="4:4">
      <c r="D1161" s="168"/>
    </row>
    <row r="1162" spans="4:4">
      <c r="D1162" s="168"/>
    </row>
    <row r="1163" spans="4:4">
      <c r="D1163" s="168"/>
    </row>
    <row r="1164" spans="4:4">
      <c r="D1164" s="168"/>
    </row>
    <row r="1165" spans="4:4">
      <c r="D1165" s="168"/>
    </row>
    <row r="1166" spans="4:4">
      <c r="D1166" s="168"/>
    </row>
    <row r="1167" spans="4:4">
      <c r="D1167" s="168"/>
    </row>
    <row r="1168" spans="4:4">
      <c r="D1168" s="168"/>
    </row>
    <row r="1169" spans="4:4">
      <c r="D1169" s="168"/>
    </row>
    <row r="1170" spans="4:4">
      <c r="D1170" s="168"/>
    </row>
    <row r="1171" spans="4:4">
      <c r="D1171" s="168"/>
    </row>
    <row r="1172" spans="4:4">
      <c r="D1172" s="168"/>
    </row>
    <row r="1173" spans="4:4">
      <c r="D1173" s="168"/>
    </row>
    <row r="1174" spans="4:4">
      <c r="D1174" s="168"/>
    </row>
    <row r="1175" spans="4:4">
      <c r="D1175" s="168"/>
    </row>
    <row r="1176" spans="4:4">
      <c r="D1176" s="168"/>
    </row>
    <row r="1177" spans="4:4">
      <c r="D1177" s="168"/>
    </row>
    <row r="1178" spans="4:4">
      <c r="D1178" s="168"/>
    </row>
    <row r="1179" spans="4:4">
      <c r="D1179" s="168"/>
    </row>
    <row r="1180" spans="4:4">
      <c r="D1180" s="168"/>
    </row>
    <row r="1181" spans="4:4">
      <c r="D1181" s="168"/>
    </row>
    <row r="1182" spans="4:4">
      <c r="D1182" s="168"/>
    </row>
    <row r="1183" spans="4:4">
      <c r="D1183" s="168"/>
    </row>
    <row r="1184" spans="4:4">
      <c r="D1184" s="168"/>
    </row>
    <row r="1185" spans="4:4">
      <c r="D1185" s="168"/>
    </row>
    <row r="1186" spans="4:4">
      <c r="D1186" s="168"/>
    </row>
    <row r="1187" spans="4:4">
      <c r="D1187" s="168"/>
    </row>
    <row r="1188" spans="4:4">
      <c r="D1188" s="168"/>
    </row>
    <row r="1189" spans="4:4">
      <c r="D1189" s="168"/>
    </row>
    <row r="1190" spans="4:4">
      <c r="D1190" s="168"/>
    </row>
    <row r="1191" spans="4:4">
      <c r="D1191" s="168"/>
    </row>
    <row r="1192" spans="4:4">
      <c r="D1192" s="168"/>
    </row>
    <row r="1193" spans="4:4">
      <c r="D1193" s="168"/>
    </row>
    <row r="1194" spans="4:4">
      <c r="D1194" s="168"/>
    </row>
    <row r="1195" spans="4:4">
      <c r="D1195" s="168"/>
    </row>
    <row r="1196" spans="4:4">
      <c r="D1196" s="168"/>
    </row>
    <row r="1197" spans="4:4">
      <c r="D1197" s="168"/>
    </row>
    <row r="1198" spans="4:4">
      <c r="D1198" s="168"/>
    </row>
    <row r="1199" spans="4:4">
      <c r="D1199" s="168"/>
    </row>
    <row r="1200" spans="4:4">
      <c r="D1200" s="168"/>
    </row>
    <row r="1201" spans="4:4">
      <c r="D1201" s="168"/>
    </row>
    <row r="1202" spans="4:4">
      <c r="D1202" s="168"/>
    </row>
    <row r="1203" spans="4:4">
      <c r="D1203" s="168"/>
    </row>
    <row r="1204" spans="4:4">
      <c r="D1204" s="168"/>
    </row>
    <row r="1205" spans="4:4">
      <c r="D1205" s="168"/>
    </row>
    <row r="1206" spans="4:4">
      <c r="D1206" s="168"/>
    </row>
    <row r="1207" spans="4:4">
      <c r="D1207" s="168"/>
    </row>
    <row r="1208" spans="4:4">
      <c r="D1208" s="168"/>
    </row>
    <row r="1209" spans="4:4">
      <c r="D1209" s="168"/>
    </row>
    <row r="1210" spans="4:4">
      <c r="D1210" s="168"/>
    </row>
    <row r="1211" spans="4:4">
      <c r="D1211" s="168"/>
    </row>
    <row r="1212" spans="4:4">
      <c r="D1212" s="168"/>
    </row>
    <row r="1213" spans="4:4">
      <c r="D1213" s="168"/>
    </row>
    <row r="1214" spans="4:4">
      <c r="D1214" s="168"/>
    </row>
    <row r="1215" spans="4:4">
      <c r="D1215" s="168"/>
    </row>
    <row r="1216" spans="4:4">
      <c r="D1216" s="168"/>
    </row>
    <row r="1217" spans="4:4">
      <c r="D1217" s="168"/>
    </row>
    <row r="1218" spans="4:4">
      <c r="D1218" s="168"/>
    </row>
    <row r="1219" spans="4:4">
      <c r="D1219" s="168"/>
    </row>
    <row r="1220" spans="4:4">
      <c r="D1220" s="168"/>
    </row>
    <row r="1221" spans="4:4">
      <c r="D1221" s="168"/>
    </row>
    <row r="1222" spans="4:4">
      <c r="D1222" s="168"/>
    </row>
    <row r="1223" spans="4:4">
      <c r="D1223" s="168"/>
    </row>
    <row r="1224" spans="4:4">
      <c r="D1224" s="168"/>
    </row>
    <row r="1225" spans="4:4">
      <c r="D1225" s="168"/>
    </row>
    <row r="1226" spans="4:4">
      <c r="D1226" s="168"/>
    </row>
    <row r="1227" spans="4:4">
      <c r="D1227" s="168"/>
    </row>
    <row r="1228" spans="4:4">
      <c r="D1228" s="168"/>
    </row>
    <row r="1229" spans="4:4">
      <c r="D1229" s="168"/>
    </row>
    <row r="1230" spans="4:4">
      <c r="D1230" s="168"/>
    </row>
    <row r="1231" spans="4:4">
      <c r="D1231" s="168"/>
    </row>
    <row r="1232" spans="4:4">
      <c r="D1232" s="168"/>
    </row>
    <row r="1233" spans="4:4">
      <c r="D1233" s="168"/>
    </row>
    <row r="1234" spans="4:4">
      <c r="D1234" s="168"/>
    </row>
    <row r="1235" spans="4:4">
      <c r="D1235" s="168"/>
    </row>
    <row r="1236" spans="4:4">
      <c r="D1236" s="168"/>
    </row>
    <row r="1237" spans="4:4">
      <c r="D1237" s="168"/>
    </row>
    <row r="1238" spans="4:4">
      <c r="D1238" s="168"/>
    </row>
    <row r="1239" spans="4:4">
      <c r="D1239" s="168"/>
    </row>
    <row r="1240" spans="4:4">
      <c r="D1240" s="168"/>
    </row>
    <row r="1241" spans="4:4">
      <c r="D1241" s="168"/>
    </row>
    <row r="1242" spans="4:4">
      <c r="D1242" s="168"/>
    </row>
    <row r="1243" spans="4:4">
      <c r="D1243" s="168"/>
    </row>
    <row r="1244" spans="4:4">
      <c r="D1244" s="168"/>
    </row>
    <row r="1245" spans="4:4">
      <c r="D1245" s="168"/>
    </row>
    <row r="1246" spans="4:4">
      <c r="D1246" s="168"/>
    </row>
    <row r="1247" spans="4:4">
      <c r="D1247" s="168"/>
    </row>
    <row r="1248" spans="4:4">
      <c r="D1248" s="168"/>
    </row>
    <row r="1249" spans="4:4">
      <c r="D1249" s="168"/>
    </row>
    <row r="1250" spans="4:4">
      <c r="D1250" s="168"/>
    </row>
    <row r="1251" spans="4:4">
      <c r="D1251" s="168"/>
    </row>
    <row r="1252" spans="4:4">
      <c r="D1252" s="168"/>
    </row>
    <row r="1253" spans="4:4">
      <c r="D1253" s="168"/>
    </row>
    <row r="1254" spans="4:4">
      <c r="D1254" s="168"/>
    </row>
    <row r="1255" spans="4:4">
      <c r="D1255" s="168"/>
    </row>
    <row r="1256" spans="4:4">
      <c r="D1256" s="168"/>
    </row>
    <row r="1257" spans="4:4">
      <c r="D1257" s="168"/>
    </row>
    <row r="1258" spans="4:4">
      <c r="D1258" s="168"/>
    </row>
    <row r="1259" spans="4:4">
      <c r="D1259" s="168"/>
    </row>
    <row r="1260" spans="4:4">
      <c r="D1260" s="168"/>
    </row>
    <row r="1261" spans="4:4">
      <c r="D1261" s="168"/>
    </row>
    <row r="1262" spans="4:4">
      <c r="D1262" s="168"/>
    </row>
    <row r="1263" spans="4:4">
      <c r="D1263" s="168"/>
    </row>
    <row r="1264" spans="4:4">
      <c r="D1264" s="168"/>
    </row>
    <row r="1265" spans="4:4">
      <c r="D1265" s="168"/>
    </row>
    <row r="1266" spans="4:4">
      <c r="D1266" s="168"/>
    </row>
    <row r="1267" spans="4:4">
      <c r="D1267" s="168"/>
    </row>
    <row r="1268" spans="4:4">
      <c r="D1268" s="168"/>
    </row>
    <row r="1269" spans="4:4">
      <c r="D1269" s="168"/>
    </row>
    <row r="1270" spans="4:4">
      <c r="D1270" s="168"/>
    </row>
    <row r="1271" spans="4:4">
      <c r="D1271" s="168"/>
    </row>
    <row r="1272" spans="4:4">
      <c r="D1272" s="168"/>
    </row>
    <row r="1273" spans="4:4">
      <c r="D1273" s="168"/>
    </row>
    <row r="1274" spans="4:4">
      <c r="D1274" s="168"/>
    </row>
    <row r="1275" spans="4:4">
      <c r="D1275" s="168"/>
    </row>
    <row r="1276" spans="4:4">
      <c r="D1276" s="168"/>
    </row>
    <row r="1277" spans="4:4">
      <c r="D1277" s="168"/>
    </row>
    <row r="1278" spans="4:4">
      <c r="D1278" s="168"/>
    </row>
    <row r="1279" spans="4:4">
      <c r="D1279" s="168"/>
    </row>
    <row r="1280" spans="4:4">
      <c r="D1280" s="168"/>
    </row>
    <row r="1281" spans="4:4">
      <c r="D1281" s="168"/>
    </row>
    <row r="1282" spans="4:4">
      <c r="D1282" s="168"/>
    </row>
    <row r="1283" spans="4:4">
      <c r="D1283" s="168"/>
    </row>
    <row r="1284" spans="4:4">
      <c r="D1284" s="168"/>
    </row>
    <row r="1285" spans="4:4">
      <c r="D1285" s="168"/>
    </row>
    <row r="1286" spans="4:4">
      <c r="D1286" s="168"/>
    </row>
    <row r="1287" spans="4:4">
      <c r="D1287" s="168"/>
    </row>
    <row r="1288" spans="4:4">
      <c r="D1288" s="168"/>
    </row>
    <row r="1289" spans="4:4">
      <c r="D1289" s="168"/>
    </row>
    <row r="1290" spans="4:4">
      <c r="D1290" s="168"/>
    </row>
    <row r="1291" spans="4:4">
      <c r="D1291" s="168"/>
    </row>
    <row r="1292" spans="4:4">
      <c r="D1292" s="168"/>
    </row>
    <row r="1293" spans="4:4">
      <c r="D1293" s="168"/>
    </row>
    <row r="1294" spans="4:4">
      <c r="D1294" s="168"/>
    </row>
    <row r="1295" spans="4:4">
      <c r="D1295" s="168"/>
    </row>
    <row r="1296" spans="4:4">
      <c r="D1296" s="168"/>
    </row>
    <row r="1297" spans="4:4">
      <c r="D1297" s="168"/>
    </row>
    <row r="1298" spans="4:4">
      <c r="D1298" s="168"/>
    </row>
    <row r="1299" spans="4:4">
      <c r="D1299" s="168"/>
    </row>
    <row r="1300" spans="4:4">
      <c r="D1300" s="168"/>
    </row>
    <row r="1301" spans="4:4">
      <c r="D1301" s="168"/>
    </row>
    <row r="1302" spans="4:4">
      <c r="D1302" s="168"/>
    </row>
    <row r="1303" spans="4:4">
      <c r="D1303" s="168"/>
    </row>
    <row r="1304" spans="4:4">
      <c r="D1304" s="168"/>
    </row>
    <row r="1305" spans="4:4">
      <c r="D1305" s="168"/>
    </row>
    <row r="1306" spans="4:4">
      <c r="D1306" s="168"/>
    </row>
    <row r="1307" spans="4:4">
      <c r="D1307" s="168"/>
    </row>
    <row r="1308" spans="4:4">
      <c r="D1308" s="168"/>
    </row>
    <row r="1309" spans="4:4">
      <c r="D1309" s="168"/>
    </row>
    <row r="1310" spans="4:4">
      <c r="D1310" s="168"/>
    </row>
    <row r="1311" spans="4:4">
      <c r="D1311" s="168"/>
    </row>
    <row r="1312" spans="4:4">
      <c r="D1312" s="168"/>
    </row>
    <row r="1313" spans="4:4">
      <c r="D1313" s="168"/>
    </row>
    <row r="1314" spans="4:4">
      <c r="D1314" s="168"/>
    </row>
    <row r="1315" spans="4:4">
      <c r="D1315" s="168"/>
    </row>
    <row r="1316" spans="4:4">
      <c r="D1316" s="168"/>
    </row>
    <row r="1317" spans="4:4">
      <c r="D1317" s="168"/>
    </row>
    <row r="1318" spans="4:4">
      <c r="D1318" s="168"/>
    </row>
    <row r="1319" spans="4:4">
      <c r="D1319" s="168"/>
    </row>
    <row r="1320" spans="4:4">
      <c r="D1320" s="168"/>
    </row>
    <row r="1321" spans="4:4">
      <c r="D1321" s="168"/>
    </row>
    <row r="1322" spans="4:4">
      <c r="D1322" s="168"/>
    </row>
    <row r="1323" spans="4:4">
      <c r="D1323" s="168"/>
    </row>
    <row r="1324" spans="4:4">
      <c r="D1324" s="168"/>
    </row>
    <row r="1325" spans="4:4">
      <c r="D1325" s="168"/>
    </row>
    <row r="1326" spans="4:4">
      <c r="D1326" s="168"/>
    </row>
    <row r="1327" spans="4:4">
      <c r="D1327" s="168"/>
    </row>
    <row r="1328" spans="4:4">
      <c r="D1328" s="168"/>
    </row>
    <row r="1329" spans="4:4">
      <c r="D1329" s="168"/>
    </row>
    <row r="1330" spans="4:4">
      <c r="D1330" s="168"/>
    </row>
    <row r="1331" spans="4:4">
      <c r="D1331" s="168"/>
    </row>
    <row r="1332" spans="4:4">
      <c r="D1332" s="168"/>
    </row>
    <row r="1333" spans="4:4">
      <c r="D1333" s="168"/>
    </row>
    <row r="1334" spans="4:4">
      <c r="D1334" s="168"/>
    </row>
    <row r="1335" spans="4:4">
      <c r="D1335" s="168"/>
    </row>
    <row r="1336" spans="4:4">
      <c r="D1336" s="168"/>
    </row>
    <row r="1337" spans="4:4">
      <c r="D1337" s="168"/>
    </row>
    <row r="1338" spans="4:4">
      <c r="D1338" s="168"/>
    </row>
    <row r="1339" spans="4:4">
      <c r="D1339" s="168"/>
    </row>
    <row r="1340" spans="4:4">
      <c r="D1340" s="168"/>
    </row>
    <row r="1341" spans="4:4">
      <c r="D1341" s="168"/>
    </row>
    <row r="1342" spans="4:4">
      <c r="D1342" s="168"/>
    </row>
    <row r="1343" spans="4:4">
      <c r="D1343" s="168"/>
    </row>
    <row r="1344" spans="4:4">
      <c r="D1344" s="168"/>
    </row>
    <row r="1345" spans="4:4">
      <c r="D1345" s="168"/>
    </row>
    <row r="1346" spans="4:4">
      <c r="D1346" s="168"/>
    </row>
    <row r="1347" spans="4:4">
      <c r="D1347" s="168"/>
    </row>
    <row r="1348" spans="4:4">
      <c r="D1348" s="168"/>
    </row>
    <row r="1349" spans="4:4">
      <c r="D1349" s="168"/>
    </row>
    <row r="1350" spans="4:4">
      <c r="D1350" s="168"/>
    </row>
    <row r="1351" spans="4:4">
      <c r="D1351" s="168"/>
    </row>
    <row r="1352" spans="4:4">
      <c r="D1352" s="168"/>
    </row>
    <row r="1353" spans="4:4">
      <c r="D1353" s="168"/>
    </row>
    <row r="1354" spans="4:4">
      <c r="D1354" s="168"/>
    </row>
    <row r="1355" spans="4:4">
      <c r="D1355" s="168"/>
    </row>
    <row r="1356" spans="4:4">
      <c r="D1356" s="168"/>
    </row>
    <row r="1357" spans="4:4">
      <c r="D1357" s="168"/>
    </row>
    <row r="1358" spans="4:4">
      <c r="D1358" s="168"/>
    </row>
    <row r="1359" spans="4:4">
      <c r="D1359" s="168"/>
    </row>
    <row r="1360" spans="4:4">
      <c r="D1360" s="168"/>
    </row>
    <row r="1361" spans="4:4">
      <c r="D1361" s="168"/>
    </row>
    <row r="1362" spans="4:4">
      <c r="D1362" s="168"/>
    </row>
    <row r="1363" spans="4:4">
      <c r="D1363" s="168"/>
    </row>
    <row r="1364" spans="4:4">
      <c r="D1364" s="168"/>
    </row>
    <row r="1365" spans="4:4">
      <c r="D1365" s="168"/>
    </row>
    <row r="1366" spans="4:4">
      <c r="D1366" s="168"/>
    </row>
    <row r="1367" spans="4:4">
      <c r="D1367" s="168"/>
    </row>
    <row r="1368" spans="4:4">
      <c r="D1368" s="168"/>
    </row>
    <row r="1369" spans="4:4">
      <c r="D1369" s="168"/>
    </row>
    <row r="1370" spans="4:4">
      <c r="D1370" s="168"/>
    </row>
    <row r="1371" spans="4:4">
      <c r="D1371" s="168"/>
    </row>
    <row r="1372" spans="4:4">
      <c r="D1372" s="168"/>
    </row>
    <row r="1373" spans="4:4">
      <c r="D1373" s="168"/>
    </row>
    <row r="1374" spans="4:4">
      <c r="D1374" s="168"/>
    </row>
    <row r="1375" spans="4:4">
      <c r="D1375" s="168"/>
    </row>
    <row r="1376" spans="4:4">
      <c r="D1376" s="168"/>
    </row>
    <row r="1377" spans="4:4">
      <c r="D1377" s="168"/>
    </row>
    <row r="1378" spans="4:4">
      <c r="D1378" s="168"/>
    </row>
    <row r="1379" spans="4:4">
      <c r="D1379" s="168"/>
    </row>
    <row r="1380" spans="4:4">
      <c r="D1380" s="168"/>
    </row>
    <row r="1381" spans="4:4">
      <c r="D1381" s="168"/>
    </row>
    <row r="1382" spans="4:4">
      <c r="D1382" s="168"/>
    </row>
    <row r="1383" spans="4:4">
      <c r="D1383" s="168"/>
    </row>
    <row r="1384" spans="4:4">
      <c r="D1384" s="168"/>
    </row>
    <row r="1385" spans="4:4">
      <c r="D1385" s="168"/>
    </row>
    <row r="1386" spans="4:4">
      <c r="D1386" s="168"/>
    </row>
    <row r="1387" spans="4:4">
      <c r="D1387" s="168"/>
    </row>
    <row r="1388" spans="4:4">
      <c r="D1388" s="168"/>
    </row>
    <row r="1389" spans="4:4">
      <c r="D1389" s="168"/>
    </row>
    <row r="1390" spans="4:4">
      <c r="D1390" s="168"/>
    </row>
    <row r="1391" spans="4:4">
      <c r="D1391" s="168"/>
    </row>
    <row r="1392" spans="4:4">
      <c r="D1392" s="168"/>
    </row>
    <row r="1393" spans="4:4">
      <c r="D1393" s="168"/>
    </row>
    <row r="1394" spans="4:4">
      <c r="D1394" s="168"/>
    </row>
    <row r="1395" spans="4:4">
      <c r="D1395" s="168"/>
    </row>
    <row r="1396" spans="4:4">
      <c r="D1396" s="168"/>
    </row>
    <row r="1397" spans="4:4">
      <c r="D1397" s="168"/>
    </row>
    <row r="1398" spans="4:4">
      <c r="D1398" s="168"/>
    </row>
    <row r="1399" spans="4:4">
      <c r="D1399" s="168"/>
    </row>
    <row r="1400" spans="4:4">
      <c r="D1400" s="168"/>
    </row>
    <row r="1401" spans="4:4">
      <c r="D1401" s="168"/>
    </row>
    <row r="1402" spans="4:4">
      <c r="D1402" s="168"/>
    </row>
    <row r="1403" spans="4:4">
      <c r="D1403" s="168"/>
    </row>
    <row r="1404" spans="4:4">
      <c r="D1404" s="168"/>
    </row>
    <row r="1405" spans="4:4">
      <c r="D1405" s="168"/>
    </row>
    <row r="1406" spans="4:4">
      <c r="D1406" s="168"/>
    </row>
    <row r="1407" spans="4:4">
      <c r="D1407" s="168"/>
    </row>
    <row r="1408" spans="4:4">
      <c r="D1408" s="168"/>
    </row>
    <row r="1409" spans="4:4">
      <c r="D1409" s="168"/>
    </row>
    <row r="1410" spans="4:4">
      <c r="D1410" s="168"/>
    </row>
    <row r="1411" spans="4:4">
      <c r="D1411" s="168"/>
    </row>
    <row r="1412" spans="4:4">
      <c r="D1412" s="168"/>
    </row>
    <row r="1413" spans="4:4">
      <c r="D1413" s="168"/>
    </row>
    <row r="1414" spans="4:4">
      <c r="D1414" s="168"/>
    </row>
    <row r="1415" spans="4:4">
      <c r="D1415" s="168"/>
    </row>
    <row r="1416" spans="4:4">
      <c r="D1416" s="168"/>
    </row>
    <row r="1417" spans="4:4">
      <c r="D1417" s="168"/>
    </row>
    <row r="1418" spans="4:4">
      <c r="D1418" s="168"/>
    </row>
    <row r="1419" spans="4:4">
      <c r="D1419" s="168"/>
    </row>
    <row r="1420" spans="4:4">
      <c r="D1420" s="168"/>
    </row>
    <row r="1421" spans="4:4">
      <c r="D1421" s="168"/>
    </row>
    <row r="1422" spans="4:4">
      <c r="D1422" s="168"/>
    </row>
    <row r="1423" spans="4:4">
      <c r="D1423" s="168"/>
    </row>
    <row r="1424" spans="4:4">
      <c r="D1424" s="168"/>
    </row>
    <row r="1425" spans="4:4">
      <c r="D1425" s="168"/>
    </row>
    <row r="1426" spans="4:4">
      <c r="D1426" s="168"/>
    </row>
    <row r="1427" spans="4:4">
      <c r="D1427" s="168"/>
    </row>
    <row r="1428" spans="4:4">
      <c r="D1428" s="168"/>
    </row>
    <row r="1429" spans="4:4">
      <c r="D1429" s="168"/>
    </row>
    <row r="1430" spans="4:4">
      <c r="D1430" s="168"/>
    </row>
    <row r="1431" spans="4:4">
      <c r="D1431" s="168"/>
    </row>
    <row r="1432" spans="4:4">
      <c r="D1432" s="168"/>
    </row>
    <row r="1433" spans="4:4">
      <c r="D1433" s="168"/>
    </row>
    <row r="1434" spans="4:4">
      <c r="D1434" s="168"/>
    </row>
    <row r="1435" spans="4:4">
      <c r="D1435" s="168"/>
    </row>
    <row r="1436" spans="4:4">
      <c r="D1436" s="168"/>
    </row>
    <row r="1437" spans="4:4">
      <c r="D1437" s="168"/>
    </row>
    <row r="1438" spans="4:4">
      <c r="D1438" s="168"/>
    </row>
    <row r="1439" spans="4:4">
      <c r="D1439" s="168"/>
    </row>
    <row r="1440" spans="4:4">
      <c r="D1440" s="168"/>
    </row>
    <row r="1441" spans="4:4">
      <c r="D1441" s="168"/>
    </row>
    <row r="1442" spans="4:4">
      <c r="D1442" s="168"/>
    </row>
    <row r="1443" spans="4:4">
      <c r="D1443" s="168"/>
    </row>
    <row r="1444" spans="4:4">
      <c r="D1444" s="168"/>
    </row>
    <row r="1445" spans="4:4">
      <c r="D1445" s="168"/>
    </row>
    <row r="1446" spans="4:4">
      <c r="D1446" s="168"/>
    </row>
    <row r="1447" spans="4:4">
      <c r="D1447" s="168"/>
    </row>
    <row r="1448" spans="4:4">
      <c r="D1448" s="168"/>
    </row>
    <row r="1449" spans="4:4">
      <c r="D1449" s="168"/>
    </row>
    <row r="1450" spans="4:4">
      <c r="D1450" s="168"/>
    </row>
    <row r="1451" spans="4:4">
      <c r="D1451" s="168"/>
    </row>
    <row r="1452" spans="4:4">
      <c r="D1452" s="168"/>
    </row>
    <row r="1453" spans="4:4">
      <c r="D1453" s="168"/>
    </row>
    <row r="1454" spans="4:4">
      <c r="D1454" s="168"/>
    </row>
    <row r="1455" spans="4:4">
      <c r="D1455" s="168"/>
    </row>
    <row r="1456" spans="4:4">
      <c r="D1456" s="168"/>
    </row>
    <row r="1457" spans="4:4">
      <c r="D1457" s="168"/>
    </row>
    <row r="1458" spans="4:4">
      <c r="D1458" s="168"/>
    </row>
    <row r="1459" spans="4:4">
      <c r="D1459" s="168"/>
    </row>
    <row r="1460" spans="4:4">
      <c r="D1460" s="168"/>
    </row>
    <row r="1461" spans="4:4">
      <c r="D1461" s="168"/>
    </row>
    <row r="1462" spans="4:4">
      <c r="D1462" s="168"/>
    </row>
    <row r="1463" spans="4:4">
      <c r="D1463" s="168"/>
    </row>
    <row r="1464" spans="4:4">
      <c r="D1464" s="168"/>
    </row>
    <row r="1465" spans="4:4">
      <c r="D1465" s="168"/>
    </row>
    <row r="1466" spans="4:4">
      <c r="D1466" s="168"/>
    </row>
    <row r="1467" spans="4:4">
      <c r="D1467" s="168"/>
    </row>
    <row r="1468" spans="4:4">
      <c r="D1468" s="168"/>
    </row>
    <row r="1469" spans="4:4">
      <c r="D1469" s="168"/>
    </row>
    <row r="1470" spans="4:4">
      <c r="D1470" s="168"/>
    </row>
    <row r="1471" spans="4:4">
      <c r="D1471" s="168"/>
    </row>
    <row r="1472" spans="4:4">
      <c r="D1472" s="168"/>
    </row>
    <row r="1473" spans="4:4">
      <c r="D1473" s="168"/>
    </row>
    <row r="1474" spans="4:4">
      <c r="D1474" s="168"/>
    </row>
    <row r="1475" spans="4:4">
      <c r="D1475" s="168"/>
    </row>
    <row r="1476" spans="4:4">
      <c r="D1476" s="168"/>
    </row>
    <row r="1477" spans="4:4">
      <c r="D1477" s="168"/>
    </row>
    <row r="1478" spans="4:4">
      <c r="D1478" s="168"/>
    </row>
    <row r="1479" spans="4:4">
      <c r="D1479" s="168"/>
    </row>
    <row r="1480" spans="4:4">
      <c r="D1480" s="168"/>
    </row>
    <row r="1481" spans="4:4">
      <c r="D1481" s="168"/>
    </row>
    <row r="1482" spans="4:4">
      <c r="D1482" s="168"/>
    </row>
    <row r="1483" spans="4:4">
      <c r="D1483" s="168"/>
    </row>
    <row r="1484" spans="4:4">
      <c r="D1484" s="168"/>
    </row>
    <row r="1485" spans="4:4">
      <c r="D1485" s="168"/>
    </row>
    <row r="1486" spans="4:4">
      <c r="D1486" s="168"/>
    </row>
    <row r="1487" spans="4:4">
      <c r="D1487" s="168"/>
    </row>
    <row r="1488" spans="4:4">
      <c r="D1488" s="168"/>
    </row>
    <row r="1489" spans="4:4">
      <c r="D1489" s="168"/>
    </row>
    <row r="1490" spans="4:4">
      <c r="D1490" s="168"/>
    </row>
    <row r="1491" spans="4:4">
      <c r="D1491" s="168"/>
    </row>
    <row r="1492" spans="4:4">
      <c r="D1492" s="168"/>
    </row>
    <row r="1493" spans="4:4">
      <c r="D1493" s="168"/>
    </row>
    <row r="1494" spans="4:4">
      <c r="D1494" s="168"/>
    </row>
    <row r="1495" spans="4:4">
      <c r="D1495" s="168"/>
    </row>
    <row r="1496" spans="4:4">
      <c r="D1496" s="168"/>
    </row>
    <row r="1497" spans="4:4">
      <c r="D1497" s="168"/>
    </row>
    <row r="1498" spans="4:4">
      <c r="D1498" s="168"/>
    </row>
    <row r="1499" spans="4:4">
      <c r="D1499" s="168"/>
    </row>
    <row r="1500" spans="4:4">
      <c r="D1500" s="168"/>
    </row>
    <row r="1501" spans="4:4">
      <c r="D1501" s="168"/>
    </row>
    <row r="1502" spans="4:4">
      <c r="D1502" s="168"/>
    </row>
    <row r="1503" spans="4:4">
      <c r="D1503" s="168"/>
    </row>
    <row r="1504" spans="4:4">
      <c r="D1504" s="168"/>
    </row>
    <row r="1505" spans="4:4">
      <c r="D1505" s="168"/>
    </row>
    <row r="1506" spans="4:4">
      <c r="D1506" s="168"/>
    </row>
    <row r="1507" spans="4:4">
      <c r="D1507" s="168"/>
    </row>
    <row r="1508" spans="4:4">
      <c r="D1508" s="168"/>
    </row>
    <row r="1509" spans="4:4">
      <c r="D1509" s="168"/>
    </row>
    <row r="1510" spans="4:4">
      <c r="D1510" s="168"/>
    </row>
    <row r="1511" spans="4:4">
      <c r="D1511" s="168"/>
    </row>
    <row r="1512" spans="4:4">
      <c r="D1512" s="168"/>
    </row>
    <row r="1513" spans="4:4">
      <c r="D1513" s="168"/>
    </row>
    <row r="1514" spans="4:4">
      <c r="D1514" s="168"/>
    </row>
    <row r="1515" spans="4:4">
      <c r="D1515" s="168"/>
    </row>
    <row r="1516" spans="4:4">
      <c r="D1516" s="168"/>
    </row>
    <row r="1517" spans="4:4">
      <c r="D1517" s="168"/>
    </row>
    <row r="1518" spans="4:4">
      <c r="D1518" s="168"/>
    </row>
    <row r="1519" spans="4:4">
      <c r="D1519" s="168"/>
    </row>
    <row r="1520" spans="4:4">
      <c r="D1520" s="168"/>
    </row>
    <row r="1521" spans="4:4">
      <c r="D1521" s="168"/>
    </row>
    <row r="1522" spans="4:4">
      <c r="D1522" s="168"/>
    </row>
    <row r="1523" spans="4:4">
      <c r="D1523" s="168"/>
    </row>
    <row r="1524" spans="4:4">
      <c r="D1524" s="168"/>
    </row>
    <row r="1525" spans="4:4">
      <c r="D1525" s="168"/>
    </row>
    <row r="1526" spans="4:4">
      <c r="D1526" s="168"/>
    </row>
    <row r="1527" spans="4:4">
      <c r="D1527" s="168"/>
    </row>
    <row r="1528" spans="4:4">
      <c r="D1528" s="168"/>
    </row>
    <row r="1529" spans="4:4">
      <c r="D1529" s="168"/>
    </row>
    <row r="1530" spans="4:4">
      <c r="D1530" s="168"/>
    </row>
    <row r="1531" spans="4:4">
      <c r="D1531" s="168"/>
    </row>
    <row r="1532" spans="4:4">
      <c r="D1532" s="168"/>
    </row>
    <row r="1533" spans="4:4">
      <c r="D1533" s="168"/>
    </row>
    <row r="1534" spans="4:4">
      <c r="D1534" s="168"/>
    </row>
    <row r="1535" spans="4:4">
      <c r="D1535" s="168"/>
    </row>
    <row r="1536" spans="4:4">
      <c r="D1536" s="168"/>
    </row>
    <row r="1537" spans="4:4">
      <c r="D1537" s="168"/>
    </row>
    <row r="1538" spans="4:4">
      <c r="D1538" s="168"/>
    </row>
    <row r="1539" spans="4:4">
      <c r="D1539" s="168"/>
    </row>
    <row r="1540" spans="4:4">
      <c r="D1540" s="168"/>
    </row>
    <row r="1541" spans="4:4">
      <c r="D1541" s="168"/>
    </row>
    <row r="1542" spans="4:4">
      <c r="D1542" s="168"/>
    </row>
    <row r="1543" spans="4:4">
      <c r="D1543" s="168"/>
    </row>
    <row r="1544" spans="4:4">
      <c r="D1544" s="168"/>
    </row>
    <row r="1545" spans="4:4">
      <c r="D1545" s="168"/>
    </row>
    <row r="1546" spans="4:4">
      <c r="D1546" s="168"/>
    </row>
    <row r="1547" spans="4:4">
      <c r="D1547" s="168"/>
    </row>
    <row r="1548" spans="4:4">
      <c r="D1548" s="168"/>
    </row>
    <row r="1549" spans="4:4">
      <c r="D1549" s="168"/>
    </row>
    <row r="1550" spans="4:4">
      <c r="D1550" s="168"/>
    </row>
    <row r="1551" spans="4:4">
      <c r="D1551" s="168"/>
    </row>
    <row r="1552" spans="4:4">
      <c r="D1552" s="168"/>
    </row>
    <row r="1553" spans="4:4">
      <c r="D1553" s="168"/>
    </row>
    <row r="1554" spans="4:4">
      <c r="D1554" s="168"/>
    </row>
    <row r="1555" spans="4:4">
      <c r="D1555" s="168"/>
    </row>
    <row r="1556" spans="4:4">
      <c r="D1556" s="168"/>
    </row>
    <row r="1557" spans="4:4">
      <c r="D1557" s="168"/>
    </row>
    <row r="1558" spans="4:4">
      <c r="D1558" s="168"/>
    </row>
    <row r="1559" spans="4:4">
      <c r="D1559" s="168"/>
    </row>
    <row r="1560" spans="4:4">
      <c r="D1560" s="168"/>
    </row>
    <row r="1561" spans="4:4">
      <c r="D1561" s="168"/>
    </row>
    <row r="1562" spans="4:4">
      <c r="D1562" s="168"/>
    </row>
    <row r="1563" spans="4:4">
      <c r="D1563" s="168"/>
    </row>
    <row r="1564" spans="4:4">
      <c r="D1564" s="168"/>
    </row>
    <row r="1565" spans="4:4">
      <c r="D1565" s="168"/>
    </row>
    <row r="1566" spans="4:4">
      <c r="D1566" s="168"/>
    </row>
    <row r="1567" spans="4:4">
      <c r="D1567" s="168"/>
    </row>
    <row r="1568" spans="4:4">
      <c r="D1568" s="168"/>
    </row>
    <row r="1569" spans="4:4">
      <c r="D1569" s="168"/>
    </row>
    <row r="1570" spans="4:4">
      <c r="D1570" s="168"/>
    </row>
    <row r="1571" spans="4:4">
      <c r="D1571" s="168"/>
    </row>
    <row r="1572" spans="4:4">
      <c r="D1572" s="168"/>
    </row>
    <row r="1573" spans="4:4">
      <c r="D1573" s="168"/>
    </row>
    <row r="1574" spans="4:4">
      <c r="D1574" s="168"/>
    </row>
    <row r="1575" spans="4:4">
      <c r="D1575" s="168"/>
    </row>
    <row r="1576" spans="4:4">
      <c r="D1576" s="168"/>
    </row>
    <row r="1577" spans="4:4">
      <c r="D1577" s="168"/>
    </row>
    <row r="1578" spans="4:4">
      <c r="D1578" s="168"/>
    </row>
    <row r="1579" spans="4:4">
      <c r="D1579" s="168"/>
    </row>
    <row r="1580" spans="4:4">
      <c r="D1580" s="168"/>
    </row>
    <row r="1581" spans="4:4">
      <c r="D1581" s="168"/>
    </row>
    <row r="1582" spans="4:4">
      <c r="D1582" s="168"/>
    </row>
    <row r="1583" spans="4:4">
      <c r="D1583" s="168"/>
    </row>
    <row r="1584" spans="4:4">
      <c r="D1584" s="168"/>
    </row>
    <row r="1585" spans="4:4">
      <c r="D1585" s="168"/>
    </row>
    <row r="1586" spans="4:4">
      <c r="D1586" s="168"/>
    </row>
    <row r="1587" spans="4:4">
      <c r="D1587" s="168"/>
    </row>
    <row r="1588" spans="4:4">
      <c r="D1588" s="168"/>
    </row>
    <row r="1589" spans="4:4">
      <c r="D1589" s="168"/>
    </row>
    <row r="1590" spans="4:4">
      <c r="D1590" s="168"/>
    </row>
    <row r="1591" spans="4:4">
      <c r="D1591" s="168"/>
    </row>
    <row r="1592" spans="4:4">
      <c r="D1592" s="168"/>
    </row>
    <row r="1593" spans="4:4">
      <c r="D1593" s="168"/>
    </row>
    <row r="1594" spans="4:4">
      <c r="D1594" s="168"/>
    </row>
    <row r="1595" spans="4:4">
      <c r="D1595" s="168"/>
    </row>
    <row r="1596" spans="4:4">
      <c r="D1596" s="168"/>
    </row>
    <row r="1597" spans="4:4">
      <c r="D1597" s="168"/>
    </row>
    <row r="1598" spans="4:4">
      <c r="D1598" s="168"/>
    </row>
    <row r="1599" spans="4:4">
      <c r="D1599" s="168"/>
    </row>
    <row r="1600" spans="4:4">
      <c r="D1600" s="168"/>
    </row>
    <row r="1601" spans="4:4">
      <c r="D1601" s="168"/>
    </row>
    <row r="1602" spans="4:4">
      <c r="D1602" s="168"/>
    </row>
    <row r="1603" spans="4:4">
      <c r="D1603" s="168"/>
    </row>
    <row r="1604" spans="4:4">
      <c r="D1604" s="168"/>
    </row>
    <row r="1605" spans="4:4">
      <c r="D1605" s="168"/>
    </row>
    <row r="1606" spans="4:4">
      <c r="D1606" s="168"/>
    </row>
    <row r="1607" spans="4:4">
      <c r="D1607" s="168"/>
    </row>
    <row r="1608" spans="4:4">
      <c r="D1608" s="168"/>
    </row>
    <row r="1609" spans="4:4">
      <c r="D1609" s="168"/>
    </row>
    <row r="1610" spans="4:4">
      <c r="D1610" s="168"/>
    </row>
    <row r="1611" spans="4:4">
      <c r="D1611" s="168"/>
    </row>
    <row r="1612" spans="4:4">
      <c r="D1612" s="168"/>
    </row>
    <row r="1613" spans="4:4">
      <c r="D1613" s="168"/>
    </row>
    <row r="1614" spans="4:4">
      <c r="D1614" s="168"/>
    </row>
    <row r="1615" spans="4:4">
      <c r="D1615" s="168"/>
    </row>
    <row r="1616" spans="4:4">
      <c r="D1616" s="168"/>
    </row>
    <row r="1617" spans="4:4">
      <c r="D1617" s="168"/>
    </row>
    <row r="1618" spans="4:4">
      <c r="D1618" s="168"/>
    </row>
    <row r="1619" spans="4:4">
      <c r="D1619" s="168"/>
    </row>
    <row r="1620" spans="4:4">
      <c r="D1620" s="168"/>
    </row>
    <row r="1621" spans="4:4">
      <c r="D1621" s="168"/>
    </row>
    <row r="1622" spans="4:4">
      <c r="D1622" s="168"/>
    </row>
    <row r="1623" spans="4:4">
      <c r="D1623" s="168"/>
    </row>
    <row r="1624" spans="4:4">
      <c r="D1624" s="168"/>
    </row>
    <row r="1625" spans="4:4">
      <c r="D1625" s="168"/>
    </row>
    <row r="1626" spans="4:4">
      <c r="D1626" s="168"/>
    </row>
    <row r="1627" spans="4:4">
      <c r="D1627" s="168"/>
    </row>
    <row r="1628" spans="4:4">
      <c r="D1628" s="168"/>
    </row>
    <row r="1629" spans="4:4">
      <c r="D1629" s="168"/>
    </row>
    <row r="1630" spans="4:4">
      <c r="D1630" s="168"/>
    </row>
    <row r="1631" spans="4:4">
      <c r="D1631" s="168"/>
    </row>
    <row r="1632" spans="4:4">
      <c r="D1632" s="168"/>
    </row>
    <row r="1633" spans="4:4">
      <c r="D1633" s="168"/>
    </row>
    <row r="1634" spans="4:4">
      <c r="D1634" s="168"/>
    </row>
    <row r="1635" spans="4:4">
      <c r="D1635" s="168"/>
    </row>
    <row r="1636" spans="4:4">
      <c r="D1636" s="168"/>
    </row>
    <row r="1637" spans="4:4">
      <c r="D1637" s="168"/>
    </row>
    <row r="1638" spans="4:4">
      <c r="D1638" s="168"/>
    </row>
    <row r="1639" spans="4:4">
      <c r="D1639" s="168"/>
    </row>
    <row r="1640" spans="4:4">
      <c r="D1640" s="168"/>
    </row>
    <row r="1641" spans="4:4">
      <c r="D1641" s="168"/>
    </row>
    <row r="1642" spans="4:4">
      <c r="D1642" s="168"/>
    </row>
    <row r="1643" spans="4:4">
      <c r="D1643" s="168"/>
    </row>
    <row r="1644" spans="4:4">
      <c r="D1644" s="168"/>
    </row>
    <row r="1645" spans="4:4">
      <c r="D1645" s="168"/>
    </row>
    <row r="1646" spans="4:4">
      <c r="D1646" s="168"/>
    </row>
    <row r="1647" spans="4:4">
      <c r="D1647" s="168"/>
    </row>
    <row r="1648" spans="4:4">
      <c r="D1648" s="168"/>
    </row>
    <row r="1649" spans="4:4">
      <c r="D1649" s="168"/>
    </row>
    <row r="1650" spans="4:4">
      <c r="D1650" s="168"/>
    </row>
    <row r="1651" spans="4:4">
      <c r="D1651" s="168"/>
    </row>
    <row r="1652" spans="4:4">
      <c r="D1652" s="168"/>
    </row>
    <row r="1653" spans="4:4">
      <c r="D1653" s="168"/>
    </row>
    <row r="1654" spans="4:4">
      <c r="D1654" s="168"/>
    </row>
    <row r="1655" spans="4:4">
      <c r="D1655" s="168"/>
    </row>
    <row r="1656" spans="4:4">
      <c r="D1656" s="168"/>
    </row>
    <row r="1657" spans="4:4">
      <c r="D1657" s="168"/>
    </row>
    <row r="1658" spans="4:4">
      <c r="D1658" s="168"/>
    </row>
    <row r="1659" spans="4:4">
      <c r="D1659" s="168"/>
    </row>
    <row r="1660" spans="4:4">
      <c r="D1660" s="168"/>
    </row>
    <row r="1661" spans="4:4">
      <c r="D1661" s="168"/>
    </row>
    <row r="1662" spans="4:4">
      <c r="D1662" s="168"/>
    </row>
    <row r="1663" spans="4:4">
      <c r="D1663" s="168"/>
    </row>
    <row r="1664" spans="4:4">
      <c r="D1664" s="168"/>
    </row>
    <row r="1665" spans="4:4">
      <c r="D1665" s="168"/>
    </row>
    <row r="1666" spans="4:4">
      <c r="D1666" s="168"/>
    </row>
    <row r="1667" spans="4:4">
      <c r="D1667" s="168"/>
    </row>
    <row r="1668" spans="4:4">
      <c r="D1668" s="168"/>
    </row>
    <row r="1669" spans="4:4">
      <c r="D1669" s="168"/>
    </row>
    <row r="1670" spans="4:4">
      <c r="D1670" s="168"/>
    </row>
    <row r="1671" spans="4:4">
      <c r="D1671" s="168"/>
    </row>
    <row r="1672" spans="4:4">
      <c r="D1672" s="168"/>
    </row>
    <row r="1673" spans="4:4">
      <c r="D1673" s="168"/>
    </row>
    <row r="1674" spans="4:4">
      <c r="D1674" s="168"/>
    </row>
    <row r="1675" spans="4:4">
      <c r="D1675" s="168"/>
    </row>
    <row r="1676" spans="4:4">
      <c r="D1676" s="168"/>
    </row>
    <row r="1677" spans="4:4">
      <c r="D1677" s="168"/>
    </row>
    <row r="1678" spans="4:4">
      <c r="D1678" s="168"/>
    </row>
    <row r="1679" spans="4:4">
      <c r="D1679" s="168"/>
    </row>
    <row r="1680" spans="4:4">
      <c r="D1680" s="168"/>
    </row>
    <row r="1681" spans="4:4">
      <c r="D1681" s="168"/>
    </row>
    <row r="1682" spans="4:4">
      <c r="D1682" s="168"/>
    </row>
    <row r="1683" spans="4:4">
      <c r="D1683" s="168"/>
    </row>
    <row r="1684" spans="4:4">
      <c r="D1684" s="168"/>
    </row>
    <row r="1685" spans="4:4">
      <c r="D1685" s="168"/>
    </row>
    <row r="1686" spans="4:4">
      <c r="D1686" s="168"/>
    </row>
    <row r="1687" spans="4:4">
      <c r="D1687" s="168"/>
    </row>
    <row r="1688" spans="4:4">
      <c r="D1688" s="168"/>
    </row>
    <row r="1689" spans="4:4">
      <c r="D1689" s="168"/>
    </row>
    <row r="1690" spans="4:4">
      <c r="D1690" s="168"/>
    </row>
    <row r="1691" spans="4:4">
      <c r="D1691" s="168"/>
    </row>
    <row r="1692" spans="4:4">
      <c r="D1692" s="168"/>
    </row>
    <row r="1693" spans="4:4">
      <c r="D1693" s="168"/>
    </row>
    <row r="1694" spans="4:4">
      <c r="D1694" s="168"/>
    </row>
    <row r="1695" spans="4:4">
      <c r="D1695" s="168"/>
    </row>
    <row r="1696" spans="4:4">
      <c r="D1696" s="168"/>
    </row>
    <row r="1697" spans="4:4">
      <c r="D1697" s="168"/>
    </row>
    <row r="1698" spans="4:4">
      <c r="D1698" s="168"/>
    </row>
    <row r="1699" spans="4:4">
      <c r="D1699" s="168"/>
    </row>
    <row r="1700" spans="4:4">
      <c r="D1700" s="168"/>
    </row>
    <row r="1701" spans="4:4">
      <c r="D1701" s="168"/>
    </row>
    <row r="1702" spans="4:4">
      <c r="D1702" s="168"/>
    </row>
    <row r="1703" spans="4:4">
      <c r="D1703" s="168"/>
    </row>
    <row r="1704" spans="4:4">
      <c r="D1704" s="168"/>
    </row>
    <row r="1705" spans="4:4">
      <c r="D1705" s="168"/>
    </row>
    <row r="1706" spans="4:4">
      <c r="D1706" s="168"/>
    </row>
    <row r="1707" spans="4:4">
      <c r="D1707" s="168"/>
    </row>
    <row r="1708" spans="4:4">
      <c r="D1708" s="168"/>
    </row>
    <row r="1709" spans="4:4">
      <c r="D1709" s="168"/>
    </row>
    <row r="1710" spans="4:4">
      <c r="D1710" s="168"/>
    </row>
    <row r="1711" spans="4:4">
      <c r="D1711" s="168"/>
    </row>
    <row r="1712" spans="4:4">
      <c r="D1712" s="168"/>
    </row>
    <row r="1713" spans="4:4">
      <c r="D1713" s="168"/>
    </row>
    <row r="1714" spans="4:4">
      <c r="D1714" s="168"/>
    </row>
    <row r="1715" spans="4:4">
      <c r="D1715" s="168"/>
    </row>
    <row r="1716" spans="4:4">
      <c r="D1716" s="168"/>
    </row>
    <row r="1717" spans="4:4">
      <c r="D1717" s="168"/>
    </row>
    <row r="1718" spans="4:4">
      <c r="D1718" s="168"/>
    </row>
    <row r="1719" spans="4:4">
      <c r="D1719" s="168"/>
    </row>
    <row r="1720" spans="4:4">
      <c r="D1720" s="168"/>
    </row>
    <row r="1721" spans="4:4">
      <c r="D1721" s="168"/>
    </row>
    <row r="1722" spans="4:4">
      <c r="D1722" s="168"/>
    </row>
    <row r="1723" spans="4:4">
      <c r="D1723" s="168"/>
    </row>
    <row r="1724" spans="4:4">
      <c r="D1724" s="168"/>
    </row>
    <row r="1725" spans="4:4">
      <c r="D1725" s="168"/>
    </row>
    <row r="1726" spans="4:4">
      <c r="D1726" s="168"/>
    </row>
    <row r="1727" spans="4:4">
      <c r="D1727" s="168"/>
    </row>
    <row r="1728" spans="4:4">
      <c r="D1728" s="168"/>
    </row>
    <row r="1729" spans="4:4">
      <c r="D1729" s="168"/>
    </row>
    <row r="1730" spans="4:4">
      <c r="D1730" s="168"/>
    </row>
    <row r="1731" spans="4:4">
      <c r="D1731" s="168"/>
    </row>
    <row r="1732" spans="4:4">
      <c r="D1732" s="168"/>
    </row>
    <row r="1733" spans="4:4">
      <c r="D1733" s="168"/>
    </row>
    <row r="1734" spans="4:4">
      <c r="D1734" s="168"/>
    </row>
    <row r="1735" spans="4:4">
      <c r="D1735" s="168"/>
    </row>
    <row r="1736" spans="4:4">
      <c r="D1736" s="168"/>
    </row>
    <row r="1737" spans="4:4">
      <c r="D1737" s="168"/>
    </row>
    <row r="1738" spans="4:4">
      <c r="D1738" s="168"/>
    </row>
    <row r="1739" spans="4:4">
      <c r="D1739" s="168"/>
    </row>
    <row r="1740" spans="4:4">
      <c r="D1740" s="168"/>
    </row>
    <row r="1741" spans="4:4">
      <c r="D1741" s="168"/>
    </row>
    <row r="1742" spans="4:4">
      <c r="D1742" s="168"/>
    </row>
    <row r="1743" spans="4:4">
      <c r="D1743" s="168"/>
    </row>
    <row r="1744" spans="4:4">
      <c r="D1744" s="168"/>
    </row>
    <row r="1745" spans="4:4">
      <c r="D1745" s="168"/>
    </row>
    <row r="1746" spans="4:4">
      <c r="D1746" s="168"/>
    </row>
    <row r="1747" spans="4:4">
      <c r="D1747" s="168"/>
    </row>
    <row r="1748" spans="4:4">
      <c r="D1748" s="168"/>
    </row>
    <row r="1749" spans="4:4">
      <c r="D1749" s="168"/>
    </row>
    <row r="1750" spans="4:4">
      <c r="D1750" s="168"/>
    </row>
    <row r="1751" spans="4:4">
      <c r="D1751" s="168"/>
    </row>
    <row r="1752" spans="4:4">
      <c r="D1752" s="168"/>
    </row>
    <row r="1753" spans="4:4">
      <c r="D1753" s="168"/>
    </row>
    <row r="1754" spans="4:4">
      <c r="D1754" s="168"/>
    </row>
    <row r="1755" spans="4:4">
      <c r="D1755" s="168"/>
    </row>
    <row r="1756" spans="4:4">
      <c r="D1756" s="168"/>
    </row>
    <row r="1757" spans="4:4">
      <c r="D1757" s="168"/>
    </row>
    <row r="1758" spans="4:4">
      <c r="D1758" s="168"/>
    </row>
    <row r="1759" spans="4:4">
      <c r="D1759" s="168"/>
    </row>
    <row r="1760" spans="4:4">
      <c r="D1760" s="168"/>
    </row>
    <row r="1761" spans="4:4">
      <c r="D1761" s="168"/>
    </row>
    <row r="1762" spans="4:4">
      <c r="D1762" s="168"/>
    </row>
    <row r="1763" spans="4:4">
      <c r="D1763" s="168"/>
    </row>
    <row r="1764" spans="4:4">
      <c r="D1764" s="168"/>
    </row>
    <row r="1765" spans="4:4">
      <c r="D1765" s="168"/>
    </row>
    <row r="1766" spans="4:4">
      <c r="D1766" s="168"/>
    </row>
    <row r="1767" spans="4:4">
      <c r="D1767" s="168"/>
    </row>
    <row r="1768" spans="4:4">
      <c r="D1768" s="168"/>
    </row>
    <row r="1769" spans="4:4">
      <c r="D1769" s="168"/>
    </row>
    <row r="1770" spans="4:4">
      <c r="D1770" s="168"/>
    </row>
    <row r="1771" spans="4:4">
      <c r="D1771" s="168"/>
    </row>
    <row r="1772" spans="4:4">
      <c r="D1772" s="168"/>
    </row>
    <row r="1773" spans="4:4">
      <c r="D1773" s="168"/>
    </row>
    <row r="1774" spans="4:4">
      <c r="D1774" s="168"/>
    </row>
    <row r="1775" spans="4:4">
      <c r="D1775" s="168"/>
    </row>
    <row r="1776" spans="4:4">
      <c r="D1776" s="168"/>
    </row>
    <row r="1777" spans="4:4">
      <c r="D1777" s="168"/>
    </row>
    <row r="1778" spans="4:4">
      <c r="D1778" s="168"/>
    </row>
    <row r="1779" spans="4:4">
      <c r="D1779" s="168"/>
    </row>
    <row r="1780" spans="4:4">
      <c r="D1780" s="168"/>
    </row>
    <row r="1781" spans="4:4">
      <c r="D1781" s="168"/>
    </row>
    <row r="1782" spans="4:4">
      <c r="D1782" s="168"/>
    </row>
    <row r="1783" spans="4:4">
      <c r="D1783" s="168"/>
    </row>
    <row r="1784" spans="4:4">
      <c r="D1784" s="168"/>
    </row>
    <row r="1785" spans="4:4">
      <c r="D1785" s="168"/>
    </row>
    <row r="1786" spans="4:4">
      <c r="D1786" s="168"/>
    </row>
    <row r="1787" spans="4:4">
      <c r="D1787" s="168"/>
    </row>
    <row r="1788" spans="4:4">
      <c r="D1788" s="168"/>
    </row>
    <row r="1789" spans="4:4">
      <c r="D1789" s="168"/>
    </row>
    <row r="1790" spans="4:4">
      <c r="D1790" s="168"/>
    </row>
    <row r="1791" spans="4:4">
      <c r="D1791" s="168"/>
    </row>
    <row r="1792" spans="4:4">
      <c r="D1792" s="168"/>
    </row>
    <row r="1793" spans="4:4">
      <c r="D1793" s="168"/>
    </row>
    <row r="1794" spans="4:4">
      <c r="D1794" s="168"/>
    </row>
    <row r="1795" spans="4:4">
      <c r="D1795" s="168"/>
    </row>
    <row r="1796" spans="4:4">
      <c r="D1796" s="168"/>
    </row>
    <row r="1797" spans="4:4">
      <c r="D1797" s="168"/>
    </row>
    <row r="1798" spans="4:4">
      <c r="D1798" s="168"/>
    </row>
    <row r="1799" spans="4:4">
      <c r="D1799" s="168"/>
    </row>
    <row r="1800" spans="4:4">
      <c r="D1800" s="168"/>
    </row>
    <row r="1801" spans="4:4">
      <c r="D1801" s="168"/>
    </row>
    <row r="1802" spans="4:4">
      <c r="D1802" s="168"/>
    </row>
    <row r="1803" spans="4:4">
      <c r="D1803" s="168"/>
    </row>
    <row r="1804" spans="4:4">
      <c r="D1804" s="168"/>
    </row>
    <row r="1805" spans="4:4">
      <c r="D1805" s="168"/>
    </row>
    <row r="1806" spans="4:4">
      <c r="D1806" s="168"/>
    </row>
    <row r="1807" spans="4:4">
      <c r="D1807" s="168"/>
    </row>
    <row r="1808" spans="4:4">
      <c r="D1808" s="168"/>
    </row>
    <row r="1809" spans="4:4">
      <c r="D1809" s="168"/>
    </row>
    <row r="1810" spans="4:4">
      <c r="D1810" s="168"/>
    </row>
    <row r="1811" spans="4:4">
      <c r="D1811" s="168"/>
    </row>
    <row r="1812" spans="4:4">
      <c r="D1812" s="168"/>
    </row>
    <row r="1813" spans="4:4">
      <c r="D1813" s="168"/>
    </row>
    <row r="1814" spans="4:4">
      <c r="D1814" s="168"/>
    </row>
    <row r="1815" spans="4:4">
      <c r="D1815" s="168"/>
    </row>
    <row r="1816" spans="4:4">
      <c r="D1816" s="168"/>
    </row>
    <row r="1817" spans="4:4">
      <c r="D1817" s="168"/>
    </row>
    <row r="1818" spans="4:4">
      <c r="D1818" s="168"/>
    </row>
    <row r="1819" spans="4:4">
      <c r="D1819" s="168"/>
    </row>
    <row r="1820" spans="4:4">
      <c r="D1820" s="168"/>
    </row>
    <row r="1821" spans="4:4">
      <c r="D1821" s="168"/>
    </row>
    <row r="1822" spans="4:4">
      <c r="D1822" s="168"/>
    </row>
    <row r="1823" spans="4:4">
      <c r="D1823" s="168"/>
    </row>
    <row r="1824" spans="4:4">
      <c r="D1824" s="168"/>
    </row>
    <row r="1825" spans="4:4">
      <c r="D1825" s="168"/>
    </row>
    <row r="1826" spans="4:4">
      <c r="D1826" s="168"/>
    </row>
    <row r="1827" spans="4:4">
      <c r="D1827" s="168"/>
    </row>
    <row r="1828" spans="4:4">
      <c r="D1828" s="168"/>
    </row>
    <row r="1829" spans="4:4">
      <c r="D1829" s="168"/>
    </row>
    <row r="1830" spans="4:4">
      <c r="D1830" s="168"/>
    </row>
    <row r="1831" spans="4:4">
      <c r="D1831" s="168"/>
    </row>
    <row r="1832" spans="4:4">
      <c r="D1832" s="168"/>
    </row>
    <row r="1833" spans="4:4">
      <c r="D1833" s="168"/>
    </row>
    <row r="1834" spans="4:4">
      <c r="D1834" s="168"/>
    </row>
    <row r="1835" spans="4:4">
      <c r="D1835" s="168"/>
    </row>
    <row r="1836" spans="4:4">
      <c r="D1836" s="168"/>
    </row>
    <row r="1837" spans="4:4">
      <c r="D1837" s="168"/>
    </row>
    <row r="1838" spans="4:4">
      <c r="D1838" s="168"/>
    </row>
    <row r="1839" spans="4:4">
      <c r="D1839" s="168"/>
    </row>
    <row r="1840" spans="4:4">
      <c r="D1840" s="168"/>
    </row>
    <row r="1841" spans="4:4">
      <c r="D1841" s="168"/>
    </row>
    <row r="1842" spans="4:4">
      <c r="D1842" s="168"/>
    </row>
    <row r="1843" spans="4:4">
      <c r="D1843" s="168"/>
    </row>
    <row r="1844" spans="4:4">
      <c r="D1844" s="168"/>
    </row>
    <row r="1845" spans="4:4">
      <c r="D1845" s="168"/>
    </row>
    <row r="1846" spans="4:4">
      <c r="D1846" s="168"/>
    </row>
    <row r="1847" spans="4:4">
      <c r="D1847" s="168"/>
    </row>
    <row r="1848" spans="4:4">
      <c r="D1848" s="168"/>
    </row>
    <row r="1849" spans="4:4">
      <c r="D1849" s="168"/>
    </row>
    <row r="1850" spans="4:4">
      <c r="D1850" s="168"/>
    </row>
    <row r="1851" spans="4:4">
      <c r="D1851" s="168"/>
    </row>
    <row r="1852" spans="4:4">
      <c r="D1852" s="168"/>
    </row>
    <row r="1853" spans="4:4">
      <c r="D1853" s="168"/>
    </row>
    <row r="1854" spans="4:4">
      <c r="D1854" s="168"/>
    </row>
    <row r="1855" spans="4:4">
      <c r="D1855" s="168"/>
    </row>
    <row r="1856" spans="4:4">
      <c r="D1856" s="168"/>
    </row>
    <row r="1857" spans="4:4">
      <c r="D1857" s="168"/>
    </row>
    <row r="1858" spans="4:4">
      <c r="D1858" s="168"/>
    </row>
    <row r="1859" spans="4:4">
      <c r="D1859" s="168"/>
    </row>
    <row r="1860" spans="4:4">
      <c r="D1860" s="168"/>
    </row>
    <row r="1861" spans="4:4">
      <c r="D1861" s="168"/>
    </row>
    <row r="1862" spans="4:4">
      <c r="D1862" s="168"/>
    </row>
    <row r="1863" spans="4:4">
      <c r="D1863" s="168"/>
    </row>
    <row r="1864" spans="4:4">
      <c r="D1864" s="168"/>
    </row>
    <row r="1865" spans="4:4">
      <c r="D1865" s="168"/>
    </row>
    <row r="1866" spans="4:4">
      <c r="D1866" s="168"/>
    </row>
    <row r="1867" spans="4:4">
      <c r="D1867" s="168"/>
    </row>
    <row r="1868" spans="4:4">
      <c r="D1868" s="168"/>
    </row>
    <row r="1869" spans="4:4">
      <c r="D1869" s="168"/>
    </row>
    <row r="1870" spans="4:4">
      <c r="D1870" s="168"/>
    </row>
    <row r="1871" spans="4:4">
      <c r="D1871" s="168"/>
    </row>
    <row r="1872" spans="4:4">
      <c r="D1872" s="168"/>
    </row>
    <row r="1873" spans="4:4">
      <c r="D1873" s="168"/>
    </row>
    <row r="1874" spans="4:4">
      <c r="D1874" s="168"/>
    </row>
    <row r="1875" spans="4:4">
      <c r="D1875" s="168"/>
    </row>
    <row r="1876" spans="4:4">
      <c r="D1876" s="168"/>
    </row>
    <row r="1877" spans="4:4">
      <c r="D1877" s="168"/>
    </row>
    <row r="1878" spans="4:4">
      <c r="D1878" s="168"/>
    </row>
    <row r="1879" spans="4:4">
      <c r="D1879" s="168"/>
    </row>
    <row r="1880" spans="4:4">
      <c r="D1880" s="168"/>
    </row>
    <row r="1881" spans="4:4">
      <c r="D1881" s="168"/>
    </row>
    <row r="1882" spans="4:4">
      <c r="D1882" s="168"/>
    </row>
    <row r="1883" spans="4:4">
      <c r="D1883" s="168"/>
    </row>
    <row r="1884" spans="4:4">
      <c r="D1884" s="168"/>
    </row>
    <row r="1885" spans="4:4">
      <c r="D1885" s="168"/>
    </row>
    <row r="1886" spans="4:4">
      <c r="D1886" s="168"/>
    </row>
    <row r="1887" spans="4:4">
      <c r="D1887" s="168"/>
    </row>
    <row r="1888" spans="4:4">
      <c r="D1888" s="168"/>
    </row>
    <row r="1889" spans="4:4">
      <c r="D1889" s="168"/>
    </row>
    <row r="1890" spans="4:4">
      <c r="D1890" s="168"/>
    </row>
    <row r="1891" spans="4:4">
      <c r="D1891" s="168"/>
    </row>
    <row r="1892" spans="4:4">
      <c r="D1892" s="168"/>
    </row>
    <row r="1893" spans="4:4">
      <c r="D1893" s="168"/>
    </row>
    <row r="1894" spans="4:4">
      <c r="D1894" s="168"/>
    </row>
    <row r="1895" spans="4:4">
      <c r="D1895" s="168"/>
    </row>
    <row r="1896" spans="4:4">
      <c r="D1896" s="168"/>
    </row>
    <row r="1897" spans="4:4">
      <c r="D1897" s="168"/>
    </row>
    <row r="1898" spans="4:4">
      <c r="D1898" s="168"/>
    </row>
    <row r="1899" spans="4:4">
      <c r="D1899" s="168"/>
    </row>
    <row r="1900" spans="4:4">
      <c r="D1900" s="168"/>
    </row>
    <row r="1901" spans="4:4">
      <c r="D1901" s="168"/>
    </row>
    <row r="1902" spans="4:4">
      <c r="D1902" s="168"/>
    </row>
    <row r="1903" spans="4:4">
      <c r="D1903" s="168"/>
    </row>
    <row r="1904" spans="4:4">
      <c r="D1904" s="168"/>
    </row>
    <row r="1905" spans="4:4">
      <c r="D1905" s="168"/>
    </row>
    <row r="1906" spans="4:4">
      <c r="D1906" s="168"/>
    </row>
    <row r="1907" spans="4:4">
      <c r="D1907" s="168"/>
    </row>
    <row r="1908" spans="4:4">
      <c r="D1908" s="168"/>
    </row>
    <row r="1909" spans="4:4">
      <c r="D1909" s="168"/>
    </row>
    <row r="1910" spans="4:4">
      <c r="D1910" s="168"/>
    </row>
    <row r="1911" spans="4:4">
      <c r="D1911" s="168"/>
    </row>
    <row r="1912" spans="4:4">
      <c r="D1912" s="168"/>
    </row>
    <row r="1913" spans="4:4">
      <c r="D1913" s="168"/>
    </row>
    <row r="1914" spans="4:4">
      <c r="D1914" s="168"/>
    </row>
    <row r="1915" spans="4:4">
      <c r="D1915" s="168"/>
    </row>
    <row r="1916" spans="4:4">
      <c r="D1916" s="168"/>
    </row>
    <row r="1917" spans="4:4">
      <c r="D1917" s="168"/>
    </row>
    <row r="1918" spans="4:4">
      <c r="D1918" s="168"/>
    </row>
    <row r="1919" spans="4:4">
      <c r="D1919" s="168"/>
    </row>
    <row r="1920" spans="4:4">
      <c r="D1920" s="168"/>
    </row>
    <row r="1921" spans="4:4">
      <c r="D1921" s="168"/>
    </row>
    <row r="1922" spans="4:4">
      <c r="D1922" s="168"/>
    </row>
    <row r="1923" spans="4:4">
      <c r="D1923" s="168"/>
    </row>
    <row r="1924" spans="4:4">
      <c r="D1924" s="168"/>
    </row>
    <row r="1925" spans="4:4">
      <c r="D1925" s="168"/>
    </row>
    <row r="1926" spans="4:4">
      <c r="D1926" s="168"/>
    </row>
    <row r="1927" spans="4:4">
      <c r="D1927" s="168"/>
    </row>
    <row r="1928" spans="4:4">
      <c r="D1928" s="168"/>
    </row>
    <row r="1929" spans="4:4">
      <c r="D1929" s="168"/>
    </row>
    <row r="1930" spans="4:4">
      <c r="D1930" s="168"/>
    </row>
    <row r="1931" spans="4:4">
      <c r="D1931" s="168"/>
    </row>
    <row r="1932" spans="4:4">
      <c r="D1932" s="168"/>
    </row>
    <row r="1933" spans="4:4">
      <c r="D1933" s="168"/>
    </row>
    <row r="1934" spans="4:4">
      <c r="D1934" s="168"/>
    </row>
    <row r="1935" spans="4:4">
      <c r="D1935" s="168"/>
    </row>
    <row r="1936" spans="4:4">
      <c r="D1936" s="168"/>
    </row>
    <row r="1937" spans="4:4">
      <c r="D1937" s="168"/>
    </row>
    <row r="1938" spans="4:4">
      <c r="D1938" s="168"/>
    </row>
    <row r="1939" spans="4:4">
      <c r="D1939" s="168"/>
    </row>
    <row r="1940" spans="4:4">
      <c r="D1940" s="168"/>
    </row>
    <row r="1941" spans="4:4">
      <c r="D1941" s="168"/>
    </row>
    <row r="1942" spans="4:4">
      <c r="D1942" s="168"/>
    </row>
    <row r="1943" spans="4:4">
      <c r="D1943" s="168"/>
    </row>
    <row r="1944" spans="4:4">
      <c r="D1944" s="168"/>
    </row>
    <row r="1945" spans="4:4">
      <c r="D1945" s="168"/>
    </row>
    <row r="1946" spans="4:4">
      <c r="D1946" s="168"/>
    </row>
    <row r="1947" spans="4:4">
      <c r="D1947" s="168"/>
    </row>
    <row r="1948" spans="4:4">
      <c r="D1948" s="168"/>
    </row>
    <row r="1949" spans="4:4">
      <c r="D1949" s="168"/>
    </row>
    <row r="1950" spans="4:4">
      <c r="D1950" s="168"/>
    </row>
    <row r="1951" spans="4:4">
      <c r="D1951" s="168"/>
    </row>
    <row r="1952" spans="4:4">
      <c r="D1952" s="168"/>
    </row>
    <row r="1953" spans="4:4">
      <c r="D1953" s="168"/>
    </row>
    <row r="1954" spans="4:4">
      <c r="D1954" s="168"/>
    </row>
    <row r="1955" spans="4:4">
      <c r="D1955" s="168"/>
    </row>
    <row r="1956" spans="4:4">
      <c r="D1956" s="168"/>
    </row>
    <row r="1957" spans="4:4">
      <c r="D1957" s="168"/>
    </row>
    <row r="1958" spans="4:4">
      <c r="D1958" s="168"/>
    </row>
    <row r="1959" spans="4:4">
      <c r="D1959" s="168"/>
    </row>
    <row r="1960" spans="4:4">
      <c r="D1960" s="168"/>
    </row>
    <row r="1961" spans="4:4">
      <c r="D1961" s="168"/>
    </row>
    <row r="1962" spans="4:4">
      <c r="D1962" s="168"/>
    </row>
    <row r="1963" spans="4:4">
      <c r="D1963" s="168"/>
    </row>
    <row r="1964" spans="4:4">
      <c r="D1964" s="168"/>
    </row>
    <row r="1965" spans="4:4">
      <c r="D1965" s="168"/>
    </row>
    <row r="1966" spans="4:4">
      <c r="D1966" s="168"/>
    </row>
    <row r="1967" spans="4:4">
      <c r="D1967" s="168"/>
    </row>
    <row r="1968" spans="4:4">
      <c r="D1968" s="168"/>
    </row>
    <row r="1969" spans="4:4">
      <c r="D1969" s="168"/>
    </row>
    <row r="1970" spans="4:4">
      <c r="D1970" s="168"/>
    </row>
    <row r="1971" spans="4:4">
      <c r="D1971" s="168"/>
    </row>
    <row r="1972" spans="4:4">
      <c r="D1972" s="168"/>
    </row>
    <row r="1973" spans="4:4">
      <c r="D1973" s="168"/>
    </row>
    <row r="1974" spans="4:4">
      <c r="D1974" s="168"/>
    </row>
    <row r="1975" spans="4:4">
      <c r="D1975" s="168"/>
    </row>
    <row r="1976" spans="4:4">
      <c r="D1976" s="168"/>
    </row>
    <row r="1977" spans="4:4">
      <c r="D1977" s="168"/>
    </row>
    <row r="1978" spans="4:4">
      <c r="D1978" s="168"/>
    </row>
    <row r="1979" spans="4:4">
      <c r="D1979" s="168"/>
    </row>
    <row r="1980" spans="4:4">
      <c r="D1980" s="168"/>
    </row>
    <row r="1981" spans="4:4">
      <c r="D1981" s="168"/>
    </row>
    <row r="1982" spans="4:4">
      <c r="D1982" s="168"/>
    </row>
    <row r="1983" spans="4:4">
      <c r="D1983" s="168"/>
    </row>
    <row r="1984" spans="4:4">
      <c r="D1984" s="168"/>
    </row>
    <row r="1985" spans="4:4">
      <c r="D1985" s="168"/>
    </row>
    <row r="1986" spans="4:4">
      <c r="D1986" s="168"/>
    </row>
    <row r="1987" spans="4:4">
      <c r="D1987" s="168"/>
    </row>
    <row r="1988" spans="4:4">
      <c r="D1988" s="168"/>
    </row>
    <row r="1989" spans="4:4">
      <c r="D1989" s="168"/>
    </row>
    <row r="1990" spans="4:4">
      <c r="D1990" s="168"/>
    </row>
    <row r="1991" spans="4:4">
      <c r="D1991" s="168"/>
    </row>
    <row r="1992" spans="4:4">
      <c r="D1992" s="168"/>
    </row>
    <row r="1993" spans="4:4">
      <c r="D1993" s="168"/>
    </row>
    <row r="1994" spans="4:4">
      <c r="D1994" s="168"/>
    </row>
    <row r="1995" spans="4:4">
      <c r="D1995" s="168"/>
    </row>
    <row r="1996" spans="4:4">
      <c r="D1996" s="168"/>
    </row>
    <row r="1997" spans="4:4">
      <c r="D1997" s="168"/>
    </row>
    <row r="1998" spans="4:4">
      <c r="D1998" s="168"/>
    </row>
    <row r="1999" spans="4:4">
      <c r="D1999" s="168"/>
    </row>
    <row r="2000" spans="4:4">
      <c r="D2000" s="168"/>
    </row>
    <row r="2001" spans="4:4">
      <c r="D2001" s="168"/>
    </row>
    <row r="2002" spans="4:4">
      <c r="D2002" s="168"/>
    </row>
    <row r="2003" spans="4:4">
      <c r="D2003" s="168"/>
    </row>
    <row r="2004" spans="4:4">
      <c r="D2004" s="168"/>
    </row>
    <row r="2005" spans="4:4">
      <c r="D2005" s="168"/>
    </row>
    <row r="2006" spans="4:4">
      <c r="D2006" s="168"/>
    </row>
    <row r="2007" spans="4:4">
      <c r="D2007" s="168"/>
    </row>
    <row r="2008" spans="4:4">
      <c r="D2008" s="168"/>
    </row>
    <row r="2009" spans="4:4">
      <c r="D2009" s="168"/>
    </row>
    <row r="2010" spans="4:4">
      <c r="D2010" s="168"/>
    </row>
    <row r="2011" spans="4:4">
      <c r="D2011" s="168"/>
    </row>
    <row r="2012" spans="4:4">
      <c r="D2012" s="168"/>
    </row>
    <row r="2013" spans="4:4">
      <c r="D2013" s="168"/>
    </row>
    <row r="2014" spans="4:4">
      <c r="D2014" s="168"/>
    </row>
    <row r="2015" spans="4:4">
      <c r="D2015" s="168"/>
    </row>
    <row r="2016" spans="4:4">
      <c r="D2016" s="168"/>
    </row>
    <row r="2017" spans="4:4">
      <c r="D2017" s="168"/>
    </row>
    <row r="2018" spans="4:4">
      <c r="D2018" s="168"/>
    </row>
    <row r="2019" spans="4:4">
      <c r="D2019" s="168"/>
    </row>
    <row r="2020" spans="4:4">
      <c r="D2020" s="168"/>
    </row>
    <row r="2021" spans="4:4">
      <c r="D2021" s="168"/>
    </row>
    <row r="2022" spans="4:4">
      <c r="D2022" s="168"/>
    </row>
    <row r="2023" spans="4:4">
      <c r="D2023" s="168"/>
    </row>
    <row r="2024" spans="4:4">
      <c r="D2024" s="168"/>
    </row>
    <row r="2025" spans="4:4">
      <c r="D2025" s="168"/>
    </row>
    <row r="2026" spans="4:4">
      <c r="D2026" s="168"/>
    </row>
    <row r="2027" spans="4:4">
      <c r="D2027" s="168"/>
    </row>
    <row r="2028" spans="4:4">
      <c r="D2028" s="168"/>
    </row>
    <row r="2029" spans="4:4">
      <c r="D2029" s="168"/>
    </row>
    <row r="2030" spans="4:4">
      <c r="D2030" s="168"/>
    </row>
    <row r="2031" spans="4:4">
      <c r="D2031" s="168"/>
    </row>
    <row r="2032" spans="4:4">
      <c r="D2032" s="168"/>
    </row>
    <row r="2033" spans="4:4">
      <c r="D2033" s="168"/>
    </row>
    <row r="2034" spans="4:4">
      <c r="D2034" s="168"/>
    </row>
    <row r="2035" spans="4:4">
      <c r="D2035" s="168"/>
    </row>
    <row r="2036" spans="4:4">
      <c r="D2036" s="168"/>
    </row>
    <row r="2037" spans="4:4">
      <c r="D2037" s="168"/>
    </row>
    <row r="2038" spans="4:4">
      <c r="D2038" s="168"/>
    </row>
    <row r="2039" spans="4:4">
      <c r="D2039" s="168"/>
    </row>
    <row r="2040" spans="4:4">
      <c r="D2040" s="168"/>
    </row>
    <row r="2041" spans="4:4">
      <c r="D2041" s="168"/>
    </row>
    <row r="2042" spans="4:4">
      <c r="D2042" s="168"/>
    </row>
    <row r="2043" spans="4:4">
      <c r="D2043" s="168"/>
    </row>
    <row r="2044" spans="4:4">
      <c r="D2044" s="168"/>
    </row>
    <row r="2045" spans="4:4">
      <c r="D2045" s="168"/>
    </row>
    <row r="2046" spans="4:4">
      <c r="D2046" s="168"/>
    </row>
    <row r="2047" spans="4:4">
      <c r="D2047" s="168"/>
    </row>
    <row r="2048" spans="4:4">
      <c r="D2048" s="168"/>
    </row>
    <row r="2049" spans="4:4">
      <c r="D2049" s="168"/>
    </row>
    <row r="2050" spans="4:4">
      <c r="D2050" s="168"/>
    </row>
    <row r="2051" spans="4:4">
      <c r="D2051" s="168"/>
    </row>
    <row r="2052" spans="4:4">
      <c r="D2052" s="168"/>
    </row>
    <row r="2053" spans="4:4">
      <c r="D2053" s="168"/>
    </row>
    <row r="2054" spans="4:4">
      <c r="D2054" s="168"/>
    </row>
    <row r="2055" spans="4:4">
      <c r="D2055" s="168"/>
    </row>
    <row r="2056" spans="4:4">
      <c r="D2056" s="168"/>
    </row>
    <row r="2057" spans="4:4">
      <c r="D2057" s="168"/>
    </row>
    <row r="2058" spans="4:4">
      <c r="D2058" s="168"/>
    </row>
    <row r="2059" spans="4:4">
      <c r="D2059" s="168"/>
    </row>
    <row r="2060" spans="4:4">
      <c r="D2060" s="168"/>
    </row>
    <row r="2061" spans="4:4">
      <c r="D2061" s="168"/>
    </row>
    <row r="2062" spans="4:4">
      <c r="D2062" s="168"/>
    </row>
    <row r="2063" spans="4:4">
      <c r="D2063" s="168"/>
    </row>
    <row r="2064" spans="4:4">
      <c r="D2064" s="168"/>
    </row>
    <row r="2065" spans="4:4">
      <c r="D2065" s="168"/>
    </row>
    <row r="2066" spans="4:4">
      <c r="D2066" s="168"/>
    </row>
    <row r="2067" spans="4:4">
      <c r="D2067" s="168"/>
    </row>
    <row r="2068" spans="4:4">
      <c r="D2068" s="168"/>
    </row>
    <row r="2069" spans="4:4">
      <c r="D2069" s="168"/>
    </row>
    <row r="2070" spans="4:4">
      <c r="D2070" s="168"/>
    </row>
    <row r="2071" spans="4:4">
      <c r="D2071" s="168"/>
    </row>
    <row r="2072" spans="4:4">
      <c r="D2072" s="168"/>
    </row>
    <row r="2073" spans="4:4">
      <c r="D2073" s="168"/>
    </row>
    <row r="2074" spans="4:4">
      <c r="D2074" s="168"/>
    </row>
    <row r="2075" spans="4:4">
      <c r="D2075" s="168"/>
    </row>
    <row r="2076" spans="4:4">
      <c r="D2076" s="168"/>
    </row>
    <row r="2077" spans="4:4">
      <c r="D2077" s="168"/>
    </row>
    <row r="2078" spans="4:4">
      <c r="D2078" s="168"/>
    </row>
    <row r="2079" spans="4:4">
      <c r="D2079" s="168"/>
    </row>
    <row r="2080" spans="4:4">
      <c r="D2080" s="168"/>
    </row>
    <row r="2081" spans="4:4">
      <c r="D2081" s="168"/>
    </row>
    <row r="2082" spans="4:4">
      <c r="D2082" s="168"/>
    </row>
    <row r="2083" spans="4:4">
      <c r="D2083" s="168"/>
    </row>
    <row r="2084" spans="4:4">
      <c r="D2084" s="168"/>
    </row>
    <row r="2085" spans="4:4">
      <c r="D2085" s="168"/>
    </row>
    <row r="2086" spans="4:4">
      <c r="D2086" s="168"/>
    </row>
    <row r="2087" spans="4:4">
      <c r="D2087" s="168"/>
    </row>
    <row r="2088" spans="4:4">
      <c r="D2088" s="168"/>
    </row>
    <row r="2089" spans="4:4">
      <c r="D2089" s="168"/>
    </row>
    <row r="2090" spans="4:4">
      <c r="D2090" s="168"/>
    </row>
    <row r="2091" spans="4:4">
      <c r="D2091" s="168"/>
    </row>
    <row r="2092" spans="4:4">
      <c r="D2092" s="168"/>
    </row>
    <row r="2093" spans="4:4">
      <c r="D2093" s="168"/>
    </row>
    <row r="2094" spans="4:4">
      <c r="D2094" s="168"/>
    </row>
    <row r="2095" spans="4:4">
      <c r="D2095" s="168"/>
    </row>
    <row r="2096" spans="4:4">
      <c r="D2096" s="168"/>
    </row>
    <row r="2097" spans="4:4">
      <c r="D2097" s="168"/>
    </row>
    <row r="2098" spans="4:4">
      <c r="D2098" s="168"/>
    </row>
    <row r="2099" spans="4:4">
      <c r="D2099" s="168"/>
    </row>
    <row r="2100" spans="4:4">
      <c r="D2100" s="168"/>
    </row>
    <row r="2101" spans="4:4">
      <c r="D2101" s="168"/>
    </row>
    <row r="2102" spans="4:4">
      <c r="D2102" s="168"/>
    </row>
    <row r="2103" spans="4:4">
      <c r="D2103" s="168"/>
    </row>
    <row r="2104" spans="4:4">
      <c r="D2104" s="168"/>
    </row>
    <row r="2105" spans="4:4">
      <c r="D2105" s="168"/>
    </row>
    <row r="2106" spans="4:4">
      <c r="D2106" s="168"/>
    </row>
    <row r="2107" spans="4:4">
      <c r="D2107" s="168"/>
    </row>
    <row r="2108" spans="4:4">
      <c r="D2108" s="168"/>
    </row>
    <row r="2109" spans="4:4">
      <c r="D2109" s="168"/>
    </row>
    <row r="2110" spans="4:4">
      <c r="D2110" s="168"/>
    </row>
    <row r="2111" spans="4:4">
      <c r="D2111" s="168"/>
    </row>
    <row r="2112" spans="4:4">
      <c r="D2112" s="168"/>
    </row>
    <row r="2113" spans="4:4">
      <c r="D2113" s="168"/>
    </row>
    <row r="2114" spans="4:4">
      <c r="D2114" s="168"/>
    </row>
    <row r="2115" spans="4:4">
      <c r="D2115" s="168"/>
    </row>
    <row r="2116" spans="4:4">
      <c r="D2116" s="168"/>
    </row>
    <row r="2117" spans="4:4">
      <c r="D2117" s="168"/>
    </row>
    <row r="2118" spans="4:4">
      <c r="D2118" s="168"/>
    </row>
    <row r="2119" spans="4:4">
      <c r="D2119" s="168"/>
    </row>
    <row r="2120" spans="4:4">
      <c r="D2120" s="168"/>
    </row>
    <row r="2121" spans="4:4">
      <c r="D2121" s="168"/>
    </row>
    <row r="2122" spans="4:4">
      <c r="D2122" s="168"/>
    </row>
    <row r="2123" spans="4:4">
      <c r="D2123" s="168"/>
    </row>
    <row r="2124" spans="4:4">
      <c r="D2124" s="168"/>
    </row>
    <row r="2125" spans="4:4">
      <c r="D2125" s="168"/>
    </row>
    <row r="2126" spans="4:4">
      <c r="D2126" s="168"/>
    </row>
    <row r="2127" spans="4:4">
      <c r="D2127" s="168"/>
    </row>
    <row r="2128" spans="4:4">
      <c r="D2128" s="168"/>
    </row>
    <row r="2129" spans="4:4">
      <c r="D2129" s="168"/>
    </row>
    <row r="2130" spans="4:4">
      <c r="D2130" s="168"/>
    </row>
    <row r="2131" spans="4:4">
      <c r="D2131" s="168"/>
    </row>
    <row r="2132" spans="4:4">
      <c r="D2132" s="168"/>
    </row>
    <row r="2133" spans="4:4">
      <c r="D2133" s="168"/>
    </row>
    <row r="2134" spans="4:4">
      <c r="D2134" s="168"/>
    </row>
    <row r="2135" spans="4:4">
      <c r="D2135" s="168"/>
    </row>
    <row r="2136" spans="4:4">
      <c r="D2136" s="168"/>
    </row>
    <row r="2137" spans="4:4">
      <c r="D2137" s="168"/>
    </row>
    <row r="2138" spans="4:4">
      <c r="D2138" s="168"/>
    </row>
    <row r="2139" spans="4:4">
      <c r="D2139" s="168"/>
    </row>
    <row r="2140" spans="4:4">
      <c r="D2140" s="168"/>
    </row>
    <row r="2141" spans="4:4">
      <c r="D2141" s="168"/>
    </row>
    <row r="2142" spans="4:4">
      <c r="D2142" s="168"/>
    </row>
    <row r="2143" spans="4:4">
      <c r="D2143" s="168"/>
    </row>
    <row r="2144" spans="4:4">
      <c r="D2144" s="168"/>
    </row>
    <row r="2145" spans="4:4">
      <c r="D2145" s="168"/>
    </row>
    <row r="2146" spans="4:4">
      <c r="D2146" s="168"/>
    </row>
    <row r="2147" spans="4:4">
      <c r="D2147" s="168"/>
    </row>
    <row r="2148" spans="4:4">
      <c r="D2148" s="168"/>
    </row>
    <row r="2149" spans="4:4">
      <c r="D2149" s="168"/>
    </row>
    <row r="2150" spans="4:4">
      <c r="D2150" s="168"/>
    </row>
    <row r="2151" spans="4:4">
      <c r="D2151" s="168"/>
    </row>
    <row r="2152" spans="4:4">
      <c r="D2152" s="168"/>
    </row>
    <row r="2153" spans="4:4">
      <c r="D2153" s="168"/>
    </row>
    <row r="2154" spans="4:4">
      <c r="D2154" s="168"/>
    </row>
    <row r="2155" spans="4:4">
      <c r="D2155" s="168"/>
    </row>
    <row r="2156" spans="4:4">
      <c r="D2156" s="168"/>
    </row>
    <row r="2157" spans="4:4">
      <c r="D2157" s="168"/>
    </row>
    <row r="2158" spans="4:4">
      <c r="D2158" s="168"/>
    </row>
    <row r="2159" spans="4:4">
      <c r="D2159" s="168"/>
    </row>
    <row r="2160" spans="4:4">
      <c r="D2160" s="168"/>
    </row>
    <row r="2161" spans="4:4">
      <c r="D2161" s="168"/>
    </row>
    <row r="2162" spans="4:4">
      <c r="D2162" s="168"/>
    </row>
    <row r="2163" spans="4:4">
      <c r="D2163" s="168"/>
    </row>
    <row r="2164" spans="4:4">
      <c r="D2164" s="168"/>
    </row>
    <row r="2165" spans="4:4">
      <c r="D2165" s="168"/>
    </row>
    <row r="2166" spans="4:4">
      <c r="D2166" s="168"/>
    </row>
    <row r="2167" spans="4:4">
      <c r="D2167" s="168"/>
    </row>
    <row r="2168" spans="4:4">
      <c r="D2168" s="168"/>
    </row>
    <row r="2169" spans="4:4">
      <c r="D2169" s="168"/>
    </row>
    <row r="2170" spans="4:4">
      <c r="D2170" s="168"/>
    </row>
    <row r="2171" spans="4:4">
      <c r="D2171" s="168"/>
    </row>
    <row r="2172" spans="4:4">
      <c r="D2172" s="168"/>
    </row>
    <row r="2173" spans="4:4">
      <c r="D2173" s="168"/>
    </row>
    <row r="2174" spans="4:4">
      <c r="D2174" s="168"/>
    </row>
    <row r="2175" spans="4:4">
      <c r="D2175" s="168"/>
    </row>
    <row r="2176" spans="4:4">
      <c r="D2176" s="168"/>
    </row>
    <row r="2177" spans="4:4">
      <c r="D2177" s="168"/>
    </row>
    <row r="2178" spans="4:4">
      <c r="D2178" s="168"/>
    </row>
    <row r="2179" spans="4:4">
      <c r="D2179" s="168"/>
    </row>
    <row r="2180" spans="4:4">
      <c r="D2180" s="168"/>
    </row>
    <row r="2181" spans="4:4">
      <c r="D2181" s="168"/>
    </row>
    <row r="2182" spans="4:4">
      <c r="D2182" s="168"/>
    </row>
    <row r="2183" spans="4:4">
      <c r="D2183" s="168"/>
    </row>
    <row r="2184" spans="4:4">
      <c r="D2184" s="168"/>
    </row>
    <row r="2185" spans="4:4">
      <c r="D2185" s="168"/>
    </row>
    <row r="2186" spans="4:4">
      <c r="D2186" s="168"/>
    </row>
    <row r="2187" spans="4:4">
      <c r="D2187" s="168"/>
    </row>
    <row r="2188" spans="4:4">
      <c r="D2188" s="168"/>
    </row>
    <row r="2189" spans="4:4">
      <c r="D2189" s="168"/>
    </row>
    <row r="2190" spans="4:4">
      <c r="D2190" s="168"/>
    </row>
    <row r="2191" spans="4:4">
      <c r="D2191" s="168"/>
    </row>
    <row r="2192" spans="4:4">
      <c r="D2192" s="168"/>
    </row>
    <row r="2193" spans="4:4">
      <c r="D2193" s="168"/>
    </row>
    <row r="2194" spans="4:4">
      <c r="D2194" s="168"/>
    </row>
    <row r="2195" spans="4:4">
      <c r="D2195" s="168"/>
    </row>
    <row r="2196" spans="4:4">
      <c r="D2196" s="168"/>
    </row>
    <row r="2197" spans="4:4">
      <c r="D2197" s="168"/>
    </row>
    <row r="2198" spans="4:4">
      <c r="D2198" s="168"/>
    </row>
    <row r="2199" spans="4:4">
      <c r="D2199" s="168"/>
    </row>
    <row r="2200" spans="4:4">
      <c r="D2200" s="168"/>
    </row>
    <row r="2201" spans="4:4">
      <c r="D2201" s="168"/>
    </row>
    <row r="2202" spans="4:4">
      <c r="D2202" s="168"/>
    </row>
    <row r="2203" spans="4:4">
      <c r="D2203" s="168"/>
    </row>
    <row r="2204" spans="4:4">
      <c r="D2204" s="168"/>
    </row>
    <row r="2205" spans="4:4">
      <c r="D2205" s="168"/>
    </row>
    <row r="2206" spans="4:4">
      <c r="D2206" s="168"/>
    </row>
    <row r="2207" spans="4:4">
      <c r="D2207" s="168"/>
    </row>
    <row r="2208" spans="4:4">
      <c r="D2208" s="168"/>
    </row>
    <row r="2209" spans="4:4">
      <c r="D2209" s="168"/>
    </row>
    <row r="2210" spans="4:4">
      <c r="D2210" s="168"/>
    </row>
    <row r="2211" spans="4:4">
      <c r="D2211" s="168"/>
    </row>
    <row r="2212" spans="4:4">
      <c r="D2212" s="168"/>
    </row>
    <row r="2213" spans="4:4">
      <c r="D2213" s="168"/>
    </row>
    <row r="2214" spans="4:4">
      <c r="D2214" s="168"/>
    </row>
    <row r="2215" spans="4:4">
      <c r="D2215" s="168"/>
    </row>
    <row r="2216" spans="4:4">
      <c r="D2216" s="168"/>
    </row>
    <row r="2217" spans="4:4">
      <c r="D2217" s="168"/>
    </row>
    <row r="2218" spans="4:4">
      <c r="D2218" s="168"/>
    </row>
    <row r="2219" spans="4:4">
      <c r="D2219" s="168"/>
    </row>
    <row r="2220" spans="4:4">
      <c r="D2220" s="168"/>
    </row>
    <row r="2221" spans="4:4">
      <c r="D2221" s="168"/>
    </row>
    <row r="2222" spans="4:4">
      <c r="D2222" s="168"/>
    </row>
    <row r="2223" spans="4:4">
      <c r="D2223" s="168"/>
    </row>
    <row r="2224" spans="4:4">
      <c r="D2224" s="168"/>
    </row>
    <row r="2225" spans="4:4">
      <c r="D2225" s="168"/>
    </row>
    <row r="2226" spans="4:4">
      <c r="D2226" s="168"/>
    </row>
    <row r="2227" spans="4:4">
      <c r="D2227" s="168"/>
    </row>
    <row r="2228" spans="4:4">
      <c r="D2228" s="168"/>
    </row>
    <row r="2229" spans="4:4">
      <c r="D2229" s="168"/>
    </row>
    <row r="2230" spans="4:4">
      <c r="D2230" s="168"/>
    </row>
    <row r="2231" spans="4:4">
      <c r="D2231" s="168"/>
    </row>
    <row r="2232" spans="4:4">
      <c r="D2232" s="168"/>
    </row>
    <row r="2233" spans="4:4">
      <c r="D2233" s="168"/>
    </row>
    <row r="2234" spans="4:4">
      <c r="D2234" s="168"/>
    </row>
    <row r="2235" spans="4:4">
      <c r="D2235" s="168"/>
    </row>
    <row r="2236" spans="4:4">
      <c r="D2236" s="168"/>
    </row>
    <row r="2237" spans="4:4">
      <c r="D2237" s="168"/>
    </row>
    <row r="2238" spans="4:4">
      <c r="D2238" s="168"/>
    </row>
    <row r="2239" spans="4:4">
      <c r="D2239" s="168"/>
    </row>
    <row r="2240" spans="4:4">
      <c r="D2240" s="168"/>
    </row>
    <row r="2241" spans="4:4">
      <c r="D2241" s="168"/>
    </row>
    <row r="2242" spans="4:4">
      <c r="D2242" s="168"/>
    </row>
    <row r="2243" spans="4:4">
      <c r="D2243" s="168"/>
    </row>
    <row r="2244" spans="4:4">
      <c r="D2244" s="168"/>
    </row>
    <row r="2245" spans="4:4">
      <c r="D2245" s="168"/>
    </row>
    <row r="2246" spans="4:4">
      <c r="D2246" s="168"/>
    </row>
    <row r="2247" spans="4:4">
      <c r="D2247" s="168"/>
    </row>
    <row r="2248" spans="4:4">
      <c r="D2248" s="168"/>
    </row>
    <row r="2249" spans="4:4">
      <c r="D2249" s="168"/>
    </row>
    <row r="2250" spans="4:4">
      <c r="D2250" s="168"/>
    </row>
    <row r="2251" spans="4:4">
      <c r="D2251" s="168"/>
    </row>
    <row r="2252" spans="4:4">
      <c r="D2252" s="168"/>
    </row>
    <row r="2253" spans="4:4">
      <c r="D2253" s="168"/>
    </row>
    <row r="2254" spans="4:4">
      <c r="D2254" s="168"/>
    </row>
    <row r="2255" spans="4:4">
      <c r="D2255" s="168"/>
    </row>
    <row r="2256" spans="4:4">
      <c r="D2256" s="168"/>
    </row>
    <row r="2257" spans="4:4">
      <c r="D2257" s="168"/>
    </row>
    <row r="2258" spans="4:4">
      <c r="D2258" s="168"/>
    </row>
    <row r="2259" spans="4:4">
      <c r="D2259" s="168"/>
    </row>
    <row r="2260" spans="4:4">
      <c r="D2260" s="168"/>
    </row>
    <row r="2261" spans="4:4">
      <c r="D2261" s="168"/>
    </row>
    <row r="2262" spans="4:4">
      <c r="D2262" s="168"/>
    </row>
    <row r="2263" spans="4:4">
      <c r="D2263" s="168"/>
    </row>
    <row r="2264" spans="4:4">
      <c r="D2264" s="168"/>
    </row>
    <row r="2265" spans="4:4">
      <c r="D2265" s="168"/>
    </row>
    <row r="2266" spans="4:4">
      <c r="D2266" s="168"/>
    </row>
    <row r="2267" spans="4:4">
      <c r="D2267" s="168"/>
    </row>
    <row r="2268" spans="4:4">
      <c r="D2268" s="168"/>
    </row>
    <row r="2269" spans="4:4">
      <c r="D2269" s="168"/>
    </row>
    <row r="2270" spans="4:4">
      <c r="D2270" s="168"/>
    </row>
    <row r="2271" spans="4:4">
      <c r="D2271" s="168"/>
    </row>
    <row r="2272" spans="4:4">
      <c r="D2272" s="168"/>
    </row>
    <row r="2273" spans="4:4">
      <c r="D2273" s="168"/>
    </row>
    <row r="2274" spans="4:4">
      <c r="D2274" s="168"/>
    </row>
    <row r="2275" spans="4:4">
      <c r="D2275" s="168"/>
    </row>
    <row r="2276" spans="4:4">
      <c r="D2276" s="168"/>
    </row>
    <row r="2277" spans="4:4">
      <c r="D2277" s="168"/>
    </row>
    <row r="2278" spans="4:4">
      <c r="D2278" s="168"/>
    </row>
    <row r="2279" spans="4:4">
      <c r="D2279" s="168"/>
    </row>
    <row r="2280" spans="4:4">
      <c r="D2280" s="168"/>
    </row>
    <row r="2281" spans="4:4">
      <c r="D2281" s="168"/>
    </row>
    <row r="2282" spans="4:4">
      <c r="D2282" s="168"/>
    </row>
    <row r="2283" spans="4:4">
      <c r="D2283" s="168"/>
    </row>
    <row r="2284" spans="4:4">
      <c r="D2284" s="168"/>
    </row>
    <row r="2285" spans="4:4">
      <c r="D2285" s="168"/>
    </row>
    <row r="2286" spans="4:4">
      <c r="D2286" s="168"/>
    </row>
    <row r="2287" spans="4:4">
      <c r="D2287" s="168"/>
    </row>
    <row r="2288" spans="4:4">
      <c r="D2288" s="168"/>
    </row>
    <row r="2289" spans="4:4">
      <c r="D2289" s="168"/>
    </row>
    <row r="2290" spans="4:4">
      <c r="D2290" s="168"/>
    </row>
    <row r="2291" spans="4:4">
      <c r="D2291" s="168"/>
    </row>
    <row r="2292" spans="4:4">
      <c r="D2292" s="168"/>
    </row>
    <row r="2293" spans="4:4">
      <c r="D2293" s="168"/>
    </row>
    <row r="2294" spans="4:4">
      <c r="D2294" s="168"/>
    </row>
    <row r="2295" spans="4:4">
      <c r="D2295" s="168"/>
    </row>
    <row r="2296" spans="4:4">
      <c r="D2296" s="168"/>
    </row>
    <row r="2297" spans="4:4">
      <c r="D2297" s="168"/>
    </row>
    <row r="2298" spans="4:4">
      <c r="D2298" s="168"/>
    </row>
    <row r="2299" spans="4:4">
      <c r="D2299" s="168"/>
    </row>
    <row r="2300" spans="4:4">
      <c r="D2300" s="168"/>
    </row>
    <row r="2301" spans="4:4">
      <c r="D2301" s="168"/>
    </row>
    <row r="2302" spans="4:4">
      <c r="D2302" s="168"/>
    </row>
    <row r="2303" spans="4:4">
      <c r="D2303" s="168"/>
    </row>
    <row r="2304" spans="4:4">
      <c r="D2304" s="168"/>
    </row>
    <row r="2305" spans="4:4">
      <c r="D2305" s="168"/>
    </row>
    <row r="2306" spans="4:4">
      <c r="D2306" s="168"/>
    </row>
    <row r="2307" spans="4:4">
      <c r="D2307" s="168"/>
    </row>
    <row r="2308" spans="4:4">
      <c r="D2308" s="168"/>
    </row>
    <row r="2309" spans="4:4">
      <c r="D2309" s="168"/>
    </row>
    <row r="2310" spans="4:4">
      <c r="D2310" s="168"/>
    </row>
    <row r="2311" spans="4:4">
      <c r="D2311" s="168"/>
    </row>
    <row r="2312" spans="4:4">
      <c r="D2312" s="168"/>
    </row>
    <row r="2313" spans="4:4">
      <c r="D2313" s="168"/>
    </row>
    <row r="2314" spans="4:4">
      <c r="D2314" s="168"/>
    </row>
    <row r="2315" spans="4:4">
      <c r="D2315" s="168"/>
    </row>
    <row r="2316" spans="4:4">
      <c r="D2316" s="168"/>
    </row>
    <row r="2317" spans="4:4">
      <c r="D2317" s="168"/>
    </row>
    <row r="2318" spans="4:4">
      <c r="D2318" s="168"/>
    </row>
    <row r="2319" spans="4:4">
      <c r="D2319" s="168"/>
    </row>
    <row r="2320" spans="4:4">
      <c r="D2320" s="168"/>
    </row>
    <row r="2321" spans="4:4">
      <c r="D2321" s="168"/>
    </row>
    <row r="2322" spans="4:4">
      <c r="D2322" s="168"/>
    </row>
    <row r="2323" spans="4:4">
      <c r="D2323" s="168"/>
    </row>
    <row r="2324" spans="4:4">
      <c r="D2324" s="168"/>
    </row>
    <row r="2325" spans="4:4">
      <c r="D2325" s="168"/>
    </row>
    <row r="2326" spans="4:4">
      <c r="D2326" s="168"/>
    </row>
    <row r="2327" spans="4:4">
      <c r="D2327" s="168"/>
    </row>
    <row r="2328" spans="4:4">
      <c r="D2328" s="168"/>
    </row>
    <row r="2329" spans="4:4">
      <c r="D2329" s="168"/>
    </row>
    <row r="2330" spans="4:4">
      <c r="D2330" s="168"/>
    </row>
    <row r="2331" spans="4:4">
      <c r="D2331" s="168"/>
    </row>
    <row r="2332" spans="4:4">
      <c r="D2332" s="168"/>
    </row>
    <row r="2333" spans="4:4">
      <c r="D2333" s="168"/>
    </row>
    <row r="2334" spans="4:4">
      <c r="D2334" s="168"/>
    </row>
    <row r="2335" spans="4:4">
      <c r="D2335" s="168"/>
    </row>
    <row r="2336" spans="4:4">
      <c r="D2336" s="168"/>
    </row>
    <row r="2337" spans="4:4">
      <c r="D2337" s="168"/>
    </row>
    <row r="2338" spans="4:4">
      <c r="D2338" s="168"/>
    </row>
    <row r="2339" spans="4:4">
      <c r="D2339" s="168"/>
    </row>
    <row r="2340" spans="4:4">
      <c r="D2340" s="168"/>
    </row>
    <row r="2341" spans="4:4">
      <c r="D2341" s="168"/>
    </row>
    <row r="2342" spans="4:4">
      <c r="D2342" s="168"/>
    </row>
    <row r="2343" spans="4:4">
      <c r="D2343" s="168"/>
    </row>
    <row r="2344" spans="4:4">
      <c r="D2344" s="168"/>
    </row>
    <row r="2345" spans="4:4">
      <c r="D2345" s="168"/>
    </row>
    <row r="2346" spans="4:4">
      <c r="D2346" s="168"/>
    </row>
    <row r="2347" spans="4:4">
      <c r="D2347" s="168"/>
    </row>
    <row r="2348" spans="4:4">
      <c r="D2348" s="168"/>
    </row>
    <row r="2349" spans="4:4">
      <c r="D2349" s="168"/>
    </row>
    <row r="2350" spans="4:4">
      <c r="D2350" s="168"/>
    </row>
    <row r="2351" spans="4:4">
      <c r="D2351" s="168"/>
    </row>
    <row r="2352" spans="4:4">
      <c r="D2352" s="168"/>
    </row>
    <row r="2353" spans="4:4">
      <c r="D2353" s="168"/>
    </row>
    <row r="2354" spans="4:4">
      <c r="D2354" s="168"/>
    </row>
    <row r="2355" spans="4:4">
      <c r="D2355" s="168"/>
    </row>
    <row r="2356" spans="4:4">
      <c r="D2356" s="168"/>
    </row>
    <row r="2357" spans="4:4">
      <c r="D2357" s="168"/>
    </row>
    <row r="2358" spans="4:4">
      <c r="D2358" s="168"/>
    </row>
    <row r="2359" spans="4:4">
      <c r="D2359" s="168"/>
    </row>
    <row r="2360" spans="4:4">
      <c r="D2360" s="168"/>
    </row>
    <row r="2361" spans="4:4">
      <c r="D2361" s="168"/>
    </row>
    <row r="2362" spans="4:4">
      <c r="D2362" s="168"/>
    </row>
    <row r="2363" spans="4:4">
      <c r="D2363" s="168"/>
    </row>
    <row r="2364" spans="4:4">
      <c r="D2364" s="168"/>
    </row>
    <row r="2365" spans="4:4">
      <c r="D2365" s="168"/>
    </row>
    <row r="2366" spans="4:4">
      <c r="D2366" s="168"/>
    </row>
    <row r="2367" spans="4:4">
      <c r="D2367" s="168"/>
    </row>
    <row r="2368" spans="4:4">
      <c r="D2368" s="168"/>
    </row>
    <row r="2369" spans="4:4">
      <c r="D2369" s="168"/>
    </row>
    <row r="2370" spans="4:4">
      <c r="D2370" s="168"/>
    </row>
    <row r="2371" spans="4:4">
      <c r="D2371" s="168"/>
    </row>
    <row r="2372" spans="4:4">
      <c r="D2372" s="168"/>
    </row>
    <row r="2373" spans="4:4">
      <c r="D2373" s="168"/>
    </row>
    <row r="2374" spans="4:4">
      <c r="D2374" s="168"/>
    </row>
    <row r="2375" spans="4:4">
      <c r="D2375" s="168"/>
    </row>
    <row r="2376" spans="4:4">
      <c r="D2376" s="168"/>
    </row>
    <row r="2377" spans="4:4">
      <c r="D2377" s="168"/>
    </row>
    <row r="2378" spans="4:4">
      <c r="D2378" s="168"/>
    </row>
    <row r="2379" spans="4:4">
      <c r="D2379" s="168"/>
    </row>
    <row r="2380" spans="4:4">
      <c r="D2380" s="168"/>
    </row>
    <row r="2381" spans="4:4">
      <c r="D2381" s="168"/>
    </row>
    <row r="2382" spans="4:4">
      <c r="D2382" s="168"/>
    </row>
    <row r="2383" spans="4:4">
      <c r="D2383" s="168"/>
    </row>
    <row r="2384" spans="4:4">
      <c r="D2384" s="168"/>
    </row>
    <row r="2385" spans="4:4">
      <c r="D2385" s="168"/>
    </row>
    <row r="2386" spans="4:4">
      <c r="D2386" s="168"/>
    </row>
    <row r="2387" spans="4:4">
      <c r="D2387" s="168"/>
    </row>
    <row r="2388" spans="4:4">
      <c r="D2388" s="168"/>
    </row>
    <row r="2389" spans="4:4">
      <c r="D2389" s="168"/>
    </row>
    <row r="2390" spans="4:4">
      <c r="D2390" s="168"/>
    </row>
    <row r="2391" spans="4:4">
      <c r="D2391" s="168"/>
    </row>
    <row r="2392" spans="4:4">
      <c r="D2392" s="168"/>
    </row>
    <row r="2393" spans="4:4">
      <c r="D2393" s="168"/>
    </row>
    <row r="2394" spans="4:4">
      <c r="D2394" s="168"/>
    </row>
    <row r="2395" spans="4:4">
      <c r="D2395" s="168"/>
    </row>
    <row r="2396" spans="4:4">
      <c r="D2396" s="168"/>
    </row>
    <row r="2397" spans="4:4">
      <c r="D2397" s="168"/>
    </row>
    <row r="2398" spans="4:4">
      <c r="D2398" s="168"/>
    </row>
    <row r="2399" spans="4:4">
      <c r="D2399" s="168"/>
    </row>
    <row r="2400" spans="4:4">
      <c r="D2400" s="168"/>
    </row>
    <row r="2401" spans="4:4">
      <c r="D2401" s="168"/>
    </row>
    <row r="2402" spans="4:4">
      <c r="D2402" s="168"/>
    </row>
    <row r="2403" spans="4:4">
      <c r="D2403" s="168"/>
    </row>
    <row r="2404" spans="4:4">
      <c r="D2404" s="168"/>
    </row>
    <row r="2405" spans="4:4">
      <c r="D2405" s="168"/>
    </row>
    <row r="2406" spans="4:4">
      <c r="D2406" s="168"/>
    </row>
    <row r="2407" spans="4:4">
      <c r="D2407" s="168"/>
    </row>
    <row r="2408" spans="4:4">
      <c r="D2408" s="168"/>
    </row>
    <row r="2409" spans="4:4">
      <c r="D2409" s="168"/>
    </row>
    <row r="2410" spans="4:4">
      <c r="D2410" s="168"/>
    </row>
    <row r="2411" spans="4:4">
      <c r="D2411" s="168"/>
    </row>
    <row r="2412" spans="4:4">
      <c r="D2412" s="168"/>
    </row>
    <row r="2413" spans="4:4">
      <c r="D2413" s="168"/>
    </row>
    <row r="2414" spans="4:4">
      <c r="D2414" s="168"/>
    </row>
    <row r="2415" spans="4:4">
      <c r="D2415" s="168"/>
    </row>
    <row r="2416" spans="4:4">
      <c r="D2416" s="168"/>
    </row>
    <row r="2417" spans="4:4">
      <c r="D2417" s="168"/>
    </row>
    <row r="2418" spans="4:4">
      <c r="D2418" s="168"/>
    </row>
    <row r="2419" spans="4:4">
      <c r="D2419" s="168"/>
    </row>
    <row r="2420" spans="4:4">
      <c r="D2420" s="168"/>
    </row>
    <row r="2421" spans="4:4">
      <c r="D2421" s="168"/>
    </row>
    <row r="2422" spans="4:4">
      <c r="D2422" s="168"/>
    </row>
    <row r="2423" spans="4:4">
      <c r="D2423" s="168"/>
    </row>
    <row r="2424" spans="4:4">
      <c r="D2424" s="168"/>
    </row>
    <row r="2425" spans="4:4">
      <c r="D2425" s="168"/>
    </row>
    <row r="2426" spans="4:4">
      <c r="D2426" s="168"/>
    </row>
    <row r="2427" spans="4:4">
      <c r="D2427" s="168"/>
    </row>
    <row r="2428" spans="4:4">
      <c r="D2428" s="168"/>
    </row>
    <row r="2429" spans="4:4">
      <c r="D2429" s="168"/>
    </row>
    <row r="2430" spans="4:4">
      <c r="D2430" s="168"/>
    </row>
    <row r="2431" spans="4:4">
      <c r="D2431" s="168"/>
    </row>
    <row r="2432" spans="4:4">
      <c r="D2432" s="168"/>
    </row>
    <row r="2433" spans="4:4">
      <c r="D2433" s="168"/>
    </row>
    <row r="2434" spans="4:4">
      <c r="D2434" s="168"/>
    </row>
    <row r="2435" spans="4:4">
      <c r="D2435" s="168"/>
    </row>
    <row r="2436" spans="4:4">
      <c r="D2436" s="168"/>
    </row>
    <row r="2437" spans="4:4">
      <c r="D2437" s="168"/>
    </row>
    <row r="2438" spans="4:4">
      <c r="D2438" s="168"/>
    </row>
    <row r="2439" spans="4:4">
      <c r="D2439" s="168"/>
    </row>
    <row r="2440" spans="4:4">
      <c r="D2440" s="168"/>
    </row>
    <row r="2441" spans="4:4">
      <c r="D2441" s="168"/>
    </row>
    <row r="2442" spans="4:4">
      <c r="D2442" s="168"/>
    </row>
    <row r="2443" spans="4:4">
      <c r="D2443" s="168"/>
    </row>
    <row r="2444" spans="4:4">
      <c r="D2444" s="168"/>
    </row>
    <row r="2445" spans="4:4">
      <c r="D2445" s="168"/>
    </row>
    <row r="2446" spans="4:4">
      <c r="D2446" s="168"/>
    </row>
    <row r="2447" spans="4:4">
      <c r="D2447" s="168"/>
    </row>
    <row r="2448" spans="4:4">
      <c r="D2448" s="168"/>
    </row>
    <row r="2449" spans="4:4">
      <c r="D2449" s="168"/>
    </row>
    <row r="2450" spans="4:4">
      <c r="D2450" s="168"/>
    </row>
    <row r="2451" spans="4:4">
      <c r="D2451" s="168"/>
    </row>
    <row r="2452" spans="4:4">
      <c r="D2452" s="168"/>
    </row>
    <row r="2453" spans="4:4">
      <c r="D2453" s="168"/>
    </row>
    <row r="2454" spans="4:4">
      <c r="D2454" s="168"/>
    </row>
    <row r="2455" spans="4:4">
      <c r="D2455" s="168"/>
    </row>
    <row r="2456" spans="4:4">
      <c r="D2456" s="168"/>
    </row>
    <row r="2457" spans="4:4">
      <c r="D2457" s="168"/>
    </row>
    <row r="2458" spans="4:4">
      <c r="D2458" s="168"/>
    </row>
    <row r="2459" spans="4:4">
      <c r="D2459" s="168"/>
    </row>
    <row r="2460" spans="4:4">
      <c r="D2460" s="168"/>
    </row>
    <row r="2461" spans="4:4">
      <c r="D2461" s="168"/>
    </row>
    <row r="2462" spans="4:4">
      <c r="D2462" s="168"/>
    </row>
    <row r="2463" spans="4:4">
      <c r="D2463" s="168"/>
    </row>
    <row r="2464" spans="4:4">
      <c r="D2464" s="168"/>
    </row>
    <row r="2465" spans="4:4">
      <c r="D2465" s="168"/>
    </row>
    <row r="2466" spans="4:4">
      <c r="D2466" s="168"/>
    </row>
    <row r="2467" spans="4:4">
      <c r="D2467" s="168"/>
    </row>
    <row r="2468" spans="4:4">
      <c r="D2468" s="168"/>
    </row>
    <row r="2469" spans="4:4">
      <c r="D2469" s="168"/>
    </row>
    <row r="2470" spans="4:4">
      <c r="D2470" s="168"/>
    </row>
    <row r="2471" spans="4:4">
      <c r="D2471" s="168"/>
    </row>
    <row r="2472" spans="4:4">
      <c r="D2472" s="168"/>
    </row>
    <row r="2473" spans="4:4">
      <c r="D2473" s="168"/>
    </row>
    <row r="2474" spans="4:4">
      <c r="D2474" s="168"/>
    </row>
    <row r="2475" spans="4:4">
      <c r="D2475" s="168"/>
    </row>
    <row r="2476" spans="4:4">
      <c r="D2476" s="168"/>
    </row>
    <row r="2477" spans="4:4">
      <c r="D2477" s="168"/>
    </row>
    <row r="2478" spans="4:4">
      <c r="D2478" s="168"/>
    </row>
    <row r="2479" spans="4:4">
      <c r="D2479" s="168"/>
    </row>
    <row r="2480" spans="4:4">
      <c r="D2480" s="168"/>
    </row>
    <row r="2481" spans="4:4">
      <c r="D2481" s="168"/>
    </row>
    <row r="2482" spans="4:4">
      <c r="D2482" s="168"/>
    </row>
    <row r="2483" spans="4:4">
      <c r="D2483" s="168"/>
    </row>
    <row r="2484" spans="4:4">
      <c r="D2484" s="168"/>
    </row>
    <row r="2485" spans="4:4">
      <c r="D2485" s="168"/>
    </row>
    <row r="2486" spans="4:4">
      <c r="D2486" s="168"/>
    </row>
    <row r="2487" spans="4:4">
      <c r="D2487" s="168"/>
    </row>
    <row r="2488" spans="4:4">
      <c r="D2488" s="168"/>
    </row>
    <row r="2489" spans="4:4">
      <c r="D2489" s="168"/>
    </row>
    <row r="2490" spans="4:4">
      <c r="D2490" s="168"/>
    </row>
    <row r="2491" spans="4:4">
      <c r="D2491" s="168"/>
    </row>
    <row r="2492" spans="4:4">
      <c r="D2492" s="168"/>
    </row>
    <row r="2493" spans="4:4">
      <c r="D2493" s="168"/>
    </row>
    <row r="2494" spans="4:4">
      <c r="D2494" s="168"/>
    </row>
    <row r="2495" spans="4:4">
      <c r="D2495" s="168"/>
    </row>
    <row r="2496" spans="4:4">
      <c r="D2496" s="168"/>
    </row>
    <row r="2497" spans="4:4">
      <c r="D2497" s="168"/>
    </row>
    <row r="2498" spans="4:4">
      <c r="D2498" s="168"/>
    </row>
    <row r="2499" spans="4:4">
      <c r="D2499" s="168"/>
    </row>
    <row r="2500" spans="4:4">
      <c r="D2500" s="168"/>
    </row>
    <row r="2501" spans="4:4">
      <c r="D2501" s="168"/>
    </row>
    <row r="2502" spans="4:4">
      <c r="D2502" s="168"/>
    </row>
    <row r="2503" spans="4:4">
      <c r="D2503" s="168"/>
    </row>
    <row r="2504" spans="4:4">
      <c r="D2504" s="168"/>
    </row>
    <row r="2505" spans="4:4">
      <c r="D2505" s="168"/>
    </row>
    <row r="2506" spans="4:4">
      <c r="D2506" s="168"/>
    </row>
    <row r="2507" spans="4:4">
      <c r="D2507" s="168"/>
    </row>
    <row r="2508" spans="4:4">
      <c r="D2508" s="168"/>
    </row>
    <row r="2509" spans="4:4">
      <c r="D2509" s="168"/>
    </row>
    <row r="2510" spans="4:4">
      <c r="D2510" s="168"/>
    </row>
    <row r="2511" spans="4:4">
      <c r="D2511" s="168"/>
    </row>
    <row r="2512" spans="4:4">
      <c r="D2512" s="168"/>
    </row>
    <row r="2513" spans="4:4">
      <c r="D2513" s="168"/>
    </row>
    <row r="2514" spans="4:4">
      <c r="D2514" s="168"/>
    </row>
    <row r="2515" spans="4:4">
      <c r="D2515" s="168"/>
    </row>
    <row r="2516" spans="4:4">
      <c r="D2516" s="168"/>
    </row>
    <row r="2517" spans="4:4">
      <c r="D2517" s="168"/>
    </row>
    <row r="2518" spans="4:4">
      <c r="D2518" s="168"/>
    </row>
    <row r="2519" spans="4:4">
      <c r="D2519" s="168"/>
    </row>
    <row r="2520" spans="4:4">
      <c r="D2520" s="168"/>
    </row>
    <row r="2521" spans="4:4">
      <c r="D2521" s="168"/>
    </row>
    <row r="2522" spans="4:4">
      <c r="D2522" s="168"/>
    </row>
    <row r="2523" spans="4:4">
      <c r="D2523" s="168"/>
    </row>
    <row r="2524" spans="4:4">
      <c r="D2524" s="168"/>
    </row>
    <row r="2525" spans="4:4">
      <c r="D2525" s="168"/>
    </row>
    <row r="2526" spans="4:4">
      <c r="D2526" s="168"/>
    </row>
    <row r="2527" spans="4:4">
      <c r="D2527" s="168"/>
    </row>
    <row r="2528" spans="4:4">
      <c r="D2528" s="168"/>
    </row>
    <row r="2529" spans="4:4">
      <c r="D2529" s="168"/>
    </row>
    <row r="2530" spans="4:4">
      <c r="D2530" s="168"/>
    </row>
    <row r="2531" spans="4:4">
      <c r="D2531" s="168"/>
    </row>
    <row r="2532" spans="4:4">
      <c r="D2532" s="168"/>
    </row>
    <row r="2533" spans="4:4">
      <c r="D2533" s="168"/>
    </row>
    <row r="2534" spans="4:4">
      <c r="D2534" s="168"/>
    </row>
    <row r="2535" spans="4:4">
      <c r="D2535" s="168"/>
    </row>
    <row r="2536" spans="4:4">
      <c r="D2536" s="168"/>
    </row>
    <row r="2537" spans="4:4">
      <c r="D2537" s="168"/>
    </row>
    <row r="2538" spans="4:4">
      <c r="D2538" s="168"/>
    </row>
    <row r="2539" spans="4:4">
      <c r="D2539" s="168"/>
    </row>
    <row r="2540" spans="4:4">
      <c r="D2540" s="168"/>
    </row>
    <row r="2541" spans="4:4">
      <c r="D2541" s="168"/>
    </row>
    <row r="2542" spans="4:4">
      <c r="D2542" s="168"/>
    </row>
    <row r="2543" spans="4:4">
      <c r="D2543" s="168"/>
    </row>
    <row r="2544" spans="4:4">
      <c r="D2544" s="168"/>
    </row>
    <row r="2545" spans="4:4">
      <c r="D2545" s="168"/>
    </row>
    <row r="2546" spans="4:4">
      <c r="D2546" s="168"/>
    </row>
    <row r="2547" spans="4:4">
      <c r="D2547" s="168"/>
    </row>
    <row r="2548" spans="4:4">
      <c r="D2548" s="168"/>
    </row>
    <row r="2549" spans="4:4">
      <c r="D2549" s="168"/>
    </row>
    <row r="2550" spans="4:4">
      <c r="D2550" s="168"/>
    </row>
    <row r="2551" spans="4:4">
      <c r="D2551" s="168"/>
    </row>
    <row r="2552" spans="4:4">
      <c r="D2552" s="168"/>
    </row>
    <row r="2553" spans="4:4">
      <c r="D2553" s="168"/>
    </row>
    <row r="2554" spans="4:4">
      <c r="D2554" s="168"/>
    </row>
    <row r="2555" spans="4:4">
      <c r="D2555" s="168"/>
    </row>
    <row r="2556" spans="4:4">
      <c r="D2556" s="168"/>
    </row>
    <row r="2557" spans="4:4">
      <c r="D2557" s="168"/>
    </row>
    <row r="2558" spans="4:4">
      <c r="D2558" s="168"/>
    </row>
    <row r="2559" spans="4:4">
      <c r="D2559" s="168"/>
    </row>
    <row r="2560" spans="4:4">
      <c r="D2560" s="168"/>
    </row>
    <row r="2561" spans="4:4">
      <c r="D2561" s="168"/>
    </row>
    <row r="2562" spans="4:4">
      <c r="D2562" s="168"/>
    </row>
    <row r="2563" spans="4:4">
      <c r="D2563" s="168"/>
    </row>
    <row r="2564" spans="4:4">
      <c r="D2564" s="168"/>
    </row>
    <row r="2565" spans="4:4">
      <c r="D2565" s="168"/>
    </row>
    <row r="2566" spans="4:4">
      <c r="D2566" s="168"/>
    </row>
    <row r="2567" spans="4:4">
      <c r="D2567" s="168"/>
    </row>
    <row r="2568" spans="4:4">
      <c r="D2568" s="168"/>
    </row>
    <row r="2569" spans="4:4">
      <c r="D2569" s="168"/>
    </row>
    <row r="2570" spans="4:4">
      <c r="D2570" s="168"/>
    </row>
    <row r="2571" spans="4:4">
      <c r="D2571" s="168"/>
    </row>
    <row r="2572" spans="4:4">
      <c r="D2572" s="168"/>
    </row>
    <row r="2573" spans="4:4">
      <c r="D2573" s="168"/>
    </row>
    <row r="2574" spans="4:4">
      <c r="D2574" s="168"/>
    </row>
    <row r="2575" spans="4:4">
      <c r="D2575" s="168"/>
    </row>
    <row r="2576" spans="4:4">
      <c r="D2576" s="168"/>
    </row>
    <row r="2577" spans="4:4">
      <c r="D2577" s="168"/>
    </row>
    <row r="2578" spans="4:4">
      <c r="D2578" s="168"/>
    </row>
    <row r="2579" spans="4:4">
      <c r="D2579" s="168"/>
    </row>
    <row r="2580" spans="4:4">
      <c r="D2580" s="168"/>
    </row>
    <row r="2581" spans="4:4">
      <c r="D2581" s="168"/>
    </row>
    <row r="2582" spans="4:4">
      <c r="D2582" s="168"/>
    </row>
    <row r="2583" spans="4:4">
      <c r="D2583" s="168"/>
    </row>
    <row r="2584" spans="4:4">
      <c r="D2584" s="168"/>
    </row>
    <row r="2585" spans="4:4">
      <c r="D2585" s="168"/>
    </row>
    <row r="2586" spans="4:4">
      <c r="D2586" s="168"/>
    </row>
    <row r="2587" spans="4:4">
      <c r="D2587" s="168"/>
    </row>
    <row r="2588" spans="4:4">
      <c r="D2588" s="168"/>
    </row>
    <row r="2589" spans="4:4">
      <c r="D2589" s="168"/>
    </row>
    <row r="2590" spans="4:4">
      <c r="D2590" s="168"/>
    </row>
    <row r="2591" spans="4:4">
      <c r="D2591" s="168"/>
    </row>
    <row r="2592" spans="4:4">
      <c r="D2592" s="168"/>
    </row>
    <row r="2593" spans="4:4">
      <c r="D2593" s="168"/>
    </row>
    <row r="2594" spans="4:4">
      <c r="D2594" s="168"/>
    </row>
    <row r="2595" spans="4:4">
      <c r="D2595" s="168"/>
    </row>
    <row r="2596" spans="4:4">
      <c r="D2596" s="168"/>
    </row>
    <row r="2597" spans="4:4">
      <c r="D2597" s="168"/>
    </row>
    <row r="2598" spans="4:4">
      <c r="D2598" s="168"/>
    </row>
    <row r="2599" spans="4:4">
      <c r="D2599" s="168"/>
    </row>
    <row r="2600" spans="4:4">
      <c r="D2600" s="168"/>
    </row>
    <row r="2601" spans="4:4">
      <c r="D2601" s="168"/>
    </row>
    <row r="2602" spans="4:4">
      <c r="D2602" s="168"/>
    </row>
    <row r="2603" spans="4:4">
      <c r="D2603" s="168"/>
    </row>
    <row r="2604" spans="4:4">
      <c r="D2604" s="168"/>
    </row>
    <row r="2605" spans="4:4">
      <c r="D2605" s="168"/>
    </row>
    <row r="2606" spans="4:4">
      <c r="D2606" s="168"/>
    </row>
    <row r="2607" spans="4:4">
      <c r="D2607" s="168"/>
    </row>
    <row r="2608" spans="4:4">
      <c r="D2608" s="168"/>
    </row>
    <row r="2609" spans="4:4">
      <c r="D2609" s="168"/>
    </row>
    <row r="2610" spans="4:4">
      <c r="D2610" s="168"/>
    </row>
    <row r="2611" spans="4:4">
      <c r="D2611" s="168"/>
    </row>
    <row r="2612" spans="4:4">
      <c r="D2612" s="168"/>
    </row>
    <row r="2613" spans="4:4">
      <c r="D2613" s="168"/>
    </row>
    <row r="2614" spans="4:4">
      <c r="D2614" s="168"/>
    </row>
    <row r="2615" spans="4:4">
      <c r="D2615" s="168"/>
    </row>
    <row r="2616" spans="4:4">
      <c r="D2616" s="168"/>
    </row>
    <row r="2617" spans="4:4">
      <c r="D2617" s="168"/>
    </row>
    <row r="2618" spans="4:4">
      <c r="D2618" s="168"/>
    </row>
    <row r="2619" spans="4:4">
      <c r="D2619" s="168"/>
    </row>
    <row r="2620" spans="4:4">
      <c r="D2620" s="168"/>
    </row>
    <row r="2621" spans="4:4">
      <c r="D2621" s="168"/>
    </row>
    <row r="2622" spans="4:4">
      <c r="D2622" s="168"/>
    </row>
    <row r="2623" spans="4:4">
      <c r="D2623" s="168"/>
    </row>
    <row r="2624" spans="4:4">
      <c r="D2624" s="168"/>
    </row>
    <row r="2625" spans="4:4">
      <c r="D2625" s="168"/>
    </row>
    <row r="2626" spans="4:4">
      <c r="D2626" s="168"/>
    </row>
    <row r="2627" spans="4:4">
      <c r="D2627" s="168"/>
    </row>
    <row r="2628" spans="4:4">
      <c r="D2628" s="168"/>
    </row>
    <row r="2629" spans="4:4">
      <c r="D2629" s="168"/>
    </row>
    <row r="2630" spans="4:4">
      <c r="D2630" s="168"/>
    </row>
    <row r="2631" spans="4:4">
      <c r="D2631" s="168"/>
    </row>
    <row r="2632" spans="4:4">
      <c r="D2632" s="168"/>
    </row>
    <row r="2633" spans="4:4">
      <c r="D2633" s="168"/>
    </row>
    <row r="2634" spans="4:4">
      <c r="D2634" s="168"/>
    </row>
    <row r="2635" spans="4:4">
      <c r="D2635" s="168"/>
    </row>
    <row r="2636" spans="4:4">
      <c r="D2636" s="168"/>
    </row>
    <row r="2637" spans="4:4">
      <c r="D2637" s="168"/>
    </row>
    <row r="2638" spans="4:4">
      <c r="D2638" s="168"/>
    </row>
    <row r="2639" spans="4:4">
      <c r="D2639" s="168"/>
    </row>
    <row r="2640" spans="4:4">
      <c r="D2640" s="168"/>
    </row>
    <row r="2641" spans="4:4">
      <c r="D2641" s="168"/>
    </row>
    <row r="2642" spans="4:4">
      <c r="D2642" s="168"/>
    </row>
    <row r="2643" spans="4:4">
      <c r="D2643" s="168"/>
    </row>
    <row r="2644" spans="4:4">
      <c r="D2644" s="168"/>
    </row>
    <row r="2645" spans="4:4">
      <c r="D2645" s="168"/>
    </row>
    <row r="2646" spans="4:4">
      <c r="D2646" s="168"/>
    </row>
    <row r="2647" spans="4:4">
      <c r="D2647" s="168"/>
    </row>
    <row r="2648" spans="4:4">
      <c r="D2648" s="168"/>
    </row>
    <row r="2649" spans="4:4">
      <c r="D2649" s="168"/>
    </row>
    <row r="2650" spans="4:4">
      <c r="D2650" s="168"/>
    </row>
    <row r="2651" spans="4:4">
      <c r="D2651" s="168"/>
    </row>
    <row r="2652" spans="4:4">
      <c r="D2652" s="168"/>
    </row>
    <row r="2653" spans="4:4">
      <c r="D2653" s="168"/>
    </row>
    <row r="2654" spans="4:4">
      <c r="D2654" s="168"/>
    </row>
    <row r="2655" spans="4:4">
      <c r="D2655" s="168"/>
    </row>
    <row r="2656" spans="4:4">
      <c r="D2656" s="168"/>
    </row>
    <row r="2657" spans="4:4">
      <c r="D2657" s="168"/>
    </row>
    <row r="2658" spans="4:4">
      <c r="D2658" s="168"/>
    </row>
    <row r="2659" spans="4:4">
      <c r="D2659" s="168"/>
    </row>
    <row r="2660" spans="4:4">
      <c r="D2660" s="168"/>
    </row>
    <row r="2661" spans="4:4">
      <c r="D2661" s="168"/>
    </row>
    <row r="2662" spans="4:4">
      <c r="D2662" s="168"/>
    </row>
    <row r="2663" spans="4:4">
      <c r="D2663" s="168"/>
    </row>
    <row r="2664" spans="4:4">
      <c r="D2664" s="168"/>
    </row>
    <row r="2665" spans="4:4">
      <c r="D2665" s="168"/>
    </row>
    <row r="2666" spans="4:4">
      <c r="D2666" s="168"/>
    </row>
    <row r="2667" spans="4:4">
      <c r="D2667" s="168"/>
    </row>
    <row r="2668" spans="4:4">
      <c r="D2668" s="168"/>
    </row>
    <row r="2669" spans="4:4">
      <c r="D2669" s="168"/>
    </row>
    <row r="2670" spans="4:4">
      <c r="D2670" s="168"/>
    </row>
    <row r="2671" spans="4:4">
      <c r="D2671" s="168"/>
    </row>
    <row r="2672" spans="4:4">
      <c r="D2672" s="168"/>
    </row>
    <row r="2673" spans="4:4">
      <c r="D2673" s="168"/>
    </row>
    <row r="2674" spans="4:4">
      <c r="D2674" s="168"/>
    </row>
    <row r="2675" spans="4:4">
      <c r="D2675" s="168"/>
    </row>
    <row r="2676" spans="4:4">
      <c r="D2676" s="168"/>
    </row>
    <row r="2677" spans="4:4">
      <c r="D2677" s="168"/>
    </row>
    <row r="2678" spans="4:4">
      <c r="D2678" s="168"/>
    </row>
    <row r="2679" spans="4:4">
      <c r="D2679" s="168"/>
    </row>
    <row r="2680" spans="4:4">
      <c r="D2680" s="168"/>
    </row>
    <row r="2681" spans="4:4">
      <c r="D2681" s="168"/>
    </row>
    <row r="2682" spans="4:4">
      <c r="D2682" s="168"/>
    </row>
    <row r="2683" spans="4:4">
      <c r="D2683" s="168"/>
    </row>
    <row r="2684" spans="4:4">
      <c r="D2684" s="168"/>
    </row>
    <row r="2685" spans="4:4">
      <c r="D2685" s="168"/>
    </row>
    <row r="2686" spans="4:4">
      <c r="D2686" s="168"/>
    </row>
    <row r="2687" spans="4:4">
      <c r="D2687" s="168"/>
    </row>
    <row r="2688" spans="4:4">
      <c r="D2688" s="168"/>
    </row>
    <row r="2689" spans="4:4">
      <c r="D2689" s="168"/>
    </row>
    <row r="2690" spans="4:4">
      <c r="D2690" s="168"/>
    </row>
    <row r="2691" spans="4:4">
      <c r="D2691" s="168"/>
    </row>
    <row r="2692" spans="4:4">
      <c r="D2692" s="168"/>
    </row>
    <row r="2693" spans="4:4">
      <c r="D2693" s="168"/>
    </row>
    <row r="2694" spans="4:4">
      <c r="D2694" s="168"/>
    </row>
    <row r="2695" spans="4:4">
      <c r="D2695" s="168"/>
    </row>
    <row r="2696" spans="4:4">
      <c r="D2696" s="168"/>
    </row>
    <row r="2697" spans="4:4">
      <c r="D2697" s="168"/>
    </row>
    <row r="2698" spans="4:4">
      <c r="D2698" s="168"/>
    </row>
    <row r="2699" spans="4:4">
      <c r="D2699" s="168"/>
    </row>
    <row r="2700" spans="4:4">
      <c r="D2700" s="168"/>
    </row>
    <row r="2701" spans="4:4">
      <c r="D2701" s="168"/>
    </row>
    <row r="2702" spans="4:4">
      <c r="D2702" s="168"/>
    </row>
    <row r="2703" spans="4:4">
      <c r="D2703" s="168"/>
    </row>
    <row r="2704" spans="4:4">
      <c r="D2704" s="168"/>
    </row>
    <row r="2705" spans="4:4">
      <c r="D2705" s="168"/>
    </row>
    <row r="2706" spans="4:4">
      <c r="D2706" s="168"/>
    </row>
    <row r="2707" spans="4:4">
      <c r="D2707" s="168"/>
    </row>
    <row r="2708" spans="4:4">
      <c r="D2708" s="168"/>
    </row>
    <row r="2709" spans="4:4">
      <c r="D2709" s="168"/>
    </row>
    <row r="2710" spans="4:4">
      <c r="D2710" s="168"/>
    </row>
    <row r="2711" spans="4:4">
      <c r="D2711" s="168"/>
    </row>
    <row r="2712" spans="4:4">
      <c r="D2712" s="168"/>
    </row>
    <row r="2713" spans="4:4">
      <c r="D2713" s="168"/>
    </row>
    <row r="2714" spans="4:4">
      <c r="D2714" s="168"/>
    </row>
    <row r="2715" spans="4:4">
      <c r="D2715" s="168"/>
    </row>
    <row r="2716" spans="4:4">
      <c r="D2716" s="168"/>
    </row>
    <row r="2717" spans="4:4">
      <c r="D2717" s="168"/>
    </row>
    <row r="2718" spans="4:4">
      <c r="D2718" s="168"/>
    </row>
    <row r="2719" spans="4:4">
      <c r="D2719" s="168"/>
    </row>
    <row r="2720" spans="4:4">
      <c r="D2720" s="168"/>
    </row>
    <row r="2721" spans="4:4">
      <c r="D2721" s="168"/>
    </row>
    <row r="2722" spans="4:4">
      <c r="D2722" s="168"/>
    </row>
    <row r="2723" spans="4:4">
      <c r="D2723" s="168"/>
    </row>
    <row r="2724" spans="4:4">
      <c r="D2724" s="168"/>
    </row>
    <row r="2725" spans="4:4">
      <c r="D2725" s="168"/>
    </row>
    <row r="2726" spans="4:4">
      <c r="D2726" s="168"/>
    </row>
    <row r="2727" spans="4:4">
      <c r="D2727" s="168"/>
    </row>
    <row r="2728" spans="4:4">
      <c r="D2728" s="168"/>
    </row>
    <row r="2729" spans="4:4">
      <c r="D2729" s="168"/>
    </row>
    <row r="2730" spans="4:4">
      <c r="D2730" s="168"/>
    </row>
    <row r="2731" spans="4:4">
      <c r="D2731" s="168"/>
    </row>
    <row r="2732" spans="4:4">
      <c r="D2732" s="168"/>
    </row>
    <row r="2733" spans="4:4">
      <c r="D2733" s="168"/>
    </row>
    <row r="2734" spans="4:4">
      <c r="D2734" s="168"/>
    </row>
    <row r="2735" spans="4:4">
      <c r="D2735" s="168"/>
    </row>
    <row r="2736" spans="4:4">
      <c r="D2736" s="168"/>
    </row>
    <row r="2737" spans="4:4">
      <c r="D2737" s="168"/>
    </row>
    <row r="2738" spans="4:4">
      <c r="D2738" s="168"/>
    </row>
    <row r="2739" spans="4:4">
      <c r="D2739" s="168"/>
    </row>
    <row r="2740" spans="4:4">
      <c r="D2740" s="168"/>
    </row>
    <row r="2741" spans="4:4">
      <c r="D2741" s="168"/>
    </row>
    <row r="2742" spans="4:4">
      <c r="D2742" s="168"/>
    </row>
    <row r="2743" spans="4:4">
      <c r="D2743" s="168"/>
    </row>
    <row r="2744" spans="4:4">
      <c r="D2744" s="168"/>
    </row>
    <row r="2745" spans="4:4">
      <c r="D2745" s="168"/>
    </row>
    <row r="2746" spans="4:4">
      <c r="D2746" s="168"/>
    </row>
    <row r="2747" spans="4:4">
      <c r="D2747" s="168"/>
    </row>
    <row r="2748" spans="4:4">
      <c r="D2748" s="168"/>
    </row>
    <row r="2749" spans="4:4">
      <c r="D2749" s="168"/>
    </row>
    <row r="2750" spans="4:4">
      <c r="D2750" s="168"/>
    </row>
    <row r="2751" spans="4:4">
      <c r="D2751" s="168"/>
    </row>
    <row r="2752" spans="4:4">
      <c r="D2752" s="168"/>
    </row>
    <row r="2753" spans="4:4">
      <c r="D2753" s="168"/>
    </row>
    <row r="2754" spans="4:4">
      <c r="D2754" s="168"/>
    </row>
    <row r="2755" spans="4:4">
      <c r="D2755" s="168"/>
    </row>
    <row r="2756" spans="4:4">
      <c r="D2756" s="168"/>
    </row>
    <row r="2757" spans="4:4">
      <c r="D2757" s="168"/>
    </row>
    <row r="2758" spans="4:4">
      <c r="D2758" s="168"/>
    </row>
    <row r="2759" spans="4:4">
      <c r="D2759" s="168"/>
    </row>
    <row r="2760" spans="4:4">
      <c r="D2760" s="168"/>
    </row>
    <row r="2761" spans="4:4">
      <c r="D2761" s="168"/>
    </row>
    <row r="2762" spans="4:4">
      <c r="D2762" s="168"/>
    </row>
    <row r="2763" spans="4:4">
      <c r="D2763" s="168"/>
    </row>
    <row r="2764" spans="4:4">
      <c r="D2764" s="168"/>
    </row>
    <row r="2765" spans="4:4">
      <c r="D2765" s="168"/>
    </row>
    <row r="2766" spans="4:4">
      <c r="D2766" s="168"/>
    </row>
    <row r="2767" spans="4:4">
      <c r="D2767" s="168"/>
    </row>
    <row r="2768" spans="4:4">
      <c r="D2768" s="168"/>
    </row>
    <row r="2769" spans="4:4">
      <c r="D2769" s="168"/>
    </row>
    <row r="2770" spans="4:4">
      <c r="D2770" s="168"/>
    </row>
    <row r="2771" spans="4:4">
      <c r="D2771" s="168"/>
    </row>
    <row r="2772" spans="4:4">
      <c r="D2772" s="168"/>
    </row>
    <row r="2773" spans="4:4">
      <c r="D2773" s="168"/>
    </row>
    <row r="2774" spans="4:4">
      <c r="D2774" s="168"/>
    </row>
    <row r="2775" spans="4:4">
      <c r="D2775" s="168"/>
    </row>
    <row r="2776" spans="4:4">
      <c r="D2776" s="168"/>
    </row>
    <row r="2777" spans="4:4">
      <c r="D2777" s="168"/>
    </row>
    <row r="2778" spans="4:4">
      <c r="D2778" s="168"/>
    </row>
    <row r="2779" spans="4:4">
      <c r="D2779" s="168"/>
    </row>
    <row r="2780" spans="4:4">
      <c r="D2780" s="168"/>
    </row>
    <row r="2781" spans="4:4">
      <c r="D2781" s="168"/>
    </row>
    <row r="2782" spans="4:4">
      <c r="D2782" s="168"/>
    </row>
    <row r="2783" spans="4:4">
      <c r="D2783" s="168"/>
    </row>
    <row r="2784" spans="4:4">
      <c r="D2784" s="168"/>
    </row>
    <row r="2785" spans="4:4">
      <c r="D2785" s="168"/>
    </row>
    <row r="2786" spans="4:4">
      <c r="D2786" s="168"/>
    </row>
    <row r="2787" spans="4:4">
      <c r="D2787" s="168"/>
    </row>
    <row r="2788" spans="4:4">
      <c r="D2788" s="168"/>
    </row>
    <row r="2789" spans="4:4">
      <c r="D2789" s="168"/>
    </row>
    <row r="2790" spans="4:4">
      <c r="D2790" s="168"/>
    </row>
    <row r="2791" spans="4:4">
      <c r="D2791" s="168"/>
    </row>
    <row r="2792" spans="4:4">
      <c r="D2792" s="168"/>
    </row>
    <row r="2793" spans="4:4">
      <c r="D2793" s="168"/>
    </row>
    <row r="2794" spans="4:4">
      <c r="D2794" s="168"/>
    </row>
    <row r="2795" spans="4:4">
      <c r="D2795" s="168"/>
    </row>
    <row r="2796" spans="4:4">
      <c r="D2796" s="168"/>
    </row>
    <row r="2797" spans="4:4">
      <c r="D2797" s="168"/>
    </row>
    <row r="2798" spans="4:4">
      <c r="D2798" s="168"/>
    </row>
    <row r="2799" spans="4:4">
      <c r="D2799" s="168"/>
    </row>
    <row r="2800" spans="4:4">
      <c r="D2800" s="168"/>
    </row>
    <row r="2801" spans="4:4">
      <c r="D2801" s="168"/>
    </row>
    <row r="2802" spans="4:4">
      <c r="D2802" s="168"/>
    </row>
    <row r="2803" spans="4:4">
      <c r="D2803" s="168"/>
    </row>
    <row r="2804" spans="4:4">
      <c r="D2804" s="168"/>
    </row>
    <row r="2805" spans="4:4">
      <c r="D2805" s="168"/>
    </row>
    <row r="2806" spans="4:4">
      <c r="D2806" s="168"/>
    </row>
    <row r="2807" spans="4:4">
      <c r="D2807" s="168"/>
    </row>
    <row r="2808" spans="4:4">
      <c r="D2808" s="168"/>
    </row>
    <row r="2809" spans="4:4">
      <c r="D2809" s="168"/>
    </row>
    <row r="2810" spans="4:4">
      <c r="D2810" s="168"/>
    </row>
    <row r="2811" spans="4:4">
      <c r="D2811" s="168"/>
    </row>
    <row r="2812" spans="4:4">
      <c r="D2812" s="168"/>
    </row>
    <row r="2813" spans="4:4">
      <c r="D2813" s="168"/>
    </row>
    <row r="2814" spans="4:4">
      <c r="D2814" s="168"/>
    </row>
    <row r="2815" spans="4:4">
      <c r="D2815" s="168"/>
    </row>
    <row r="2816" spans="4:4">
      <c r="D2816" s="168"/>
    </row>
    <row r="2817" spans="4:4">
      <c r="D2817" s="168"/>
    </row>
    <row r="2818" spans="4:4">
      <c r="D2818" s="168"/>
    </row>
    <row r="2819" spans="4:4">
      <c r="D2819" s="168"/>
    </row>
    <row r="2820" spans="4:4">
      <c r="D2820" s="168"/>
    </row>
    <row r="2821" spans="4:4">
      <c r="D2821" s="168"/>
    </row>
    <row r="2822" spans="4:4">
      <c r="D2822" s="168"/>
    </row>
    <row r="2823" spans="4:4">
      <c r="D2823" s="168"/>
    </row>
    <row r="2824" spans="4:4">
      <c r="D2824" s="168"/>
    </row>
    <row r="2825" spans="4:4">
      <c r="D2825" s="168"/>
    </row>
    <row r="2826" spans="4:4">
      <c r="D2826" s="168"/>
    </row>
    <row r="2827" spans="4:4">
      <c r="D2827" s="168"/>
    </row>
    <row r="2828" spans="4:4">
      <c r="D2828" s="168"/>
    </row>
    <row r="2829" spans="4:4">
      <c r="D2829" s="168"/>
    </row>
    <row r="2830" spans="4:4">
      <c r="D2830" s="168"/>
    </row>
    <row r="2831" spans="4:4">
      <c r="D2831" s="168"/>
    </row>
    <row r="2832" spans="4:4">
      <c r="D2832" s="168"/>
    </row>
    <row r="2833" spans="4:4">
      <c r="D2833" s="168"/>
    </row>
    <row r="2834" spans="4:4">
      <c r="D2834" s="168"/>
    </row>
    <row r="2835" spans="4:4">
      <c r="D2835" s="168"/>
    </row>
    <row r="2836" spans="4:4">
      <c r="D2836" s="168"/>
    </row>
    <row r="2837" spans="4:4">
      <c r="D2837" s="168"/>
    </row>
    <row r="2838" spans="4:4">
      <c r="D2838" s="168"/>
    </row>
    <row r="2839" spans="4:4">
      <c r="D2839" s="168"/>
    </row>
    <row r="2840" spans="4:4">
      <c r="D2840" s="168"/>
    </row>
    <row r="2841" spans="4:4">
      <c r="D2841" s="168"/>
    </row>
    <row r="2842" spans="4:4">
      <c r="D2842" s="168"/>
    </row>
    <row r="2843" spans="4:4">
      <c r="D2843" s="168"/>
    </row>
    <row r="2844" spans="4:4">
      <c r="D2844" s="168"/>
    </row>
    <row r="2845" spans="4:4">
      <c r="D2845" s="168"/>
    </row>
    <row r="2846" spans="4:4">
      <c r="D2846" s="168"/>
    </row>
    <row r="2847" spans="4:4">
      <c r="D2847" s="168"/>
    </row>
    <row r="2848" spans="4:4">
      <c r="D2848" s="168"/>
    </row>
    <row r="2849" spans="4:4">
      <c r="D2849" s="168"/>
    </row>
    <row r="2850" spans="4:4">
      <c r="D2850" s="168"/>
    </row>
    <row r="2851" spans="4:4">
      <c r="D2851" s="168"/>
    </row>
    <row r="2852" spans="4:4">
      <c r="D2852" s="168"/>
    </row>
    <row r="2853" spans="4:4">
      <c r="D2853" s="168"/>
    </row>
    <row r="2854" spans="4:4">
      <c r="D2854" s="168"/>
    </row>
    <row r="2855" spans="4:4">
      <c r="D2855" s="168"/>
    </row>
    <row r="2856" spans="4:4">
      <c r="D2856" s="168"/>
    </row>
    <row r="2857" spans="4:4">
      <c r="D2857" s="168"/>
    </row>
    <row r="2858" spans="4:4">
      <c r="D2858" s="168"/>
    </row>
    <row r="2859" spans="4:4">
      <c r="D2859" s="168"/>
    </row>
    <row r="2860" spans="4:4">
      <c r="D2860" s="168"/>
    </row>
    <row r="2861" spans="4:4">
      <c r="D2861" s="168"/>
    </row>
    <row r="2862" spans="4:4">
      <c r="D2862" s="168"/>
    </row>
    <row r="2863" spans="4:4">
      <c r="D2863" s="168"/>
    </row>
    <row r="2864" spans="4:4">
      <c r="D2864" s="168"/>
    </row>
    <row r="2865" spans="4:4">
      <c r="D2865" s="168"/>
    </row>
    <row r="2866" spans="4:4">
      <c r="D2866" s="168"/>
    </row>
    <row r="2867" spans="4:4">
      <c r="D2867" s="168"/>
    </row>
    <row r="2868" spans="4:4">
      <c r="D2868" s="168"/>
    </row>
    <row r="2869" spans="4:4">
      <c r="D2869" s="168"/>
    </row>
    <row r="2870" spans="4:4">
      <c r="D2870" s="168"/>
    </row>
    <row r="2871" spans="4:4">
      <c r="D2871" s="168"/>
    </row>
    <row r="2872" spans="4:4">
      <c r="D2872" s="168"/>
    </row>
    <row r="2873" spans="4:4">
      <c r="D2873" s="168"/>
    </row>
    <row r="2874" spans="4:4">
      <c r="D2874" s="168"/>
    </row>
    <row r="2875" spans="4:4">
      <c r="D2875" s="168"/>
    </row>
    <row r="2876" spans="4:4">
      <c r="D2876" s="168"/>
    </row>
    <row r="2877" spans="4:4">
      <c r="D2877" s="168"/>
    </row>
    <row r="2878" spans="4:4">
      <c r="D2878" s="168"/>
    </row>
    <row r="2879" spans="4:4">
      <c r="D2879" s="168"/>
    </row>
    <row r="2880" spans="4:4">
      <c r="D2880" s="168"/>
    </row>
    <row r="2881" spans="4:4">
      <c r="D2881" s="168"/>
    </row>
    <row r="2882" spans="4:4">
      <c r="D2882" s="168"/>
    </row>
    <row r="2883" spans="4:4">
      <c r="D2883" s="168"/>
    </row>
    <row r="2884" spans="4:4">
      <c r="D2884" s="168"/>
    </row>
    <row r="2885" spans="4:4">
      <c r="D2885" s="168"/>
    </row>
  </sheetData>
  <phoneticPr fontId="5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H16"/>
  <sheetViews>
    <sheetView showGridLines="0" zoomScaleNormal="100" workbookViewId="0">
      <selection activeCell="G30" sqref="G30"/>
    </sheetView>
  </sheetViews>
  <sheetFormatPr baseColWidth="10" defaultColWidth="9.1640625" defaultRowHeight="13"/>
  <cols>
    <col min="1" max="1" width="23.1640625" style="5" customWidth="1"/>
    <col min="2" max="2" width="17.6640625" style="5" customWidth="1"/>
    <col min="3" max="3" width="3" style="5" customWidth="1"/>
    <col min="4" max="4" width="54" style="5" customWidth="1"/>
    <col min="5" max="5" width="9.1640625" style="5"/>
    <col min="6" max="6" width="35.1640625" style="5" customWidth="1"/>
    <col min="7" max="16384" width="9.1640625" style="5"/>
  </cols>
  <sheetData>
    <row r="1" spans="1:8" ht="18">
      <c r="A1" s="55" t="s">
        <v>335</v>
      </c>
      <c r="B1" s="31"/>
      <c r="C1" s="31"/>
      <c r="D1" s="31"/>
      <c r="E1" s="31"/>
      <c r="F1" s="31"/>
      <c r="G1" s="31"/>
      <c r="H1" s="31"/>
    </row>
    <row r="2" spans="1:8" ht="20">
      <c r="A2" s="50" t="s">
        <v>336</v>
      </c>
      <c r="B2" s="31"/>
      <c r="C2" s="31"/>
      <c r="D2" s="50" t="s">
        <v>93</v>
      </c>
      <c r="E2" s="31"/>
      <c r="F2" s="31"/>
      <c r="G2" s="31"/>
      <c r="H2" s="31"/>
    </row>
    <row r="3" spans="1:8" ht="29.25" customHeight="1">
      <c r="A3" s="50"/>
      <c r="B3" s="31"/>
      <c r="C3" s="31"/>
      <c r="D3" s="31" t="s">
        <v>93</v>
      </c>
      <c r="E3" s="31"/>
      <c r="F3" s="31"/>
      <c r="G3" s="31"/>
      <c r="H3" s="31"/>
    </row>
    <row r="4" spans="1:8">
      <c r="A4" s="51" t="s">
        <v>337</v>
      </c>
      <c r="B4" s="107">
        <v>60</v>
      </c>
      <c r="C4" s="362"/>
      <c r="D4" s="363"/>
      <c r="E4" s="31"/>
      <c r="F4" s="76" t="s">
        <v>337</v>
      </c>
      <c r="G4" s="31"/>
      <c r="H4" s="31" t="s">
        <v>93</v>
      </c>
    </row>
    <row r="5" spans="1:8">
      <c r="A5" s="52" t="s">
        <v>338</v>
      </c>
      <c r="B5" s="107" t="s">
        <v>339</v>
      </c>
      <c r="C5" s="31"/>
      <c r="D5" s="53"/>
      <c r="E5" s="31"/>
      <c r="F5" s="77">
        <v>60</v>
      </c>
      <c r="G5" s="31"/>
      <c r="H5" s="31"/>
    </row>
    <row r="6" spans="1:8">
      <c r="A6" s="52"/>
      <c r="B6" s="31"/>
      <c r="C6" s="31"/>
      <c r="D6" s="53"/>
      <c r="E6" s="31"/>
      <c r="F6" s="77">
        <v>120</v>
      </c>
      <c r="G6" s="31"/>
      <c r="H6" s="31"/>
    </row>
    <row r="7" spans="1:8">
      <c r="A7" s="52"/>
      <c r="B7" s="31"/>
      <c r="C7" s="31"/>
      <c r="D7" s="53"/>
      <c r="E7" s="31"/>
      <c r="F7" s="76" t="s">
        <v>340</v>
      </c>
      <c r="G7" s="31"/>
      <c r="H7" s="31"/>
    </row>
    <row r="8" spans="1:8">
      <c r="A8" s="52" t="s">
        <v>341</v>
      </c>
      <c r="B8" s="306">
        <v>2.06E-2</v>
      </c>
      <c r="C8" s="31"/>
      <c r="D8" s="53" t="s">
        <v>342</v>
      </c>
      <c r="E8" s="31"/>
      <c r="F8" s="78" t="s">
        <v>343</v>
      </c>
      <c r="G8" s="31"/>
      <c r="H8" s="31"/>
    </row>
    <row r="9" spans="1:8" ht="36" customHeight="1">
      <c r="A9" s="52" t="s">
        <v>344</v>
      </c>
      <c r="B9" s="259">
        <f>IF(AND(B4=60,B5="VW"),'Beta computation'!X19,IF(AND(B4=60,B5="S&amp;P"),'Beta computation'!X21,IF(AND(B4=120,B5="VW"),'Beta computation'!X22,IF(AND(B4=120,B5="S&amp;P"),'Beta computation'!X24,0))))</f>
        <v>0.38435371351364317</v>
      </c>
      <c r="C9" s="31"/>
      <c r="D9" s="304" t="s">
        <v>345</v>
      </c>
      <c r="E9" s="415"/>
      <c r="F9" s="416"/>
      <c r="G9" s="31"/>
      <c r="H9" s="31"/>
    </row>
    <row r="10" spans="1:8">
      <c r="A10" s="52" t="s">
        <v>346</v>
      </c>
      <c r="B10" s="305">
        <v>5.5E-2</v>
      </c>
      <c r="C10" s="31"/>
      <c r="D10" s="53" t="s">
        <v>347</v>
      </c>
      <c r="E10" s="31"/>
      <c r="F10" s="78" t="s">
        <v>339</v>
      </c>
      <c r="G10" s="31"/>
      <c r="H10" s="31"/>
    </row>
    <row r="11" spans="1:8">
      <c r="A11" s="54" t="s">
        <v>348</v>
      </c>
      <c r="B11" s="307">
        <f>B8+B9*B10</f>
        <v>4.1739454243250373E-2</v>
      </c>
      <c r="C11" s="348"/>
      <c r="D11" s="364"/>
      <c r="E11" s="31"/>
      <c r="F11" s="31"/>
      <c r="G11" s="31"/>
      <c r="H11" s="31"/>
    </row>
    <row r="13" spans="1:8">
      <c r="A13" s="31" t="s">
        <v>349</v>
      </c>
      <c r="B13" s="31"/>
      <c r="C13" s="31"/>
      <c r="D13" s="31"/>
      <c r="E13" s="31"/>
      <c r="F13" s="31"/>
      <c r="G13" s="31"/>
      <c r="H13" s="31"/>
    </row>
    <row r="14" spans="1:8">
      <c r="A14" s="31" t="s">
        <v>350</v>
      </c>
      <c r="B14" s="75"/>
      <c r="C14" s="31"/>
      <c r="D14" s="31"/>
      <c r="E14" s="31"/>
      <c r="F14" s="31"/>
      <c r="G14" s="31"/>
      <c r="H14" s="31"/>
    </row>
    <row r="15" spans="1:8">
      <c r="A15" s="31" t="s">
        <v>351</v>
      </c>
      <c r="B15" s="31"/>
      <c r="C15" s="31"/>
      <c r="D15" s="31"/>
      <c r="E15" s="31"/>
      <c r="F15" s="31"/>
      <c r="G15" s="31"/>
      <c r="H15" s="31"/>
    </row>
    <row r="16" spans="1:8">
      <c r="A16" s="31" t="s">
        <v>352</v>
      </c>
      <c r="B16" s="31"/>
      <c r="C16" s="31"/>
      <c r="D16" s="31"/>
      <c r="E16" s="31"/>
      <c r="F16" s="31"/>
      <c r="G16" s="31"/>
      <c r="H16" s="31"/>
    </row>
  </sheetData>
  <mergeCells count="1">
    <mergeCell ref="E9:F9"/>
  </mergeCells>
  <dataValidations count="2">
    <dataValidation type="list" allowBlank="1" showInputMessage="1" showErrorMessage="1" promptTitle="Beta computation period, months" prompt="Select a beta computation period" sqref="B4" xr:uid="{4BF90487-E22E-40BF-9615-2C95CF4B6D70}">
      <formula1>$F$5:$F$6</formula1>
    </dataValidation>
    <dataValidation type="list" allowBlank="1" showInputMessage="1" showErrorMessage="1" promptTitle="Market index choice" prompt="Select a market index for beta computation" sqref="B5" xr:uid="{CFF94805-2F14-4A91-BBED-2B94E359B411}">
      <formula1>$F$8:$F$10</formula1>
    </dataValidation>
  </dataValidation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A1:AL748"/>
  <sheetViews>
    <sheetView showGridLines="0" zoomScale="55" zoomScaleNormal="55" workbookViewId="0">
      <pane xSplit="3" ySplit="1" topLeftCell="O2" activePane="bottomRight" state="frozen"/>
      <selection pane="topRight"/>
      <selection pane="bottomLeft"/>
      <selection pane="bottomRight" activeCell="AF19" sqref="AF19"/>
    </sheetView>
  </sheetViews>
  <sheetFormatPr baseColWidth="10" defaultColWidth="9.1640625" defaultRowHeight="14"/>
  <cols>
    <col min="1" max="1" width="10.5" style="26" customWidth="1"/>
    <col min="2" max="2" width="13.1640625" style="26" customWidth="1"/>
    <col min="3" max="4" width="12" style="26" customWidth="1"/>
    <col min="5" max="5" width="14" style="26" customWidth="1"/>
    <col min="6" max="6" width="20.1640625" style="26" customWidth="1"/>
    <col min="7" max="8" width="13" style="26" customWidth="1"/>
    <col min="9" max="9" width="21" style="26" customWidth="1"/>
    <col min="10" max="10" width="25" style="26" customWidth="1"/>
    <col min="11" max="11" width="12" style="26" customWidth="1"/>
    <col min="12" max="12" width="24.5" style="26" customWidth="1"/>
    <col min="13" max="13" width="26.5" style="26" customWidth="1"/>
    <col min="14" max="14" width="16" style="26" customWidth="1"/>
    <col min="15" max="22" width="19.33203125" style="26" customWidth="1"/>
    <col min="23" max="23" width="20" style="26" customWidth="1"/>
    <col min="24" max="24" width="15.6640625" style="26" bestFit="1" customWidth="1"/>
    <col min="25" max="25" width="14.83203125" style="26" customWidth="1"/>
    <col min="26" max="26" width="18" style="26" customWidth="1"/>
    <col min="27" max="27" width="20.6640625" style="26" bestFit="1" customWidth="1"/>
    <col min="28" max="28" width="16.33203125" style="26" customWidth="1"/>
    <col min="29" max="29" width="18.83203125" style="26" customWidth="1"/>
    <col min="30" max="30" width="10.5" style="26" bestFit="1" customWidth="1"/>
    <col min="31" max="37" width="9.1640625" style="26"/>
    <col min="38" max="38" width="15.33203125" style="26" customWidth="1"/>
    <col min="39" max="16384" width="9.1640625" style="26"/>
  </cols>
  <sheetData>
    <row r="1" spans="1:38" ht="50" customHeight="1">
      <c r="A1" s="166" t="s">
        <v>353</v>
      </c>
      <c r="B1" s="166" t="s">
        <v>354</v>
      </c>
      <c r="C1" s="166" t="s">
        <v>355</v>
      </c>
      <c r="D1" s="166" t="s">
        <v>356</v>
      </c>
      <c r="E1" s="166" t="s">
        <v>357</v>
      </c>
      <c r="F1" s="166" t="s">
        <v>358</v>
      </c>
      <c r="G1" s="166" t="s">
        <v>359</v>
      </c>
      <c r="H1" s="166" t="s">
        <v>360</v>
      </c>
      <c r="I1" s="166" t="s">
        <v>361</v>
      </c>
      <c r="J1" s="166" t="s">
        <v>362</v>
      </c>
      <c r="K1" s="166" t="s">
        <v>363</v>
      </c>
      <c r="L1" s="166" t="s">
        <v>364</v>
      </c>
      <c r="M1" s="166" t="s">
        <v>365</v>
      </c>
      <c r="N1" s="167" t="s">
        <v>366</v>
      </c>
      <c r="O1" s="4" t="s">
        <v>367</v>
      </c>
      <c r="P1" s="4" t="s">
        <v>368</v>
      </c>
      <c r="Q1" s="4" t="s">
        <v>369</v>
      </c>
      <c r="R1" s="4" t="s">
        <v>370</v>
      </c>
      <c r="S1" s="4" t="s">
        <v>371</v>
      </c>
      <c r="T1" s="4" t="s">
        <v>372</v>
      </c>
      <c r="U1" s="4" t="s">
        <v>373</v>
      </c>
      <c r="V1" s="4" t="s">
        <v>374</v>
      </c>
      <c r="W1" s="4" t="s">
        <v>375</v>
      </c>
      <c r="X1" s="4" t="s">
        <v>376</v>
      </c>
      <c r="Y1" s="4" t="s">
        <v>377</v>
      </c>
      <c r="Z1" s="4" t="s">
        <v>378</v>
      </c>
      <c r="AA1" s="4" t="s">
        <v>379</v>
      </c>
      <c r="AB1" s="4" t="s">
        <v>380</v>
      </c>
      <c r="AC1" s="4" t="s">
        <v>381</v>
      </c>
      <c r="AD1" s="28"/>
    </row>
    <row r="2" spans="1:38" ht="15">
      <c r="A2">
        <v>18163</v>
      </c>
      <c r="B2" s="168">
        <v>36922</v>
      </c>
      <c r="C2" t="s">
        <v>382</v>
      </c>
      <c r="D2" t="s">
        <v>308</v>
      </c>
      <c r="E2" t="s">
        <v>383</v>
      </c>
      <c r="F2">
        <v>21446</v>
      </c>
      <c r="G2" t="s">
        <v>382</v>
      </c>
      <c r="H2"/>
      <c r="I2">
        <v>71.839996337890625</v>
      </c>
      <c r="J2">
        <v>-7.9649448394775391E-2</v>
      </c>
      <c r="K2">
        <v>3.9575279999999997E-2</v>
      </c>
      <c r="L2">
        <v>0.22503779999999998</v>
      </c>
      <c r="M2">
        <v>3.4636590000000002E-2</v>
      </c>
      <c r="N2" s="27">
        <f>B2</f>
        <v>36922</v>
      </c>
      <c r="O2" s="110" t="str">
        <f>IF(AND(($X$12-4)&lt;=$N2,($X$13)&gt;=($N2-4)),J2," ")</f>
        <v xml:space="preserve"> </v>
      </c>
      <c r="P2" s="110" t="str">
        <f>IF(AND(($X$12-4)&lt;=$N2,($X$13)&gt;=($N2-4)),K2," ")</f>
        <v xml:space="preserve"> </v>
      </c>
      <c r="Q2" s="110" t="str">
        <f>IF(AND(($X$12-4)&lt;=$N2,($X$13)&gt;=($N2-4)),L2," ")</f>
        <v xml:space="preserve"> </v>
      </c>
      <c r="R2" s="110" t="str">
        <f>IF(AND(($X$12-4)&lt;=$N2,($X$13)&gt;=($N2-4)),M2," ")</f>
        <v xml:space="preserve"> </v>
      </c>
      <c r="S2" s="110" t="str">
        <f t="shared" ref="S2:S11" si="0">IF(AND(($X$15-4)&lt;=$N2,($X$16)&gt;=($N2-4)),J2," ")</f>
        <v xml:space="preserve"> </v>
      </c>
      <c r="T2" s="110" t="str">
        <f t="shared" ref="T2:T11" si="1">IF(AND(($X$15-4)&lt;=$N2,($X$16)&gt;=($N2-4)),K2," ")</f>
        <v xml:space="preserve"> </v>
      </c>
      <c r="U2" s="110" t="str">
        <f t="shared" ref="U2:U11" si="2">IF(AND(($X$15-4)&lt;=$N2,($X$16)&gt;=($N2-4)),L2," ")</f>
        <v xml:space="preserve"> </v>
      </c>
      <c r="V2" s="110" t="str">
        <f t="shared" ref="V2:V11" si="3">IF(AND(($X$15-4)&lt;=$N2,($X$16)&gt;=($N2-4)),M2," ")</f>
        <v xml:space="preserve"> </v>
      </c>
      <c r="W2" s="169">
        <v>44377</v>
      </c>
      <c r="X2" s="28">
        <f>MONTH(W2)</f>
        <v>6</v>
      </c>
      <c r="Y2" s="28">
        <f>DAY(W2)</f>
        <v>30</v>
      </c>
      <c r="Z2" s="28">
        <f>YEAR(W2)</f>
        <v>2021</v>
      </c>
      <c r="AA2" s="27">
        <f>DATE(Z2,X2,Y2)</f>
        <v>44377</v>
      </c>
      <c r="AB2" s="27">
        <f>DATE(Z2,(X2-1),1)</f>
        <v>44317</v>
      </c>
      <c r="AC2" s="27">
        <f>EOMONTH(AB2,0)</f>
        <v>44347</v>
      </c>
      <c r="AD2" s="27"/>
      <c r="AI2" s="131"/>
      <c r="AJ2" s="131"/>
      <c r="AK2" s="131"/>
      <c r="AL2" s="132"/>
    </row>
    <row r="3" spans="1:38" ht="17" thickBot="1">
      <c r="A3">
        <v>18163</v>
      </c>
      <c r="B3" s="168">
        <v>36950</v>
      </c>
      <c r="C3" t="s">
        <v>382</v>
      </c>
      <c r="D3" t="s">
        <v>308</v>
      </c>
      <c r="E3" t="s">
        <v>383</v>
      </c>
      <c r="F3">
        <v>21446</v>
      </c>
      <c r="G3" t="s">
        <v>382</v>
      </c>
      <c r="H3"/>
      <c r="I3">
        <v>70.5</v>
      </c>
      <c r="J3">
        <v>-1.8652511760592461E-2</v>
      </c>
      <c r="K3">
        <v>-9.9084409999999998E-2</v>
      </c>
      <c r="L3">
        <v>-7.4486560000000007E-2</v>
      </c>
      <c r="M3">
        <v>-9.229068E-2</v>
      </c>
      <c r="N3" s="27">
        <f t="shared" ref="N3:N66" si="4">B3</f>
        <v>36950</v>
      </c>
      <c r="O3" s="110" t="str">
        <f t="shared" ref="O3:O66" si="5">IF(AND(($X$12-4)&lt;=$N3,($X$13)&gt;=($N3-4)),J3," ")</f>
        <v xml:space="preserve"> </v>
      </c>
      <c r="P3" s="110" t="str">
        <f t="shared" ref="P3:P66" si="6">IF(AND(($X$12-4)&lt;=$N3,($X$13)&gt;=($N3-4)),K3," ")</f>
        <v xml:space="preserve"> </v>
      </c>
      <c r="Q3" s="110" t="str">
        <f t="shared" ref="Q3:Q66" si="7">IF(AND(($X$12-4)&lt;=$N3,($X$13)&gt;=($N3-4)),L3," ")</f>
        <v xml:space="preserve"> </v>
      </c>
      <c r="R3" s="110" t="str">
        <f t="shared" ref="R3:R66" si="8">IF(AND(($X$12-4)&lt;=$N3,($X$13)&gt;=($N3-4)),M3," ")</f>
        <v xml:space="preserve"> </v>
      </c>
      <c r="S3" s="110" t="str">
        <f t="shared" si="0"/>
        <v xml:space="preserve"> </v>
      </c>
      <c r="T3" s="110" t="str">
        <f t="shared" si="1"/>
        <v xml:space="preserve"> </v>
      </c>
      <c r="U3" s="110" t="str">
        <f t="shared" si="2"/>
        <v xml:space="preserve"> </v>
      </c>
      <c r="V3" s="110" t="str">
        <f t="shared" si="3"/>
        <v xml:space="preserve"> </v>
      </c>
      <c r="W3" s="29" t="s">
        <v>93</v>
      </c>
      <c r="Y3" s="28"/>
      <c r="Z3" s="28"/>
      <c r="AA3" s="28"/>
      <c r="AB3" s="28"/>
      <c r="AC3" s="28"/>
      <c r="AI3" s="131"/>
      <c r="AJ3" s="131"/>
      <c r="AK3" s="131"/>
      <c r="AL3" s="132"/>
    </row>
    <row r="4" spans="1:38" ht="16" thickBot="1">
      <c r="A4">
        <v>18163</v>
      </c>
      <c r="B4" s="168">
        <v>36980</v>
      </c>
      <c r="C4" t="s">
        <v>382</v>
      </c>
      <c r="D4" t="s">
        <v>308</v>
      </c>
      <c r="E4" t="s">
        <v>383</v>
      </c>
      <c r="F4">
        <v>21446</v>
      </c>
      <c r="G4" t="s">
        <v>382</v>
      </c>
      <c r="H4"/>
      <c r="I4">
        <v>62.599998474121094</v>
      </c>
      <c r="J4">
        <v>-0.11205676198005676</v>
      </c>
      <c r="K4">
        <v>-7.0408129999999999E-2</v>
      </c>
      <c r="L4">
        <v>-7.2662039999999997E-2</v>
      </c>
      <c r="M4">
        <v>-6.4204720000000007E-2</v>
      </c>
      <c r="N4" s="27">
        <f t="shared" si="4"/>
        <v>36980</v>
      </c>
      <c r="O4" s="110" t="str">
        <f t="shared" si="5"/>
        <v xml:space="preserve"> </v>
      </c>
      <c r="P4" s="110" t="str">
        <f t="shared" si="6"/>
        <v xml:space="preserve"> </v>
      </c>
      <c r="Q4" s="110" t="str">
        <f t="shared" si="7"/>
        <v xml:space="preserve"> </v>
      </c>
      <c r="R4" s="110" t="str">
        <f t="shared" si="8"/>
        <v xml:space="preserve"> </v>
      </c>
      <c r="S4" s="110" t="str">
        <f t="shared" si="0"/>
        <v xml:space="preserve"> </v>
      </c>
      <c r="T4" s="110" t="str">
        <f t="shared" si="1"/>
        <v xml:space="preserve"> </v>
      </c>
      <c r="U4" s="110" t="str">
        <f t="shared" si="2"/>
        <v xml:space="preserve"> </v>
      </c>
      <c r="V4" s="110" t="str">
        <f t="shared" si="3"/>
        <v xml:space="preserve"> </v>
      </c>
      <c r="W4" s="57"/>
      <c r="X4" s="158"/>
      <c r="Z4" s="146"/>
      <c r="AA4" s="147" t="s">
        <v>384</v>
      </c>
      <c r="AB4" s="148" t="s">
        <v>385</v>
      </c>
      <c r="AC4" s="28"/>
      <c r="AI4" s="131"/>
      <c r="AJ4" s="131"/>
      <c r="AK4" s="131"/>
      <c r="AL4" s="132"/>
    </row>
    <row r="5" spans="1:38" ht="46">
      <c r="A5">
        <v>18163</v>
      </c>
      <c r="B5" s="168">
        <v>37011</v>
      </c>
      <c r="C5" t="s">
        <v>382</v>
      </c>
      <c r="D5" t="s">
        <v>308</v>
      </c>
      <c r="E5" t="s">
        <v>383</v>
      </c>
      <c r="F5">
        <v>21446</v>
      </c>
      <c r="G5" t="s">
        <v>382</v>
      </c>
      <c r="H5"/>
      <c r="I5">
        <v>60.049999237060547</v>
      </c>
      <c r="J5">
        <v>-3.5143759101629257E-2</v>
      </c>
      <c r="K5">
        <v>8.3834950000000005E-2</v>
      </c>
      <c r="L5">
        <v>7.6441380000000003E-2</v>
      </c>
      <c r="M5">
        <v>7.6814350000000003E-2</v>
      </c>
      <c r="N5" s="27">
        <f t="shared" si="4"/>
        <v>37011</v>
      </c>
      <c r="O5" s="110" t="str">
        <f t="shared" si="5"/>
        <v xml:space="preserve"> </v>
      </c>
      <c r="P5" s="110" t="str">
        <f t="shared" si="6"/>
        <v xml:space="preserve"> </v>
      </c>
      <c r="Q5" s="110" t="str">
        <f t="shared" si="7"/>
        <v xml:space="preserve"> </v>
      </c>
      <c r="R5" s="110" t="str">
        <f t="shared" si="8"/>
        <v xml:space="preserve"> </v>
      </c>
      <c r="S5" s="110" t="str">
        <f t="shared" si="0"/>
        <v xml:space="preserve"> </v>
      </c>
      <c r="T5" s="110" t="str">
        <f t="shared" si="1"/>
        <v xml:space="preserve"> </v>
      </c>
      <c r="U5" s="110" t="str">
        <f t="shared" si="2"/>
        <v xml:space="preserve"> </v>
      </c>
      <c r="V5" s="110" t="str">
        <f t="shared" si="3"/>
        <v xml:space="preserve"> </v>
      </c>
      <c r="W5" s="134" t="s">
        <v>386</v>
      </c>
      <c r="X5" s="170">
        <v>44196</v>
      </c>
      <c r="Y5" s="26" t="s">
        <v>387</v>
      </c>
      <c r="Z5" s="149" t="s">
        <v>388</v>
      </c>
      <c r="AA5" s="157">
        <v>44377.999305555553</v>
      </c>
      <c r="AB5" s="150">
        <v>134.93</v>
      </c>
      <c r="AC5" s="133" t="s">
        <v>389</v>
      </c>
      <c r="AI5" s="131"/>
      <c r="AJ5" s="131"/>
      <c r="AK5" s="131"/>
      <c r="AL5" s="132"/>
    </row>
    <row r="6" spans="1:38" ht="16" thickBot="1">
      <c r="A6">
        <v>18163</v>
      </c>
      <c r="B6" s="168">
        <v>37042</v>
      </c>
      <c r="C6" t="s">
        <v>382</v>
      </c>
      <c r="D6" t="s">
        <v>308</v>
      </c>
      <c r="E6" t="s">
        <v>383</v>
      </c>
      <c r="F6">
        <v>21446</v>
      </c>
      <c r="G6" t="s">
        <v>382</v>
      </c>
      <c r="H6"/>
      <c r="I6">
        <v>64.239997863769531</v>
      </c>
      <c r="J6">
        <v>6.9775164127349854E-2</v>
      </c>
      <c r="K6">
        <v>1.0450070000000001E-2</v>
      </c>
      <c r="L6">
        <v>6.2199110000000002E-2</v>
      </c>
      <c r="M6">
        <v>5.0901990000000001E-3</v>
      </c>
      <c r="N6" s="27">
        <f t="shared" si="4"/>
        <v>37042</v>
      </c>
      <c r="O6" s="110" t="str">
        <f t="shared" si="5"/>
        <v xml:space="preserve"> </v>
      </c>
      <c r="P6" s="110" t="str">
        <f t="shared" si="6"/>
        <v xml:space="preserve"> </v>
      </c>
      <c r="Q6" s="110" t="str">
        <f t="shared" si="7"/>
        <v xml:space="preserve"> </v>
      </c>
      <c r="R6" s="110" t="str">
        <f t="shared" si="8"/>
        <v xml:space="preserve"> </v>
      </c>
      <c r="S6" s="110" t="str">
        <f t="shared" si="0"/>
        <v xml:space="preserve"> </v>
      </c>
      <c r="T6" s="110" t="str">
        <f t="shared" si="1"/>
        <v xml:space="preserve"> </v>
      </c>
      <c r="U6" s="110" t="str">
        <f t="shared" si="2"/>
        <v xml:space="preserve"> </v>
      </c>
      <c r="V6" s="110" t="str">
        <f t="shared" si="3"/>
        <v xml:space="preserve"> </v>
      </c>
      <c r="AA6" s="28"/>
      <c r="AB6" s="28"/>
      <c r="AC6" s="28"/>
      <c r="AI6" s="131"/>
      <c r="AJ6" s="131"/>
      <c r="AK6" s="131"/>
      <c r="AL6" s="132"/>
    </row>
    <row r="7" spans="1:38" ht="16">
      <c r="A7">
        <v>18163</v>
      </c>
      <c r="B7" s="168">
        <v>37071</v>
      </c>
      <c r="C7" t="s">
        <v>382</v>
      </c>
      <c r="D7" t="s">
        <v>308</v>
      </c>
      <c r="E7" t="s">
        <v>383</v>
      </c>
      <c r="F7">
        <v>21446</v>
      </c>
      <c r="G7" t="s">
        <v>382</v>
      </c>
      <c r="H7"/>
      <c r="I7">
        <v>63.799999237060547</v>
      </c>
      <c r="J7">
        <v>-6.8492940627038479E-3</v>
      </c>
      <c r="K7">
        <v>-1.7561449999999999E-2</v>
      </c>
      <c r="L7">
        <v>7.7258300000000004E-3</v>
      </c>
      <c r="M7">
        <v>-2.5003580000000001E-2</v>
      </c>
      <c r="N7" s="27">
        <f t="shared" si="4"/>
        <v>37071</v>
      </c>
      <c r="O7" s="110" t="str">
        <f t="shared" si="5"/>
        <v xml:space="preserve"> </v>
      </c>
      <c r="P7" s="110" t="str">
        <f t="shared" si="6"/>
        <v xml:space="preserve"> </v>
      </c>
      <c r="Q7" s="110" t="str">
        <f t="shared" si="7"/>
        <v xml:space="preserve"> </v>
      </c>
      <c r="R7" s="110" t="str">
        <f t="shared" si="8"/>
        <v xml:space="preserve"> </v>
      </c>
      <c r="S7" s="110" t="str">
        <f t="shared" si="0"/>
        <v xml:space="preserve"> </v>
      </c>
      <c r="T7" s="110" t="str">
        <f t="shared" si="1"/>
        <v xml:space="preserve"> </v>
      </c>
      <c r="U7" s="110" t="str">
        <f t="shared" si="2"/>
        <v xml:space="preserve"> </v>
      </c>
      <c r="V7" s="110" t="str">
        <f t="shared" si="3"/>
        <v xml:space="preserve"> </v>
      </c>
      <c r="W7" s="139" t="s">
        <v>390</v>
      </c>
      <c r="X7" s="140">
        <v>60</v>
      </c>
      <c r="AA7" s="28"/>
      <c r="AB7" s="28"/>
      <c r="AC7" s="28"/>
      <c r="AI7" s="131"/>
      <c r="AJ7" s="131"/>
      <c r="AK7" s="131"/>
      <c r="AL7" s="132"/>
    </row>
    <row r="8" spans="1:38" ht="16" thickBot="1">
      <c r="A8">
        <v>18163</v>
      </c>
      <c r="B8" s="168">
        <v>37103</v>
      </c>
      <c r="C8" t="s">
        <v>382</v>
      </c>
      <c r="D8" t="s">
        <v>308</v>
      </c>
      <c r="E8" t="s">
        <v>383</v>
      </c>
      <c r="F8">
        <v>21446</v>
      </c>
      <c r="G8" t="s">
        <v>382</v>
      </c>
      <c r="H8"/>
      <c r="I8">
        <v>71.019996643066406</v>
      </c>
      <c r="J8">
        <v>0.119122214615345</v>
      </c>
      <c r="K8">
        <v>-1.8283600000000001E-2</v>
      </c>
      <c r="L8">
        <v>-2.8402980000000001E-2</v>
      </c>
      <c r="M8">
        <v>-1.0772449999999999E-2</v>
      </c>
      <c r="N8" s="27">
        <f t="shared" si="4"/>
        <v>37103</v>
      </c>
      <c r="O8" s="110" t="str">
        <f t="shared" si="5"/>
        <v xml:space="preserve"> </v>
      </c>
      <c r="P8" s="110" t="str">
        <f t="shared" si="6"/>
        <v xml:space="preserve"> </v>
      </c>
      <c r="Q8" s="110" t="str">
        <f t="shared" si="7"/>
        <v xml:space="preserve"> </v>
      </c>
      <c r="R8" s="110" t="str">
        <f t="shared" si="8"/>
        <v xml:space="preserve"> </v>
      </c>
      <c r="S8" s="110" t="str">
        <f t="shared" si="0"/>
        <v xml:space="preserve"> </v>
      </c>
      <c r="T8" s="110" t="str">
        <f t="shared" si="1"/>
        <v xml:space="preserve"> </v>
      </c>
      <c r="U8" s="110" t="str">
        <f t="shared" si="2"/>
        <v xml:space="preserve"> </v>
      </c>
      <c r="V8" s="110" t="str">
        <f t="shared" si="3"/>
        <v xml:space="preserve"> </v>
      </c>
      <c r="W8" s="141" t="s">
        <v>391</v>
      </c>
      <c r="X8" s="142">
        <v>120</v>
      </c>
      <c r="Z8" s="28"/>
      <c r="AA8" s="28"/>
      <c r="AB8" s="28"/>
      <c r="AC8" s="28"/>
      <c r="AI8" s="131"/>
      <c r="AJ8" s="131"/>
      <c r="AK8" s="131"/>
      <c r="AL8" s="132"/>
    </row>
    <row r="9" spans="1:38" ht="15">
      <c r="A9">
        <v>18163</v>
      </c>
      <c r="B9" s="168"/>
      <c r="C9" t="s">
        <v>382</v>
      </c>
      <c r="D9" t="s">
        <v>308</v>
      </c>
      <c r="E9" t="s">
        <v>383</v>
      </c>
      <c r="F9">
        <v>21446</v>
      </c>
      <c r="G9" t="s">
        <v>382</v>
      </c>
      <c r="H9"/>
      <c r="I9">
        <v>74.150001525878906</v>
      </c>
      <c r="J9">
        <v>4.4072162359952927E-2</v>
      </c>
      <c r="K9">
        <v>-5.8979839999999999E-2</v>
      </c>
      <c r="L9">
        <v>-3.501257E-2</v>
      </c>
      <c r="M9">
        <v>-6.4108390000000001E-2</v>
      </c>
      <c r="N9" s="27">
        <f t="shared" si="4"/>
        <v>0</v>
      </c>
      <c r="O9" s="110" t="str">
        <f t="shared" si="5"/>
        <v xml:space="preserve"> </v>
      </c>
      <c r="P9" s="110" t="str">
        <f t="shared" si="6"/>
        <v xml:space="preserve"> </v>
      </c>
      <c r="Q9" s="110" t="str">
        <f t="shared" si="7"/>
        <v xml:space="preserve"> </v>
      </c>
      <c r="R9" s="110" t="str">
        <f t="shared" si="8"/>
        <v xml:space="preserve"> </v>
      </c>
      <c r="S9" s="110" t="str">
        <f t="shared" si="0"/>
        <v xml:space="preserve"> </v>
      </c>
      <c r="T9" s="110" t="str">
        <f t="shared" si="1"/>
        <v xml:space="preserve"> </v>
      </c>
      <c r="U9" s="110" t="str">
        <f t="shared" si="2"/>
        <v xml:space="preserve"> </v>
      </c>
      <c r="V9" s="110" t="str">
        <f t="shared" si="3"/>
        <v xml:space="preserve"> </v>
      </c>
      <c r="Z9" s="28"/>
      <c r="AA9" s="28"/>
      <c r="AB9" s="28"/>
      <c r="AC9" s="28"/>
      <c r="AI9" s="131"/>
      <c r="AJ9" s="131"/>
      <c r="AK9" s="131"/>
      <c r="AL9" s="132"/>
    </row>
    <row r="10" spans="1:38" ht="15">
      <c r="A10">
        <v>18163</v>
      </c>
      <c r="B10" s="168">
        <v>37162</v>
      </c>
      <c r="C10" t="s">
        <v>382</v>
      </c>
      <c r="D10" t="s">
        <v>308</v>
      </c>
      <c r="E10" t="s">
        <v>383</v>
      </c>
      <c r="F10">
        <v>21446</v>
      </c>
      <c r="G10" t="s">
        <v>382</v>
      </c>
      <c r="H10"/>
      <c r="I10">
        <v>72.790000915527344</v>
      </c>
      <c r="J10">
        <v>-1.8341207876801491E-2</v>
      </c>
      <c r="K10">
        <v>-9.1497030000000007E-2</v>
      </c>
      <c r="L10">
        <v>-0.1277867</v>
      </c>
      <c r="M10">
        <v>-8.1723390000000007E-2</v>
      </c>
      <c r="N10" s="27">
        <f t="shared" si="4"/>
        <v>37162</v>
      </c>
      <c r="O10" s="110" t="str">
        <f t="shared" si="5"/>
        <v xml:space="preserve"> </v>
      </c>
      <c r="P10" s="110" t="str">
        <f t="shared" si="6"/>
        <v xml:space="preserve"> </v>
      </c>
      <c r="Q10" s="110" t="str">
        <f t="shared" si="7"/>
        <v xml:space="preserve"> </v>
      </c>
      <c r="R10" s="110" t="str">
        <f t="shared" si="8"/>
        <v xml:space="preserve"> </v>
      </c>
      <c r="S10" s="110" t="str">
        <f t="shared" si="0"/>
        <v xml:space="preserve"> </v>
      </c>
      <c r="T10" s="110" t="str">
        <f t="shared" si="1"/>
        <v xml:space="preserve"> </v>
      </c>
      <c r="U10" s="110" t="str">
        <f t="shared" si="2"/>
        <v xml:space="preserve"> </v>
      </c>
      <c r="V10" s="110" t="str">
        <f t="shared" si="3"/>
        <v xml:space="preserve"> </v>
      </c>
      <c r="Z10" s="28"/>
      <c r="AA10" s="28"/>
      <c r="AB10" s="28"/>
      <c r="AC10" s="28"/>
      <c r="AI10" s="131"/>
      <c r="AJ10" s="131"/>
      <c r="AK10" s="131"/>
      <c r="AL10" s="132"/>
    </row>
    <row r="11" spans="1:38" ht="22.5" customHeight="1" thickBot="1">
      <c r="A11">
        <v>18163</v>
      </c>
      <c r="B11" s="168">
        <v>37195</v>
      </c>
      <c r="C11" t="s">
        <v>382</v>
      </c>
      <c r="D11" t="s">
        <v>308</v>
      </c>
      <c r="E11" t="s">
        <v>383</v>
      </c>
      <c r="F11">
        <v>21446</v>
      </c>
      <c r="G11" t="s">
        <v>382</v>
      </c>
      <c r="H11"/>
      <c r="I11">
        <v>73.779998779296875</v>
      </c>
      <c r="J11">
        <v>1.8821237608790398E-2</v>
      </c>
      <c r="K11">
        <v>2.7846570000000001E-2</v>
      </c>
      <c r="L11">
        <v>7.8124860000000004E-2</v>
      </c>
      <c r="M11">
        <v>1.8099030000000002E-2</v>
      </c>
      <c r="N11" s="27">
        <f t="shared" si="4"/>
        <v>37195</v>
      </c>
      <c r="O11" s="110" t="str">
        <f t="shared" si="5"/>
        <v xml:space="preserve"> </v>
      </c>
      <c r="P11" s="110" t="str">
        <f t="shared" si="6"/>
        <v xml:space="preserve"> </v>
      </c>
      <c r="Q11" s="110" t="str">
        <f t="shared" si="7"/>
        <v xml:space="preserve"> </v>
      </c>
      <c r="R11" s="110" t="str">
        <f t="shared" si="8"/>
        <v xml:space="preserve"> </v>
      </c>
      <c r="S11" s="110" t="str">
        <f t="shared" si="0"/>
        <v xml:space="preserve"> </v>
      </c>
      <c r="T11" s="110" t="str">
        <f t="shared" si="1"/>
        <v xml:space="preserve"> </v>
      </c>
      <c r="U11" s="110" t="str">
        <f t="shared" si="2"/>
        <v xml:space="preserve"> </v>
      </c>
      <c r="V11" s="110" t="str">
        <f t="shared" si="3"/>
        <v xml:space="preserve"> </v>
      </c>
      <c r="Z11" s="417" t="s">
        <v>93</v>
      </c>
      <c r="AA11" s="417"/>
      <c r="AB11" s="417"/>
      <c r="AC11" s="417"/>
      <c r="AI11" s="131"/>
      <c r="AJ11" s="131"/>
      <c r="AK11" s="131"/>
      <c r="AL11" s="132"/>
    </row>
    <row r="12" spans="1:38" ht="15">
      <c r="A12">
        <v>18163</v>
      </c>
      <c r="B12" s="168">
        <v>37225</v>
      </c>
      <c r="C12" t="s">
        <v>382</v>
      </c>
      <c r="D12" t="s">
        <v>308</v>
      </c>
      <c r="E12" t="s">
        <v>383</v>
      </c>
      <c r="F12">
        <v>21446</v>
      </c>
      <c r="G12" t="s">
        <v>382</v>
      </c>
      <c r="H12"/>
      <c r="I12">
        <v>77.459999084472656</v>
      </c>
      <c r="J12">
        <v>4.9878019839525223E-2</v>
      </c>
      <c r="K12">
        <v>7.8788759999999999E-2</v>
      </c>
      <c r="L12">
        <v>8.0799010000000004E-2</v>
      </c>
      <c r="M12">
        <v>7.5175980000000003E-2</v>
      </c>
      <c r="N12" s="27">
        <f t="shared" si="4"/>
        <v>37225</v>
      </c>
      <c r="O12" s="110" t="str">
        <f t="shared" si="5"/>
        <v xml:space="preserve"> </v>
      </c>
      <c r="P12" s="110" t="str">
        <f t="shared" si="6"/>
        <v xml:space="preserve"> </v>
      </c>
      <c r="Q12" s="110" t="str">
        <f t="shared" si="7"/>
        <v xml:space="preserve"> </v>
      </c>
      <c r="R12" s="110" t="str">
        <f t="shared" si="8"/>
        <v xml:space="preserve"> </v>
      </c>
      <c r="S12" s="110" t="str">
        <f t="shared" ref="S12:S75" si="9">IF(AND(($X$15-4)&lt;=$N12,($X$16)&gt;=($N12-4)),J12," ")</f>
        <v xml:space="preserve"> </v>
      </c>
      <c r="T12" s="110" t="str">
        <f t="shared" ref="T12:T75" si="10">IF(AND(($X$15-4)&lt;=$N12,($X$16)&gt;=($N12-4)),K12," ")</f>
        <v xml:space="preserve"> </v>
      </c>
      <c r="U12" s="110" t="str">
        <f t="shared" ref="U12:U75" si="11">IF(AND(($X$15-4)&lt;=$N12,($X$16)&gt;=($N12-4)),L12," ")</f>
        <v xml:space="preserve"> </v>
      </c>
      <c r="V12" s="110" t="str">
        <f t="shared" ref="V12:V15" si="12">IF(AND(($X$15-4)&lt;=$N12,($X$16)&gt;=($N12-4)),M12," ")</f>
        <v xml:space="preserve"> </v>
      </c>
      <c r="W12" s="143" t="s">
        <v>392</v>
      </c>
      <c r="X12" s="171">
        <f>EDATE(X13,-X7+1)</f>
        <v>42400</v>
      </c>
      <c r="Y12" s="49" t="s">
        <v>393</v>
      </c>
      <c r="Z12" s="28"/>
      <c r="AA12" s="28"/>
      <c r="AB12" s="28"/>
      <c r="AC12" s="28"/>
      <c r="AD12" s="26" t="s">
        <v>93</v>
      </c>
      <c r="AE12" s="26" t="s">
        <v>93</v>
      </c>
      <c r="AI12" s="131"/>
      <c r="AJ12" s="131"/>
      <c r="AK12" s="131"/>
      <c r="AL12" s="132"/>
    </row>
    <row r="13" spans="1:38" ht="15">
      <c r="A13">
        <v>18163</v>
      </c>
      <c r="B13" s="168">
        <v>37256</v>
      </c>
      <c r="C13" t="s">
        <v>382</v>
      </c>
      <c r="D13" t="s">
        <v>308</v>
      </c>
      <c r="E13" t="s">
        <v>383</v>
      </c>
      <c r="F13">
        <v>21446</v>
      </c>
      <c r="G13" t="s">
        <v>382</v>
      </c>
      <c r="H13"/>
      <c r="I13">
        <v>79.129997253417969</v>
      </c>
      <c r="J13">
        <v>2.1559491753578186E-2</v>
      </c>
      <c r="K13">
        <v>1.7855920000000001E-2</v>
      </c>
      <c r="L13">
        <v>5.7767810000000003E-2</v>
      </c>
      <c r="M13">
        <v>7.5738290000000007E-3</v>
      </c>
      <c r="N13" s="27">
        <f t="shared" si="4"/>
        <v>37256</v>
      </c>
      <c r="O13" s="110" t="str">
        <f t="shared" si="5"/>
        <v xml:space="preserve"> </v>
      </c>
      <c r="P13" s="110" t="str">
        <f t="shared" si="6"/>
        <v xml:space="preserve"> </v>
      </c>
      <c r="Q13" s="110" t="str">
        <f t="shared" si="7"/>
        <v xml:space="preserve"> </v>
      </c>
      <c r="R13" s="110" t="str">
        <f t="shared" si="8"/>
        <v xml:space="preserve"> </v>
      </c>
      <c r="S13" s="110" t="str">
        <f t="shared" si="9"/>
        <v xml:space="preserve"> </v>
      </c>
      <c r="T13" s="110" t="str">
        <f t="shared" si="10"/>
        <v xml:space="preserve"> </v>
      </c>
      <c r="U13" s="110" t="str">
        <f t="shared" si="11"/>
        <v xml:space="preserve"> </v>
      </c>
      <c r="V13" s="110" t="str">
        <f t="shared" si="12"/>
        <v xml:space="preserve"> </v>
      </c>
      <c r="W13" s="144" t="s">
        <v>394</v>
      </c>
      <c r="X13" s="159">
        <f>X5</f>
        <v>44196</v>
      </c>
      <c r="Z13" s="26" t="s">
        <v>93</v>
      </c>
      <c r="AE13" s="26" t="s">
        <v>93</v>
      </c>
      <c r="AI13" s="131"/>
      <c r="AJ13" s="131"/>
      <c r="AK13" s="131"/>
      <c r="AL13" s="132"/>
    </row>
    <row r="14" spans="1:38" ht="15">
      <c r="A14">
        <v>18163</v>
      </c>
      <c r="B14" s="168">
        <v>37287</v>
      </c>
      <c r="C14" t="s">
        <v>382</v>
      </c>
      <c r="D14" t="s">
        <v>308</v>
      </c>
      <c r="E14" t="s">
        <v>383</v>
      </c>
      <c r="F14">
        <v>21446</v>
      </c>
      <c r="G14" t="s">
        <v>382</v>
      </c>
      <c r="H14"/>
      <c r="I14">
        <v>81.680000305175781</v>
      </c>
      <c r="J14">
        <v>3.7027716636657715E-2</v>
      </c>
      <c r="K14">
        <v>-1.5966150000000002E-2</v>
      </c>
      <c r="L14">
        <v>1.8191599999999999E-2</v>
      </c>
      <c r="M14">
        <v>-1.557383E-2</v>
      </c>
      <c r="N14" s="27">
        <f t="shared" si="4"/>
        <v>37287</v>
      </c>
      <c r="O14" s="110" t="str">
        <f t="shared" si="5"/>
        <v xml:space="preserve"> </v>
      </c>
      <c r="P14" s="110" t="str">
        <f t="shared" si="6"/>
        <v xml:space="preserve"> </v>
      </c>
      <c r="Q14" s="110" t="str">
        <f t="shared" si="7"/>
        <v xml:space="preserve"> </v>
      </c>
      <c r="R14" s="110" t="str">
        <f t="shared" si="8"/>
        <v xml:space="preserve"> </v>
      </c>
      <c r="S14" s="110" t="str">
        <f t="shared" si="9"/>
        <v xml:space="preserve"> </v>
      </c>
      <c r="T14" s="110" t="str">
        <f t="shared" si="10"/>
        <v xml:space="preserve"> </v>
      </c>
      <c r="U14" s="110" t="str">
        <f t="shared" si="11"/>
        <v xml:space="preserve"> </v>
      </c>
      <c r="V14" s="110" t="str">
        <f t="shared" si="12"/>
        <v xml:space="preserve"> </v>
      </c>
      <c r="W14" s="144"/>
      <c r="X14" s="145"/>
      <c r="AI14" s="131"/>
      <c r="AJ14" s="131"/>
      <c r="AK14" s="131"/>
      <c r="AL14" s="132"/>
    </row>
    <row r="15" spans="1:38" ht="15">
      <c r="A15">
        <v>18163</v>
      </c>
      <c r="B15" s="168">
        <v>37315</v>
      </c>
      <c r="C15" t="s">
        <v>382</v>
      </c>
      <c r="D15" t="s">
        <v>308</v>
      </c>
      <c r="E15" t="s">
        <v>383</v>
      </c>
      <c r="F15">
        <v>21446</v>
      </c>
      <c r="G15" t="s">
        <v>382</v>
      </c>
      <c r="H15"/>
      <c r="I15">
        <v>84.790000915527344</v>
      </c>
      <c r="J15">
        <v>3.807542473077774E-2</v>
      </c>
      <c r="K15">
        <v>-2.169973E-2</v>
      </c>
      <c r="L15">
        <v>-3.3065400000000002E-2</v>
      </c>
      <c r="M15">
        <v>-2.0766240000000002E-2</v>
      </c>
      <c r="N15" s="27">
        <f t="shared" si="4"/>
        <v>37315</v>
      </c>
      <c r="O15" s="110" t="str">
        <f t="shared" si="5"/>
        <v xml:space="preserve"> </v>
      </c>
      <c r="P15" s="110" t="str">
        <f t="shared" si="6"/>
        <v xml:space="preserve"> </v>
      </c>
      <c r="Q15" s="110" t="str">
        <f t="shared" si="7"/>
        <v xml:space="preserve"> </v>
      </c>
      <c r="R15" s="110" t="str">
        <f t="shared" si="8"/>
        <v xml:space="preserve"> </v>
      </c>
      <c r="S15" s="110" t="str">
        <f t="shared" si="9"/>
        <v xml:space="preserve"> </v>
      </c>
      <c r="T15" s="110" t="str">
        <f t="shared" si="10"/>
        <v xml:space="preserve"> </v>
      </c>
      <c r="U15" s="110" t="str">
        <f t="shared" si="11"/>
        <v xml:space="preserve"> </v>
      </c>
      <c r="V15" s="110" t="str">
        <f t="shared" si="12"/>
        <v xml:space="preserve"> </v>
      </c>
      <c r="W15" s="144" t="s">
        <v>395</v>
      </c>
      <c r="X15" s="172">
        <f>EDATE(X13,-X8+1)</f>
        <v>40574</v>
      </c>
      <c r="Y15" s="49" t="s">
        <v>396</v>
      </c>
      <c r="AI15" s="131"/>
      <c r="AJ15" s="131"/>
      <c r="AK15" s="131"/>
      <c r="AL15" s="132"/>
    </row>
    <row r="16" spans="1:38" ht="16" thickBot="1">
      <c r="A16">
        <v>18163</v>
      </c>
      <c r="B16" s="168">
        <v>37343</v>
      </c>
      <c r="C16" t="s">
        <v>382</v>
      </c>
      <c r="D16" t="s">
        <v>308</v>
      </c>
      <c r="E16" t="s">
        <v>383</v>
      </c>
      <c r="F16">
        <v>21446</v>
      </c>
      <c r="G16" t="s">
        <v>382</v>
      </c>
      <c r="H16"/>
      <c r="I16">
        <v>90.089996337890625</v>
      </c>
      <c r="J16">
        <v>6.2507316470146179E-2</v>
      </c>
      <c r="K16">
        <v>4.4699059999999999E-2</v>
      </c>
      <c r="L16">
        <v>7.4652980000000008E-2</v>
      </c>
      <c r="M16">
        <v>3.6738859999999998E-2</v>
      </c>
      <c r="N16" s="27">
        <f t="shared" si="4"/>
        <v>37343</v>
      </c>
      <c r="O16" s="110" t="str">
        <f t="shared" si="5"/>
        <v xml:space="preserve"> </v>
      </c>
      <c r="P16" s="110" t="str">
        <f t="shared" si="6"/>
        <v xml:space="preserve"> </v>
      </c>
      <c r="Q16" s="110" t="str">
        <f t="shared" si="7"/>
        <v xml:space="preserve"> </v>
      </c>
      <c r="R16" s="110" t="str">
        <f t="shared" si="8"/>
        <v xml:space="preserve"> </v>
      </c>
      <c r="S16" s="110" t="str">
        <f t="shared" si="9"/>
        <v xml:space="preserve"> </v>
      </c>
      <c r="T16" s="110" t="str">
        <f t="shared" si="10"/>
        <v xml:space="preserve"> </v>
      </c>
      <c r="U16" s="110" t="str">
        <f t="shared" si="11"/>
        <v xml:space="preserve"> </v>
      </c>
      <c r="V16" s="110" t="str">
        <f t="shared" ref="V16:V79" si="13">IF(AND(($X$15-4)&lt;=$N16,($X$16)&gt;=($N16-4)),M16," ")</f>
        <v xml:space="preserve"> </v>
      </c>
      <c r="W16" s="141" t="s">
        <v>397</v>
      </c>
      <c r="X16" s="160">
        <f>X5</f>
        <v>44196</v>
      </c>
      <c r="AI16" s="131"/>
      <c r="AJ16" s="131"/>
      <c r="AK16" s="131"/>
      <c r="AL16" s="132"/>
    </row>
    <row r="17" spans="1:38" ht="16" thickBot="1">
      <c r="A17">
        <v>18163</v>
      </c>
      <c r="B17" s="168">
        <v>37376</v>
      </c>
      <c r="C17" t="s">
        <v>382</v>
      </c>
      <c r="D17" t="s">
        <v>308</v>
      </c>
      <c r="E17" t="s">
        <v>383</v>
      </c>
      <c r="F17">
        <v>21446</v>
      </c>
      <c r="G17" t="s">
        <v>382</v>
      </c>
      <c r="H17"/>
      <c r="I17">
        <v>90.260002136230469</v>
      </c>
      <c r="J17">
        <v>6.1050704680383205E-3</v>
      </c>
      <c r="K17">
        <v>-4.9600129999999999E-2</v>
      </c>
      <c r="L17">
        <v>-3.1649540000000002E-3</v>
      </c>
      <c r="M17">
        <v>-6.1417650000000004E-2</v>
      </c>
      <c r="N17" s="27">
        <f t="shared" si="4"/>
        <v>37376</v>
      </c>
      <c r="O17" s="110" t="str">
        <f t="shared" si="5"/>
        <v xml:space="preserve"> </v>
      </c>
      <c r="P17" s="110" t="str">
        <f t="shared" si="6"/>
        <v xml:space="preserve"> </v>
      </c>
      <c r="Q17" s="110" t="str">
        <f t="shared" si="7"/>
        <v xml:space="preserve"> </v>
      </c>
      <c r="R17" s="110" t="str">
        <f t="shared" si="8"/>
        <v xml:space="preserve"> </v>
      </c>
      <c r="S17" s="110" t="str">
        <f t="shared" si="9"/>
        <v xml:space="preserve"> </v>
      </c>
      <c r="T17" s="110" t="str">
        <f t="shared" si="10"/>
        <v xml:space="preserve"> </v>
      </c>
      <c r="U17" s="110" t="str">
        <f t="shared" si="11"/>
        <v xml:space="preserve"> </v>
      </c>
      <c r="V17" s="110" t="str">
        <f t="shared" si="13"/>
        <v xml:space="preserve"> </v>
      </c>
      <c r="AI17" s="131"/>
      <c r="AJ17" s="131"/>
      <c r="AK17" s="131"/>
      <c r="AL17" s="132"/>
    </row>
    <row r="18" spans="1:38" ht="15">
      <c r="A18">
        <v>18163</v>
      </c>
      <c r="B18" s="168">
        <v>37407</v>
      </c>
      <c r="C18" t="s">
        <v>382</v>
      </c>
      <c r="D18" t="s">
        <v>308</v>
      </c>
      <c r="E18" t="s">
        <v>383</v>
      </c>
      <c r="F18">
        <v>21446</v>
      </c>
      <c r="G18" t="s">
        <v>382</v>
      </c>
      <c r="H18"/>
      <c r="I18">
        <v>89.550003051757812</v>
      </c>
      <c r="J18">
        <v>-7.8661544248461723E-3</v>
      </c>
      <c r="K18">
        <v>-1.050954E-2</v>
      </c>
      <c r="L18">
        <v>-1.550722E-2</v>
      </c>
      <c r="M18">
        <v>-9.0814550000000004E-3</v>
      </c>
      <c r="N18" s="27">
        <f t="shared" si="4"/>
        <v>37407</v>
      </c>
      <c r="O18" s="110" t="str">
        <f t="shared" si="5"/>
        <v xml:space="preserve"> </v>
      </c>
      <c r="P18" s="110" t="str">
        <f t="shared" si="6"/>
        <v xml:space="preserve"> </v>
      </c>
      <c r="Q18" s="110" t="str">
        <f t="shared" si="7"/>
        <v xml:space="preserve"> </v>
      </c>
      <c r="R18" s="110" t="str">
        <f t="shared" si="8"/>
        <v xml:space="preserve"> </v>
      </c>
      <c r="S18" s="110" t="str">
        <f t="shared" si="9"/>
        <v xml:space="preserve"> </v>
      </c>
      <c r="T18" s="110" t="str">
        <f t="shared" si="10"/>
        <v xml:space="preserve"> </v>
      </c>
      <c r="U18" s="110" t="str">
        <f t="shared" si="11"/>
        <v xml:space="preserve"> </v>
      </c>
      <c r="V18" s="110" t="str">
        <f t="shared" si="13"/>
        <v xml:space="preserve"> </v>
      </c>
      <c r="W18" s="135" t="s">
        <v>398</v>
      </c>
      <c r="X18" s="136" t="s">
        <v>399</v>
      </c>
      <c r="Z18" s="59" t="s">
        <v>400</v>
      </c>
      <c r="AA18" s="60"/>
      <c r="AB18" s="60"/>
      <c r="AC18" s="61"/>
      <c r="AI18" s="131"/>
      <c r="AJ18" s="131"/>
      <c r="AK18" s="131"/>
      <c r="AL18" s="132"/>
    </row>
    <row r="19" spans="1:38" ht="17">
      <c r="A19">
        <v>18163</v>
      </c>
      <c r="B19" s="168">
        <v>37435</v>
      </c>
      <c r="C19" t="s">
        <v>382</v>
      </c>
      <c r="D19" t="s">
        <v>308</v>
      </c>
      <c r="E19" t="s">
        <v>383</v>
      </c>
      <c r="F19">
        <v>21446</v>
      </c>
      <c r="G19" t="s">
        <v>382</v>
      </c>
      <c r="H19"/>
      <c r="I19">
        <v>89.300003051757812</v>
      </c>
      <c r="J19">
        <v>5.429539829492569E-3</v>
      </c>
      <c r="K19">
        <v>-7.0259180000000004E-2</v>
      </c>
      <c r="L19">
        <v>-6.7317219999999997E-2</v>
      </c>
      <c r="M19">
        <v>-7.2464719999999996E-2</v>
      </c>
      <c r="N19" s="27">
        <f t="shared" si="4"/>
        <v>37435</v>
      </c>
      <c r="O19" s="110" t="str">
        <f t="shared" si="5"/>
        <v xml:space="preserve"> </v>
      </c>
      <c r="P19" s="110" t="str">
        <f t="shared" si="6"/>
        <v xml:space="preserve"> </v>
      </c>
      <c r="Q19" s="110" t="str">
        <f t="shared" si="7"/>
        <v xml:space="preserve"> </v>
      </c>
      <c r="R19" s="110" t="str">
        <f t="shared" si="8"/>
        <v xml:space="preserve"> </v>
      </c>
      <c r="S19" s="110" t="str">
        <f t="shared" si="9"/>
        <v xml:space="preserve"> </v>
      </c>
      <c r="T19" s="110" t="str">
        <f t="shared" si="10"/>
        <v xml:space="preserve"> </v>
      </c>
      <c r="U19" s="110" t="str">
        <f t="shared" si="11"/>
        <v xml:space="preserve"> </v>
      </c>
      <c r="V19" s="110" t="str">
        <f t="shared" si="13"/>
        <v xml:space="preserve"> </v>
      </c>
      <c r="W19" s="137" t="s">
        <v>401</v>
      </c>
      <c r="X19" s="177">
        <f>SLOPE($O$2:$O$241,$P$2:$P$241)</f>
        <v>0.34478647605866214</v>
      </c>
      <c r="Y19" s="29" t="s">
        <v>93</v>
      </c>
      <c r="Z19" s="62" t="s">
        <v>402</v>
      </c>
      <c r="AA19" s="63"/>
      <c r="AB19" s="63"/>
      <c r="AC19" s="58"/>
      <c r="AI19" s="131"/>
      <c r="AJ19" s="131"/>
      <c r="AK19" s="131"/>
      <c r="AL19" s="132"/>
    </row>
    <row r="20" spans="1:38" ht="15">
      <c r="A20">
        <v>18163</v>
      </c>
      <c r="B20" s="168">
        <v>37468</v>
      </c>
      <c r="C20" t="s">
        <v>382</v>
      </c>
      <c r="D20" t="s">
        <v>308</v>
      </c>
      <c r="E20" t="s">
        <v>383</v>
      </c>
      <c r="F20">
        <v>21446</v>
      </c>
      <c r="G20" t="s">
        <v>382</v>
      </c>
      <c r="H20"/>
      <c r="I20">
        <v>88.989997863769531</v>
      </c>
      <c r="J20">
        <v>1.119762659072876E-3</v>
      </c>
      <c r="K20">
        <v>-8.1124650000000006E-2</v>
      </c>
      <c r="L20">
        <v>-0.10749739999999999</v>
      </c>
      <c r="M20">
        <v>-7.8994960000000003E-2</v>
      </c>
      <c r="N20" s="27">
        <f t="shared" si="4"/>
        <v>37468</v>
      </c>
      <c r="O20" s="110" t="str">
        <f t="shared" si="5"/>
        <v xml:space="preserve"> </v>
      </c>
      <c r="P20" s="110" t="str">
        <f t="shared" si="6"/>
        <v xml:space="preserve"> </v>
      </c>
      <c r="Q20" s="110" t="str">
        <f t="shared" si="7"/>
        <v xml:space="preserve"> </v>
      </c>
      <c r="R20" s="110" t="str">
        <f t="shared" si="8"/>
        <v xml:space="preserve"> </v>
      </c>
      <c r="S20" s="110" t="str">
        <f t="shared" si="9"/>
        <v xml:space="preserve"> </v>
      </c>
      <c r="T20" s="110" t="str">
        <f t="shared" si="10"/>
        <v xml:space="preserve"> </v>
      </c>
      <c r="U20" s="110" t="str">
        <f t="shared" si="11"/>
        <v xml:space="preserve"> </v>
      </c>
      <c r="V20" s="110" t="str">
        <f t="shared" si="13"/>
        <v xml:space="preserve"> </v>
      </c>
      <c r="W20" s="137" t="s">
        <v>403</v>
      </c>
      <c r="X20" s="177">
        <f>SLOPE($O$2:$O$241,$Q$2:$Q$241)</f>
        <v>0.21235877655411586</v>
      </c>
      <c r="Y20" s="26" t="s">
        <v>93</v>
      </c>
      <c r="Z20" s="62" t="s">
        <v>404</v>
      </c>
      <c r="AA20" s="63"/>
      <c r="AB20" s="63"/>
      <c r="AC20" s="58"/>
      <c r="AI20" s="131"/>
      <c r="AJ20" s="131"/>
      <c r="AK20" s="131"/>
      <c r="AL20" s="132"/>
    </row>
    <row r="21" spans="1:38" ht="15">
      <c r="A21">
        <v>18163</v>
      </c>
      <c r="B21" s="168">
        <v>37498</v>
      </c>
      <c r="C21" t="s">
        <v>382</v>
      </c>
      <c r="D21" t="s">
        <v>308</v>
      </c>
      <c r="E21" t="s">
        <v>383</v>
      </c>
      <c r="F21">
        <v>21446</v>
      </c>
      <c r="G21" t="s">
        <v>382</v>
      </c>
      <c r="H21"/>
      <c r="I21">
        <v>88.650001525878906</v>
      </c>
      <c r="J21">
        <v>-3.8206130266189575E-3</v>
      </c>
      <c r="K21">
        <v>7.9489020000000007E-3</v>
      </c>
      <c r="L21">
        <v>6.3366890000000004E-3</v>
      </c>
      <c r="M21">
        <v>4.88142E-3</v>
      </c>
      <c r="N21" s="27">
        <f t="shared" si="4"/>
        <v>37498</v>
      </c>
      <c r="O21" s="110" t="str">
        <f t="shared" si="5"/>
        <v xml:space="preserve"> </v>
      </c>
      <c r="P21" s="110" t="str">
        <f t="shared" si="6"/>
        <v xml:space="preserve"> </v>
      </c>
      <c r="Q21" s="110" t="str">
        <f t="shared" si="7"/>
        <v xml:space="preserve"> </v>
      </c>
      <c r="R21" s="110" t="str">
        <f t="shared" si="8"/>
        <v xml:space="preserve"> </v>
      </c>
      <c r="S21" s="110" t="str">
        <f t="shared" si="9"/>
        <v xml:space="preserve"> </v>
      </c>
      <c r="T21" s="110" t="str">
        <f t="shared" si="10"/>
        <v xml:space="preserve"> </v>
      </c>
      <c r="U21" s="110" t="str">
        <f t="shared" si="11"/>
        <v xml:space="preserve"> </v>
      </c>
      <c r="V21" s="110" t="str">
        <f t="shared" si="13"/>
        <v xml:space="preserve"> </v>
      </c>
      <c r="W21" s="137" t="s">
        <v>405</v>
      </c>
      <c r="X21" s="177">
        <f>SLOPE($O$2:$O$241,$R$2:$R$241)</f>
        <v>0.38435371351364317</v>
      </c>
      <c r="Y21" s="26" t="s">
        <v>406</v>
      </c>
      <c r="Z21" s="64" t="s">
        <v>407</v>
      </c>
      <c r="AA21" s="63"/>
      <c r="AB21" s="63"/>
      <c r="AC21" s="58"/>
      <c r="AI21" s="131"/>
      <c r="AJ21" s="131"/>
      <c r="AK21" s="131"/>
      <c r="AL21" s="132"/>
    </row>
    <row r="22" spans="1:38" ht="15">
      <c r="A22">
        <v>18163</v>
      </c>
      <c r="B22" s="168">
        <v>37529</v>
      </c>
      <c r="C22" t="s">
        <v>382</v>
      </c>
      <c r="D22" t="s">
        <v>308</v>
      </c>
      <c r="E22" t="s">
        <v>383</v>
      </c>
      <c r="F22">
        <v>21446</v>
      </c>
      <c r="G22" t="s">
        <v>382</v>
      </c>
      <c r="H22"/>
      <c r="I22">
        <v>89.379997253417969</v>
      </c>
      <c r="J22">
        <v>8.2345819100737572E-3</v>
      </c>
      <c r="K22">
        <v>-9.9922810000000001E-2</v>
      </c>
      <c r="L22">
        <v>-8.4490410000000002E-2</v>
      </c>
      <c r="M22">
        <v>-0.1100134</v>
      </c>
      <c r="N22" s="27">
        <f t="shared" si="4"/>
        <v>37529</v>
      </c>
      <c r="O22" s="110" t="str">
        <f t="shared" si="5"/>
        <v xml:space="preserve"> </v>
      </c>
      <c r="P22" s="110" t="str">
        <f t="shared" si="6"/>
        <v xml:space="preserve"> </v>
      </c>
      <c r="Q22" s="110" t="str">
        <f t="shared" si="7"/>
        <v xml:space="preserve"> </v>
      </c>
      <c r="R22" s="110" t="str">
        <f t="shared" si="8"/>
        <v xml:space="preserve"> </v>
      </c>
      <c r="S22" s="110" t="str">
        <f t="shared" si="9"/>
        <v xml:space="preserve"> </v>
      </c>
      <c r="T22" s="110" t="str">
        <f t="shared" si="10"/>
        <v xml:space="preserve"> </v>
      </c>
      <c r="U22" s="110" t="str">
        <f t="shared" si="11"/>
        <v xml:space="preserve"> </v>
      </c>
      <c r="V22" s="110" t="str">
        <f t="shared" si="13"/>
        <v xml:space="preserve"> </v>
      </c>
      <c r="W22" s="137" t="s">
        <v>408</v>
      </c>
      <c r="X22" s="177">
        <f>SLOPE($S$2:$S$241,$T$2:$T$241)</f>
        <v>0.38777975316819863</v>
      </c>
      <c r="Y22" s="26" t="s">
        <v>93</v>
      </c>
      <c r="Z22" s="62" t="s">
        <v>409</v>
      </c>
      <c r="AA22" s="63"/>
      <c r="AB22" s="63"/>
      <c r="AC22" s="58"/>
      <c r="AI22" s="131"/>
      <c r="AJ22" s="131"/>
      <c r="AK22" s="131"/>
      <c r="AL22" s="132"/>
    </row>
    <row r="23" spans="1:38" ht="15">
      <c r="A23">
        <v>18163</v>
      </c>
      <c r="B23" s="168">
        <v>37560</v>
      </c>
      <c r="C23" t="s">
        <v>382</v>
      </c>
      <c r="D23" t="s">
        <v>308</v>
      </c>
      <c r="E23" t="s">
        <v>383</v>
      </c>
      <c r="F23">
        <v>21446</v>
      </c>
      <c r="G23" t="s">
        <v>382</v>
      </c>
      <c r="H23"/>
      <c r="I23">
        <v>88.449996948242188</v>
      </c>
      <c r="J23">
        <v>-5.8178598992526531E-3</v>
      </c>
      <c r="K23">
        <v>7.4939649999999997E-2</v>
      </c>
      <c r="L23">
        <v>4.2773060000000002E-2</v>
      </c>
      <c r="M23">
        <v>8.6435499999999998E-2</v>
      </c>
      <c r="N23" s="27">
        <f t="shared" si="4"/>
        <v>37560</v>
      </c>
      <c r="O23" s="110" t="str">
        <f t="shared" si="5"/>
        <v xml:space="preserve"> </v>
      </c>
      <c r="P23" s="110" t="str">
        <f t="shared" si="6"/>
        <v xml:space="preserve"> </v>
      </c>
      <c r="Q23" s="110" t="str">
        <f t="shared" si="7"/>
        <v xml:space="preserve"> </v>
      </c>
      <c r="R23" s="110" t="str">
        <f t="shared" si="8"/>
        <v xml:space="preserve"> </v>
      </c>
      <c r="S23" s="110" t="str">
        <f t="shared" si="9"/>
        <v xml:space="preserve"> </v>
      </c>
      <c r="T23" s="110" t="str">
        <f t="shared" si="10"/>
        <v xml:space="preserve"> </v>
      </c>
      <c r="U23" s="110" t="str">
        <f t="shared" si="11"/>
        <v xml:space="preserve"> </v>
      </c>
      <c r="V23" s="110" t="str">
        <f t="shared" si="13"/>
        <v xml:space="preserve"> </v>
      </c>
      <c r="W23" s="137" t="s">
        <v>410</v>
      </c>
      <c r="X23" s="177">
        <f>SLOPE($S$2:$S$241,$U$2:$U$241)</f>
        <v>0.22824856176727928</v>
      </c>
      <c r="Y23" s="26" t="s">
        <v>93</v>
      </c>
      <c r="Z23" s="62" t="s">
        <v>411</v>
      </c>
      <c r="AA23" s="63"/>
      <c r="AB23" s="63"/>
      <c r="AC23" s="58"/>
      <c r="AI23" s="131"/>
      <c r="AJ23" s="131"/>
      <c r="AK23" s="131"/>
      <c r="AL23" s="132"/>
    </row>
    <row r="24" spans="1:38" ht="17" thickBot="1">
      <c r="A24">
        <v>18163</v>
      </c>
      <c r="B24" s="168">
        <v>37589</v>
      </c>
      <c r="C24" t="s">
        <v>382</v>
      </c>
      <c r="D24" t="s">
        <v>308</v>
      </c>
      <c r="E24" t="s">
        <v>383</v>
      </c>
      <c r="F24">
        <v>21446</v>
      </c>
      <c r="G24" t="s">
        <v>382</v>
      </c>
      <c r="H24"/>
      <c r="I24">
        <v>84.529998779296875</v>
      </c>
      <c r="J24">
        <v>-4.4318806380033493E-2</v>
      </c>
      <c r="K24">
        <v>6.128161E-2</v>
      </c>
      <c r="L24">
        <v>0.11777539999999999</v>
      </c>
      <c r="M24">
        <v>5.7069639999999998E-2</v>
      </c>
      <c r="N24" s="27">
        <f t="shared" si="4"/>
        <v>37589</v>
      </c>
      <c r="O24" s="110" t="str">
        <f t="shared" si="5"/>
        <v xml:space="preserve"> </v>
      </c>
      <c r="P24" s="110" t="str">
        <f t="shared" si="6"/>
        <v xml:space="preserve"> </v>
      </c>
      <c r="Q24" s="110" t="str">
        <f t="shared" si="7"/>
        <v xml:space="preserve"> </v>
      </c>
      <c r="R24" s="110" t="str">
        <f t="shared" si="8"/>
        <v xml:space="preserve"> </v>
      </c>
      <c r="S24" s="110" t="str">
        <f t="shared" si="9"/>
        <v xml:space="preserve"> </v>
      </c>
      <c r="T24" s="110" t="str">
        <f t="shared" si="10"/>
        <v xml:space="preserve"> </v>
      </c>
      <c r="U24" s="110" t="str">
        <f t="shared" si="11"/>
        <v xml:space="preserve"> </v>
      </c>
      <c r="V24" s="110" t="str">
        <f t="shared" si="13"/>
        <v xml:space="preserve"> </v>
      </c>
      <c r="W24" s="138" t="s">
        <v>412</v>
      </c>
      <c r="X24" s="178">
        <f>SLOPE($S$2:$S$241,$V$2:$V$241)</f>
        <v>0.44101131583000713</v>
      </c>
      <c r="Y24" s="29" t="s">
        <v>93</v>
      </c>
      <c r="Z24" s="65"/>
      <c r="AA24" s="66"/>
      <c r="AB24" s="66"/>
      <c r="AC24" s="67"/>
      <c r="AI24" s="131"/>
      <c r="AJ24" s="131"/>
      <c r="AK24" s="131"/>
      <c r="AL24" s="132"/>
    </row>
    <row r="25" spans="1:38" ht="15">
      <c r="A25">
        <v>18163</v>
      </c>
      <c r="B25" s="168">
        <v>37621</v>
      </c>
      <c r="C25" t="s">
        <v>382</v>
      </c>
      <c r="D25" t="s">
        <v>308</v>
      </c>
      <c r="E25" t="s">
        <v>383</v>
      </c>
      <c r="F25">
        <v>21446</v>
      </c>
      <c r="G25" t="s">
        <v>382</v>
      </c>
      <c r="H25"/>
      <c r="I25">
        <v>85.94000244140625</v>
      </c>
      <c r="J25">
        <v>1.6680512577295303E-2</v>
      </c>
      <c r="K25">
        <v>-5.333442E-2</v>
      </c>
      <c r="L25">
        <v>-4.0158610000000004E-2</v>
      </c>
      <c r="M25">
        <v>-6.0332580000000004E-2</v>
      </c>
      <c r="N25" s="27">
        <f t="shared" si="4"/>
        <v>37621</v>
      </c>
      <c r="O25" s="110" t="str">
        <f t="shared" si="5"/>
        <v xml:space="preserve"> </v>
      </c>
      <c r="P25" s="110" t="str">
        <f t="shared" si="6"/>
        <v xml:space="preserve"> </v>
      </c>
      <c r="Q25" s="110" t="str">
        <f t="shared" si="7"/>
        <v xml:space="preserve"> </v>
      </c>
      <c r="R25" s="110" t="str">
        <f t="shared" si="8"/>
        <v xml:space="preserve"> </v>
      </c>
      <c r="S25" s="110" t="str">
        <f t="shared" si="9"/>
        <v xml:space="preserve"> </v>
      </c>
      <c r="T25" s="110" t="str">
        <f t="shared" si="10"/>
        <v xml:space="preserve"> </v>
      </c>
      <c r="U25" s="110" t="str">
        <f t="shared" si="11"/>
        <v xml:space="preserve"> </v>
      </c>
      <c r="V25" s="110" t="str">
        <f t="shared" si="13"/>
        <v xml:space="preserve"> </v>
      </c>
      <c r="X25" s="26" t="s">
        <v>93</v>
      </c>
      <c r="AI25" s="131"/>
      <c r="AJ25" s="131"/>
      <c r="AK25" s="131"/>
      <c r="AL25" s="132"/>
    </row>
    <row r="26" spans="1:38" ht="15">
      <c r="A26">
        <v>18163</v>
      </c>
      <c r="B26" s="168">
        <v>37652</v>
      </c>
      <c r="C26" t="s">
        <v>382</v>
      </c>
      <c r="D26" t="s">
        <v>308</v>
      </c>
      <c r="E26" t="s">
        <v>383</v>
      </c>
      <c r="F26">
        <v>21446</v>
      </c>
      <c r="G26" t="s">
        <v>382</v>
      </c>
      <c r="H26"/>
      <c r="I26">
        <v>85.569999694824219</v>
      </c>
      <c r="J26">
        <v>4.6540898620150983E-4</v>
      </c>
      <c r="K26">
        <v>-2.3366770000000002E-2</v>
      </c>
      <c r="L26">
        <v>6.0681900000000002E-3</v>
      </c>
      <c r="M26">
        <v>-2.74147E-2</v>
      </c>
      <c r="N26" s="27">
        <f t="shared" si="4"/>
        <v>37652</v>
      </c>
      <c r="O26" s="110" t="str">
        <f t="shared" si="5"/>
        <v xml:space="preserve"> </v>
      </c>
      <c r="P26" s="110" t="str">
        <f t="shared" si="6"/>
        <v xml:space="preserve"> </v>
      </c>
      <c r="Q26" s="110" t="str">
        <f t="shared" si="7"/>
        <v xml:space="preserve"> </v>
      </c>
      <c r="R26" s="110" t="str">
        <f t="shared" si="8"/>
        <v xml:space="preserve"> </v>
      </c>
      <c r="S26" s="110" t="str">
        <f t="shared" si="9"/>
        <v xml:space="preserve"> </v>
      </c>
      <c r="T26" s="110" t="str">
        <f t="shared" si="10"/>
        <v xml:space="preserve"> </v>
      </c>
      <c r="U26" s="110" t="str">
        <f t="shared" si="11"/>
        <v xml:space="preserve"> </v>
      </c>
      <c r="V26" s="110" t="str">
        <f t="shared" si="13"/>
        <v xml:space="preserve"> </v>
      </c>
      <c r="AI26" s="131"/>
      <c r="AJ26" s="131"/>
      <c r="AK26" s="131"/>
      <c r="AL26" s="132"/>
    </row>
    <row r="27" spans="1:38" ht="15">
      <c r="A27">
        <v>18163</v>
      </c>
      <c r="B27" s="168">
        <v>37680</v>
      </c>
      <c r="C27" t="s">
        <v>382</v>
      </c>
      <c r="D27" t="s">
        <v>308</v>
      </c>
      <c r="E27" t="s">
        <v>383</v>
      </c>
      <c r="F27">
        <v>21446</v>
      </c>
      <c r="G27" t="s">
        <v>382</v>
      </c>
      <c r="H27"/>
      <c r="I27">
        <v>81.860000610351562</v>
      </c>
      <c r="J27">
        <v>-4.3356306850910187E-2</v>
      </c>
      <c r="K27">
        <v>-1.5417210000000001E-2</v>
      </c>
      <c r="L27">
        <v>-2.1447839999999999E-2</v>
      </c>
      <c r="M27">
        <v>-1.7003620000000001E-2</v>
      </c>
      <c r="N27" s="27">
        <f t="shared" si="4"/>
        <v>37680</v>
      </c>
      <c r="O27" s="110" t="str">
        <f t="shared" si="5"/>
        <v xml:space="preserve"> </v>
      </c>
      <c r="P27" s="110" t="str">
        <f t="shared" si="6"/>
        <v xml:space="preserve"> </v>
      </c>
      <c r="Q27" s="110" t="str">
        <f t="shared" si="7"/>
        <v xml:space="preserve"> </v>
      </c>
      <c r="R27" s="110" t="str">
        <f t="shared" si="8"/>
        <v xml:space="preserve"> </v>
      </c>
      <c r="S27" s="110" t="str">
        <f t="shared" si="9"/>
        <v xml:space="preserve"> </v>
      </c>
      <c r="T27" s="110" t="str">
        <f t="shared" si="10"/>
        <v xml:space="preserve"> </v>
      </c>
      <c r="U27" s="110" t="str">
        <f t="shared" si="11"/>
        <v xml:space="preserve"> </v>
      </c>
      <c r="V27" s="110" t="str">
        <f t="shared" si="13"/>
        <v xml:space="preserve"> </v>
      </c>
      <c r="AI27" s="131"/>
      <c r="AJ27" s="131"/>
      <c r="AK27" s="131"/>
      <c r="AL27" s="132"/>
    </row>
    <row r="28" spans="1:38" ht="15">
      <c r="A28">
        <v>18163</v>
      </c>
      <c r="B28" s="168">
        <v>37711</v>
      </c>
      <c r="C28" t="s">
        <v>382</v>
      </c>
      <c r="D28" t="s">
        <v>308</v>
      </c>
      <c r="E28" t="s">
        <v>383</v>
      </c>
      <c r="F28">
        <v>21446</v>
      </c>
      <c r="G28" t="s">
        <v>382</v>
      </c>
      <c r="H28"/>
      <c r="I28">
        <v>89.050003051757812</v>
      </c>
      <c r="J28">
        <v>8.7832912802696228E-2</v>
      </c>
      <c r="K28">
        <v>1.03213E-2</v>
      </c>
      <c r="L28">
        <v>9.4339490000000005E-3</v>
      </c>
      <c r="M28">
        <v>8.3576060000000001E-3</v>
      </c>
      <c r="N28" s="27">
        <f t="shared" si="4"/>
        <v>37711</v>
      </c>
      <c r="O28" s="110" t="str">
        <f t="shared" si="5"/>
        <v xml:space="preserve"> </v>
      </c>
      <c r="P28" s="110" t="str">
        <f t="shared" si="6"/>
        <v xml:space="preserve"> </v>
      </c>
      <c r="Q28" s="110" t="str">
        <f t="shared" si="7"/>
        <v xml:space="preserve"> </v>
      </c>
      <c r="R28" s="110" t="str">
        <f t="shared" si="8"/>
        <v xml:space="preserve"> </v>
      </c>
      <c r="S28" s="110" t="str">
        <f t="shared" si="9"/>
        <v xml:space="preserve"> </v>
      </c>
      <c r="T28" s="110" t="str">
        <f t="shared" si="10"/>
        <v xml:space="preserve"> </v>
      </c>
      <c r="U28" s="110" t="str">
        <f t="shared" si="11"/>
        <v xml:space="preserve"> </v>
      </c>
      <c r="V28" s="110" t="str">
        <f t="shared" si="13"/>
        <v xml:space="preserve"> </v>
      </c>
      <c r="AI28" s="131"/>
      <c r="AJ28" s="131"/>
      <c r="AK28" s="131"/>
      <c r="AL28" s="132"/>
    </row>
    <row r="29" spans="1:38" ht="15">
      <c r="A29">
        <v>18163</v>
      </c>
      <c r="B29" s="168">
        <v>37741</v>
      </c>
      <c r="C29" t="s">
        <v>382</v>
      </c>
      <c r="D29" t="s">
        <v>308</v>
      </c>
      <c r="E29" t="s">
        <v>383</v>
      </c>
      <c r="F29">
        <v>21446</v>
      </c>
      <c r="G29" t="s">
        <v>382</v>
      </c>
      <c r="H29"/>
      <c r="I29">
        <v>89.849998474121094</v>
      </c>
      <c r="J29">
        <v>1.3587820343673229E-2</v>
      </c>
      <c r="K29">
        <v>8.2767610000000005E-2</v>
      </c>
      <c r="L29">
        <v>9.8230919999999999E-2</v>
      </c>
      <c r="M29">
        <v>8.1044119999999997E-2</v>
      </c>
      <c r="N29" s="27">
        <f t="shared" si="4"/>
        <v>37741</v>
      </c>
      <c r="O29" s="110" t="str">
        <f t="shared" si="5"/>
        <v xml:space="preserve"> </v>
      </c>
      <c r="P29" s="110" t="str">
        <f t="shared" si="6"/>
        <v xml:space="preserve"> </v>
      </c>
      <c r="Q29" s="110" t="str">
        <f t="shared" si="7"/>
        <v xml:space="preserve"> </v>
      </c>
      <c r="R29" s="110" t="str">
        <f t="shared" si="8"/>
        <v xml:space="preserve"> </v>
      </c>
      <c r="S29" s="110" t="str">
        <f t="shared" si="9"/>
        <v xml:space="preserve"> </v>
      </c>
      <c r="T29" s="110" t="str">
        <f t="shared" si="10"/>
        <v xml:space="preserve"> </v>
      </c>
      <c r="U29" s="110" t="str">
        <f t="shared" si="11"/>
        <v xml:space="preserve"> </v>
      </c>
      <c r="V29" s="110" t="str">
        <f t="shared" si="13"/>
        <v xml:space="preserve"> </v>
      </c>
      <c r="AI29" s="131"/>
      <c r="AJ29" s="131"/>
      <c r="AK29" s="131"/>
      <c r="AL29" s="132"/>
    </row>
    <row r="30" spans="1:38" ht="15">
      <c r="A30">
        <v>18163</v>
      </c>
      <c r="B30" s="168">
        <v>37771</v>
      </c>
      <c r="C30" t="s">
        <v>382</v>
      </c>
      <c r="D30" t="s">
        <v>308</v>
      </c>
      <c r="E30" t="s">
        <v>383</v>
      </c>
      <c r="F30">
        <v>21446</v>
      </c>
      <c r="G30" t="s">
        <v>382</v>
      </c>
      <c r="H30"/>
      <c r="I30">
        <v>91.819999694824219</v>
      </c>
      <c r="J30">
        <v>2.1925445646047592E-2</v>
      </c>
      <c r="K30">
        <v>6.3471260000000002E-2</v>
      </c>
      <c r="L30">
        <v>0.1331774</v>
      </c>
      <c r="M30">
        <v>5.0898659999999998E-2</v>
      </c>
      <c r="N30" s="27">
        <f t="shared" si="4"/>
        <v>37771</v>
      </c>
      <c r="O30" s="110" t="str">
        <f t="shared" si="5"/>
        <v xml:space="preserve"> </v>
      </c>
      <c r="P30" s="110" t="str">
        <f t="shared" si="6"/>
        <v xml:space="preserve"> </v>
      </c>
      <c r="Q30" s="110" t="str">
        <f t="shared" si="7"/>
        <v xml:space="preserve"> </v>
      </c>
      <c r="R30" s="110" t="str">
        <f t="shared" si="8"/>
        <v xml:space="preserve"> </v>
      </c>
      <c r="S30" s="110" t="str">
        <f t="shared" si="9"/>
        <v xml:space="preserve"> </v>
      </c>
      <c r="T30" s="110" t="str">
        <f t="shared" si="10"/>
        <v xml:space="preserve"> </v>
      </c>
      <c r="U30" s="110" t="str">
        <f t="shared" si="11"/>
        <v xml:space="preserve"> </v>
      </c>
      <c r="V30" s="110" t="str">
        <f t="shared" si="13"/>
        <v xml:space="preserve"> </v>
      </c>
      <c r="AI30" s="131"/>
      <c r="AJ30" s="131"/>
      <c r="AK30" s="131"/>
      <c r="AL30" s="132"/>
    </row>
    <row r="31" spans="1:38" ht="15">
      <c r="A31">
        <v>18163</v>
      </c>
      <c r="B31" s="168">
        <v>37802</v>
      </c>
      <c r="C31" t="s">
        <v>382</v>
      </c>
      <c r="D31" t="s">
        <v>308</v>
      </c>
      <c r="E31" t="s">
        <v>383</v>
      </c>
      <c r="F31">
        <v>21446</v>
      </c>
      <c r="G31" t="s">
        <v>382</v>
      </c>
      <c r="H31"/>
      <c r="I31">
        <v>89.180000305175781</v>
      </c>
      <c r="J31">
        <v>-2.8751898556947708E-2</v>
      </c>
      <c r="K31">
        <v>1.634584E-2</v>
      </c>
      <c r="L31">
        <v>4.9745060000000001E-2</v>
      </c>
      <c r="M31">
        <v>1.1322240000000001E-2</v>
      </c>
      <c r="N31" s="27">
        <f t="shared" si="4"/>
        <v>37802</v>
      </c>
      <c r="O31" s="110" t="str">
        <f t="shared" si="5"/>
        <v xml:space="preserve"> </v>
      </c>
      <c r="P31" s="110" t="str">
        <f t="shared" si="6"/>
        <v xml:space="preserve"> </v>
      </c>
      <c r="Q31" s="110" t="str">
        <f t="shared" si="7"/>
        <v xml:space="preserve"> </v>
      </c>
      <c r="R31" s="110" t="str">
        <f t="shared" si="8"/>
        <v xml:space="preserve"> </v>
      </c>
      <c r="S31" s="110" t="str">
        <f t="shared" si="9"/>
        <v xml:space="preserve"> </v>
      </c>
      <c r="T31" s="110" t="str">
        <f t="shared" si="10"/>
        <v xml:space="preserve"> </v>
      </c>
      <c r="U31" s="110" t="str">
        <f t="shared" si="11"/>
        <v xml:space="preserve"> </v>
      </c>
      <c r="V31" s="110" t="str">
        <f t="shared" si="13"/>
        <v xml:space="preserve"> </v>
      </c>
      <c r="AI31" s="131"/>
      <c r="AJ31" s="131"/>
      <c r="AK31" s="131"/>
      <c r="AL31" s="132"/>
    </row>
    <row r="32" spans="1:38" ht="15">
      <c r="A32">
        <v>18163</v>
      </c>
      <c r="B32" s="168">
        <v>37833</v>
      </c>
      <c r="C32" t="s">
        <v>382</v>
      </c>
      <c r="D32" t="s">
        <v>308</v>
      </c>
      <c r="E32" t="s">
        <v>383</v>
      </c>
      <c r="F32">
        <v>21446</v>
      </c>
      <c r="G32" t="s">
        <v>382</v>
      </c>
      <c r="H32"/>
      <c r="I32">
        <v>87.870002746582031</v>
      </c>
      <c r="J32">
        <v>-9.5873242244124413E-3</v>
      </c>
      <c r="K32">
        <v>2.3112190000000001E-2</v>
      </c>
      <c r="L32">
        <v>6.1927340000000004E-2</v>
      </c>
      <c r="M32">
        <v>1.6223700000000001E-2</v>
      </c>
      <c r="N32" s="27">
        <f t="shared" si="4"/>
        <v>37833</v>
      </c>
      <c r="O32" s="110" t="str">
        <f t="shared" si="5"/>
        <v xml:space="preserve"> </v>
      </c>
      <c r="P32" s="110" t="str">
        <f t="shared" si="6"/>
        <v xml:space="preserve"> </v>
      </c>
      <c r="Q32" s="110" t="str">
        <f t="shared" si="7"/>
        <v xml:space="preserve"> </v>
      </c>
      <c r="R32" s="110" t="str">
        <f t="shared" si="8"/>
        <v xml:space="preserve"> </v>
      </c>
      <c r="S32" s="110" t="str">
        <f t="shared" si="9"/>
        <v xml:space="preserve"> </v>
      </c>
      <c r="T32" s="110" t="str">
        <f t="shared" si="10"/>
        <v xml:space="preserve"> </v>
      </c>
      <c r="U32" s="110" t="str">
        <f t="shared" si="11"/>
        <v xml:space="preserve"> </v>
      </c>
      <c r="V32" s="110" t="str">
        <f t="shared" si="13"/>
        <v xml:space="preserve"> </v>
      </c>
      <c r="AI32" s="131"/>
      <c r="AJ32" s="131"/>
      <c r="AK32" s="131"/>
      <c r="AL32" s="132"/>
    </row>
    <row r="33" spans="1:38" ht="15">
      <c r="A33">
        <v>18163</v>
      </c>
      <c r="B33" s="168">
        <v>37862</v>
      </c>
      <c r="C33" t="s">
        <v>382</v>
      </c>
      <c r="D33" t="s">
        <v>308</v>
      </c>
      <c r="E33" t="s">
        <v>383</v>
      </c>
      <c r="F33">
        <v>21446</v>
      </c>
      <c r="G33" t="s">
        <v>382</v>
      </c>
      <c r="H33"/>
      <c r="I33">
        <v>87.290000915527344</v>
      </c>
      <c r="J33">
        <v>-6.600680761039257E-3</v>
      </c>
      <c r="K33">
        <v>2.4965359999999999E-2</v>
      </c>
      <c r="L33">
        <v>4.7429199999999998E-2</v>
      </c>
      <c r="M33">
        <v>1.7873190000000001E-2</v>
      </c>
      <c r="N33" s="27">
        <f t="shared" si="4"/>
        <v>37862</v>
      </c>
      <c r="O33" s="110" t="str">
        <f t="shared" si="5"/>
        <v xml:space="preserve"> </v>
      </c>
      <c r="P33" s="110" t="str">
        <f t="shared" si="6"/>
        <v xml:space="preserve"> </v>
      </c>
      <c r="Q33" s="110" t="str">
        <f t="shared" si="7"/>
        <v xml:space="preserve"> </v>
      </c>
      <c r="R33" s="110" t="str">
        <f t="shared" si="8"/>
        <v xml:space="preserve"> </v>
      </c>
      <c r="S33" s="110" t="str">
        <f t="shared" si="9"/>
        <v xml:space="preserve"> </v>
      </c>
      <c r="T33" s="110" t="str">
        <f t="shared" si="10"/>
        <v xml:space="preserve"> </v>
      </c>
      <c r="U33" s="110" t="str">
        <f t="shared" si="11"/>
        <v xml:space="preserve"> </v>
      </c>
      <c r="V33" s="110" t="str">
        <f t="shared" si="13"/>
        <v xml:space="preserve"> </v>
      </c>
      <c r="AI33" s="131"/>
      <c r="AJ33" s="131"/>
      <c r="AK33" s="131"/>
      <c r="AL33" s="132"/>
    </row>
    <row r="34" spans="1:38" ht="15">
      <c r="A34">
        <v>18163</v>
      </c>
      <c r="B34" s="168">
        <v>37894</v>
      </c>
      <c r="C34" t="s">
        <v>382</v>
      </c>
      <c r="D34" t="s">
        <v>308</v>
      </c>
      <c r="E34" t="s">
        <v>383</v>
      </c>
      <c r="F34">
        <v>21446</v>
      </c>
      <c r="G34" t="s">
        <v>382</v>
      </c>
      <c r="H34"/>
      <c r="I34">
        <v>92.819999694824219</v>
      </c>
      <c r="J34">
        <v>6.3352033495903015E-2</v>
      </c>
      <c r="K34">
        <v>-9.1202350000000008E-3</v>
      </c>
      <c r="L34">
        <v>2.523941E-2</v>
      </c>
      <c r="M34">
        <v>-1.194433E-2</v>
      </c>
      <c r="N34" s="27">
        <f t="shared" si="4"/>
        <v>37894</v>
      </c>
      <c r="O34" s="110" t="str">
        <f t="shared" si="5"/>
        <v xml:space="preserve"> </v>
      </c>
      <c r="P34" s="110" t="str">
        <f t="shared" si="6"/>
        <v xml:space="preserve"> </v>
      </c>
      <c r="Q34" s="110" t="str">
        <f t="shared" si="7"/>
        <v xml:space="preserve"> </v>
      </c>
      <c r="R34" s="110" t="str">
        <f t="shared" si="8"/>
        <v xml:space="preserve"> </v>
      </c>
      <c r="S34" s="110" t="str">
        <f t="shared" si="9"/>
        <v xml:space="preserve"> </v>
      </c>
      <c r="T34" s="110" t="str">
        <f t="shared" si="10"/>
        <v xml:space="preserve"> </v>
      </c>
      <c r="U34" s="110" t="str">
        <f t="shared" si="11"/>
        <v xml:space="preserve"> </v>
      </c>
      <c r="V34" s="110" t="str">
        <f t="shared" si="13"/>
        <v xml:space="preserve"> </v>
      </c>
      <c r="AI34" s="131"/>
      <c r="AJ34" s="131"/>
      <c r="AK34" s="131"/>
      <c r="AL34" s="132"/>
    </row>
    <row r="35" spans="1:38" ht="15">
      <c r="A35">
        <v>18163</v>
      </c>
      <c r="B35" s="168">
        <v>37925</v>
      </c>
      <c r="C35" t="s">
        <v>382</v>
      </c>
      <c r="D35" t="s">
        <v>308</v>
      </c>
      <c r="E35" t="s">
        <v>383</v>
      </c>
      <c r="F35">
        <v>21446</v>
      </c>
      <c r="G35" t="s">
        <v>382</v>
      </c>
      <c r="H35"/>
      <c r="I35">
        <v>98.290000915527344</v>
      </c>
      <c r="J35">
        <v>6.3833236694335938E-2</v>
      </c>
      <c r="K35">
        <v>6.0360780000000003E-2</v>
      </c>
      <c r="L35">
        <v>8.0953700000000003E-2</v>
      </c>
      <c r="M35">
        <v>5.4961500000000003E-2</v>
      </c>
      <c r="N35" s="27">
        <f t="shared" si="4"/>
        <v>37925</v>
      </c>
      <c r="O35" s="110" t="str">
        <f t="shared" si="5"/>
        <v xml:space="preserve"> </v>
      </c>
      <c r="P35" s="110" t="str">
        <f t="shared" si="6"/>
        <v xml:space="preserve"> </v>
      </c>
      <c r="Q35" s="110" t="str">
        <f t="shared" si="7"/>
        <v xml:space="preserve"> </v>
      </c>
      <c r="R35" s="110" t="str">
        <f t="shared" si="8"/>
        <v xml:space="preserve"> </v>
      </c>
      <c r="S35" s="110" t="str">
        <f t="shared" si="9"/>
        <v xml:space="preserve"> </v>
      </c>
      <c r="T35" s="110" t="str">
        <f t="shared" si="10"/>
        <v xml:space="preserve"> </v>
      </c>
      <c r="U35" s="110" t="str">
        <f t="shared" si="11"/>
        <v xml:space="preserve"> </v>
      </c>
      <c r="V35" s="110" t="str">
        <f t="shared" si="13"/>
        <v xml:space="preserve"> </v>
      </c>
      <c r="AI35" s="131"/>
      <c r="AJ35" s="131"/>
      <c r="AK35" s="131"/>
      <c r="AL35" s="132"/>
    </row>
    <row r="36" spans="1:38" ht="15">
      <c r="A36">
        <v>18163</v>
      </c>
      <c r="B36" s="168">
        <v>37953</v>
      </c>
      <c r="C36" t="s">
        <v>382</v>
      </c>
      <c r="D36" t="s">
        <v>308</v>
      </c>
      <c r="E36" t="s">
        <v>383</v>
      </c>
      <c r="F36">
        <v>21446</v>
      </c>
      <c r="G36" t="s">
        <v>382</v>
      </c>
      <c r="H36"/>
      <c r="I36">
        <v>96.239997863769531</v>
      </c>
      <c r="J36">
        <v>-2.0856680348515511E-2</v>
      </c>
      <c r="K36">
        <v>1.6594100000000001E-2</v>
      </c>
      <c r="L36">
        <v>3.8147100000000003E-2</v>
      </c>
      <c r="M36">
        <v>7.1285130000000004E-3</v>
      </c>
      <c r="N36" s="27">
        <f t="shared" si="4"/>
        <v>37953</v>
      </c>
      <c r="O36" s="110" t="str">
        <f t="shared" si="5"/>
        <v xml:space="preserve"> </v>
      </c>
      <c r="P36" s="110" t="str">
        <f t="shared" si="6"/>
        <v xml:space="preserve"> </v>
      </c>
      <c r="Q36" s="110" t="str">
        <f t="shared" si="7"/>
        <v xml:space="preserve"> </v>
      </c>
      <c r="R36" s="110" t="str">
        <f t="shared" si="8"/>
        <v xml:space="preserve"> </v>
      </c>
      <c r="S36" s="110" t="str">
        <f t="shared" si="9"/>
        <v xml:space="preserve"> </v>
      </c>
      <c r="T36" s="110" t="str">
        <f t="shared" si="10"/>
        <v xml:space="preserve"> </v>
      </c>
      <c r="U36" s="110" t="str">
        <f t="shared" si="11"/>
        <v xml:space="preserve"> </v>
      </c>
      <c r="V36" s="110" t="str">
        <f t="shared" si="13"/>
        <v xml:space="preserve"> </v>
      </c>
      <c r="AI36" s="131"/>
      <c r="AJ36" s="131"/>
      <c r="AK36" s="131"/>
      <c r="AL36" s="132"/>
    </row>
    <row r="37" spans="1:38" ht="15">
      <c r="A37">
        <v>18163</v>
      </c>
      <c r="B37" s="168">
        <v>37986</v>
      </c>
      <c r="C37" t="s">
        <v>382</v>
      </c>
      <c r="D37" t="s">
        <v>308</v>
      </c>
      <c r="E37" t="s">
        <v>383</v>
      </c>
      <c r="F37">
        <v>21446</v>
      </c>
      <c r="G37" t="s">
        <v>382</v>
      </c>
      <c r="H37"/>
      <c r="I37">
        <v>99.879997253417969</v>
      </c>
      <c r="J37">
        <v>3.782210499048233E-2</v>
      </c>
      <c r="K37">
        <v>4.5476349999999999E-2</v>
      </c>
      <c r="L37">
        <v>3.8908249999999998E-2</v>
      </c>
      <c r="M37">
        <v>5.0765450000000004E-2</v>
      </c>
      <c r="N37" s="27">
        <f t="shared" si="4"/>
        <v>37986</v>
      </c>
      <c r="O37" s="110" t="str">
        <f t="shared" si="5"/>
        <v xml:space="preserve"> </v>
      </c>
      <c r="P37" s="110" t="str">
        <f t="shared" si="6"/>
        <v xml:space="preserve"> </v>
      </c>
      <c r="Q37" s="110" t="str">
        <f t="shared" si="7"/>
        <v xml:space="preserve"> </v>
      </c>
      <c r="R37" s="110" t="str">
        <f t="shared" si="8"/>
        <v xml:space="preserve"> </v>
      </c>
      <c r="S37" s="110" t="str">
        <f t="shared" si="9"/>
        <v xml:space="preserve"> </v>
      </c>
      <c r="T37" s="110" t="str">
        <f t="shared" si="10"/>
        <v xml:space="preserve"> </v>
      </c>
      <c r="U37" s="110" t="str">
        <f t="shared" si="11"/>
        <v xml:space="preserve"> </v>
      </c>
      <c r="V37" s="110" t="str">
        <f t="shared" si="13"/>
        <v xml:space="preserve"> </v>
      </c>
      <c r="AI37" s="131"/>
      <c r="AJ37" s="131"/>
      <c r="AK37" s="131"/>
      <c r="AL37" s="132"/>
    </row>
    <row r="38" spans="1:38" ht="15">
      <c r="A38">
        <v>18163</v>
      </c>
      <c r="B38" s="168">
        <v>38016</v>
      </c>
      <c r="C38" t="s">
        <v>382</v>
      </c>
      <c r="D38" t="s">
        <v>308</v>
      </c>
      <c r="E38" t="s">
        <v>383</v>
      </c>
      <c r="F38">
        <v>21446</v>
      </c>
      <c r="G38" t="s">
        <v>382</v>
      </c>
      <c r="H38"/>
      <c r="I38">
        <v>101.08000183105469</v>
      </c>
      <c r="J38">
        <v>1.656993106007576E-2</v>
      </c>
      <c r="K38">
        <v>2.304194E-2</v>
      </c>
      <c r="L38">
        <v>6.5762580000000001E-2</v>
      </c>
      <c r="M38">
        <v>1.7276420000000001E-2</v>
      </c>
      <c r="N38" s="27">
        <f t="shared" si="4"/>
        <v>38016</v>
      </c>
      <c r="O38" s="110" t="str">
        <f t="shared" si="5"/>
        <v xml:space="preserve"> </v>
      </c>
      <c r="P38" s="110" t="str">
        <f t="shared" si="6"/>
        <v xml:space="preserve"> </v>
      </c>
      <c r="Q38" s="110" t="str">
        <f t="shared" si="7"/>
        <v xml:space="preserve"> </v>
      </c>
      <c r="R38" s="110" t="str">
        <f t="shared" si="8"/>
        <v xml:space="preserve"> </v>
      </c>
      <c r="S38" s="110" t="str">
        <f t="shared" si="9"/>
        <v xml:space="preserve"> </v>
      </c>
      <c r="T38" s="110" t="str">
        <f t="shared" si="10"/>
        <v xml:space="preserve"> </v>
      </c>
      <c r="U38" s="110" t="str">
        <f t="shared" si="11"/>
        <v xml:space="preserve"> </v>
      </c>
      <c r="V38" s="110" t="str">
        <f t="shared" si="13"/>
        <v xml:space="preserve"> </v>
      </c>
      <c r="AI38" s="131"/>
      <c r="AJ38" s="131"/>
      <c r="AK38" s="131"/>
      <c r="AL38" s="132"/>
    </row>
    <row r="39" spans="1:38" ht="15">
      <c r="A39">
        <v>18163</v>
      </c>
      <c r="B39" s="168">
        <v>38044</v>
      </c>
      <c r="C39" t="s">
        <v>382</v>
      </c>
      <c r="D39" t="s">
        <v>308</v>
      </c>
      <c r="E39" t="s">
        <v>383</v>
      </c>
      <c r="F39">
        <v>21446</v>
      </c>
      <c r="G39" t="s">
        <v>382</v>
      </c>
      <c r="H39"/>
      <c r="I39">
        <v>102.51000213623047</v>
      </c>
      <c r="J39">
        <v>1.4147212728857994E-2</v>
      </c>
      <c r="K39">
        <v>1.544306E-2</v>
      </c>
      <c r="L39">
        <v>1.3719840000000001E-2</v>
      </c>
      <c r="M39">
        <v>1.2209030000000001E-2</v>
      </c>
      <c r="N39" s="27">
        <f t="shared" si="4"/>
        <v>38044</v>
      </c>
      <c r="O39" s="110" t="str">
        <f t="shared" si="5"/>
        <v xml:space="preserve"> </v>
      </c>
      <c r="P39" s="110" t="str">
        <f t="shared" si="6"/>
        <v xml:space="preserve"> </v>
      </c>
      <c r="Q39" s="110" t="str">
        <f t="shared" si="7"/>
        <v xml:space="preserve"> </v>
      </c>
      <c r="R39" s="110" t="str">
        <f t="shared" si="8"/>
        <v xml:space="preserve"> </v>
      </c>
      <c r="S39" s="110" t="str">
        <f t="shared" si="9"/>
        <v xml:space="preserve"> </v>
      </c>
      <c r="T39" s="110" t="str">
        <f t="shared" si="10"/>
        <v xml:space="preserve"> </v>
      </c>
      <c r="U39" s="110" t="str">
        <f t="shared" si="11"/>
        <v xml:space="preserve"> </v>
      </c>
      <c r="V39" s="110" t="str">
        <f t="shared" si="13"/>
        <v xml:space="preserve"> </v>
      </c>
      <c r="AI39" s="131"/>
      <c r="AJ39" s="131"/>
      <c r="AK39" s="131"/>
      <c r="AL39" s="132"/>
    </row>
    <row r="40" spans="1:38" ht="15">
      <c r="A40">
        <v>18163</v>
      </c>
      <c r="B40" s="168">
        <v>38077</v>
      </c>
      <c r="C40" t="s">
        <v>382</v>
      </c>
      <c r="D40" t="s">
        <v>308</v>
      </c>
      <c r="E40" t="s">
        <v>383</v>
      </c>
      <c r="F40">
        <v>21446</v>
      </c>
      <c r="G40" t="s">
        <v>382</v>
      </c>
      <c r="H40"/>
      <c r="I40">
        <v>104.87999725341797</v>
      </c>
      <c r="J40">
        <v>2.3119647055864334E-2</v>
      </c>
      <c r="K40">
        <v>-1.066161E-2</v>
      </c>
      <c r="L40">
        <v>6.2934330000000002E-3</v>
      </c>
      <c r="M40">
        <v>-1.6358939999999999E-2</v>
      </c>
      <c r="N40" s="27">
        <f t="shared" si="4"/>
        <v>38077</v>
      </c>
      <c r="O40" s="110" t="str">
        <f t="shared" si="5"/>
        <v xml:space="preserve"> </v>
      </c>
      <c r="P40" s="110" t="str">
        <f t="shared" si="6"/>
        <v xml:space="preserve"> </v>
      </c>
      <c r="Q40" s="110" t="str">
        <f t="shared" si="7"/>
        <v xml:space="preserve"> </v>
      </c>
      <c r="R40" s="110" t="str">
        <f t="shared" si="8"/>
        <v xml:space="preserve"> </v>
      </c>
      <c r="S40" s="110" t="str">
        <f t="shared" si="9"/>
        <v xml:space="preserve"> </v>
      </c>
      <c r="T40" s="110" t="str">
        <f t="shared" si="10"/>
        <v xml:space="preserve"> </v>
      </c>
      <c r="U40" s="110" t="str">
        <f t="shared" si="11"/>
        <v xml:space="preserve"> </v>
      </c>
      <c r="V40" s="110" t="str">
        <f t="shared" si="13"/>
        <v xml:space="preserve"> </v>
      </c>
      <c r="AI40" s="131"/>
      <c r="AJ40" s="131"/>
      <c r="AK40" s="131"/>
      <c r="AL40" s="132"/>
    </row>
    <row r="41" spans="1:38" ht="15">
      <c r="A41">
        <v>18163</v>
      </c>
      <c r="B41" s="168">
        <v>38107</v>
      </c>
      <c r="C41" t="s">
        <v>382</v>
      </c>
      <c r="D41" t="s">
        <v>308</v>
      </c>
      <c r="E41" t="s">
        <v>383</v>
      </c>
      <c r="F41">
        <v>21446</v>
      </c>
      <c r="G41" t="s">
        <v>382</v>
      </c>
      <c r="H41"/>
      <c r="I41">
        <v>105.75</v>
      </c>
      <c r="J41">
        <v>1.3062573969364166E-2</v>
      </c>
      <c r="K41">
        <v>-2.4221929999999999E-2</v>
      </c>
      <c r="L41">
        <v>-4.3589849999999999E-2</v>
      </c>
      <c r="M41">
        <v>-1.679083E-2</v>
      </c>
      <c r="N41" s="27">
        <f t="shared" si="4"/>
        <v>38107</v>
      </c>
      <c r="O41" s="110" t="str">
        <f t="shared" si="5"/>
        <v xml:space="preserve"> </v>
      </c>
      <c r="P41" s="110" t="str">
        <f t="shared" si="6"/>
        <v xml:space="preserve"> </v>
      </c>
      <c r="Q41" s="110" t="str">
        <f t="shared" si="7"/>
        <v xml:space="preserve"> </v>
      </c>
      <c r="R41" s="110" t="str">
        <f t="shared" si="8"/>
        <v xml:space="preserve"> </v>
      </c>
      <c r="S41" s="110" t="str">
        <f t="shared" si="9"/>
        <v xml:space="preserve"> </v>
      </c>
      <c r="T41" s="110" t="str">
        <f t="shared" si="10"/>
        <v xml:space="preserve"> </v>
      </c>
      <c r="U41" s="110" t="str">
        <f t="shared" si="11"/>
        <v xml:space="preserve"> </v>
      </c>
      <c r="V41" s="110" t="str">
        <f t="shared" si="13"/>
        <v xml:space="preserve"> </v>
      </c>
      <c r="AI41" s="131"/>
      <c r="AJ41" s="131"/>
      <c r="AK41" s="131"/>
      <c r="AL41" s="132"/>
    </row>
    <row r="42" spans="1:38" ht="15">
      <c r="A42">
        <v>18163</v>
      </c>
      <c r="B42" s="168">
        <v>38135</v>
      </c>
      <c r="C42" t="s">
        <v>382</v>
      </c>
      <c r="D42" t="s">
        <v>308</v>
      </c>
      <c r="E42" t="s">
        <v>383</v>
      </c>
      <c r="F42">
        <v>21446</v>
      </c>
      <c r="G42" t="s">
        <v>382</v>
      </c>
      <c r="H42"/>
      <c r="I42">
        <v>107.81999969482422</v>
      </c>
      <c r="J42">
        <v>1.9574465230107307E-2</v>
      </c>
      <c r="K42">
        <v>1.406833E-2</v>
      </c>
      <c r="L42">
        <v>2.5928740000000002E-3</v>
      </c>
      <c r="M42">
        <v>1.2083450000000001E-2</v>
      </c>
      <c r="N42" s="27">
        <f t="shared" si="4"/>
        <v>38135</v>
      </c>
      <c r="O42" s="110" t="str">
        <f t="shared" si="5"/>
        <v xml:space="preserve"> </v>
      </c>
      <c r="P42" s="110" t="str">
        <f t="shared" si="6"/>
        <v xml:space="preserve"> </v>
      </c>
      <c r="Q42" s="110" t="str">
        <f t="shared" si="7"/>
        <v xml:space="preserve"> </v>
      </c>
      <c r="R42" s="110" t="str">
        <f t="shared" si="8"/>
        <v xml:space="preserve"> </v>
      </c>
      <c r="S42" s="110" t="str">
        <f t="shared" si="9"/>
        <v xml:space="preserve"> </v>
      </c>
      <c r="T42" s="110" t="str">
        <f t="shared" si="10"/>
        <v xml:space="preserve"> </v>
      </c>
      <c r="U42" s="110" t="str">
        <f t="shared" si="11"/>
        <v xml:space="preserve"> </v>
      </c>
      <c r="V42" s="110" t="str">
        <f t="shared" si="13"/>
        <v xml:space="preserve"> </v>
      </c>
      <c r="AI42" s="131"/>
      <c r="AJ42" s="131"/>
      <c r="AK42" s="131"/>
      <c r="AL42" s="132"/>
    </row>
    <row r="43" spans="1:38" ht="15">
      <c r="A43">
        <v>18163</v>
      </c>
      <c r="B43" s="168">
        <v>38168</v>
      </c>
      <c r="C43" t="s">
        <v>382</v>
      </c>
      <c r="D43" t="s">
        <v>308</v>
      </c>
      <c r="E43" t="s">
        <v>383</v>
      </c>
      <c r="F43">
        <v>21446</v>
      </c>
      <c r="G43" t="s">
        <v>382</v>
      </c>
      <c r="H43"/>
      <c r="I43">
        <v>54.439998626708984</v>
      </c>
      <c r="J43">
        <v>9.8311770707368851E-3</v>
      </c>
      <c r="K43">
        <v>2.1610919999999999E-2</v>
      </c>
      <c r="L43">
        <v>2.2731330000000001E-2</v>
      </c>
      <c r="M43">
        <v>1.7989080000000001E-2</v>
      </c>
      <c r="N43" s="27">
        <f t="shared" si="4"/>
        <v>38168</v>
      </c>
      <c r="O43" s="110" t="str">
        <f t="shared" si="5"/>
        <v xml:space="preserve"> </v>
      </c>
      <c r="P43" s="110" t="str">
        <f t="shared" si="6"/>
        <v xml:space="preserve"> </v>
      </c>
      <c r="Q43" s="110" t="str">
        <f t="shared" si="7"/>
        <v xml:space="preserve"> </v>
      </c>
      <c r="R43" s="110" t="str">
        <f t="shared" si="8"/>
        <v xml:space="preserve"> </v>
      </c>
      <c r="S43" s="110" t="str">
        <f t="shared" si="9"/>
        <v xml:space="preserve"> </v>
      </c>
      <c r="T43" s="110" t="str">
        <f t="shared" si="10"/>
        <v xml:space="preserve"> </v>
      </c>
      <c r="U43" s="110" t="str">
        <f t="shared" si="11"/>
        <v xml:space="preserve"> </v>
      </c>
      <c r="V43" s="110" t="str">
        <f t="shared" si="13"/>
        <v xml:space="preserve"> </v>
      </c>
      <c r="AI43" s="131"/>
      <c r="AJ43" s="131"/>
      <c r="AK43" s="131"/>
      <c r="AL43" s="132"/>
    </row>
    <row r="44" spans="1:38" ht="15">
      <c r="A44">
        <v>18163</v>
      </c>
      <c r="B44" s="168">
        <v>38198</v>
      </c>
      <c r="C44" t="s">
        <v>382</v>
      </c>
      <c r="D44" t="s">
        <v>308</v>
      </c>
      <c r="E44" t="s">
        <v>383</v>
      </c>
      <c r="F44">
        <v>21446</v>
      </c>
      <c r="G44" t="s">
        <v>382</v>
      </c>
      <c r="H44"/>
      <c r="I44">
        <v>52.150001525878906</v>
      </c>
      <c r="J44">
        <v>-3.7472393363714218E-2</v>
      </c>
      <c r="K44">
        <v>-3.7697729999999999E-2</v>
      </c>
      <c r="L44">
        <v>-5.1089910000000002E-2</v>
      </c>
      <c r="M44">
        <v>-3.4290519999999998E-2</v>
      </c>
      <c r="N44" s="27">
        <f t="shared" si="4"/>
        <v>38198</v>
      </c>
      <c r="O44" s="110" t="str">
        <f t="shared" si="5"/>
        <v xml:space="preserve"> </v>
      </c>
      <c r="P44" s="110" t="str">
        <f t="shared" si="6"/>
        <v xml:space="preserve"> </v>
      </c>
      <c r="Q44" s="110" t="str">
        <f t="shared" si="7"/>
        <v xml:space="preserve"> </v>
      </c>
      <c r="R44" s="110" t="str">
        <f t="shared" si="8"/>
        <v xml:space="preserve"> </v>
      </c>
      <c r="S44" s="110" t="str">
        <f t="shared" si="9"/>
        <v xml:space="preserve"> </v>
      </c>
      <c r="T44" s="110" t="str">
        <f t="shared" si="10"/>
        <v xml:space="preserve"> </v>
      </c>
      <c r="U44" s="110" t="str">
        <f t="shared" si="11"/>
        <v xml:space="preserve"> </v>
      </c>
      <c r="V44" s="110" t="str">
        <f t="shared" si="13"/>
        <v xml:space="preserve"> </v>
      </c>
      <c r="AI44" s="131"/>
      <c r="AJ44" s="131"/>
      <c r="AK44" s="131"/>
      <c r="AL44" s="132"/>
    </row>
    <row r="45" spans="1:38" ht="15">
      <c r="A45">
        <v>18163</v>
      </c>
      <c r="B45" s="168">
        <v>38230</v>
      </c>
      <c r="C45" t="s">
        <v>382</v>
      </c>
      <c r="D45" t="s">
        <v>308</v>
      </c>
      <c r="E45" t="s">
        <v>383</v>
      </c>
      <c r="F45">
        <v>21446</v>
      </c>
      <c r="G45" t="s">
        <v>382</v>
      </c>
      <c r="H45"/>
      <c r="I45">
        <v>55.970001220703125</v>
      </c>
      <c r="J45">
        <v>7.3250234127044678E-2</v>
      </c>
      <c r="K45">
        <v>2.7029000000000003E-3</v>
      </c>
      <c r="L45">
        <v>-4.7415240000000004E-3</v>
      </c>
      <c r="M45">
        <v>2.287332E-3</v>
      </c>
      <c r="N45" s="27">
        <f t="shared" si="4"/>
        <v>38230</v>
      </c>
      <c r="O45" s="110" t="str">
        <f t="shared" si="5"/>
        <v xml:space="preserve"> </v>
      </c>
      <c r="P45" s="110" t="str">
        <f t="shared" si="6"/>
        <v xml:space="preserve"> </v>
      </c>
      <c r="Q45" s="110" t="str">
        <f t="shared" si="7"/>
        <v xml:space="preserve"> </v>
      </c>
      <c r="R45" s="110" t="str">
        <f t="shared" si="8"/>
        <v xml:space="preserve"> </v>
      </c>
      <c r="S45" s="110" t="str">
        <f t="shared" si="9"/>
        <v xml:space="preserve"> </v>
      </c>
      <c r="T45" s="110" t="str">
        <f t="shared" si="10"/>
        <v xml:space="preserve"> </v>
      </c>
      <c r="U45" s="110" t="str">
        <f t="shared" si="11"/>
        <v xml:space="preserve"> </v>
      </c>
      <c r="V45" s="110" t="str">
        <f t="shared" si="13"/>
        <v xml:space="preserve"> </v>
      </c>
      <c r="AI45" s="131"/>
      <c r="AJ45" s="131"/>
      <c r="AK45" s="131"/>
      <c r="AL45" s="132"/>
    </row>
    <row r="46" spans="1:38" ht="15">
      <c r="A46">
        <v>18163</v>
      </c>
      <c r="B46" s="168">
        <v>38260</v>
      </c>
      <c r="C46" t="s">
        <v>382</v>
      </c>
      <c r="D46" t="s">
        <v>308</v>
      </c>
      <c r="E46" t="s">
        <v>383</v>
      </c>
      <c r="F46">
        <v>21446</v>
      </c>
      <c r="G46" t="s">
        <v>382</v>
      </c>
      <c r="H46"/>
      <c r="I46">
        <v>54.119998931884766</v>
      </c>
      <c r="J46">
        <v>-3.3053461462259293E-2</v>
      </c>
      <c r="K46">
        <v>2.055616E-2</v>
      </c>
      <c r="L46">
        <v>4.1600690000000003E-2</v>
      </c>
      <c r="M46">
        <v>9.363906E-3</v>
      </c>
      <c r="N46" s="27">
        <f t="shared" si="4"/>
        <v>38260</v>
      </c>
      <c r="O46" s="110" t="str">
        <f t="shared" si="5"/>
        <v xml:space="preserve"> </v>
      </c>
      <c r="P46" s="110" t="str">
        <f t="shared" si="6"/>
        <v xml:space="preserve"> </v>
      </c>
      <c r="Q46" s="110" t="str">
        <f t="shared" si="7"/>
        <v xml:space="preserve"> </v>
      </c>
      <c r="R46" s="110" t="str">
        <f t="shared" si="8"/>
        <v xml:space="preserve"> </v>
      </c>
      <c r="S46" s="110" t="str">
        <f t="shared" si="9"/>
        <v xml:space="preserve"> </v>
      </c>
      <c r="T46" s="110" t="str">
        <f t="shared" si="10"/>
        <v xml:space="preserve"> </v>
      </c>
      <c r="U46" s="110" t="str">
        <f t="shared" si="11"/>
        <v xml:space="preserve"> </v>
      </c>
      <c r="V46" s="110" t="str">
        <f t="shared" si="13"/>
        <v xml:space="preserve"> </v>
      </c>
      <c r="AI46" s="131"/>
      <c r="AJ46" s="131"/>
      <c r="AK46" s="131"/>
      <c r="AL46" s="132"/>
    </row>
    <row r="47" spans="1:38" ht="15">
      <c r="A47">
        <v>18163</v>
      </c>
      <c r="B47" s="168">
        <v>38289</v>
      </c>
      <c r="C47" t="s">
        <v>382</v>
      </c>
      <c r="D47" t="s">
        <v>308</v>
      </c>
      <c r="E47" t="s">
        <v>383</v>
      </c>
      <c r="F47">
        <v>21446</v>
      </c>
      <c r="G47" t="s">
        <v>382</v>
      </c>
      <c r="H47"/>
      <c r="I47">
        <v>51.180000305175781</v>
      </c>
      <c r="J47">
        <v>-4.9704335629940033E-2</v>
      </c>
      <c r="K47">
        <v>1.780559E-2</v>
      </c>
      <c r="L47">
        <v>2.084536E-2</v>
      </c>
      <c r="M47">
        <v>1.4014250000000001E-2</v>
      </c>
      <c r="N47" s="27">
        <f t="shared" si="4"/>
        <v>38289</v>
      </c>
      <c r="O47" s="110" t="str">
        <f t="shared" si="5"/>
        <v xml:space="preserve"> </v>
      </c>
      <c r="P47" s="110" t="str">
        <f t="shared" si="6"/>
        <v xml:space="preserve"> </v>
      </c>
      <c r="Q47" s="110" t="str">
        <f t="shared" si="7"/>
        <v xml:space="preserve"> </v>
      </c>
      <c r="R47" s="110" t="str">
        <f t="shared" si="8"/>
        <v xml:space="preserve"> </v>
      </c>
      <c r="S47" s="110" t="str">
        <f t="shared" si="9"/>
        <v xml:space="preserve"> </v>
      </c>
      <c r="T47" s="110" t="str">
        <f t="shared" si="10"/>
        <v xml:space="preserve"> </v>
      </c>
      <c r="U47" s="110" t="str">
        <f t="shared" si="11"/>
        <v xml:space="preserve"> </v>
      </c>
      <c r="V47" s="110" t="str">
        <f t="shared" si="13"/>
        <v xml:space="preserve"> </v>
      </c>
      <c r="AI47" s="131"/>
      <c r="AJ47" s="131"/>
      <c r="AK47" s="131"/>
      <c r="AL47" s="132"/>
    </row>
    <row r="48" spans="1:38" ht="15">
      <c r="A48">
        <v>18163</v>
      </c>
      <c r="B48" s="168">
        <v>38321</v>
      </c>
      <c r="C48" t="s">
        <v>382</v>
      </c>
      <c r="D48" t="s">
        <v>308</v>
      </c>
      <c r="E48" t="s">
        <v>383</v>
      </c>
      <c r="F48">
        <v>21446</v>
      </c>
      <c r="G48" t="s">
        <v>382</v>
      </c>
      <c r="H48"/>
      <c r="I48">
        <v>53.479999542236328</v>
      </c>
      <c r="J48">
        <v>4.4939413666725159E-2</v>
      </c>
      <c r="K48">
        <v>4.8213789999999999E-2</v>
      </c>
      <c r="L48">
        <v>7.9934710000000006E-2</v>
      </c>
      <c r="M48">
        <v>3.8594940000000001E-2</v>
      </c>
      <c r="N48" s="27">
        <f t="shared" si="4"/>
        <v>38321</v>
      </c>
      <c r="O48" s="110" t="str">
        <f t="shared" si="5"/>
        <v xml:space="preserve"> </v>
      </c>
      <c r="P48" s="110" t="str">
        <f t="shared" si="6"/>
        <v xml:space="preserve"> </v>
      </c>
      <c r="Q48" s="110" t="str">
        <f t="shared" si="7"/>
        <v xml:space="preserve"> </v>
      </c>
      <c r="R48" s="110" t="str">
        <f t="shared" si="8"/>
        <v xml:space="preserve"> </v>
      </c>
      <c r="S48" s="110" t="str">
        <f t="shared" si="9"/>
        <v xml:space="preserve"> </v>
      </c>
      <c r="T48" s="110" t="str">
        <f t="shared" si="10"/>
        <v xml:space="preserve"> </v>
      </c>
      <c r="U48" s="110" t="str">
        <f t="shared" si="11"/>
        <v xml:space="preserve"> </v>
      </c>
      <c r="V48" s="110" t="str">
        <f t="shared" si="13"/>
        <v xml:space="preserve"> </v>
      </c>
      <c r="AI48" s="131"/>
      <c r="AJ48" s="131"/>
      <c r="AK48" s="131"/>
      <c r="AL48" s="132"/>
    </row>
    <row r="49" spans="1:38" ht="15">
      <c r="A49">
        <v>18163</v>
      </c>
      <c r="B49" s="168">
        <v>38352</v>
      </c>
      <c r="C49" t="s">
        <v>382</v>
      </c>
      <c r="D49" t="s">
        <v>308</v>
      </c>
      <c r="E49" t="s">
        <v>383</v>
      </c>
      <c r="F49">
        <v>21446</v>
      </c>
      <c r="G49" t="s">
        <v>382</v>
      </c>
      <c r="H49"/>
      <c r="I49">
        <v>55.080001831054688</v>
      </c>
      <c r="J49">
        <v>2.9917769134044647E-2</v>
      </c>
      <c r="K49">
        <v>3.516963E-2</v>
      </c>
      <c r="L49">
        <v>5.2927920000000003E-2</v>
      </c>
      <c r="M49">
        <v>3.2458130000000002E-2</v>
      </c>
      <c r="N49" s="27">
        <f t="shared" si="4"/>
        <v>38352</v>
      </c>
      <c r="O49" s="110" t="str">
        <f t="shared" si="5"/>
        <v xml:space="preserve"> </v>
      </c>
      <c r="P49" s="110" t="str">
        <f t="shared" si="6"/>
        <v xml:space="preserve"> </v>
      </c>
      <c r="Q49" s="110" t="str">
        <f t="shared" si="7"/>
        <v xml:space="preserve"> </v>
      </c>
      <c r="R49" s="110" t="str">
        <f t="shared" si="8"/>
        <v xml:space="preserve"> </v>
      </c>
      <c r="S49" s="110" t="str">
        <f t="shared" si="9"/>
        <v xml:space="preserve"> </v>
      </c>
      <c r="T49" s="110" t="str">
        <f t="shared" si="10"/>
        <v xml:space="preserve"> </v>
      </c>
      <c r="U49" s="110" t="str">
        <f t="shared" si="11"/>
        <v xml:space="preserve"> </v>
      </c>
      <c r="V49" s="110" t="str">
        <f t="shared" si="13"/>
        <v xml:space="preserve"> </v>
      </c>
      <c r="AI49" s="131"/>
      <c r="AJ49" s="131"/>
      <c r="AK49" s="131"/>
      <c r="AL49" s="132"/>
    </row>
    <row r="50" spans="1:38" ht="15">
      <c r="A50">
        <v>18163</v>
      </c>
      <c r="B50" s="168">
        <v>38383</v>
      </c>
      <c r="C50" t="s">
        <v>382</v>
      </c>
      <c r="D50" t="s">
        <v>308</v>
      </c>
      <c r="E50" t="s">
        <v>383</v>
      </c>
      <c r="F50">
        <v>21446</v>
      </c>
      <c r="G50" t="s">
        <v>382</v>
      </c>
      <c r="H50"/>
      <c r="I50">
        <v>53.229999542236328</v>
      </c>
      <c r="J50">
        <v>-2.9048696160316467E-2</v>
      </c>
      <c r="K50">
        <v>-2.6545880000000001E-2</v>
      </c>
      <c r="L50">
        <v>-2.928209E-2</v>
      </c>
      <c r="M50">
        <v>-2.5290449999999999E-2</v>
      </c>
      <c r="N50" s="27">
        <f t="shared" si="4"/>
        <v>38383</v>
      </c>
      <c r="O50" s="110" t="str">
        <f t="shared" si="5"/>
        <v xml:space="preserve"> </v>
      </c>
      <c r="P50" s="110" t="str">
        <f t="shared" si="6"/>
        <v xml:space="preserve"> </v>
      </c>
      <c r="Q50" s="110" t="str">
        <f t="shared" si="7"/>
        <v xml:space="preserve"> </v>
      </c>
      <c r="R50" s="110" t="str">
        <f t="shared" si="8"/>
        <v xml:space="preserve"> </v>
      </c>
      <c r="S50" s="110" t="str">
        <f t="shared" si="9"/>
        <v xml:space="preserve"> </v>
      </c>
      <c r="T50" s="110" t="str">
        <f t="shared" si="10"/>
        <v xml:space="preserve"> </v>
      </c>
      <c r="U50" s="110" t="str">
        <f t="shared" si="11"/>
        <v xml:space="preserve"> </v>
      </c>
      <c r="V50" s="110" t="str">
        <f t="shared" si="13"/>
        <v xml:space="preserve"> </v>
      </c>
      <c r="AI50" s="131"/>
      <c r="AJ50" s="131"/>
      <c r="AK50" s="131"/>
      <c r="AL50" s="132"/>
    </row>
    <row r="51" spans="1:38" ht="15">
      <c r="A51">
        <v>18163</v>
      </c>
      <c r="B51" s="168">
        <v>38411</v>
      </c>
      <c r="C51" t="s">
        <v>382</v>
      </c>
      <c r="D51" t="s">
        <v>308</v>
      </c>
      <c r="E51" t="s">
        <v>383</v>
      </c>
      <c r="F51">
        <v>21446</v>
      </c>
      <c r="G51" t="s">
        <v>382</v>
      </c>
      <c r="H51"/>
      <c r="I51">
        <v>53.090000152587891</v>
      </c>
      <c r="J51">
        <v>-2.6300842873752117E-3</v>
      </c>
      <c r="K51">
        <v>2.2646099999999999E-2</v>
      </c>
      <c r="L51">
        <v>1.66432E-2</v>
      </c>
      <c r="M51">
        <v>1.8903380000000001E-2</v>
      </c>
      <c r="N51" s="27">
        <f t="shared" si="4"/>
        <v>38411</v>
      </c>
      <c r="O51" s="110" t="str">
        <f t="shared" si="5"/>
        <v xml:space="preserve"> </v>
      </c>
      <c r="P51" s="110" t="str">
        <f t="shared" si="6"/>
        <v xml:space="preserve"> </v>
      </c>
      <c r="Q51" s="110" t="str">
        <f t="shared" si="7"/>
        <v xml:space="preserve"> </v>
      </c>
      <c r="R51" s="110" t="str">
        <f t="shared" si="8"/>
        <v xml:space="preserve"> </v>
      </c>
      <c r="S51" s="110" t="str">
        <f t="shared" si="9"/>
        <v xml:space="preserve"> </v>
      </c>
      <c r="T51" s="110" t="str">
        <f t="shared" si="10"/>
        <v xml:space="preserve"> </v>
      </c>
      <c r="U51" s="110" t="str">
        <f t="shared" si="11"/>
        <v xml:space="preserve"> </v>
      </c>
      <c r="V51" s="110" t="str">
        <f t="shared" si="13"/>
        <v xml:space="preserve"> </v>
      </c>
      <c r="AI51" s="131"/>
      <c r="AJ51" s="131"/>
      <c r="AK51" s="131"/>
      <c r="AL51" s="132"/>
    </row>
    <row r="52" spans="1:38" ht="15">
      <c r="A52">
        <v>18163</v>
      </c>
      <c r="B52" s="168">
        <v>38442</v>
      </c>
      <c r="C52" t="s">
        <v>382</v>
      </c>
      <c r="D52" t="s">
        <v>308</v>
      </c>
      <c r="E52" t="s">
        <v>383</v>
      </c>
      <c r="F52">
        <v>21446</v>
      </c>
      <c r="G52" t="s">
        <v>382</v>
      </c>
      <c r="H52"/>
      <c r="I52">
        <v>53</v>
      </c>
      <c r="J52">
        <v>-1.6952373553067446E-3</v>
      </c>
      <c r="K52">
        <v>-1.6943639999999999E-2</v>
      </c>
      <c r="L52">
        <v>-3.1841929999999997E-2</v>
      </c>
      <c r="M52">
        <v>-1.911765E-2</v>
      </c>
      <c r="N52" s="27">
        <f t="shared" si="4"/>
        <v>38442</v>
      </c>
      <c r="O52" s="110" t="str">
        <f t="shared" si="5"/>
        <v xml:space="preserve"> </v>
      </c>
      <c r="P52" s="110" t="str">
        <f t="shared" si="6"/>
        <v xml:space="preserve"> </v>
      </c>
      <c r="Q52" s="110" t="str">
        <f t="shared" si="7"/>
        <v xml:space="preserve"> </v>
      </c>
      <c r="R52" s="110" t="str">
        <f t="shared" si="8"/>
        <v xml:space="preserve"> </v>
      </c>
      <c r="S52" s="110" t="str">
        <f t="shared" si="9"/>
        <v xml:space="preserve"> </v>
      </c>
      <c r="T52" s="110" t="str">
        <f t="shared" si="10"/>
        <v xml:space="preserve"> </v>
      </c>
      <c r="U52" s="110" t="str">
        <f t="shared" si="11"/>
        <v xml:space="preserve"> </v>
      </c>
      <c r="V52" s="110" t="str">
        <f t="shared" si="13"/>
        <v xml:space="preserve"> </v>
      </c>
      <c r="AI52" s="131"/>
      <c r="AJ52" s="131"/>
      <c r="AK52" s="131"/>
      <c r="AL52" s="132"/>
    </row>
    <row r="53" spans="1:38" ht="15">
      <c r="A53">
        <v>18163</v>
      </c>
      <c r="B53" s="168">
        <v>38471</v>
      </c>
      <c r="C53" t="s">
        <v>382</v>
      </c>
      <c r="D53" t="s">
        <v>308</v>
      </c>
      <c r="E53" t="s">
        <v>383</v>
      </c>
      <c r="F53">
        <v>21446</v>
      </c>
      <c r="G53" t="s">
        <v>382</v>
      </c>
      <c r="H53"/>
      <c r="I53">
        <v>54.150001525878906</v>
      </c>
      <c r="J53">
        <v>2.6981160044670105E-2</v>
      </c>
      <c r="K53">
        <v>-2.5206329999999999E-2</v>
      </c>
      <c r="L53">
        <v>-4.651251E-2</v>
      </c>
      <c r="M53">
        <v>-2.0108589999999999E-2</v>
      </c>
      <c r="N53" s="27">
        <f t="shared" si="4"/>
        <v>38471</v>
      </c>
      <c r="O53" s="110" t="str">
        <f t="shared" si="5"/>
        <v xml:space="preserve"> </v>
      </c>
      <c r="P53" s="110" t="str">
        <f t="shared" si="6"/>
        <v xml:space="preserve"> </v>
      </c>
      <c r="Q53" s="110" t="str">
        <f t="shared" si="7"/>
        <v xml:space="preserve"> </v>
      </c>
      <c r="R53" s="110" t="str">
        <f t="shared" si="8"/>
        <v xml:space="preserve"> </v>
      </c>
      <c r="S53" s="110" t="str">
        <f t="shared" si="9"/>
        <v xml:space="preserve"> </v>
      </c>
      <c r="T53" s="110" t="str">
        <f t="shared" si="10"/>
        <v xml:space="preserve"> </v>
      </c>
      <c r="U53" s="110" t="str">
        <f t="shared" si="11"/>
        <v xml:space="preserve"> </v>
      </c>
      <c r="V53" s="110" t="str">
        <f t="shared" si="13"/>
        <v xml:space="preserve"> </v>
      </c>
      <c r="AI53" s="131"/>
      <c r="AJ53" s="131"/>
      <c r="AK53" s="131"/>
      <c r="AL53" s="132"/>
    </row>
    <row r="54" spans="1:38" ht="15">
      <c r="A54">
        <v>18163</v>
      </c>
      <c r="B54" s="168">
        <v>38503</v>
      </c>
      <c r="C54" t="s">
        <v>382</v>
      </c>
      <c r="D54" t="s">
        <v>308</v>
      </c>
      <c r="E54" t="s">
        <v>383</v>
      </c>
      <c r="F54">
        <v>21446</v>
      </c>
      <c r="G54" t="s">
        <v>382</v>
      </c>
      <c r="H54"/>
      <c r="I54">
        <v>55.150001525878906</v>
      </c>
      <c r="J54">
        <v>1.8467219546437263E-2</v>
      </c>
      <c r="K54">
        <v>3.7954000000000002E-2</v>
      </c>
      <c r="L54">
        <v>4.3820350000000001E-2</v>
      </c>
      <c r="M54">
        <v>2.9952030000000001E-2</v>
      </c>
      <c r="N54" s="27">
        <f t="shared" si="4"/>
        <v>38503</v>
      </c>
      <c r="O54" s="110" t="str">
        <f t="shared" si="5"/>
        <v xml:space="preserve"> </v>
      </c>
      <c r="P54" s="110" t="str">
        <f t="shared" si="6"/>
        <v xml:space="preserve"> </v>
      </c>
      <c r="Q54" s="110" t="str">
        <f t="shared" si="7"/>
        <v xml:space="preserve"> </v>
      </c>
      <c r="R54" s="110" t="str">
        <f t="shared" si="8"/>
        <v xml:space="preserve"> </v>
      </c>
      <c r="S54" s="110" t="str">
        <f t="shared" si="9"/>
        <v xml:space="preserve"> </v>
      </c>
      <c r="T54" s="110" t="str">
        <f t="shared" si="10"/>
        <v xml:space="preserve"> </v>
      </c>
      <c r="U54" s="110" t="str">
        <f t="shared" si="11"/>
        <v xml:space="preserve"> </v>
      </c>
      <c r="V54" s="110" t="str">
        <f t="shared" si="13"/>
        <v xml:space="preserve"> </v>
      </c>
      <c r="AI54" s="131"/>
      <c r="AJ54" s="131"/>
      <c r="AK54" s="131"/>
      <c r="AL54" s="132"/>
    </row>
    <row r="55" spans="1:38" ht="15">
      <c r="A55">
        <v>18163</v>
      </c>
      <c r="B55" s="168">
        <v>38533</v>
      </c>
      <c r="C55" t="s">
        <v>382</v>
      </c>
      <c r="D55" t="s">
        <v>308</v>
      </c>
      <c r="E55" t="s">
        <v>383</v>
      </c>
      <c r="F55">
        <v>21446</v>
      </c>
      <c r="G55" t="s">
        <v>382</v>
      </c>
      <c r="H55"/>
      <c r="I55">
        <v>52.75</v>
      </c>
      <c r="J55">
        <v>-4.3517705053091049E-2</v>
      </c>
      <c r="K55">
        <v>1.1528989999999999E-2</v>
      </c>
      <c r="L55">
        <v>3.2138710000000001E-2</v>
      </c>
      <c r="M55">
        <v>-1.4267730000000001E-4</v>
      </c>
      <c r="N55" s="27">
        <f t="shared" si="4"/>
        <v>38533</v>
      </c>
      <c r="O55" s="110" t="str">
        <f t="shared" si="5"/>
        <v xml:space="preserve"> </v>
      </c>
      <c r="P55" s="110" t="str">
        <f t="shared" si="6"/>
        <v xml:space="preserve"> </v>
      </c>
      <c r="Q55" s="110" t="str">
        <f t="shared" si="7"/>
        <v xml:space="preserve"> </v>
      </c>
      <c r="R55" s="110" t="str">
        <f t="shared" si="8"/>
        <v xml:space="preserve"> </v>
      </c>
      <c r="S55" s="110" t="str">
        <f t="shared" si="9"/>
        <v xml:space="preserve"> </v>
      </c>
      <c r="T55" s="110" t="str">
        <f t="shared" si="10"/>
        <v xml:space="preserve"> </v>
      </c>
      <c r="U55" s="110" t="str">
        <f t="shared" si="11"/>
        <v xml:space="preserve"> </v>
      </c>
      <c r="V55" s="110" t="str">
        <f t="shared" si="13"/>
        <v xml:space="preserve"> </v>
      </c>
      <c r="AI55" s="131"/>
      <c r="AJ55" s="131"/>
      <c r="AK55" s="131"/>
      <c r="AL55" s="132"/>
    </row>
    <row r="56" spans="1:38" ht="15">
      <c r="A56">
        <v>18163</v>
      </c>
      <c r="B56" s="168">
        <v>38562</v>
      </c>
      <c r="C56" t="s">
        <v>382</v>
      </c>
      <c r="D56" t="s">
        <v>308</v>
      </c>
      <c r="E56" t="s">
        <v>383</v>
      </c>
      <c r="F56">
        <v>21446</v>
      </c>
      <c r="G56" t="s">
        <v>382</v>
      </c>
      <c r="H56"/>
      <c r="I56">
        <v>55.630001068115234</v>
      </c>
      <c r="J56">
        <v>5.9905234724283218E-2</v>
      </c>
      <c r="K56">
        <v>4.3357529999999998E-2</v>
      </c>
      <c r="L56">
        <v>5.8750790000000004E-2</v>
      </c>
      <c r="M56">
        <v>3.5968199999999999E-2</v>
      </c>
      <c r="N56" s="27">
        <f t="shared" si="4"/>
        <v>38562</v>
      </c>
      <c r="O56" s="110" t="str">
        <f t="shared" si="5"/>
        <v xml:space="preserve"> </v>
      </c>
      <c r="P56" s="110" t="str">
        <f t="shared" si="6"/>
        <v xml:space="preserve"> </v>
      </c>
      <c r="Q56" s="110" t="str">
        <f t="shared" si="7"/>
        <v xml:space="preserve"> </v>
      </c>
      <c r="R56" s="110" t="str">
        <f t="shared" si="8"/>
        <v xml:space="preserve"> </v>
      </c>
      <c r="S56" s="110" t="str">
        <f t="shared" si="9"/>
        <v xml:space="preserve"> </v>
      </c>
      <c r="T56" s="110" t="str">
        <f t="shared" si="10"/>
        <v xml:space="preserve"> </v>
      </c>
      <c r="U56" s="110" t="str">
        <f t="shared" si="11"/>
        <v xml:space="preserve"> </v>
      </c>
      <c r="V56" s="110" t="str">
        <f t="shared" si="13"/>
        <v xml:space="preserve"> </v>
      </c>
      <c r="AI56" s="131"/>
      <c r="AJ56" s="131"/>
      <c r="AK56" s="131"/>
      <c r="AL56" s="132"/>
    </row>
    <row r="57" spans="1:38" ht="15">
      <c r="A57">
        <v>18163</v>
      </c>
      <c r="B57" s="168">
        <v>38595</v>
      </c>
      <c r="C57" t="s">
        <v>382</v>
      </c>
      <c r="D57" t="s">
        <v>308</v>
      </c>
      <c r="E57" t="s">
        <v>383</v>
      </c>
      <c r="F57">
        <v>21446</v>
      </c>
      <c r="G57" t="s">
        <v>382</v>
      </c>
      <c r="H57"/>
      <c r="I57">
        <v>55.479999542236328</v>
      </c>
      <c r="J57">
        <v>-2.6964142452925444E-3</v>
      </c>
      <c r="K57">
        <v>-5.9582430000000002E-3</v>
      </c>
      <c r="L57">
        <v>-7.2155920000000007E-3</v>
      </c>
      <c r="M57">
        <v>-1.1222030000000001E-2</v>
      </c>
      <c r="N57" s="27">
        <f t="shared" si="4"/>
        <v>38595</v>
      </c>
      <c r="O57" s="110" t="str">
        <f t="shared" si="5"/>
        <v xml:space="preserve"> </v>
      </c>
      <c r="P57" s="110" t="str">
        <f t="shared" si="6"/>
        <v xml:space="preserve"> </v>
      </c>
      <c r="Q57" s="110" t="str">
        <f t="shared" si="7"/>
        <v xml:space="preserve"> </v>
      </c>
      <c r="R57" s="110" t="str">
        <f t="shared" si="8"/>
        <v xml:space="preserve"> </v>
      </c>
      <c r="S57" s="110" t="str">
        <f t="shared" si="9"/>
        <v xml:space="preserve"> </v>
      </c>
      <c r="T57" s="110" t="str">
        <f t="shared" si="10"/>
        <v xml:space="preserve"> </v>
      </c>
      <c r="U57" s="110" t="str">
        <f t="shared" si="11"/>
        <v xml:space="preserve"> </v>
      </c>
      <c r="V57" s="110" t="str">
        <f t="shared" si="13"/>
        <v xml:space="preserve"> </v>
      </c>
      <c r="AI57" s="131"/>
      <c r="AJ57" s="131"/>
      <c r="AK57" s="131"/>
      <c r="AL57" s="132"/>
    </row>
    <row r="58" spans="1:38" ht="15">
      <c r="A58">
        <v>18163</v>
      </c>
      <c r="B58" s="168">
        <v>38625</v>
      </c>
      <c r="C58" t="s">
        <v>382</v>
      </c>
      <c r="D58" t="s">
        <v>308</v>
      </c>
      <c r="E58" t="s">
        <v>383</v>
      </c>
      <c r="F58">
        <v>21446</v>
      </c>
      <c r="G58" t="s">
        <v>382</v>
      </c>
      <c r="H58"/>
      <c r="I58">
        <v>59.459999084472656</v>
      </c>
      <c r="J58">
        <v>7.1737557649612427E-2</v>
      </c>
      <c r="K58">
        <v>1.059976E-2</v>
      </c>
      <c r="L58">
        <v>1.0533250000000001E-2</v>
      </c>
      <c r="M58">
        <v>6.9489400000000007E-3</v>
      </c>
      <c r="N58" s="27">
        <f t="shared" si="4"/>
        <v>38625</v>
      </c>
      <c r="O58" s="110" t="str">
        <f t="shared" si="5"/>
        <v xml:space="preserve"> </v>
      </c>
      <c r="P58" s="110" t="str">
        <f t="shared" si="6"/>
        <v xml:space="preserve"> </v>
      </c>
      <c r="Q58" s="110" t="str">
        <f t="shared" si="7"/>
        <v xml:space="preserve"> </v>
      </c>
      <c r="R58" s="110" t="str">
        <f t="shared" si="8"/>
        <v xml:space="preserve"> </v>
      </c>
      <c r="S58" s="110" t="str">
        <f t="shared" si="9"/>
        <v xml:space="preserve"> </v>
      </c>
      <c r="T58" s="110" t="str">
        <f t="shared" si="10"/>
        <v xml:space="preserve"> </v>
      </c>
      <c r="U58" s="110" t="str">
        <f t="shared" si="11"/>
        <v xml:space="preserve"> </v>
      </c>
      <c r="V58" s="110" t="str">
        <f t="shared" si="13"/>
        <v xml:space="preserve"> </v>
      </c>
      <c r="AI58" s="131"/>
      <c r="AJ58" s="131"/>
      <c r="AK58" s="131"/>
      <c r="AL58" s="132"/>
    </row>
    <row r="59" spans="1:38" ht="15">
      <c r="A59">
        <v>18163</v>
      </c>
      <c r="B59" s="168">
        <v>38656</v>
      </c>
      <c r="C59" t="s">
        <v>382</v>
      </c>
      <c r="D59" t="s">
        <v>308</v>
      </c>
      <c r="E59" t="s">
        <v>383</v>
      </c>
      <c r="F59">
        <v>21446</v>
      </c>
      <c r="G59" t="s">
        <v>382</v>
      </c>
      <c r="H59"/>
      <c r="I59">
        <v>55.990001678466797</v>
      </c>
      <c r="J59">
        <v>-5.3649470210075378E-2</v>
      </c>
      <c r="K59">
        <v>-2.086557E-2</v>
      </c>
      <c r="L59">
        <v>-3.3875889999999999E-2</v>
      </c>
      <c r="M59">
        <v>-1.7740740000000001E-2</v>
      </c>
      <c r="N59" s="27">
        <f t="shared" si="4"/>
        <v>38656</v>
      </c>
      <c r="O59" s="110" t="str">
        <f t="shared" si="5"/>
        <v xml:space="preserve"> </v>
      </c>
      <c r="P59" s="110" t="str">
        <f t="shared" si="6"/>
        <v xml:space="preserve"> </v>
      </c>
      <c r="Q59" s="110" t="str">
        <f t="shared" si="7"/>
        <v xml:space="preserve"> </v>
      </c>
      <c r="R59" s="110" t="str">
        <f t="shared" si="8"/>
        <v xml:space="preserve"> </v>
      </c>
      <c r="S59" s="110" t="str">
        <f t="shared" si="9"/>
        <v xml:space="preserve"> </v>
      </c>
      <c r="T59" s="110" t="str">
        <f t="shared" si="10"/>
        <v xml:space="preserve"> </v>
      </c>
      <c r="U59" s="110" t="str">
        <f t="shared" si="11"/>
        <v xml:space="preserve"> </v>
      </c>
      <c r="V59" s="110" t="str">
        <f t="shared" si="13"/>
        <v xml:space="preserve"> </v>
      </c>
      <c r="AI59" s="131"/>
      <c r="AJ59" s="131"/>
      <c r="AK59" s="131"/>
      <c r="AL59" s="132"/>
    </row>
    <row r="60" spans="1:38" ht="15">
      <c r="A60">
        <v>18163</v>
      </c>
      <c r="B60" s="168">
        <v>38686</v>
      </c>
      <c r="C60" t="s">
        <v>382</v>
      </c>
      <c r="D60" t="s">
        <v>308</v>
      </c>
      <c r="E60" t="s">
        <v>383</v>
      </c>
      <c r="F60">
        <v>21446</v>
      </c>
      <c r="G60" t="s">
        <v>382</v>
      </c>
      <c r="H60"/>
      <c r="I60">
        <v>57.189998626708984</v>
      </c>
      <c r="J60">
        <v>2.1432343870401382E-2</v>
      </c>
      <c r="K60">
        <v>4.0325979999999997E-2</v>
      </c>
      <c r="L60">
        <v>3.4318920000000003E-2</v>
      </c>
      <c r="M60">
        <v>3.5186120000000001E-2</v>
      </c>
      <c r="N60" s="27">
        <f t="shared" si="4"/>
        <v>38686</v>
      </c>
      <c r="O60" s="110" t="str">
        <f t="shared" si="5"/>
        <v xml:space="preserve"> </v>
      </c>
      <c r="P60" s="110" t="str">
        <f t="shared" si="6"/>
        <v xml:space="preserve"> </v>
      </c>
      <c r="Q60" s="110" t="str">
        <f t="shared" si="7"/>
        <v xml:space="preserve"> </v>
      </c>
      <c r="R60" s="110" t="str">
        <f t="shared" si="8"/>
        <v xml:space="preserve"> </v>
      </c>
      <c r="S60" s="110" t="str">
        <f t="shared" si="9"/>
        <v xml:space="preserve"> </v>
      </c>
      <c r="T60" s="110" t="str">
        <f t="shared" si="10"/>
        <v xml:space="preserve"> </v>
      </c>
      <c r="U60" s="110" t="str">
        <f t="shared" si="11"/>
        <v xml:space="preserve"> </v>
      </c>
      <c r="V60" s="110" t="str">
        <f t="shared" si="13"/>
        <v xml:space="preserve"> </v>
      </c>
      <c r="AI60" s="131"/>
      <c r="AJ60" s="131"/>
      <c r="AK60" s="131"/>
      <c r="AL60" s="132"/>
    </row>
    <row r="61" spans="1:38" ht="15">
      <c r="A61">
        <v>18163</v>
      </c>
      <c r="B61" s="168">
        <v>38716</v>
      </c>
      <c r="C61" t="s">
        <v>382</v>
      </c>
      <c r="D61" t="s">
        <v>308</v>
      </c>
      <c r="E61" t="s">
        <v>383</v>
      </c>
      <c r="F61">
        <v>21446</v>
      </c>
      <c r="G61" t="s">
        <v>382</v>
      </c>
      <c r="H61"/>
      <c r="I61">
        <v>57.880001068115234</v>
      </c>
      <c r="J61">
        <v>1.206508930772543E-2</v>
      </c>
      <c r="K61">
        <v>3.455507E-3</v>
      </c>
      <c r="L61">
        <v>1.348446E-2</v>
      </c>
      <c r="M61">
        <v>-9.5239620000000006E-4</v>
      </c>
      <c r="N61" s="27">
        <f t="shared" si="4"/>
        <v>38716</v>
      </c>
      <c r="O61" s="110" t="str">
        <f t="shared" si="5"/>
        <v xml:space="preserve"> </v>
      </c>
      <c r="P61" s="110" t="str">
        <f t="shared" si="6"/>
        <v xml:space="preserve"> </v>
      </c>
      <c r="Q61" s="110" t="str">
        <f t="shared" si="7"/>
        <v xml:space="preserve"> </v>
      </c>
      <c r="R61" s="110" t="str">
        <f t="shared" si="8"/>
        <v xml:space="preserve"> </v>
      </c>
      <c r="S61" s="110" t="str">
        <f t="shared" si="9"/>
        <v xml:space="preserve"> </v>
      </c>
      <c r="T61" s="110" t="str">
        <f t="shared" si="10"/>
        <v xml:space="preserve"> </v>
      </c>
      <c r="U61" s="110" t="str">
        <f t="shared" si="11"/>
        <v xml:space="preserve"> </v>
      </c>
      <c r="V61" s="110" t="str">
        <f t="shared" si="13"/>
        <v xml:space="preserve"> </v>
      </c>
      <c r="AI61" s="131"/>
      <c r="AJ61" s="131"/>
      <c r="AK61" s="131"/>
      <c r="AL61" s="132"/>
    </row>
    <row r="62" spans="1:38" ht="15">
      <c r="A62">
        <v>18163</v>
      </c>
      <c r="B62" s="168">
        <v>38748</v>
      </c>
      <c r="C62" t="s">
        <v>382</v>
      </c>
      <c r="D62" t="s">
        <v>308</v>
      </c>
      <c r="E62" t="s">
        <v>383</v>
      </c>
      <c r="F62">
        <v>21446</v>
      </c>
      <c r="G62" t="s">
        <v>382</v>
      </c>
      <c r="H62"/>
      <c r="I62">
        <v>59.229999542236328</v>
      </c>
      <c r="J62">
        <v>2.8161687776446342E-2</v>
      </c>
      <c r="K62">
        <v>4.0071889999999999E-2</v>
      </c>
      <c r="L62">
        <v>7.6353710000000005E-2</v>
      </c>
      <c r="M62">
        <v>2.5466840000000001E-2</v>
      </c>
      <c r="N62" s="27">
        <f t="shared" si="4"/>
        <v>38748</v>
      </c>
      <c r="O62" s="110" t="str">
        <f t="shared" si="5"/>
        <v xml:space="preserve"> </v>
      </c>
      <c r="P62" s="110" t="str">
        <f t="shared" si="6"/>
        <v xml:space="preserve"> </v>
      </c>
      <c r="Q62" s="110" t="str">
        <f t="shared" si="7"/>
        <v xml:space="preserve"> </v>
      </c>
      <c r="R62" s="110" t="str">
        <f t="shared" si="8"/>
        <v xml:space="preserve"> </v>
      </c>
      <c r="S62" s="110" t="str">
        <f t="shared" si="9"/>
        <v xml:space="preserve"> </v>
      </c>
      <c r="T62" s="110" t="str">
        <f t="shared" si="10"/>
        <v xml:space="preserve"> </v>
      </c>
      <c r="U62" s="110" t="str">
        <f t="shared" si="11"/>
        <v xml:space="preserve"> </v>
      </c>
      <c r="V62" s="110" t="str">
        <f t="shared" si="13"/>
        <v xml:space="preserve"> </v>
      </c>
      <c r="AI62" s="131"/>
      <c r="AJ62" s="131"/>
      <c r="AK62" s="131"/>
      <c r="AL62" s="132"/>
    </row>
    <row r="63" spans="1:38" ht="15">
      <c r="A63">
        <v>18163</v>
      </c>
      <c r="B63" s="168">
        <v>38776</v>
      </c>
      <c r="C63" t="s">
        <v>382</v>
      </c>
      <c r="D63" t="s">
        <v>308</v>
      </c>
      <c r="E63" t="s">
        <v>383</v>
      </c>
      <c r="F63">
        <v>21446</v>
      </c>
      <c r="G63" t="s">
        <v>382</v>
      </c>
      <c r="H63"/>
      <c r="I63">
        <v>59.930000305175781</v>
      </c>
      <c r="J63">
        <v>1.1818348430097103E-2</v>
      </c>
      <c r="K63">
        <v>-1.6388280000000002E-3</v>
      </c>
      <c r="L63">
        <v>4.8364810000000001E-3</v>
      </c>
      <c r="M63">
        <v>4.5309670000000002E-4</v>
      </c>
      <c r="N63" s="27">
        <f t="shared" si="4"/>
        <v>38776</v>
      </c>
      <c r="O63" s="110" t="str">
        <f t="shared" si="5"/>
        <v xml:space="preserve"> </v>
      </c>
      <c r="P63" s="110" t="str">
        <f t="shared" si="6"/>
        <v xml:space="preserve"> </v>
      </c>
      <c r="Q63" s="110" t="str">
        <f t="shared" si="7"/>
        <v xml:space="preserve"> </v>
      </c>
      <c r="R63" s="110" t="str">
        <f t="shared" si="8"/>
        <v xml:space="preserve"> </v>
      </c>
      <c r="S63" s="110" t="str">
        <f t="shared" si="9"/>
        <v xml:space="preserve"> </v>
      </c>
      <c r="T63" s="110" t="str">
        <f t="shared" si="10"/>
        <v xml:space="preserve"> </v>
      </c>
      <c r="U63" s="110" t="str">
        <f t="shared" si="11"/>
        <v xml:space="preserve"> </v>
      </c>
      <c r="V63" s="110" t="str">
        <f t="shared" si="13"/>
        <v xml:space="preserve"> </v>
      </c>
      <c r="AI63" s="131"/>
      <c r="AJ63" s="131"/>
      <c r="AK63" s="131"/>
      <c r="AL63" s="132"/>
    </row>
    <row r="64" spans="1:38" ht="15">
      <c r="A64">
        <v>18163</v>
      </c>
      <c r="B64" s="168">
        <v>38807</v>
      </c>
      <c r="C64" t="s">
        <v>382</v>
      </c>
      <c r="D64" t="s">
        <v>308</v>
      </c>
      <c r="E64" t="s">
        <v>383</v>
      </c>
      <c r="F64">
        <v>21446</v>
      </c>
      <c r="G64" t="s">
        <v>382</v>
      </c>
      <c r="H64"/>
      <c r="I64">
        <v>57.630001068115234</v>
      </c>
      <c r="J64">
        <v>-3.8378093391656876E-2</v>
      </c>
      <c r="K64">
        <v>1.9064569999999999E-2</v>
      </c>
      <c r="L64">
        <v>3.6978290000000004E-2</v>
      </c>
      <c r="M64">
        <v>1.1064610000000001E-2</v>
      </c>
      <c r="N64" s="27">
        <f t="shared" si="4"/>
        <v>38807</v>
      </c>
      <c r="O64" s="110" t="str">
        <f t="shared" si="5"/>
        <v xml:space="preserve"> </v>
      </c>
      <c r="P64" s="110" t="str">
        <f t="shared" si="6"/>
        <v xml:space="preserve"> </v>
      </c>
      <c r="Q64" s="110" t="str">
        <f t="shared" si="7"/>
        <v xml:space="preserve"> </v>
      </c>
      <c r="R64" s="110" t="str">
        <f t="shared" si="8"/>
        <v xml:space="preserve"> </v>
      </c>
      <c r="S64" s="110" t="str">
        <f t="shared" si="9"/>
        <v xml:space="preserve"> </v>
      </c>
      <c r="T64" s="110" t="str">
        <f t="shared" si="10"/>
        <v xml:space="preserve"> </v>
      </c>
      <c r="U64" s="110" t="str">
        <f t="shared" si="11"/>
        <v xml:space="preserve"> </v>
      </c>
      <c r="V64" s="110" t="str">
        <f t="shared" si="13"/>
        <v xml:space="preserve"> </v>
      </c>
      <c r="AI64" s="131"/>
      <c r="AJ64" s="131"/>
      <c r="AK64" s="131"/>
      <c r="AL64" s="132"/>
    </row>
    <row r="65" spans="1:38" ht="15">
      <c r="A65">
        <v>18163</v>
      </c>
      <c r="B65" s="168">
        <v>38835</v>
      </c>
      <c r="C65" t="s">
        <v>382</v>
      </c>
      <c r="D65" t="s">
        <v>308</v>
      </c>
      <c r="E65" t="s">
        <v>383</v>
      </c>
      <c r="F65">
        <v>21446</v>
      </c>
      <c r="G65" t="s">
        <v>382</v>
      </c>
      <c r="H65"/>
      <c r="I65">
        <v>58.209999084472656</v>
      </c>
      <c r="J65">
        <v>1.544331107288599E-2</v>
      </c>
      <c r="K65">
        <v>1.3000050000000001E-2</v>
      </c>
      <c r="L65">
        <v>9.791269E-3</v>
      </c>
      <c r="M65">
        <v>1.218693E-2</v>
      </c>
      <c r="N65" s="27">
        <f t="shared" si="4"/>
        <v>38835</v>
      </c>
      <c r="O65" s="110" t="str">
        <f t="shared" si="5"/>
        <v xml:space="preserve"> </v>
      </c>
      <c r="P65" s="110" t="str">
        <f t="shared" si="6"/>
        <v xml:space="preserve"> </v>
      </c>
      <c r="Q65" s="110" t="str">
        <f t="shared" si="7"/>
        <v xml:space="preserve"> </v>
      </c>
      <c r="R65" s="110" t="str">
        <f t="shared" si="8"/>
        <v xml:space="preserve"> </v>
      </c>
      <c r="S65" s="110" t="str">
        <f t="shared" si="9"/>
        <v xml:space="preserve"> </v>
      </c>
      <c r="T65" s="110" t="str">
        <f t="shared" si="10"/>
        <v xml:space="preserve"> </v>
      </c>
      <c r="U65" s="110" t="str">
        <f t="shared" si="11"/>
        <v xml:space="preserve"> </v>
      </c>
      <c r="V65" s="110" t="str">
        <f t="shared" si="13"/>
        <v xml:space="preserve"> </v>
      </c>
      <c r="AI65" s="131"/>
      <c r="AJ65" s="131"/>
      <c r="AK65" s="131"/>
      <c r="AL65" s="132"/>
    </row>
    <row r="66" spans="1:38" ht="15">
      <c r="A66">
        <v>18163</v>
      </c>
      <c r="B66" s="168">
        <v>38868</v>
      </c>
      <c r="C66" t="s">
        <v>382</v>
      </c>
      <c r="D66" t="s">
        <v>308</v>
      </c>
      <c r="E66" t="s">
        <v>383</v>
      </c>
      <c r="F66">
        <v>21446</v>
      </c>
      <c r="G66" t="s">
        <v>382</v>
      </c>
      <c r="H66"/>
      <c r="I66">
        <v>54.25</v>
      </c>
      <c r="J66">
        <v>-6.8029530346393585E-2</v>
      </c>
      <c r="K66">
        <v>-3.1031969999999999E-2</v>
      </c>
      <c r="L66">
        <v>-4.4330620000000001E-2</v>
      </c>
      <c r="M66">
        <v>-3.0916900000000001E-2</v>
      </c>
      <c r="N66" s="27">
        <f t="shared" si="4"/>
        <v>38868</v>
      </c>
      <c r="O66" s="110" t="str">
        <f t="shared" si="5"/>
        <v xml:space="preserve"> </v>
      </c>
      <c r="P66" s="110" t="str">
        <f t="shared" si="6"/>
        <v xml:space="preserve"> </v>
      </c>
      <c r="Q66" s="110" t="str">
        <f t="shared" si="7"/>
        <v xml:space="preserve"> </v>
      </c>
      <c r="R66" s="110" t="str">
        <f t="shared" si="8"/>
        <v xml:space="preserve"> </v>
      </c>
      <c r="S66" s="110" t="str">
        <f t="shared" si="9"/>
        <v xml:space="preserve"> </v>
      </c>
      <c r="T66" s="110" t="str">
        <f t="shared" si="10"/>
        <v xml:space="preserve"> </v>
      </c>
      <c r="U66" s="110" t="str">
        <f t="shared" si="11"/>
        <v xml:space="preserve"> </v>
      </c>
      <c r="V66" s="110" t="str">
        <f t="shared" si="13"/>
        <v xml:space="preserve"> </v>
      </c>
      <c r="AI66" s="131"/>
      <c r="AJ66" s="131"/>
      <c r="AK66" s="131"/>
      <c r="AL66" s="132"/>
    </row>
    <row r="67" spans="1:38" ht="15">
      <c r="A67">
        <v>18163</v>
      </c>
      <c r="B67" s="168">
        <v>38898</v>
      </c>
      <c r="C67" t="s">
        <v>382</v>
      </c>
      <c r="D67" t="s">
        <v>308</v>
      </c>
      <c r="E67" t="s">
        <v>383</v>
      </c>
      <c r="F67">
        <v>21446</v>
      </c>
      <c r="G67" t="s">
        <v>382</v>
      </c>
      <c r="H67"/>
      <c r="I67">
        <v>55.599998474121094</v>
      </c>
      <c r="J67">
        <v>2.4884764105081558E-2</v>
      </c>
      <c r="K67">
        <v>-3.905499E-4</v>
      </c>
      <c r="L67">
        <v>-8.4786010000000005E-3</v>
      </c>
      <c r="M67">
        <v>8.6608039999999998E-5</v>
      </c>
      <c r="N67" s="27">
        <f t="shared" ref="N67:N130" si="14">B67</f>
        <v>38898</v>
      </c>
      <c r="O67" s="110" t="str">
        <f t="shared" ref="O67:O130" si="15">IF(AND(($X$12-4)&lt;=$N67,($X$13)&gt;=($N67-4)),J67," ")</f>
        <v xml:space="preserve"> </v>
      </c>
      <c r="P67" s="110" t="str">
        <f t="shared" ref="P67:P130" si="16">IF(AND(($X$12-4)&lt;=$N67,($X$13)&gt;=($N67-4)),K67," ")</f>
        <v xml:space="preserve"> </v>
      </c>
      <c r="Q67" s="110" t="str">
        <f t="shared" ref="Q67:Q130" si="17">IF(AND(($X$12-4)&lt;=$N67,($X$13)&gt;=($N67-4)),L67," ")</f>
        <v xml:space="preserve"> </v>
      </c>
      <c r="R67" s="110" t="str">
        <f t="shared" ref="R67:R130" si="18">IF(AND(($X$12-4)&lt;=$N67,($X$13)&gt;=($N67-4)),M67," ")</f>
        <v xml:space="preserve"> </v>
      </c>
      <c r="S67" s="110" t="str">
        <f t="shared" si="9"/>
        <v xml:space="preserve"> </v>
      </c>
      <c r="T67" s="110" t="str">
        <f t="shared" si="10"/>
        <v xml:space="preserve"> </v>
      </c>
      <c r="U67" s="110" t="str">
        <f t="shared" si="11"/>
        <v xml:space="preserve"> </v>
      </c>
      <c r="V67" s="110" t="str">
        <f t="shared" si="13"/>
        <v xml:space="preserve"> </v>
      </c>
      <c r="AI67" s="131"/>
      <c r="AJ67" s="131"/>
      <c r="AK67" s="131"/>
      <c r="AL67" s="132"/>
    </row>
    <row r="68" spans="1:38" ht="15">
      <c r="A68">
        <v>18163</v>
      </c>
      <c r="B68" s="168">
        <v>38929</v>
      </c>
      <c r="C68" t="s">
        <v>382</v>
      </c>
      <c r="D68" t="s">
        <v>308</v>
      </c>
      <c r="E68" t="s">
        <v>383</v>
      </c>
      <c r="F68">
        <v>21446</v>
      </c>
      <c r="G68" t="s">
        <v>382</v>
      </c>
      <c r="H68"/>
      <c r="I68">
        <v>56.200000762939453</v>
      </c>
      <c r="J68">
        <v>1.6366947442293167E-2</v>
      </c>
      <c r="K68">
        <v>-1.9115480000000001E-3</v>
      </c>
      <c r="L68">
        <v>-2.2697970000000001E-2</v>
      </c>
      <c r="M68">
        <v>5.0858130000000007E-3</v>
      </c>
      <c r="N68" s="27">
        <f t="shared" si="14"/>
        <v>38929</v>
      </c>
      <c r="O68" s="110" t="str">
        <f t="shared" si="15"/>
        <v xml:space="preserve"> </v>
      </c>
      <c r="P68" s="110" t="str">
        <f t="shared" si="16"/>
        <v xml:space="preserve"> </v>
      </c>
      <c r="Q68" s="110" t="str">
        <f t="shared" si="17"/>
        <v xml:space="preserve"> </v>
      </c>
      <c r="R68" s="110" t="str">
        <f t="shared" si="18"/>
        <v xml:space="preserve"> </v>
      </c>
      <c r="S68" s="110" t="str">
        <f t="shared" si="9"/>
        <v xml:space="preserve"> </v>
      </c>
      <c r="T68" s="110" t="str">
        <f t="shared" si="10"/>
        <v xml:space="preserve"> </v>
      </c>
      <c r="U68" s="110" t="str">
        <f t="shared" si="11"/>
        <v xml:space="preserve"> </v>
      </c>
      <c r="V68" s="110" t="str">
        <f t="shared" si="13"/>
        <v xml:space="preserve"> </v>
      </c>
      <c r="AI68" s="131"/>
      <c r="AJ68" s="131"/>
      <c r="AK68" s="131"/>
      <c r="AL68" s="132"/>
    </row>
    <row r="69" spans="1:38" ht="15">
      <c r="A69">
        <v>18163</v>
      </c>
      <c r="B69" s="168">
        <v>38960</v>
      </c>
      <c r="C69" t="s">
        <v>382</v>
      </c>
      <c r="D69" t="s">
        <v>308</v>
      </c>
      <c r="E69" t="s">
        <v>383</v>
      </c>
      <c r="F69">
        <v>21446</v>
      </c>
      <c r="G69" t="s">
        <v>382</v>
      </c>
      <c r="H69"/>
      <c r="I69">
        <v>61.900001525878906</v>
      </c>
      <c r="J69">
        <v>0.10142350196838379</v>
      </c>
      <c r="K69">
        <v>2.504147E-2</v>
      </c>
      <c r="L69">
        <v>2.5010830000000001E-2</v>
      </c>
      <c r="M69">
        <v>2.127426E-2</v>
      </c>
      <c r="N69" s="27">
        <f t="shared" si="14"/>
        <v>38960</v>
      </c>
      <c r="O69" s="110" t="str">
        <f t="shared" si="15"/>
        <v xml:space="preserve"> </v>
      </c>
      <c r="P69" s="110" t="str">
        <f t="shared" si="16"/>
        <v xml:space="preserve"> </v>
      </c>
      <c r="Q69" s="110" t="str">
        <f t="shared" si="17"/>
        <v xml:space="preserve"> </v>
      </c>
      <c r="R69" s="110" t="str">
        <f t="shared" si="18"/>
        <v xml:space="preserve"> </v>
      </c>
      <c r="S69" s="110" t="str">
        <f t="shared" si="9"/>
        <v xml:space="preserve"> </v>
      </c>
      <c r="T69" s="110" t="str">
        <f t="shared" si="10"/>
        <v xml:space="preserve"> </v>
      </c>
      <c r="U69" s="110" t="str">
        <f t="shared" si="11"/>
        <v xml:space="preserve"> </v>
      </c>
      <c r="V69" s="110" t="str">
        <f t="shared" si="13"/>
        <v xml:space="preserve"> </v>
      </c>
      <c r="AI69" s="131"/>
      <c r="AJ69" s="131"/>
      <c r="AK69" s="131"/>
      <c r="AL69" s="132"/>
    </row>
    <row r="70" spans="1:38" ht="15">
      <c r="A70">
        <v>18163</v>
      </c>
      <c r="B70" s="168">
        <v>38989</v>
      </c>
      <c r="C70" t="s">
        <v>382</v>
      </c>
      <c r="D70" t="s">
        <v>308</v>
      </c>
      <c r="E70" t="s">
        <v>383</v>
      </c>
      <c r="F70">
        <v>21446</v>
      </c>
      <c r="G70" t="s">
        <v>382</v>
      </c>
      <c r="H70"/>
      <c r="I70">
        <v>61.979999542236328</v>
      </c>
      <c r="J70">
        <v>1.2923750327900052E-3</v>
      </c>
      <c r="K70">
        <v>1.9428319999999999E-2</v>
      </c>
      <c r="L70">
        <v>9.0060010000000013E-3</v>
      </c>
      <c r="M70">
        <v>2.4566270000000001E-2</v>
      </c>
      <c r="N70" s="27">
        <f t="shared" si="14"/>
        <v>38989</v>
      </c>
      <c r="O70" s="110" t="str">
        <f t="shared" si="15"/>
        <v xml:space="preserve"> </v>
      </c>
      <c r="P70" s="110" t="str">
        <f t="shared" si="16"/>
        <v xml:space="preserve"> </v>
      </c>
      <c r="Q70" s="110" t="str">
        <f t="shared" si="17"/>
        <v xml:space="preserve"> </v>
      </c>
      <c r="R70" s="110" t="str">
        <f t="shared" si="18"/>
        <v xml:space="preserve"> </v>
      </c>
      <c r="S70" s="110" t="str">
        <f t="shared" si="9"/>
        <v xml:space="preserve"> </v>
      </c>
      <c r="T70" s="110" t="str">
        <f t="shared" si="10"/>
        <v xml:space="preserve"> </v>
      </c>
      <c r="U70" s="110" t="str">
        <f t="shared" si="11"/>
        <v xml:space="preserve"> </v>
      </c>
      <c r="V70" s="110" t="str">
        <f t="shared" si="13"/>
        <v xml:space="preserve"> </v>
      </c>
      <c r="AI70" s="131"/>
      <c r="AJ70" s="131"/>
      <c r="AK70" s="131"/>
      <c r="AL70" s="132"/>
    </row>
    <row r="71" spans="1:38" ht="15">
      <c r="A71">
        <v>18163</v>
      </c>
      <c r="B71" s="168">
        <v>39021</v>
      </c>
      <c r="C71" t="s">
        <v>382</v>
      </c>
      <c r="D71" t="s">
        <v>308</v>
      </c>
      <c r="E71" t="s">
        <v>383</v>
      </c>
      <c r="F71">
        <v>21446</v>
      </c>
      <c r="G71" t="s">
        <v>382</v>
      </c>
      <c r="H71"/>
      <c r="I71">
        <v>63.389999389648438</v>
      </c>
      <c r="J71">
        <v>2.7750885114073753E-2</v>
      </c>
      <c r="K71">
        <v>3.715301E-2</v>
      </c>
      <c r="L71">
        <v>4.6186339999999999E-2</v>
      </c>
      <c r="M71">
        <v>3.1508029999999999E-2</v>
      </c>
      <c r="N71" s="27">
        <f t="shared" si="14"/>
        <v>39021</v>
      </c>
      <c r="O71" s="110" t="str">
        <f t="shared" si="15"/>
        <v xml:space="preserve"> </v>
      </c>
      <c r="P71" s="110" t="str">
        <f t="shared" si="16"/>
        <v xml:space="preserve"> </v>
      </c>
      <c r="Q71" s="110" t="str">
        <f t="shared" si="17"/>
        <v xml:space="preserve"> </v>
      </c>
      <c r="R71" s="110" t="str">
        <f t="shared" si="18"/>
        <v xml:space="preserve"> </v>
      </c>
      <c r="S71" s="110" t="str">
        <f t="shared" si="9"/>
        <v xml:space="preserve"> </v>
      </c>
      <c r="T71" s="110" t="str">
        <f t="shared" si="10"/>
        <v xml:space="preserve"> </v>
      </c>
      <c r="U71" s="110" t="str">
        <f t="shared" si="11"/>
        <v xml:space="preserve"> </v>
      </c>
      <c r="V71" s="110" t="str">
        <f t="shared" si="13"/>
        <v xml:space="preserve"> </v>
      </c>
      <c r="AI71" s="131"/>
      <c r="AJ71" s="131"/>
      <c r="AK71" s="131"/>
      <c r="AL71" s="132"/>
    </row>
    <row r="72" spans="1:38" ht="15">
      <c r="A72">
        <v>18163</v>
      </c>
      <c r="B72" s="168">
        <v>39051</v>
      </c>
      <c r="C72" t="s">
        <v>382</v>
      </c>
      <c r="D72" t="s">
        <v>308</v>
      </c>
      <c r="E72" t="s">
        <v>383</v>
      </c>
      <c r="F72">
        <v>21446</v>
      </c>
      <c r="G72" t="s">
        <v>382</v>
      </c>
      <c r="H72"/>
      <c r="I72">
        <v>62.790000915527344</v>
      </c>
      <c r="J72">
        <v>-9.465191513299942E-3</v>
      </c>
      <c r="K72">
        <v>2.3736480000000001E-2</v>
      </c>
      <c r="L72">
        <v>3.116826E-2</v>
      </c>
      <c r="M72">
        <v>1.646661E-2</v>
      </c>
      <c r="N72" s="27">
        <f t="shared" si="14"/>
        <v>39051</v>
      </c>
      <c r="O72" s="110" t="str">
        <f t="shared" si="15"/>
        <v xml:space="preserve"> </v>
      </c>
      <c r="P72" s="110" t="str">
        <f t="shared" si="16"/>
        <v xml:space="preserve"> </v>
      </c>
      <c r="Q72" s="110" t="str">
        <f t="shared" si="17"/>
        <v xml:space="preserve"> </v>
      </c>
      <c r="R72" s="110" t="str">
        <f t="shared" si="18"/>
        <v xml:space="preserve"> </v>
      </c>
      <c r="S72" s="110" t="str">
        <f t="shared" si="9"/>
        <v xml:space="preserve"> </v>
      </c>
      <c r="T72" s="110" t="str">
        <f t="shared" si="10"/>
        <v xml:space="preserve"> </v>
      </c>
      <c r="U72" s="110" t="str">
        <f t="shared" si="11"/>
        <v xml:space="preserve"> </v>
      </c>
      <c r="V72" s="110" t="str">
        <f t="shared" si="13"/>
        <v xml:space="preserve"> </v>
      </c>
      <c r="AI72" s="131"/>
      <c r="AJ72" s="131"/>
      <c r="AK72" s="131"/>
      <c r="AL72" s="132"/>
    </row>
    <row r="73" spans="1:38" ht="15">
      <c r="A73">
        <v>18163</v>
      </c>
      <c r="B73" s="168">
        <v>39080</v>
      </c>
      <c r="C73" t="s">
        <v>382</v>
      </c>
      <c r="D73" t="s">
        <v>308</v>
      </c>
      <c r="E73" t="s">
        <v>383</v>
      </c>
      <c r="F73">
        <v>21446</v>
      </c>
      <c r="G73" t="s">
        <v>382</v>
      </c>
      <c r="H73"/>
      <c r="I73">
        <v>64.269996643066406</v>
      </c>
      <c r="J73">
        <v>2.3570563644170761E-2</v>
      </c>
      <c r="K73">
        <v>1.0856920000000001E-2</v>
      </c>
      <c r="L73">
        <v>1.479901E-2</v>
      </c>
      <c r="M73">
        <v>1.261575E-2</v>
      </c>
      <c r="N73" s="27">
        <f t="shared" si="14"/>
        <v>39080</v>
      </c>
      <c r="O73" s="110" t="str">
        <f t="shared" si="15"/>
        <v xml:space="preserve"> </v>
      </c>
      <c r="P73" s="110" t="str">
        <f t="shared" si="16"/>
        <v xml:space="preserve"> </v>
      </c>
      <c r="Q73" s="110" t="str">
        <f t="shared" si="17"/>
        <v xml:space="preserve"> </v>
      </c>
      <c r="R73" s="110" t="str">
        <f t="shared" si="18"/>
        <v xml:space="preserve"> </v>
      </c>
      <c r="S73" s="110" t="str">
        <f t="shared" si="9"/>
        <v xml:space="preserve"> </v>
      </c>
      <c r="T73" s="110" t="str">
        <f t="shared" si="10"/>
        <v xml:space="preserve"> </v>
      </c>
      <c r="U73" s="110" t="str">
        <f t="shared" si="11"/>
        <v xml:space="preserve"> </v>
      </c>
      <c r="V73" s="110" t="str">
        <f t="shared" si="13"/>
        <v xml:space="preserve"> </v>
      </c>
      <c r="AI73" s="131"/>
      <c r="AJ73" s="131"/>
      <c r="AK73" s="131"/>
      <c r="AL73" s="132"/>
    </row>
    <row r="74" spans="1:38" ht="15">
      <c r="A74">
        <v>18163</v>
      </c>
      <c r="B74" s="168">
        <v>39113</v>
      </c>
      <c r="C74" t="s">
        <v>382</v>
      </c>
      <c r="D74" t="s">
        <v>308</v>
      </c>
      <c r="E74" t="s">
        <v>383</v>
      </c>
      <c r="F74">
        <v>21446</v>
      </c>
      <c r="G74" t="s">
        <v>382</v>
      </c>
      <c r="H74"/>
      <c r="I74">
        <v>64.870002746582031</v>
      </c>
      <c r="J74">
        <v>1.4159112237393856E-2</v>
      </c>
      <c r="K74">
        <v>1.9386799999999999E-2</v>
      </c>
      <c r="L74">
        <v>2.2283170000000001E-2</v>
      </c>
      <c r="M74">
        <v>1.405908E-2</v>
      </c>
      <c r="N74" s="27">
        <f t="shared" si="14"/>
        <v>39113</v>
      </c>
      <c r="O74" s="110" t="str">
        <f t="shared" si="15"/>
        <v xml:space="preserve"> </v>
      </c>
      <c r="P74" s="110" t="str">
        <f t="shared" si="16"/>
        <v xml:space="preserve"> </v>
      </c>
      <c r="Q74" s="110" t="str">
        <f t="shared" si="17"/>
        <v xml:space="preserve"> </v>
      </c>
      <c r="R74" s="110" t="str">
        <f t="shared" si="18"/>
        <v xml:space="preserve"> </v>
      </c>
      <c r="S74" s="110" t="str">
        <f t="shared" si="9"/>
        <v xml:space="preserve"> </v>
      </c>
      <c r="T74" s="110" t="str">
        <f t="shared" si="10"/>
        <v xml:space="preserve"> </v>
      </c>
      <c r="U74" s="110" t="str">
        <f t="shared" si="11"/>
        <v xml:space="preserve"> </v>
      </c>
      <c r="V74" s="110" t="str">
        <f t="shared" si="13"/>
        <v xml:space="preserve"> </v>
      </c>
      <c r="AI74" s="131"/>
      <c r="AJ74" s="131"/>
      <c r="AK74" s="131"/>
      <c r="AL74" s="132"/>
    </row>
    <row r="75" spans="1:38" ht="15">
      <c r="A75">
        <v>18163</v>
      </c>
      <c r="B75" s="168">
        <v>39141</v>
      </c>
      <c r="C75" t="s">
        <v>382</v>
      </c>
      <c r="D75" t="s">
        <v>308</v>
      </c>
      <c r="E75" t="s">
        <v>383</v>
      </c>
      <c r="F75">
        <v>21446</v>
      </c>
      <c r="G75" t="s">
        <v>382</v>
      </c>
      <c r="H75"/>
      <c r="I75">
        <v>63.490001678466797</v>
      </c>
      <c r="J75">
        <v>-2.1273331716656685E-2</v>
      </c>
      <c r="K75">
        <v>-1.400596E-2</v>
      </c>
      <c r="L75">
        <v>2.111361E-3</v>
      </c>
      <c r="M75">
        <v>-2.1846150000000002E-2</v>
      </c>
      <c r="N75" s="27">
        <f t="shared" si="14"/>
        <v>39141</v>
      </c>
      <c r="O75" s="110" t="str">
        <f t="shared" si="15"/>
        <v xml:space="preserve"> </v>
      </c>
      <c r="P75" s="110" t="str">
        <f t="shared" si="16"/>
        <v xml:space="preserve"> </v>
      </c>
      <c r="Q75" s="110" t="str">
        <f t="shared" si="17"/>
        <v xml:space="preserve"> </v>
      </c>
      <c r="R75" s="110" t="str">
        <f t="shared" si="18"/>
        <v xml:space="preserve"> </v>
      </c>
      <c r="S75" s="110" t="str">
        <f t="shared" si="9"/>
        <v xml:space="preserve"> </v>
      </c>
      <c r="T75" s="110" t="str">
        <f t="shared" si="10"/>
        <v xml:space="preserve"> </v>
      </c>
      <c r="U75" s="110" t="str">
        <f t="shared" si="11"/>
        <v xml:space="preserve"> </v>
      </c>
      <c r="V75" s="110" t="str">
        <f t="shared" si="13"/>
        <v xml:space="preserve"> </v>
      </c>
      <c r="AI75" s="131"/>
      <c r="AJ75" s="131"/>
      <c r="AK75" s="131"/>
      <c r="AL75" s="132"/>
    </row>
    <row r="76" spans="1:38" ht="15">
      <c r="A76">
        <v>18163</v>
      </c>
      <c r="B76" s="168">
        <v>39171</v>
      </c>
      <c r="C76" t="s">
        <v>382</v>
      </c>
      <c r="D76" t="s">
        <v>308</v>
      </c>
      <c r="E76" t="s">
        <v>383</v>
      </c>
      <c r="F76">
        <v>21446</v>
      </c>
      <c r="G76" t="s">
        <v>382</v>
      </c>
      <c r="H76"/>
      <c r="I76">
        <v>63.159999847412109</v>
      </c>
      <c r="J76">
        <v>-5.1976977847516537E-3</v>
      </c>
      <c r="K76">
        <v>1.2953539999999999E-2</v>
      </c>
      <c r="L76">
        <v>6.5449610000000002E-3</v>
      </c>
      <c r="M76">
        <v>9.9799550000000004E-3</v>
      </c>
      <c r="N76" s="27">
        <f t="shared" si="14"/>
        <v>39171</v>
      </c>
      <c r="O76" s="110" t="str">
        <f t="shared" si="15"/>
        <v xml:space="preserve"> </v>
      </c>
      <c r="P76" s="110" t="str">
        <f t="shared" si="16"/>
        <v xml:space="preserve"> </v>
      </c>
      <c r="Q76" s="110" t="str">
        <f t="shared" si="17"/>
        <v xml:space="preserve"> </v>
      </c>
      <c r="R76" s="110" t="str">
        <f t="shared" si="18"/>
        <v xml:space="preserve"> </v>
      </c>
      <c r="S76" s="110" t="str">
        <f t="shared" ref="S76:S139" si="19">IF(AND(($X$15-4)&lt;=$N76,($X$16)&gt;=($N76-4)),J76," ")</f>
        <v xml:space="preserve"> </v>
      </c>
      <c r="T76" s="110" t="str">
        <f t="shared" ref="T76:T139" si="20">IF(AND(($X$15-4)&lt;=$N76,($X$16)&gt;=($N76-4)),K76," ")</f>
        <v xml:space="preserve"> </v>
      </c>
      <c r="U76" s="110" t="str">
        <f t="shared" ref="U76:U139" si="21">IF(AND(($X$15-4)&lt;=$N76,($X$16)&gt;=($N76-4)),L76," ")</f>
        <v xml:space="preserve"> </v>
      </c>
      <c r="V76" s="110" t="str">
        <f t="shared" si="13"/>
        <v xml:space="preserve"> </v>
      </c>
      <c r="AI76" s="131"/>
      <c r="AJ76" s="131"/>
      <c r="AK76" s="131"/>
      <c r="AL76" s="132"/>
    </row>
    <row r="77" spans="1:38" ht="15">
      <c r="A77">
        <v>18163</v>
      </c>
      <c r="B77" s="168">
        <v>39202</v>
      </c>
      <c r="C77" t="s">
        <v>382</v>
      </c>
      <c r="D77" t="s">
        <v>308</v>
      </c>
      <c r="E77" t="s">
        <v>383</v>
      </c>
      <c r="F77">
        <v>21446</v>
      </c>
      <c r="G77" t="s">
        <v>382</v>
      </c>
      <c r="H77"/>
      <c r="I77">
        <v>64.400001525878906</v>
      </c>
      <c r="J77">
        <v>2.5174187496304512E-2</v>
      </c>
      <c r="K77">
        <v>3.9833810000000004E-2</v>
      </c>
      <c r="L77">
        <v>2.7048309999999999E-2</v>
      </c>
      <c r="M77">
        <v>4.3290679999999998E-2</v>
      </c>
      <c r="N77" s="27">
        <f t="shared" si="14"/>
        <v>39202</v>
      </c>
      <c r="O77" s="110" t="str">
        <f t="shared" si="15"/>
        <v xml:space="preserve"> </v>
      </c>
      <c r="P77" s="110" t="str">
        <f t="shared" si="16"/>
        <v xml:space="preserve"> </v>
      </c>
      <c r="Q77" s="110" t="str">
        <f t="shared" si="17"/>
        <v xml:space="preserve"> </v>
      </c>
      <c r="R77" s="110" t="str">
        <f t="shared" si="18"/>
        <v xml:space="preserve"> </v>
      </c>
      <c r="S77" s="110" t="str">
        <f t="shared" si="19"/>
        <v xml:space="preserve"> </v>
      </c>
      <c r="T77" s="110" t="str">
        <f t="shared" si="20"/>
        <v xml:space="preserve"> </v>
      </c>
      <c r="U77" s="110" t="str">
        <f t="shared" si="21"/>
        <v xml:space="preserve"> </v>
      </c>
      <c r="V77" s="110" t="str">
        <f t="shared" si="13"/>
        <v xml:space="preserve"> </v>
      </c>
      <c r="AI77" s="131"/>
      <c r="AJ77" s="131"/>
      <c r="AK77" s="131"/>
      <c r="AL77" s="132"/>
    </row>
    <row r="78" spans="1:38" ht="15">
      <c r="A78">
        <v>18163</v>
      </c>
      <c r="B78" s="168">
        <v>39233</v>
      </c>
      <c r="C78" t="s">
        <v>382</v>
      </c>
      <c r="D78" t="s">
        <v>308</v>
      </c>
      <c r="E78" t="s">
        <v>383</v>
      </c>
      <c r="F78">
        <v>21446</v>
      </c>
      <c r="G78" t="s">
        <v>382</v>
      </c>
      <c r="H78"/>
      <c r="I78">
        <v>63.549999237060547</v>
      </c>
      <c r="J78">
        <v>-1.3198792934417725E-2</v>
      </c>
      <c r="K78">
        <v>3.8953359999999999E-2</v>
      </c>
      <c r="L78">
        <v>2.3122500000000001E-2</v>
      </c>
      <c r="M78">
        <v>3.2549229999999998E-2</v>
      </c>
      <c r="N78" s="27">
        <f t="shared" si="14"/>
        <v>39233</v>
      </c>
      <c r="O78" s="110" t="str">
        <f t="shared" si="15"/>
        <v xml:space="preserve"> </v>
      </c>
      <c r="P78" s="110" t="str">
        <f t="shared" si="16"/>
        <v xml:space="preserve"> </v>
      </c>
      <c r="Q78" s="110" t="str">
        <f t="shared" si="17"/>
        <v xml:space="preserve"> </v>
      </c>
      <c r="R78" s="110" t="str">
        <f t="shared" si="18"/>
        <v xml:space="preserve"> </v>
      </c>
      <c r="S78" s="110" t="str">
        <f t="shared" si="19"/>
        <v xml:space="preserve"> </v>
      </c>
      <c r="T78" s="110" t="str">
        <f t="shared" si="20"/>
        <v xml:space="preserve"> </v>
      </c>
      <c r="U78" s="110" t="str">
        <f t="shared" si="21"/>
        <v xml:space="preserve"> </v>
      </c>
      <c r="V78" s="110" t="str">
        <f t="shared" si="13"/>
        <v xml:space="preserve"> </v>
      </c>
      <c r="AI78" s="131"/>
      <c r="AJ78" s="131"/>
      <c r="AK78" s="131"/>
      <c r="AL78" s="132"/>
    </row>
    <row r="79" spans="1:38" ht="15">
      <c r="A79">
        <v>18163</v>
      </c>
      <c r="B79" s="168">
        <v>39262</v>
      </c>
      <c r="C79" t="s">
        <v>382</v>
      </c>
      <c r="D79" t="s">
        <v>308</v>
      </c>
      <c r="E79" t="s">
        <v>383</v>
      </c>
      <c r="F79">
        <v>21446</v>
      </c>
      <c r="G79" t="s">
        <v>382</v>
      </c>
      <c r="H79"/>
      <c r="I79">
        <v>61.189998626708984</v>
      </c>
      <c r="J79">
        <v>-3.7136122584342957E-2</v>
      </c>
      <c r="K79">
        <v>-1.4747E-2</v>
      </c>
      <c r="L79">
        <v>-7.9069990000000014E-3</v>
      </c>
      <c r="M79">
        <v>-1.7816310000000002E-2</v>
      </c>
      <c r="N79" s="27">
        <f t="shared" si="14"/>
        <v>39262</v>
      </c>
      <c r="O79" s="110" t="str">
        <f t="shared" si="15"/>
        <v xml:space="preserve"> </v>
      </c>
      <c r="P79" s="110" t="str">
        <f t="shared" si="16"/>
        <v xml:space="preserve"> </v>
      </c>
      <c r="Q79" s="110" t="str">
        <f t="shared" si="17"/>
        <v xml:space="preserve"> </v>
      </c>
      <c r="R79" s="110" t="str">
        <f t="shared" si="18"/>
        <v xml:space="preserve"> </v>
      </c>
      <c r="S79" s="110" t="str">
        <f t="shared" si="19"/>
        <v xml:space="preserve"> </v>
      </c>
      <c r="T79" s="110" t="str">
        <f t="shared" si="20"/>
        <v xml:space="preserve"> </v>
      </c>
      <c r="U79" s="110" t="str">
        <f t="shared" si="21"/>
        <v xml:space="preserve"> </v>
      </c>
      <c r="V79" s="110" t="str">
        <f t="shared" si="13"/>
        <v xml:space="preserve"> </v>
      </c>
      <c r="AI79" s="131"/>
      <c r="AJ79" s="131"/>
      <c r="AK79" s="131"/>
      <c r="AL79" s="132"/>
    </row>
    <row r="80" spans="1:38" ht="15">
      <c r="A80">
        <v>18163</v>
      </c>
      <c r="B80" s="168">
        <v>39294</v>
      </c>
      <c r="C80" t="s">
        <v>382</v>
      </c>
      <c r="D80" t="s">
        <v>308</v>
      </c>
      <c r="E80" t="s">
        <v>383</v>
      </c>
      <c r="F80">
        <v>21446</v>
      </c>
      <c r="G80" t="s">
        <v>382</v>
      </c>
      <c r="H80"/>
      <c r="I80">
        <v>61.860000610351562</v>
      </c>
      <c r="J80">
        <v>1.6669422388076782E-2</v>
      </c>
      <c r="K80">
        <v>-3.1789570000000003E-2</v>
      </c>
      <c r="L80">
        <v>-4.353717E-2</v>
      </c>
      <c r="M80">
        <v>-3.1981910000000002E-2</v>
      </c>
      <c r="N80" s="27">
        <f t="shared" si="14"/>
        <v>39294</v>
      </c>
      <c r="O80" s="110" t="str">
        <f t="shared" si="15"/>
        <v xml:space="preserve"> </v>
      </c>
      <c r="P80" s="110" t="str">
        <f t="shared" si="16"/>
        <v xml:space="preserve"> </v>
      </c>
      <c r="Q80" s="110" t="str">
        <f t="shared" si="17"/>
        <v xml:space="preserve"> </v>
      </c>
      <c r="R80" s="110" t="str">
        <f t="shared" si="18"/>
        <v xml:space="preserve"> </v>
      </c>
      <c r="S80" s="110" t="str">
        <f t="shared" si="19"/>
        <v xml:space="preserve"> </v>
      </c>
      <c r="T80" s="110" t="str">
        <f t="shared" si="20"/>
        <v xml:space="preserve"> </v>
      </c>
      <c r="U80" s="110" t="str">
        <f t="shared" si="21"/>
        <v xml:space="preserve"> </v>
      </c>
      <c r="V80" s="110" t="str">
        <f t="shared" ref="V80:V143" si="22">IF(AND(($X$15-4)&lt;=$N80,($X$16)&gt;=($N80-4)),M80," ")</f>
        <v xml:space="preserve"> </v>
      </c>
      <c r="AI80" s="131"/>
      <c r="AJ80" s="131"/>
      <c r="AK80" s="131"/>
      <c r="AL80" s="132"/>
    </row>
    <row r="81" spans="1:38" ht="15">
      <c r="A81">
        <v>18163</v>
      </c>
      <c r="B81" s="168">
        <v>39325</v>
      </c>
      <c r="C81" t="s">
        <v>382</v>
      </c>
      <c r="D81" t="s">
        <v>308</v>
      </c>
      <c r="E81" t="s">
        <v>383</v>
      </c>
      <c r="F81">
        <v>21446</v>
      </c>
      <c r="G81" t="s">
        <v>382</v>
      </c>
      <c r="H81"/>
      <c r="I81">
        <v>65.30999755859375</v>
      </c>
      <c r="J81">
        <v>5.5771045386791229E-2</v>
      </c>
      <c r="K81">
        <v>1.159279E-2</v>
      </c>
      <c r="L81">
        <v>-1.17117E-2</v>
      </c>
      <c r="M81">
        <v>1.2863590000000001E-2</v>
      </c>
      <c r="N81" s="27">
        <f t="shared" si="14"/>
        <v>39325</v>
      </c>
      <c r="O81" s="110" t="str">
        <f t="shared" si="15"/>
        <v xml:space="preserve"> </v>
      </c>
      <c r="P81" s="110" t="str">
        <f t="shared" si="16"/>
        <v xml:space="preserve"> </v>
      </c>
      <c r="Q81" s="110" t="str">
        <f t="shared" si="17"/>
        <v xml:space="preserve"> </v>
      </c>
      <c r="R81" s="110" t="str">
        <f t="shared" si="18"/>
        <v xml:space="preserve"> </v>
      </c>
      <c r="S81" s="110" t="str">
        <f t="shared" si="19"/>
        <v xml:space="preserve"> </v>
      </c>
      <c r="T81" s="110" t="str">
        <f t="shared" si="20"/>
        <v xml:space="preserve"> </v>
      </c>
      <c r="U81" s="110" t="str">
        <f t="shared" si="21"/>
        <v xml:space="preserve"> </v>
      </c>
      <c r="V81" s="110" t="str">
        <f t="shared" si="22"/>
        <v xml:space="preserve"> </v>
      </c>
      <c r="AI81" s="131"/>
      <c r="AJ81" s="131"/>
      <c r="AK81" s="131"/>
      <c r="AL81" s="132"/>
    </row>
    <row r="82" spans="1:38" ht="15">
      <c r="A82">
        <v>18163</v>
      </c>
      <c r="B82" s="168">
        <v>39353</v>
      </c>
      <c r="C82" t="s">
        <v>382</v>
      </c>
      <c r="D82" t="s">
        <v>308</v>
      </c>
      <c r="E82" t="s">
        <v>383</v>
      </c>
      <c r="F82">
        <v>21446</v>
      </c>
      <c r="G82" t="s">
        <v>382</v>
      </c>
      <c r="H82"/>
      <c r="I82">
        <v>70.339996337890625</v>
      </c>
      <c r="J82">
        <v>7.701728492975235E-2</v>
      </c>
      <c r="K82">
        <v>4.0822020000000001E-2</v>
      </c>
      <c r="L82">
        <v>2.536414E-2</v>
      </c>
      <c r="M82">
        <v>3.5793999999999999E-2</v>
      </c>
      <c r="N82" s="27">
        <f t="shared" si="14"/>
        <v>39353</v>
      </c>
      <c r="O82" s="110" t="str">
        <f t="shared" si="15"/>
        <v xml:space="preserve"> </v>
      </c>
      <c r="P82" s="110" t="str">
        <f t="shared" si="16"/>
        <v xml:space="preserve"> </v>
      </c>
      <c r="Q82" s="110" t="str">
        <f t="shared" si="17"/>
        <v xml:space="preserve"> </v>
      </c>
      <c r="R82" s="110" t="str">
        <f t="shared" si="18"/>
        <v xml:space="preserve"> </v>
      </c>
      <c r="S82" s="110" t="str">
        <f t="shared" si="19"/>
        <v xml:space="preserve"> </v>
      </c>
      <c r="T82" s="110" t="str">
        <f t="shared" si="20"/>
        <v xml:space="preserve"> </v>
      </c>
      <c r="U82" s="110" t="str">
        <f t="shared" si="21"/>
        <v xml:space="preserve"> </v>
      </c>
      <c r="V82" s="110" t="str">
        <f t="shared" si="22"/>
        <v xml:space="preserve"> </v>
      </c>
      <c r="AI82" s="131"/>
      <c r="AJ82" s="131"/>
      <c r="AK82" s="131"/>
      <c r="AL82" s="132"/>
    </row>
    <row r="83" spans="1:38" ht="15">
      <c r="A83">
        <v>18163</v>
      </c>
      <c r="B83" s="168">
        <v>39386</v>
      </c>
      <c r="C83" t="s">
        <v>382</v>
      </c>
      <c r="D83" t="s">
        <v>308</v>
      </c>
      <c r="E83" t="s">
        <v>383</v>
      </c>
      <c r="F83">
        <v>21446</v>
      </c>
      <c r="G83" t="s">
        <v>382</v>
      </c>
      <c r="H83"/>
      <c r="I83">
        <v>69.519996643066406</v>
      </c>
      <c r="J83">
        <v>-6.681827362626791E-3</v>
      </c>
      <c r="K83">
        <v>2.591044E-2</v>
      </c>
      <c r="L83">
        <v>1.7405839999999999E-2</v>
      </c>
      <c r="M83">
        <v>1.482233E-2</v>
      </c>
      <c r="N83" s="27">
        <f t="shared" si="14"/>
        <v>39386</v>
      </c>
      <c r="O83" s="110" t="str">
        <f t="shared" si="15"/>
        <v xml:space="preserve"> </v>
      </c>
      <c r="P83" s="110" t="str">
        <f t="shared" si="16"/>
        <v xml:space="preserve"> </v>
      </c>
      <c r="Q83" s="110" t="str">
        <f t="shared" si="17"/>
        <v xml:space="preserve"> </v>
      </c>
      <c r="R83" s="110" t="str">
        <f t="shared" si="18"/>
        <v xml:space="preserve"> </v>
      </c>
      <c r="S83" s="110" t="str">
        <f t="shared" si="19"/>
        <v xml:space="preserve"> </v>
      </c>
      <c r="T83" s="110" t="str">
        <f t="shared" si="20"/>
        <v xml:space="preserve"> </v>
      </c>
      <c r="U83" s="110" t="str">
        <f t="shared" si="21"/>
        <v xml:space="preserve"> </v>
      </c>
      <c r="V83" s="110" t="str">
        <f t="shared" si="22"/>
        <v xml:space="preserve"> </v>
      </c>
      <c r="AI83" s="131"/>
      <c r="AJ83" s="131"/>
      <c r="AK83" s="131"/>
      <c r="AL83" s="132"/>
    </row>
    <row r="84" spans="1:38" ht="15">
      <c r="A84">
        <v>18163</v>
      </c>
      <c r="B84" s="168">
        <v>39416</v>
      </c>
      <c r="C84" t="s">
        <v>382</v>
      </c>
      <c r="D84" t="s">
        <v>308</v>
      </c>
      <c r="E84" t="s">
        <v>383</v>
      </c>
      <c r="F84">
        <v>21446</v>
      </c>
      <c r="G84" t="s">
        <v>382</v>
      </c>
      <c r="H84"/>
      <c r="I84">
        <v>74</v>
      </c>
      <c r="J84">
        <v>6.4441941678524017E-2</v>
      </c>
      <c r="K84">
        <v>-4.9361830000000002E-2</v>
      </c>
      <c r="L84">
        <v>-7.6621019999999998E-2</v>
      </c>
      <c r="M84">
        <v>-4.4043430000000001E-2</v>
      </c>
      <c r="N84" s="27">
        <f t="shared" si="14"/>
        <v>39416</v>
      </c>
      <c r="O84" s="110" t="str">
        <f t="shared" si="15"/>
        <v xml:space="preserve"> </v>
      </c>
      <c r="P84" s="110" t="str">
        <f t="shared" si="16"/>
        <v xml:space="preserve"> </v>
      </c>
      <c r="Q84" s="110" t="str">
        <f t="shared" si="17"/>
        <v xml:space="preserve"> </v>
      </c>
      <c r="R84" s="110" t="str">
        <f t="shared" si="18"/>
        <v xml:space="preserve"> </v>
      </c>
      <c r="S84" s="110" t="str">
        <f t="shared" si="19"/>
        <v xml:space="preserve"> </v>
      </c>
      <c r="T84" s="110" t="str">
        <f t="shared" si="20"/>
        <v xml:space="preserve"> </v>
      </c>
      <c r="U84" s="110" t="str">
        <f t="shared" si="21"/>
        <v xml:space="preserve"> </v>
      </c>
      <c r="V84" s="110" t="str">
        <f t="shared" si="22"/>
        <v xml:space="preserve"> </v>
      </c>
      <c r="AI84" s="131"/>
      <c r="AJ84" s="131"/>
      <c r="AK84" s="131"/>
      <c r="AL84" s="132"/>
    </row>
    <row r="85" spans="1:38" ht="15">
      <c r="A85">
        <v>18163</v>
      </c>
      <c r="B85" s="168">
        <v>39447</v>
      </c>
      <c r="C85" t="s">
        <v>382</v>
      </c>
      <c r="D85" t="s">
        <v>308</v>
      </c>
      <c r="E85" t="s">
        <v>383</v>
      </c>
      <c r="F85">
        <v>21446</v>
      </c>
      <c r="G85" t="s">
        <v>382</v>
      </c>
      <c r="H85"/>
      <c r="I85">
        <v>73.419998168945312</v>
      </c>
      <c r="J85">
        <v>-7.8378627076745033E-3</v>
      </c>
      <c r="K85">
        <v>-4.4051990000000003E-3</v>
      </c>
      <c r="L85">
        <v>-1.1018399999999999E-2</v>
      </c>
      <c r="M85">
        <v>-8.6284890000000013E-3</v>
      </c>
      <c r="N85" s="27">
        <f t="shared" si="14"/>
        <v>39447</v>
      </c>
      <c r="O85" s="110" t="str">
        <f t="shared" si="15"/>
        <v xml:space="preserve"> </v>
      </c>
      <c r="P85" s="110" t="str">
        <f t="shared" si="16"/>
        <v xml:space="preserve"> </v>
      </c>
      <c r="Q85" s="110" t="str">
        <f t="shared" si="17"/>
        <v xml:space="preserve"> </v>
      </c>
      <c r="R85" s="110" t="str">
        <f t="shared" si="18"/>
        <v xml:space="preserve"> </v>
      </c>
      <c r="S85" s="110" t="str">
        <f t="shared" si="19"/>
        <v xml:space="preserve"> </v>
      </c>
      <c r="T85" s="110" t="str">
        <f t="shared" si="20"/>
        <v xml:space="preserve"> </v>
      </c>
      <c r="U85" s="110" t="str">
        <f t="shared" si="21"/>
        <v xml:space="preserve"> </v>
      </c>
      <c r="V85" s="110" t="str">
        <f t="shared" si="22"/>
        <v xml:space="preserve"> </v>
      </c>
      <c r="AI85" s="131"/>
      <c r="AJ85" s="131"/>
      <c r="AK85" s="131"/>
      <c r="AL85" s="132"/>
    </row>
    <row r="86" spans="1:38" ht="15">
      <c r="A86">
        <v>18163</v>
      </c>
      <c r="B86" s="168">
        <v>39478</v>
      </c>
      <c r="C86" t="s">
        <v>382</v>
      </c>
      <c r="D86" t="s">
        <v>308</v>
      </c>
      <c r="E86" t="s">
        <v>383</v>
      </c>
      <c r="F86">
        <v>21446</v>
      </c>
      <c r="G86" t="s">
        <v>382</v>
      </c>
      <c r="H86"/>
      <c r="I86">
        <v>65.419998168945312</v>
      </c>
      <c r="J86">
        <v>-0.10419504344463348</v>
      </c>
      <c r="K86">
        <v>-6.2217720000000004E-2</v>
      </c>
      <c r="L86">
        <v>-4.5066429999999998E-2</v>
      </c>
      <c r="M86">
        <v>-6.1163470000000005E-2</v>
      </c>
      <c r="N86" s="27">
        <f t="shared" si="14"/>
        <v>39478</v>
      </c>
      <c r="O86" s="110" t="str">
        <f t="shared" si="15"/>
        <v xml:space="preserve"> </v>
      </c>
      <c r="P86" s="110" t="str">
        <f t="shared" si="16"/>
        <v xml:space="preserve"> </v>
      </c>
      <c r="Q86" s="110" t="str">
        <f t="shared" si="17"/>
        <v xml:space="preserve"> </v>
      </c>
      <c r="R86" s="110" t="str">
        <f t="shared" si="18"/>
        <v xml:space="preserve"> </v>
      </c>
      <c r="S86" s="110" t="str">
        <f t="shared" si="19"/>
        <v xml:space="preserve"> </v>
      </c>
      <c r="T86" s="110" t="str">
        <f t="shared" si="20"/>
        <v xml:space="preserve"> </v>
      </c>
      <c r="U86" s="110" t="str">
        <f t="shared" si="21"/>
        <v xml:space="preserve"> </v>
      </c>
      <c r="V86" s="110" t="str">
        <f t="shared" si="22"/>
        <v xml:space="preserve"> </v>
      </c>
      <c r="AI86" s="131"/>
      <c r="AJ86" s="131"/>
      <c r="AK86" s="131"/>
      <c r="AL86" s="132"/>
    </row>
    <row r="87" spans="1:38" ht="15">
      <c r="A87">
        <v>18163</v>
      </c>
      <c r="B87" s="168">
        <v>39507</v>
      </c>
      <c r="C87" t="s">
        <v>382</v>
      </c>
      <c r="D87" t="s">
        <v>308</v>
      </c>
      <c r="E87" t="s">
        <v>383</v>
      </c>
      <c r="F87">
        <v>21446</v>
      </c>
      <c r="G87" t="s">
        <v>382</v>
      </c>
      <c r="H87"/>
      <c r="I87">
        <v>66.180000305175781</v>
      </c>
      <c r="J87">
        <v>1.1617274954915047E-2</v>
      </c>
      <c r="K87">
        <v>-2.1696880000000002E-2</v>
      </c>
      <c r="L87">
        <v>-2.140071E-2</v>
      </c>
      <c r="M87">
        <v>-3.4761159999999999E-2</v>
      </c>
      <c r="N87" s="27">
        <f t="shared" si="14"/>
        <v>39507</v>
      </c>
      <c r="O87" s="110" t="str">
        <f t="shared" si="15"/>
        <v xml:space="preserve"> </v>
      </c>
      <c r="P87" s="110" t="str">
        <f t="shared" si="16"/>
        <v xml:space="preserve"> </v>
      </c>
      <c r="Q87" s="110" t="str">
        <f t="shared" si="17"/>
        <v xml:space="preserve"> </v>
      </c>
      <c r="R87" s="110" t="str">
        <f t="shared" si="18"/>
        <v xml:space="preserve"> </v>
      </c>
      <c r="S87" s="110" t="str">
        <f t="shared" si="19"/>
        <v xml:space="preserve"> </v>
      </c>
      <c r="T87" s="110" t="str">
        <f t="shared" si="20"/>
        <v xml:space="preserve"> </v>
      </c>
      <c r="U87" s="110" t="str">
        <f t="shared" si="21"/>
        <v xml:space="preserve"> </v>
      </c>
      <c r="V87" s="110" t="str">
        <f t="shared" si="22"/>
        <v xml:space="preserve"> </v>
      </c>
      <c r="AI87" s="131"/>
      <c r="AJ87" s="131"/>
      <c r="AK87" s="131"/>
      <c r="AL87" s="132"/>
    </row>
    <row r="88" spans="1:38" ht="15">
      <c r="A88">
        <v>18163</v>
      </c>
      <c r="B88" s="168">
        <v>39538</v>
      </c>
      <c r="C88" t="s">
        <v>382</v>
      </c>
      <c r="D88" t="s">
        <v>308</v>
      </c>
      <c r="E88" t="s">
        <v>383</v>
      </c>
      <c r="F88">
        <v>21446</v>
      </c>
      <c r="G88" t="s">
        <v>382</v>
      </c>
      <c r="H88"/>
      <c r="I88">
        <v>70.069999694824219</v>
      </c>
      <c r="J88">
        <v>5.8779079467058182E-2</v>
      </c>
      <c r="K88">
        <v>-1.044434E-2</v>
      </c>
      <c r="L88">
        <v>-2.5309109999999999E-2</v>
      </c>
      <c r="M88">
        <v>-5.9595830000000001E-3</v>
      </c>
      <c r="N88" s="27">
        <f t="shared" si="14"/>
        <v>39538</v>
      </c>
      <c r="O88" s="110" t="str">
        <f t="shared" si="15"/>
        <v xml:space="preserve"> </v>
      </c>
      <c r="P88" s="110" t="str">
        <f t="shared" si="16"/>
        <v xml:space="preserve"> </v>
      </c>
      <c r="Q88" s="110" t="str">
        <f t="shared" si="17"/>
        <v xml:space="preserve"> </v>
      </c>
      <c r="R88" s="110" t="str">
        <f t="shared" si="18"/>
        <v xml:space="preserve"> </v>
      </c>
      <c r="S88" s="110" t="str">
        <f t="shared" si="19"/>
        <v xml:space="preserve"> </v>
      </c>
      <c r="T88" s="110" t="str">
        <f t="shared" si="20"/>
        <v xml:space="preserve"> </v>
      </c>
      <c r="U88" s="110" t="str">
        <f t="shared" si="21"/>
        <v xml:space="preserve"> </v>
      </c>
      <c r="V88" s="110" t="str">
        <f t="shared" si="22"/>
        <v xml:space="preserve"> </v>
      </c>
      <c r="AI88" s="131"/>
      <c r="AJ88" s="131"/>
      <c r="AK88" s="131"/>
      <c r="AL88" s="132"/>
    </row>
    <row r="89" spans="1:38" ht="15">
      <c r="A89">
        <v>18163</v>
      </c>
      <c r="B89" s="168">
        <v>39568</v>
      </c>
      <c r="C89" t="s">
        <v>382</v>
      </c>
      <c r="D89" t="s">
        <v>308</v>
      </c>
      <c r="E89" t="s">
        <v>383</v>
      </c>
      <c r="F89">
        <v>21446</v>
      </c>
      <c r="G89" t="s">
        <v>382</v>
      </c>
      <c r="H89"/>
      <c r="I89">
        <v>67.050003051757812</v>
      </c>
      <c r="J89">
        <v>-3.7391133606433868E-2</v>
      </c>
      <c r="K89">
        <v>5.1199000000000001E-2</v>
      </c>
      <c r="L89">
        <v>3.1906759999999999E-2</v>
      </c>
      <c r="M89">
        <v>4.7546680000000001E-2</v>
      </c>
      <c r="N89" s="27">
        <f t="shared" si="14"/>
        <v>39568</v>
      </c>
      <c r="O89" s="110" t="str">
        <f t="shared" si="15"/>
        <v xml:space="preserve"> </v>
      </c>
      <c r="P89" s="110" t="str">
        <f t="shared" si="16"/>
        <v xml:space="preserve"> </v>
      </c>
      <c r="Q89" s="110" t="str">
        <f t="shared" si="17"/>
        <v xml:space="preserve"> </v>
      </c>
      <c r="R89" s="110" t="str">
        <f t="shared" si="18"/>
        <v xml:space="preserve"> </v>
      </c>
      <c r="S89" s="110" t="str">
        <f t="shared" si="19"/>
        <v xml:space="preserve"> </v>
      </c>
      <c r="T89" s="110" t="str">
        <f t="shared" si="20"/>
        <v xml:space="preserve"> </v>
      </c>
      <c r="U89" s="110" t="str">
        <f t="shared" si="21"/>
        <v xml:space="preserve"> </v>
      </c>
      <c r="V89" s="110" t="str">
        <f t="shared" si="22"/>
        <v xml:space="preserve"> </v>
      </c>
      <c r="AI89" s="131"/>
      <c r="AJ89" s="131"/>
      <c r="AK89" s="131"/>
      <c r="AL89" s="132"/>
    </row>
    <row r="90" spans="1:38" ht="15">
      <c r="A90">
        <v>18163</v>
      </c>
      <c r="B90" s="168">
        <v>39598</v>
      </c>
      <c r="C90" t="s">
        <v>382</v>
      </c>
      <c r="D90" t="s">
        <v>308</v>
      </c>
      <c r="E90" t="s">
        <v>383</v>
      </c>
      <c r="F90">
        <v>21446</v>
      </c>
      <c r="G90" t="s">
        <v>382</v>
      </c>
      <c r="H90"/>
      <c r="I90">
        <v>66.050003051757812</v>
      </c>
      <c r="J90">
        <v>-1.4914242550730705E-2</v>
      </c>
      <c r="K90">
        <v>2.3935020000000001E-2</v>
      </c>
      <c r="L90">
        <v>3.1787009999999997E-2</v>
      </c>
      <c r="M90">
        <v>1.067415E-2</v>
      </c>
      <c r="N90" s="27">
        <f t="shared" si="14"/>
        <v>39598</v>
      </c>
      <c r="O90" s="110" t="str">
        <f t="shared" si="15"/>
        <v xml:space="preserve"> </v>
      </c>
      <c r="P90" s="110" t="str">
        <f t="shared" si="16"/>
        <v xml:space="preserve"> </v>
      </c>
      <c r="Q90" s="110" t="str">
        <f t="shared" si="17"/>
        <v xml:space="preserve"> </v>
      </c>
      <c r="R90" s="110" t="str">
        <f t="shared" si="18"/>
        <v xml:space="preserve"> </v>
      </c>
      <c r="S90" s="110" t="str">
        <f t="shared" si="19"/>
        <v xml:space="preserve"> </v>
      </c>
      <c r="T90" s="110" t="str">
        <f t="shared" si="20"/>
        <v xml:space="preserve"> </v>
      </c>
      <c r="U90" s="110" t="str">
        <f t="shared" si="21"/>
        <v xml:space="preserve"> </v>
      </c>
      <c r="V90" s="110" t="str">
        <f t="shared" si="22"/>
        <v xml:space="preserve"> </v>
      </c>
      <c r="AI90" s="131"/>
      <c r="AJ90" s="131"/>
      <c r="AK90" s="131"/>
      <c r="AL90" s="132"/>
    </row>
    <row r="91" spans="1:38" ht="15">
      <c r="A91">
        <v>18163</v>
      </c>
      <c r="B91" s="168">
        <v>39629</v>
      </c>
      <c r="C91" t="s">
        <v>382</v>
      </c>
      <c r="D91" t="s">
        <v>308</v>
      </c>
      <c r="E91" t="s">
        <v>383</v>
      </c>
      <c r="F91">
        <v>21446</v>
      </c>
      <c r="G91" t="s">
        <v>382</v>
      </c>
      <c r="H91"/>
      <c r="I91">
        <v>60.810001373291016</v>
      </c>
      <c r="J91">
        <v>-7.9333856701850891E-2</v>
      </c>
      <c r="K91">
        <v>-7.8435550000000007E-2</v>
      </c>
      <c r="L91">
        <v>-8.6585789999999996E-2</v>
      </c>
      <c r="M91">
        <v>-8.5962380000000005E-2</v>
      </c>
      <c r="N91" s="27">
        <f t="shared" si="14"/>
        <v>39629</v>
      </c>
      <c r="O91" s="110" t="str">
        <f t="shared" si="15"/>
        <v xml:space="preserve"> </v>
      </c>
      <c r="P91" s="110" t="str">
        <f t="shared" si="16"/>
        <v xml:space="preserve"> </v>
      </c>
      <c r="Q91" s="110" t="str">
        <f t="shared" si="17"/>
        <v xml:space="preserve"> </v>
      </c>
      <c r="R91" s="110" t="str">
        <f t="shared" si="18"/>
        <v xml:space="preserve"> </v>
      </c>
      <c r="S91" s="110" t="str">
        <f t="shared" si="19"/>
        <v xml:space="preserve"> </v>
      </c>
      <c r="T91" s="110" t="str">
        <f t="shared" si="20"/>
        <v xml:space="preserve"> </v>
      </c>
      <c r="U91" s="110" t="str">
        <f t="shared" si="21"/>
        <v xml:space="preserve"> </v>
      </c>
      <c r="V91" s="110" t="str">
        <f t="shared" si="22"/>
        <v xml:space="preserve"> </v>
      </c>
      <c r="AI91" s="131"/>
      <c r="AJ91" s="131"/>
      <c r="AK91" s="131"/>
      <c r="AL91" s="132"/>
    </row>
    <row r="92" spans="1:38" ht="15">
      <c r="A92">
        <v>18163</v>
      </c>
      <c r="B92" s="168">
        <v>39660</v>
      </c>
      <c r="C92" t="s">
        <v>382</v>
      </c>
      <c r="D92" t="s">
        <v>308</v>
      </c>
      <c r="E92" t="s">
        <v>383</v>
      </c>
      <c r="F92">
        <v>21446</v>
      </c>
      <c r="G92" t="s">
        <v>382</v>
      </c>
      <c r="H92"/>
      <c r="I92">
        <v>65.480003356933594</v>
      </c>
      <c r="J92">
        <v>8.3374477922916412E-2</v>
      </c>
      <c r="K92">
        <v>-1.3413120000000001E-2</v>
      </c>
      <c r="L92">
        <v>-1.2947340000000001E-3</v>
      </c>
      <c r="M92">
        <v>-9.8593750000000001E-3</v>
      </c>
      <c r="N92" s="27">
        <f t="shared" si="14"/>
        <v>39660</v>
      </c>
      <c r="O92" s="110" t="str">
        <f t="shared" si="15"/>
        <v xml:space="preserve"> </v>
      </c>
      <c r="P92" s="110" t="str">
        <f t="shared" si="16"/>
        <v xml:space="preserve"> </v>
      </c>
      <c r="Q92" s="110" t="str">
        <f t="shared" si="17"/>
        <v xml:space="preserve"> </v>
      </c>
      <c r="R92" s="110" t="str">
        <f t="shared" si="18"/>
        <v xml:space="preserve"> </v>
      </c>
      <c r="S92" s="110" t="str">
        <f t="shared" si="19"/>
        <v xml:space="preserve"> </v>
      </c>
      <c r="T92" s="110" t="str">
        <f t="shared" si="20"/>
        <v xml:space="preserve"> </v>
      </c>
      <c r="U92" s="110" t="str">
        <f t="shared" si="21"/>
        <v xml:space="preserve"> </v>
      </c>
      <c r="V92" s="110" t="str">
        <f t="shared" si="22"/>
        <v xml:space="preserve"> </v>
      </c>
      <c r="AI92" s="131"/>
      <c r="AJ92" s="131"/>
      <c r="AK92" s="131"/>
      <c r="AL92" s="132"/>
    </row>
    <row r="93" spans="1:38" ht="15">
      <c r="A93">
        <v>18163</v>
      </c>
      <c r="B93" s="168">
        <v>39689</v>
      </c>
      <c r="C93" t="s">
        <v>382</v>
      </c>
      <c r="D93" t="s">
        <v>308</v>
      </c>
      <c r="E93" t="s">
        <v>383</v>
      </c>
      <c r="F93">
        <v>21446</v>
      </c>
      <c r="G93" t="s">
        <v>382</v>
      </c>
      <c r="H93"/>
      <c r="I93">
        <v>69.769996643066406</v>
      </c>
      <c r="J93">
        <v>6.5516084432601929E-2</v>
      </c>
      <c r="K93">
        <v>1.059709E-2</v>
      </c>
      <c r="L93">
        <v>1.3023390000000001E-2</v>
      </c>
      <c r="M93">
        <v>1.21905E-2</v>
      </c>
      <c r="N93" s="27">
        <f t="shared" si="14"/>
        <v>39689</v>
      </c>
      <c r="O93" s="110" t="str">
        <f t="shared" si="15"/>
        <v xml:space="preserve"> </v>
      </c>
      <c r="P93" s="110" t="str">
        <f t="shared" si="16"/>
        <v xml:space="preserve"> </v>
      </c>
      <c r="Q93" s="110" t="str">
        <f t="shared" si="17"/>
        <v xml:space="preserve"> </v>
      </c>
      <c r="R93" s="110" t="str">
        <f t="shared" si="18"/>
        <v xml:space="preserve"> </v>
      </c>
      <c r="S93" s="110" t="str">
        <f t="shared" si="19"/>
        <v xml:space="preserve"> </v>
      </c>
      <c r="T93" s="110" t="str">
        <f t="shared" si="20"/>
        <v xml:space="preserve"> </v>
      </c>
      <c r="U93" s="110" t="str">
        <f t="shared" si="21"/>
        <v xml:space="preserve"> </v>
      </c>
      <c r="V93" s="110" t="str">
        <f t="shared" si="22"/>
        <v xml:space="preserve"> </v>
      </c>
      <c r="AI93" s="131"/>
      <c r="AJ93" s="131"/>
      <c r="AK93" s="131"/>
      <c r="AL93" s="132"/>
    </row>
    <row r="94" spans="1:38" ht="15">
      <c r="A94">
        <v>18163</v>
      </c>
      <c r="B94" s="168">
        <v>39721</v>
      </c>
      <c r="C94" t="s">
        <v>382</v>
      </c>
      <c r="D94" t="s">
        <v>308</v>
      </c>
      <c r="E94" t="s">
        <v>383</v>
      </c>
      <c r="F94">
        <v>21446</v>
      </c>
      <c r="G94" t="s">
        <v>382</v>
      </c>
      <c r="H94"/>
      <c r="I94">
        <v>69.69000244140625</v>
      </c>
      <c r="J94">
        <v>-1.146541559137404E-3</v>
      </c>
      <c r="K94">
        <v>-9.8171620000000001E-2</v>
      </c>
      <c r="L94">
        <v>-0.12011229999999999</v>
      </c>
      <c r="M94">
        <v>-9.0791460000000004E-2</v>
      </c>
      <c r="N94" s="27">
        <f t="shared" si="14"/>
        <v>39721</v>
      </c>
      <c r="O94" s="110" t="str">
        <f t="shared" si="15"/>
        <v xml:space="preserve"> </v>
      </c>
      <c r="P94" s="110" t="str">
        <f t="shared" si="16"/>
        <v xml:space="preserve"> </v>
      </c>
      <c r="Q94" s="110" t="str">
        <f t="shared" si="17"/>
        <v xml:space="preserve"> </v>
      </c>
      <c r="R94" s="110" t="str">
        <f t="shared" si="18"/>
        <v xml:space="preserve"> </v>
      </c>
      <c r="S94" s="110" t="str">
        <f t="shared" si="19"/>
        <v xml:space="preserve"> </v>
      </c>
      <c r="T94" s="110" t="str">
        <f t="shared" si="20"/>
        <v xml:space="preserve"> </v>
      </c>
      <c r="U94" s="110" t="str">
        <f t="shared" si="21"/>
        <v xml:space="preserve"> </v>
      </c>
      <c r="V94" s="110" t="str">
        <f t="shared" si="22"/>
        <v xml:space="preserve"> </v>
      </c>
      <c r="AI94" s="131"/>
      <c r="AJ94" s="131"/>
      <c r="AK94" s="131"/>
      <c r="AL94" s="132"/>
    </row>
    <row r="95" spans="1:38" ht="15">
      <c r="A95">
        <v>18163</v>
      </c>
      <c r="B95" s="168">
        <v>39752</v>
      </c>
      <c r="C95" t="s">
        <v>382</v>
      </c>
      <c r="D95" t="s">
        <v>308</v>
      </c>
      <c r="E95" t="s">
        <v>383</v>
      </c>
      <c r="F95">
        <v>21446</v>
      </c>
      <c r="G95" t="s">
        <v>382</v>
      </c>
      <c r="H95"/>
      <c r="I95">
        <v>64.540000915527344</v>
      </c>
      <c r="J95">
        <v>-6.8159006536006927E-2</v>
      </c>
      <c r="K95">
        <v>-0.18483759999999999</v>
      </c>
      <c r="L95">
        <v>-0.20522199999999999</v>
      </c>
      <c r="M95">
        <v>-0.16942450000000001</v>
      </c>
      <c r="N95" s="27">
        <f t="shared" si="14"/>
        <v>39752</v>
      </c>
      <c r="O95" s="110" t="str">
        <f t="shared" si="15"/>
        <v xml:space="preserve"> </v>
      </c>
      <c r="P95" s="110" t="str">
        <f t="shared" si="16"/>
        <v xml:space="preserve"> </v>
      </c>
      <c r="Q95" s="110" t="str">
        <f t="shared" si="17"/>
        <v xml:space="preserve"> </v>
      </c>
      <c r="R95" s="110" t="str">
        <f t="shared" si="18"/>
        <v xml:space="preserve"> </v>
      </c>
      <c r="S95" s="110" t="str">
        <f t="shared" si="19"/>
        <v xml:space="preserve"> </v>
      </c>
      <c r="T95" s="110" t="str">
        <f t="shared" si="20"/>
        <v xml:space="preserve"> </v>
      </c>
      <c r="U95" s="110" t="str">
        <f t="shared" si="21"/>
        <v xml:space="preserve"> </v>
      </c>
      <c r="V95" s="110" t="str">
        <f t="shared" si="22"/>
        <v xml:space="preserve"> </v>
      </c>
      <c r="AI95" s="131"/>
      <c r="AJ95" s="131"/>
      <c r="AK95" s="131"/>
      <c r="AL95" s="132"/>
    </row>
    <row r="96" spans="1:38" ht="15">
      <c r="A96">
        <v>18163</v>
      </c>
      <c r="B96" s="168">
        <v>39780</v>
      </c>
      <c r="C96" t="s">
        <v>382</v>
      </c>
      <c r="D96" t="s">
        <v>308</v>
      </c>
      <c r="E96" t="s">
        <v>383</v>
      </c>
      <c r="F96">
        <v>21446</v>
      </c>
      <c r="G96" t="s">
        <v>382</v>
      </c>
      <c r="H96"/>
      <c r="I96">
        <v>64.349998474121094</v>
      </c>
      <c r="J96">
        <v>-2.9439486097544432E-3</v>
      </c>
      <c r="K96">
        <v>-8.4685529999999995E-2</v>
      </c>
      <c r="L96">
        <v>-0.1303203</v>
      </c>
      <c r="M96">
        <v>-7.4849029999999997E-2</v>
      </c>
      <c r="N96" s="27">
        <f t="shared" si="14"/>
        <v>39780</v>
      </c>
      <c r="O96" s="110" t="str">
        <f t="shared" si="15"/>
        <v xml:space="preserve"> </v>
      </c>
      <c r="P96" s="110" t="str">
        <f t="shared" si="16"/>
        <v xml:space="preserve"> </v>
      </c>
      <c r="Q96" s="110" t="str">
        <f t="shared" si="17"/>
        <v xml:space="preserve"> </v>
      </c>
      <c r="R96" s="110" t="str">
        <f t="shared" si="18"/>
        <v xml:space="preserve"> </v>
      </c>
      <c r="S96" s="110" t="str">
        <f t="shared" si="19"/>
        <v xml:space="preserve"> </v>
      </c>
      <c r="T96" s="110" t="str">
        <f t="shared" si="20"/>
        <v xml:space="preserve"> </v>
      </c>
      <c r="U96" s="110" t="str">
        <f t="shared" si="21"/>
        <v xml:space="preserve"> </v>
      </c>
      <c r="V96" s="110" t="str">
        <f t="shared" si="22"/>
        <v xml:space="preserve"> </v>
      </c>
      <c r="AI96" s="131"/>
      <c r="AJ96" s="131"/>
      <c r="AK96" s="131"/>
      <c r="AL96" s="132"/>
    </row>
    <row r="97" spans="1:38" ht="15">
      <c r="A97">
        <v>18163</v>
      </c>
      <c r="B97" s="168">
        <v>39813</v>
      </c>
      <c r="C97" t="s">
        <v>382</v>
      </c>
      <c r="D97" t="s">
        <v>308</v>
      </c>
      <c r="E97" t="s">
        <v>383</v>
      </c>
      <c r="F97">
        <v>21446</v>
      </c>
      <c r="G97" t="s">
        <v>382</v>
      </c>
      <c r="H97"/>
      <c r="I97">
        <v>61.819999694824219</v>
      </c>
      <c r="J97">
        <v>-3.9316222071647644E-2</v>
      </c>
      <c r="K97">
        <v>2.223056E-2</v>
      </c>
      <c r="L97">
        <v>4.2175810000000001E-2</v>
      </c>
      <c r="M97">
        <v>7.8215650000000008E-3</v>
      </c>
      <c r="N97" s="27">
        <f t="shared" si="14"/>
        <v>39813</v>
      </c>
      <c r="O97" s="110" t="str">
        <f t="shared" si="15"/>
        <v xml:space="preserve"> </v>
      </c>
      <c r="P97" s="110" t="str">
        <f t="shared" si="16"/>
        <v xml:space="preserve"> </v>
      </c>
      <c r="Q97" s="110" t="str">
        <f t="shared" si="17"/>
        <v xml:space="preserve"> </v>
      </c>
      <c r="R97" s="110" t="str">
        <f t="shared" si="18"/>
        <v xml:space="preserve"> </v>
      </c>
      <c r="S97" s="110" t="str">
        <f t="shared" si="19"/>
        <v xml:space="preserve"> </v>
      </c>
      <c r="T97" s="110" t="str">
        <f t="shared" si="20"/>
        <v xml:space="preserve"> </v>
      </c>
      <c r="U97" s="110" t="str">
        <f t="shared" si="21"/>
        <v xml:space="preserve"> </v>
      </c>
      <c r="V97" s="110" t="str">
        <f t="shared" si="22"/>
        <v xml:space="preserve"> </v>
      </c>
      <c r="AI97" s="131"/>
      <c r="AJ97" s="131"/>
      <c r="AK97" s="131"/>
      <c r="AL97" s="132"/>
    </row>
    <row r="98" spans="1:38" ht="15">
      <c r="A98">
        <v>18163</v>
      </c>
      <c r="B98" s="168">
        <v>39843</v>
      </c>
      <c r="C98" t="s">
        <v>382</v>
      </c>
      <c r="D98" t="s">
        <v>308</v>
      </c>
      <c r="E98" t="s">
        <v>383</v>
      </c>
      <c r="F98">
        <v>21446</v>
      </c>
      <c r="G98" t="s">
        <v>382</v>
      </c>
      <c r="H98"/>
      <c r="I98">
        <v>54.5</v>
      </c>
      <c r="J98">
        <v>-0.11193788051605225</v>
      </c>
      <c r="K98">
        <v>-7.7474990000000007E-2</v>
      </c>
      <c r="L98">
        <v>-2.4042350000000001E-2</v>
      </c>
      <c r="M98">
        <v>-8.5657350000000007E-2</v>
      </c>
      <c r="N98" s="27">
        <f t="shared" si="14"/>
        <v>39843</v>
      </c>
      <c r="O98" s="110" t="str">
        <f t="shared" si="15"/>
        <v xml:space="preserve"> </v>
      </c>
      <c r="P98" s="110" t="str">
        <f t="shared" si="16"/>
        <v xml:space="preserve"> </v>
      </c>
      <c r="Q98" s="110" t="str">
        <f t="shared" si="17"/>
        <v xml:space="preserve"> </v>
      </c>
      <c r="R98" s="110" t="str">
        <f t="shared" si="18"/>
        <v xml:space="preserve"> </v>
      </c>
      <c r="S98" s="110" t="str">
        <f t="shared" si="19"/>
        <v xml:space="preserve"> </v>
      </c>
      <c r="T98" s="110" t="str">
        <f t="shared" si="20"/>
        <v xml:space="preserve"> </v>
      </c>
      <c r="U98" s="110" t="str">
        <f t="shared" si="21"/>
        <v xml:space="preserve"> </v>
      </c>
      <c r="V98" s="110" t="str">
        <f t="shared" si="22"/>
        <v xml:space="preserve"> </v>
      </c>
      <c r="AI98" s="131"/>
      <c r="AJ98" s="131"/>
      <c r="AK98" s="131"/>
      <c r="AL98" s="132"/>
    </row>
    <row r="99" spans="1:38" ht="15">
      <c r="A99">
        <v>18163</v>
      </c>
      <c r="B99" s="168">
        <v>39871</v>
      </c>
      <c r="C99" t="s">
        <v>382</v>
      </c>
      <c r="D99" t="s">
        <v>308</v>
      </c>
      <c r="E99" t="s">
        <v>383</v>
      </c>
      <c r="F99">
        <v>21446</v>
      </c>
      <c r="G99" t="s">
        <v>382</v>
      </c>
      <c r="H99"/>
      <c r="I99">
        <v>48.169998168945312</v>
      </c>
      <c r="J99">
        <v>-0.11614682525396347</v>
      </c>
      <c r="K99">
        <v>-0.10017509999999999</v>
      </c>
      <c r="L99">
        <v>-0.1076061</v>
      </c>
      <c r="M99">
        <v>-0.10993119999999999</v>
      </c>
      <c r="N99" s="27">
        <f t="shared" si="14"/>
        <v>39871</v>
      </c>
      <c r="O99" s="110" t="str">
        <f t="shared" si="15"/>
        <v xml:space="preserve"> </v>
      </c>
      <c r="P99" s="110" t="str">
        <f t="shared" si="16"/>
        <v xml:space="preserve"> </v>
      </c>
      <c r="Q99" s="110" t="str">
        <f t="shared" si="17"/>
        <v xml:space="preserve"> </v>
      </c>
      <c r="R99" s="110" t="str">
        <f t="shared" si="18"/>
        <v xml:space="preserve"> </v>
      </c>
      <c r="S99" s="110" t="str">
        <f t="shared" si="19"/>
        <v xml:space="preserve"> </v>
      </c>
      <c r="T99" s="110" t="str">
        <f t="shared" si="20"/>
        <v xml:space="preserve"> </v>
      </c>
      <c r="U99" s="110" t="str">
        <f t="shared" si="21"/>
        <v xml:space="preserve"> </v>
      </c>
      <c r="V99" s="110" t="str">
        <f t="shared" si="22"/>
        <v xml:space="preserve"> </v>
      </c>
      <c r="AI99" s="131"/>
      <c r="AJ99" s="131"/>
      <c r="AK99" s="131"/>
      <c r="AL99" s="132"/>
    </row>
    <row r="100" spans="1:38" ht="15">
      <c r="A100">
        <v>18163</v>
      </c>
      <c r="B100" s="168">
        <v>39903</v>
      </c>
      <c r="C100" t="s">
        <v>382</v>
      </c>
      <c r="D100" t="s">
        <v>308</v>
      </c>
      <c r="E100" t="s">
        <v>383</v>
      </c>
      <c r="F100">
        <v>21446</v>
      </c>
      <c r="G100" t="s">
        <v>382</v>
      </c>
      <c r="H100"/>
      <c r="I100">
        <v>47.090000152587891</v>
      </c>
      <c r="J100">
        <v>-2.2420553490519524E-2</v>
      </c>
      <c r="K100">
        <v>8.6812940000000005E-2</v>
      </c>
      <c r="L100">
        <v>0.1074739</v>
      </c>
      <c r="M100">
        <v>8.5404510000000003E-2</v>
      </c>
      <c r="N100" s="27">
        <f t="shared" si="14"/>
        <v>39903</v>
      </c>
      <c r="O100" s="110" t="str">
        <f t="shared" si="15"/>
        <v xml:space="preserve"> </v>
      </c>
      <c r="P100" s="110" t="str">
        <f t="shared" si="16"/>
        <v xml:space="preserve"> </v>
      </c>
      <c r="Q100" s="110" t="str">
        <f t="shared" si="17"/>
        <v xml:space="preserve"> </v>
      </c>
      <c r="R100" s="110" t="str">
        <f t="shared" si="18"/>
        <v xml:space="preserve"> </v>
      </c>
      <c r="S100" s="110" t="str">
        <f t="shared" si="19"/>
        <v xml:space="preserve"> </v>
      </c>
      <c r="T100" s="110" t="str">
        <f t="shared" si="20"/>
        <v xml:space="preserve"> </v>
      </c>
      <c r="U100" s="110" t="str">
        <f t="shared" si="21"/>
        <v xml:space="preserve"> </v>
      </c>
      <c r="V100" s="110" t="str">
        <f t="shared" si="22"/>
        <v xml:space="preserve"> </v>
      </c>
      <c r="AI100" s="131"/>
      <c r="AJ100" s="131"/>
      <c r="AK100" s="131"/>
      <c r="AL100" s="132"/>
    </row>
    <row r="101" spans="1:38" ht="15">
      <c r="A101">
        <v>18163</v>
      </c>
      <c r="B101" s="168">
        <v>39933</v>
      </c>
      <c r="C101" t="s">
        <v>382</v>
      </c>
      <c r="D101" t="s">
        <v>308</v>
      </c>
      <c r="E101" t="s">
        <v>383</v>
      </c>
      <c r="F101">
        <v>21446</v>
      </c>
      <c r="G101" t="s">
        <v>382</v>
      </c>
      <c r="H101"/>
      <c r="I101">
        <v>49.439998626708984</v>
      </c>
      <c r="J101">
        <v>5.9248216450214386E-2</v>
      </c>
      <c r="K101">
        <v>0.1094825</v>
      </c>
      <c r="L101">
        <v>0.19276179999999998</v>
      </c>
      <c r="M101">
        <v>9.3925069999999999E-2</v>
      </c>
      <c r="N101" s="27">
        <f t="shared" si="14"/>
        <v>39933</v>
      </c>
      <c r="O101" s="110" t="str">
        <f t="shared" si="15"/>
        <v xml:space="preserve"> </v>
      </c>
      <c r="P101" s="110" t="str">
        <f t="shared" si="16"/>
        <v xml:space="preserve"> </v>
      </c>
      <c r="Q101" s="110" t="str">
        <f t="shared" si="17"/>
        <v xml:space="preserve"> </v>
      </c>
      <c r="R101" s="110" t="str">
        <f t="shared" si="18"/>
        <v xml:space="preserve"> </v>
      </c>
      <c r="S101" s="110" t="str">
        <f t="shared" si="19"/>
        <v xml:space="preserve"> </v>
      </c>
      <c r="T101" s="110" t="str">
        <f t="shared" si="20"/>
        <v xml:space="preserve"> </v>
      </c>
      <c r="U101" s="110" t="str">
        <f t="shared" si="21"/>
        <v xml:space="preserve"> </v>
      </c>
      <c r="V101" s="110" t="str">
        <f t="shared" si="22"/>
        <v xml:space="preserve"> </v>
      </c>
      <c r="AI101" s="131"/>
      <c r="AJ101" s="131"/>
      <c r="AK101" s="131"/>
      <c r="AL101" s="132"/>
    </row>
    <row r="102" spans="1:38" ht="15">
      <c r="A102">
        <v>18163</v>
      </c>
      <c r="B102" s="168">
        <v>39962</v>
      </c>
      <c r="C102" t="s">
        <v>382</v>
      </c>
      <c r="D102" t="s">
        <v>308</v>
      </c>
      <c r="E102" t="s">
        <v>383</v>
      </c>
      <c r="F102">
        <v>21446</v>
      </c>
      <c r="G102" t="s">
        <v>382</v>
      </c>
      <c r="H102"/>
      <c r="I102">
        <v>51.939998626708984</v>
      </c>
      <c r="J102">
        <v>5.0566345453262329E-2</v>
      </c>
      <c r="K102">
        <v>6.7796629999999997E-2</v>
      </c>
      <c r="L102">
        <v>0.10232949999999999</v>
      </c>
      <c r="M102">
        <v>5.3081429999999999E-2</v>
      </c>
      <c r="N102" s="27">
        <f t="shared" si="14"/>
        <v>39962</v>
      </c>
      <c r="O102" s="110" t="str">
        <f t="shared" si="15"/>
        <v xml:space="preserve"> </v>
      </c>
      <c r="P102" s="110" t="str">
        <f t="shared" si="16"/>
        <v xml:space="preserve"> </v>
      </c>
      <c r="Q102" s="110" t="str">
        <f t="shared" si="17"/>
        <v xml:space="preserve"> </v>
      </c>
      <c r="R102" s="110" t="str">
        <f t="shared" si="18"/>
        <v xml:space="preserve"> </v>
      </c>
      <c r="S102" s="110" t="str">
        <f t="shared" si="19"/>
        <v xml:space="preserve"> </v>
      </c>
      <c r="T102" s="110" t="str">
        <f t="shared" si="20"/>
        <v xml:space="preserve"> </v>
      </c>
      <c r="U102" s="110" t="str">
        <f t="shared" si="21"/>
        <v xml:space="preserve"> </v>
      </c>
      <c r="V102" s="110" t="str">
        <f t="shared" si="22"/>
        <v xml:space="preserve"> </v>
      </c>
      <c r="AI102" s="131"/>
      <c r="AJ102" s="131"/>
      <c r="AK102" s="131"/>
      <c r="AL102" s="132"/>
    </row>
    <row r="103" spans="1:38" ht="15">
      <c r="A103">
        <v>18163</v>
      </c>
      <c r="B103" s="168">
        <v>39994</v>
      </c>
      <c r="C103" t="s">
        <v>382</v>
      </c>
      <c r="D103" t="s">
        <v>308</v>
      </c>
      <c r="E103" t="s">
        <v>383</v>
      </c>
      <c r="F103">
        <v>21446</v>
      </c>
      <c r="G103" t="s">
        <v>382</v>
      </c>
      <c r="H103"/>
      <c r="I103">
        <v>51.099998474121094</v>
      </c>
      <c r="J103">
        <v>-1.6172509640455246E-2</v>
      </c>
      <c r="K103">
        <v>-3.0204510000000004E-3</v>
      </c>
      <c r="L103">
        <v>2.392118E-2</v>
      </c>
      <c r="M103">
        <v>1.9583520000000001E-4</v>
      </c>
      <c r="N103" s="27">
        <f t="shared" si="14"/>
        <v>39994</v>
      </c>
      <c r="O103" s="110" t="str">
        <f t="shared" si="15"/>
        <v xml:space="preserve"> </v>
      </c>
      <c r="P103" s="110" t="str">
        <f t="shared" si="16"/>
        <v xml:space="preserve"> </v>
      </c>
      <c r="Q103" s="110" t="str">
        <f t="shared" si="17"/>
        <v xml:space="preserve"> </v>
      </c>
      <c r="R103" s="110" t="str">
        <f t="shared" si="18"/>
        <v xml:space="preserve"> </v>
      </c>
      <c r="S103" s="110" t="str">
        <f t="shared" si="19"/>
        <v xml:space="preserve"> </v>
      </c>
      <c r="T103" s="110" t="str">
        <f t="shared" si="20"/>
        <v xml:space="preserve"> </v>
      </c>
      <c r="U103" s="110" t="str">
        <f t="shared" si="21"/>
        <v xml:space="preserve"> </v>
      </c>
      <c r="V103" s="110" t="str">
        <f t="shared" si="22"/>
        <v xml:space="preserve"> </v>
      </c>
      <c r="AI103" s="131"/>
      <c r="AJ103" s="131"/>
      <c r="AK103" s="131"/>
      <c r="AL103" s="132"/>
    </row>
    <row r="104" spans="1:38" ht="15">
      <c r="A104">
        <v>18163</v>
      </c>
      <c r="B104" s="168">
        <v>40025</v>
      </c>
      <c r="C104" t="s">
        <v>382</v>
      </c>
      <c r="D104" t="s">
        <v>308</v>
      </c>
      <c r="E104" t="s">
        <v>383</v>
      </c>
      <c r="F104">
        <v>21446</v>
      </c>
      <c r="G104" t="s">
        <v>382</v>
      </c>
      <c r="H104"/>
      <c r="I104">
        <v>55.509998321533203</v>
      </c>
      <c r="J104">
        <v>9.4911940395832062E-2</v>
      </c>
      <c r="K104">
        <v>8.1792440000000008E-2</v>
      </c>
      <c r="L104">
        <v>8.5216920000000002E-2</v>
      </c>
      <c r="M104">
        <v>7.4141760000000001E-2</v>
      </c>
      <c r="N104" s="27">
        <f t="shared" si="14"/>
        <v>40025</v>
      </c>
      <c r="O104" s="110" t="str">
        <f t="shared" si="15"/>
        <v xml:space="preserve"> </v>
      </c>
      <c r="P104" s="110" t="str">
        <f t="shared" si="16"/>
        <v xml:space="preserve"> </v>
      </c>
      <c r="Q104" s="110" t="str">
        <f t="shared" si="17"/>
        <v xml:space="preserve"> </v>
      </c>
      <c r="R104" s="110" t="str">
        <f t="shared" si="18"/>
        <v xml:space="preserve"> </v>
      </c>
      <c r="S104" s="110" t="str">
        <f t="shared" si="19"/>
        <v xml:space="preserve"> </v>
      </c>
      <c r="T104" s="110" t="str">
        <f t="shared" si="20"/>
        <v xml:space="preserve"> </v>
      </c>
      <c r="U104" s="110" t="str">
        <f t="shared" si="21"/>
        <v xml:space="preserve"> </v>
      </c>
      <c r="V104" s="110" t="str">
        <f t="shared" si="22"/>
        <v xml:space="preserve"> </v>
      </c>
      <c r="AI104" s="131"/>
      <c r="AJ104" s="131"/>
      <c r="AK104" s="131"/>
      <c r="AL104" s="132"/>
    </row>
    <row r="105" spans="1:38" ht="15">
      <c r="A105">
        <v>18163</v>
      </c>
      <c r="B105" s="168">
        <v>40056</v>
      </c>
      <c r="C105" t="s">
        <v>382</v>
      </c>
      <c r="D105" t="s">
        <v>308</v>
      </c>
      <c r="E105" t="s">
        <v>383</v>
      </c>
      <c r="F105">
        <v>21446</v>
      </c>
      <c r="G105" t="s">
        <v>382</v>
      </c>
      <c r="H105"/>
      <c r="I105">
        <v>54.110000610351562</v>
      </c>
      <c r="J105">
        <v>-2.5220640003681183E-2</v>
      </c>
      <c r="K105">
        <v>3.1514310000000004E-2</v>
      </c>
      <c r="L105">
        <v>5.686401E-2</v>
      </c>
      <c r="M105">
        <v>3.356017E-2</v>
      </c>
      <c r="N105" s="27">
        <f t="shared" si="14"/>
        <v>40056</v>
      </c>
      <c r="O105" s="110" t="str">
        <f t="shared" si="15"/>
        <v xml:space="preserve"> </v>
      </c>
      <c r="P105" s="110" t="str">
        <f t="shared" si="16"/>
        <v xml:space="preserve"> </v>
      </c>
      <c r="Q105" s="110" t="str">
        <f t="shared" si="17"/>
        <v xml:space="preserve"> </v>
      </c>
      <c r="R105" s="110" t="str">
        <f t="shared" si="18"/>
        <v xml:space="preserve"> </v>
      </c>
      <c r="S105" s="110" t="str">
        <f t="shared" si="19"/>
        <v xml:space="preserve"> </v>
      </c>
      <c r="T105" s="110" t="str">
        <f t="shared" si="20"/>
        <v xml:space="preserve"> </v>
      </c>
      <c r="U105" s="110" t="str">
        <f t="shared" si="21"/>
        <v xml:space="preserve"> </v>
      </c>
      <c r="V105" s="110" t="str">
        <f t="shared" si="22"/>
        <v xml:space="preserve"> </v>
      </c>
      <c r="AI105" s="131"/>
      <c r="AJ105" s="131"/>
      <c r="AK105" s="131"/>
      <c r="AL105" s="132"/>
    </row>
    <row r="106" spans="1:38" ht="15">
      <c r="A106">
        <v>18163</v>
      </c>
      <c r="B106" s="168">
        <v>40086</v>
      </c>
      <c r="C106" t="s">
        <v>382</v>
      </c>
      <c r="D106" t="s">
        <v>308</v>
      </c>
      <c r="E106" t="s">
        <v>383</v>
      </c>
      <c r="F106">
        <v>21446</v>
      </c>
      <c r="G106" t="s">
        <v>382</v>
      </c>
      <c r="H106"/>
      <c r="I106">
        <v>57.919998168945312</v>
      </c>
      <c r="J106">
        <v>7.0412077009677887E-2</v>
      </c>
      <c r="K106">
        <v>4.5288189999999999E-2</v>
      </c>
      <c r="L106">
        <v>7.1254659999999997E-2</v>
      </c>
      <c r="M106">
        <v>3.5723379999999999E-2</v>
      </c>
      <c r="N106" s="27">
        <f t="shared" si="14"/>
        <v>40086</v>
      </c>
      <c r="O106" s="110" t="str">
        <f t="shared" si="15"/>
        <v xml:space="preserve"> </v>
      </c>
      <c r="P106" s="110" t="str">
        <f t="shared" si="16"/>
        <v xml:space="preserve"> </v>
      </c>
      <c r="Q106" s="110" t="str">
        <f t="shared" si="17"/>
        <v xml:space="preserve"> </v>
      </c>
      <c r="R106" s="110" t="str">
        <f t="shared" si="18"/>
        <v xml:space="preserve"> </v>
      </c>
      <c r="S106" s="110" t="str">
        <f t="shared" si="19"/>
        <v xml:space="preserve"> </v>
      </c>
      <c r="T106" s="110" t="str">
        <f t="shared" si="20"/>
        <v xml:space="preserve"> </v>
      </c>
      <c r="U106" s="110" t="str">
        <f t="shared" si="21"/>
        <v xml:space="preserve"> </v>
      </c>
      <c r="V106" s="110" t="str">
        <f t="shared" si="22"/>
        <v xml:space="preserve"> </v>
      </c>
      <c r="AI106" s="131"/>
      <c r="AJ106" s="131"/>
      <c r="AK106" s="131"/>
      <c r="AL106" s="132"/>
    </row>
    <row r="107" spans="1:38" ht="15">
      <c r="A107">
        <v>18163</v>
      </c>
      <c r="B107" s="168">
        <v>40116</v>
      </c>
      <c r="C107" t="s">
        <v>382</v>
      </c>
      <c r="D107" t="s">
        <v>308</v>
      </c>
      <c r="E107" t="s">
        <v>383</v>
      </c>
      <c r="F107">
        <v>21446</v>
      </c>
      <c r="G107" t="s">
        <v>382</v>
      </c>
      <c r="H107"/>
      <c r="I107">
        <v>58</v>
      </c>
      <c r="J107">
        <v>8.9779328554868698E-3</v>
      </c>
      <c r="K107">
        <v>-2.8078840000000001E-2</v>
      </c>
      <c r="L107">
        <v>-5.0611549999999998E-2</v>
      </c>
      <c r="M107">
        <v>-1.976199E-2</v>
      </c>
      <c r="N107" s="27">
        <f t="shared" si="14"/>
        <v>40116</v>
      </c>
      <c r="O107" s="110" t="str">
        <f t="shared" si="15"/>
        <v xml:space="preserve"> </v>
      </c>
      <c r="P107" s="110" t="str">
        <f t="shared" si="16"/>
        <v xml:space="preserve"> </v>
      </c>
      <c r="Q107" s="110" t="str">
        <f t="shared" si="17"/>
        <v xml:space="preserve"> </v>
      </c>
      <c r="R107" s="110" t="str">
        <f t="shared" si="18"/>
        <v xml:space="preserve"> </v>
      </c>
      <c r="S107" s="110" t="str">
        <f t="shared" si="19"/>
        <v xml:space="preserve"> </v>
      </c>
      <c r="T107" s="110" t="str">
        <f t="shared" si="20"/>
        <v xml:space="preserve"> </v>
      </c>
      <c r="U107" s="110" t="str">
        <f t="shared" si="21"/>
        <v xml:space="preserve"> </v>
      </c>
      <c r="V107" s="110" t="str">
        <f t="shared" si="22"/>
        <v xml:space="preserve"> </v>
      </c>
      <c r="AI107" s="131"/>
      <c r="AJ107" s="131"/>
      <c r="AK107" s="131"/>
      <c r="AL107" s="132"/>
    </row>
    <row r="108" spans="1:38" ht="15">
      <c r="A108">
        <v>18163</v>
      </c>
      <c r="B108" s="168">
        <v>40147</v>
      </c>
      <c r="C108" t="s">
        <v>382</v>
      </c>
      <c r="D108" t="s">
        <v>308</v>
      </c>
      <c r="E108" t="s">
        <v>383</v>
      </c>
      <c r="F108">
        <v>21446</v>
      </c>
      <c r="G108" t="s">
        <v>382</v>
      </c>
      <c r="H108"/>
      <c r="I108">
        <v>62.349998474121094</v>
      </c>
      <c r="J108">
        <v>7.4999973177909851E-2</v>
      </c>
      <c r="K108">
        <v>5.7085820000000002E-2</v>
      </c>
      <c r="L108">
        <v>2.8475900000000002E-2</v>
      </c>
      <c r="M108">
        <v>5.7363999999999998E-2</v>
      </c>
      <c r="N108" s="27">
        <f t="shared" si="14"/>
        <v>40147</v>
      </c>
      <c r="O108" s="110" t="str">
        <f t="shared" si="15"/>
        <v xml:space="preserve"> </v>
      </c>
      <c r="P108" s="110" t="str">
        <f t="shared" si="16"/>
        <v xml:space="preserve"> </v>
      </c>
      <c r="Q108" s="110" t="str">
        <f t="shared" si="17"/>
        <v xml:space="preserve"> </v>
      </c>
      <c r="R108" s="110" t="str">
        <f t="shared" si="18"/>
        <v xml:space="preserve"> </v>
      </c>
      <c r="S108" s="110" t="str">
        <f t="shared" si="19"/>
        <v xml:space="preserve"> </v>
      </c>
      <c r="T108" s="110" t="str">
        <f t="shared" si="20"/>
        <v xml:space="preserve"> </v>
      </c>
      <c r="U108" s="110" t="str">
        <f t="shared" si="21"/>
        <v xml:space="preserve"> </v>
      </c>
      <c r="V108" s="110" t="str">
        <f t="shared" si="22"/>
        <v xml:space="preserve"> </v>
      </c>
      <c r="AI108" s="131"/>
      <c r="AJ108" s="131"/>
      <c r="AK108" s="131"/>
      <c r="AL108" s="132"/>
    </row>
    <row r="109" spans="1:38" ht="15">
      <c r="A109">
        <v>18163</v>
      </c>
      <c r="B109" s="168">
        <v>40178</v>
      </c>
      <c r="C109" t="s">
        <v>382</v>
      </c>
      <c r="D109" t="s">
        <v>308</v>
      </c>
      <c r="E109" t="s">
        <v>383</v>
      </c>
      <c r="F109">
        <v>21446</v>
      </c>
      <c r="G109" t="s">
        <v>382</v>
      </c>
      <c r="H109"/>
      <c r="I109">
        <v>60.630001068115234</v>
      </c>
      <c r="J109">
        <v>-2.7586165815591812E-2</v>
      </c>
      <c r="K109">
        <v>2.848637E-2</v>
      </c>
      <c r="L109">
        <v>5.5001250000000002E-2</v>
      </c>
      <c r="M109">
        <v>1.7770600000000001E-2</v>
      </c>
      <c r="N109" s="27">
        <f t="shared" si="14"/>
        <v>40178</v>
      </c>
      <c r="O109" s="110" t="str">
        <f t="shared" si="15"/>
        <v xml:space="preserve"> </v>
      </c>
      <c r="P109" s="110" t="str">
        <f t="shared" si="16"/>
        <v xml:space="preserve"> </v>
      </c>
      <c r="Q109" s="110" t="str">
        <f t="shared" si="17"/>
        <v xml:space="preserve"> </v>
      </c>
      <c r="R109" s="110" t="str">
        <f t="shared" si="18"/>
        <v xml:space="preserve"> </v>
      </c>
      <c r="S109" s="110" t="str">
        <f t="shared" si="19"/>
        <v xml:space="preserve"> </v>
      </c>
      <c r="T109" s="110" t="str">
        <f t="shared" si="20"/>
        <v xml:space="preserve"> </v>
      </c>
      <c r="U109" s="110" t="str">
        <f t="shared" si="21"/>
        <v xml:space="preserve"> </v>
      </c>
      <c r="V109" s="110" t="str">
        <f t="shared" si="22"/>
        <v xml:space="preserve"> </v>
      </c>
      <c r="AI109" s="131"/>
      <c r="AJ109" s="131"/>
      <c r="AK109" s="131"/>
      <c r="AL109" s="132"/>
    </row>
    <row r="110" spans="1:38" ht="15">
      <c r="A110">
        <v>18163</v>
      </c>
      <c r="B110" s="168">
        <v>40207</v>
      </c>
      <c r="C110" t="s">
        <v>382</v>
      </c>
      <c r="D110" t="s">
        <v>308</v>
      </c>
      <c r="E110" t="s">
        <v>383</v>
      </c>
      <c r="F110">
        <v>21446</v>
      </c>
      <c r="G110" t="s">
        <v>382</v>
      </c>
      <c r="H110"/>
      <c r="I110">
        <v>61.549999237060547</v>
      </c>
      <c r="J110">
        <v>2.2431109100580215E-2</v>
      </c>
      <c r="K110">
        <v>-3.7185500000000003E-2</v>
      </c>
      <c r="L110">
        <v>-1.138809E-2</v>
      </c>
      <c r="M110">
        <v>-3.6974260000000002E-2</v>
      </c>
      <c r="N110" s="27">
        <f t="shared" si="14"/>
        <v>40207</v>
      </c>
      <c r="O110" s="110" t="str">
        <f t="shared" si="15"/>
        <v xml:space="preserve"> </v>
      </c>
      <c r="P110" s="110" t="str">
        <f t="shared" si="16"/>
        <v xml:space="preserve"> </v>
      </c>
      <c r="Q110" s="110" t="str">
        <f t="shared" si="17"/>
        <v xml:space="preserve"> </v>
      </c>
      <c r="R110" s="110" t="str">
        <f t="shared" si="18"/>
        <v xml:space="preserve"> </v>
      </c>
      <c r="S110" s="110" t="str">
        <f t="shared" si="19"/>
        <v xml:space="preserve"> </v>
      </c>
      <c r="T110" s="110" t="str">
        <f t="shared" si="20"/>
        <v xml:space="preserve"> </v>
      </c>
      <c r="U110" s="110" t="str">
        <f t="shared" si="21"/>
        <v xml:space="preserve"> </v>
      </c>
      <c r="V110" s="110" t="str">
        <f t="shared" si="22"/>
        <v xml:space="preserve"> </v>
      </c>
      <c r="AI110" s="131"/>
      <c r="AJ110" s="131"/>
      <c r="AK110" s="131"/>
      <c r="AL110" s="132"/>
    </row>
    <row r="111" spans="1:38" ht="15">
      <c r="A111">
        <v>18163</v>
      </c>
      <c r="B111" s="168">
        <v>40235</v>
      </c>
      <c r="C111" t="s">
        <v>382</v>
      </c>
      <c r="D111" t="s">
        <v>308</v>
      </c>
      <c r="E111" t="s">
        <v>383</v>
      </c>
      <c r="F111">
        <v>21446</v>
      </c>
      <c r="G111" t="s">
        <v>382</v>
      </c>
      <c r="H111"/>
      <c r="I111">
        <v>63.279998779296875</v>
      </c>
      <c r="J111">
        <v>2.810722216963768E-2</v>
      </c>
      <c r="K111">
        <v>3.47535E-2</v>
      </c>
      <c r="L111">
        <v>3.3603330000000001E-2</v>
      </c>
      <c r="M111">
        <v>2.8513690000000001E-2</v>
      </c>
      <c r="N111" s="27">
        <f t="shared" si="14"/>
        <v>40235</v>
      </c>
      <c r="O111" s="110" t="str">
        <f t="shared" si="15"/>
        <v xml:space="preserve"> </v>
      </c>
      <c r="P111" s="110" t="str">
        <f t="shared" si="16"/>
        <v xml:space="preserve"> </v>
      </c>
      <c r="Q111" s="110" t="str">
        <f t="shared" si="17"/>
        <v xml:space="preserve"> </v>
      </c>
      <c r="R111" s="110" t="str">
        <f t="shared" si="18"/>
        <v xml:space="preserve"> </v>
      </c>
      <c r="S111" s="110" t="str">
        <f t="shared" si="19"/>
        <v xml:space="preserve"> </v>
      </c>
      <c r="T111" s="110" t="str">
        <f t="shared" si="20"/>
        <v xml:space="preserve"> </v>
      </c>
      <c r="U111" s="110" t="str">
        <f t="shared" si="21"/>
        <v xml:space="preserve"> </v>
      </c>
      <c r="V111" s="110" t="str">
        <f t="shared" si="22"/>
        <v xml:space="preserve"> </v>
      </c>
      <c r="AI111" s="131"/>
      <c r="AJ111" s="131"/>
      <c r="AK111" s="131"/>
      <c r="AL111" s="132"/>
    </row>
    <row r="112" spans="1:38" ht="15">
      <c r="A112">
        <v>18163</v>
      </c>
      <c r="B112" s="168">
        <v>40268</v>
      </c>
      <c r="C112" t="s">
        <v>382</v>
      </c>
      <c r="D112" t="s">
        <v>308</v>
      </c>
      <c r="E112" t="s">
        <v>383</v>
      </c>
      <c r="F112">
        <v>21446</v>
      </c>
      <c r="G112" t="s">
        <v>382</v>
      </c>
      <c r="H112"/>
      <c r="I112">
        <v>63.270000457763672</v>
      </c>
      <c r="J112">
        <v>-1.5800129040144384E-4</v>
      </c>
      <c r="K112">
        <v>6.3688190000000006E-2</v>
      </c>
      <c r="L112">
        <v>6.9289340000000005E-2</v>
      </c>
      <c r="M112">
        <v>5.8796370000000001E-2</v>
      </c>
      <c r="N112" s="27">
        <f t="shared" si="14"/>
        <v>40268</v>
      </c>
      <c r="O112" s="110" t="str">
        <f t="shared" si="15"/>
        <v xml:space="preserve"> </v>
      </c>
      <c r="P112" s="110" t="str">
        <f t="shared" si="16"/>
        <v xml:space="preserve"> </v>
      </c>
      <c r="Q112" s="110" t="str">
        <f t="shared" si="17"/>
        <v xml:space="preserve"> </v>
      </c>
      <c r="R112" s="110" t="str">
        <f t="shared" si="18"/>
        <v xml:space="preserve"> </v>
      </c>
      <c r="S112" s="110" t="str">
        <f t="shared" si="19"/>
        <v xml:space="preserve"> </v>
      </c>
      <c r="T112" s="110" t="str">
        <f t="shared" si="20"/>
        <v xml:space="preserve"> </v>
      </c>
      <c r="U112" s="110" t="str">
        <f t="shared" si="21"/>
        <v xml:space="preserve"> </v>
      </c>
      <c r="V112" s="110" t="str">
        <f t="shared" si="22"/>
        <v xml:space="preserve"> </v>
      </c>
      <c r="AI112" s="131"/>
      <c r="AJ112" s="131"/>
      <c r="AK112" s="131"/>
      <c r="AL112" s="132"/>
    </row>
    <row r="113" spans="1:38" ht="15">
      <c r="A113">
        <v>18163</v>
      </c>
      <c r="B113" s="168">
        <v>40298</v>
      </c>
      <c r="C113" t="s">
        <v>382</v>
      </c>
      <c r="D113" t="s">
        <v>308</v>
      </c>
      <c r="E113" t="s">
        <v>383</v>
      </c>
      <c r="F113">
        <v>21446</v>
      </c>
      <c r="G113" t="s">
        <v>382</v>
      </c>
      <c r="H113"/>
      <c r="I113">
        <v>62.159999847412109</v>
      </c>
      <c r="J113">
        <v>-9.9288858473300934E-3</v>
      </c>
      <c r="K113">
        <v>2.0039089999999999E-2</v>
      </c>
      <c r="L113">
        <v>5.7843490000000004E-2</v>
      </c>
      <c r="M113">
        <v>1.4759330000000001E-2</v>
      </c>
      <c r="N113" s="27">
        <f t="shared" si="14"/>
        <v>40298</v>
      </c>
      <c r="O113" s="110" t="str">
        <f t="shared" si="15"/>
        <v xml:space="preserve"> </v>
      </c>
      <c r="P113" s="110" t="str">
        <f t="shared" si="16"/>
        <v xml:space="preserve"> </v>
      </c>
      <c r="Q113" s="110" t="str">
        <f t="shared" si="17"/>
        <v xml:space="preserve"> </v>
      </c>
      <c r="R113" s="110" t="str">
        <f t="shared" si="18"/>
        <v xml:space="preserve"> </v>
      </c>
      <c r="S113" s="110" t="str">
        <f t="shared" si="19"/>
        <v xml:space="preserve"> </v>
      </c>
      <c r="T113" s="110" t="str">
        <f t="shared" si="20"/>
        <v xml:space="preserve"> </v>
      </c>
      <c r="U113" s="110" t="str">
        <f t="shared" si="21"/>
        <v xml:space="preserve"> </v>
      </c>
      <c r="V113" s="110" t="str">
        <f t="shared" si="22"/>
        <v xml:space="preserve"> </v>
      </c>
      <c r="AI113" s="131"/>
      <c r="AJ113" s="131"/>
      <c r="AK113" s="131"/>
      <c r="AL113" s="132"/>
    </row>
    <row r="114" spans="1:38" ht="15">
      <c r="A114">
        <v>18163</v>
      </c>
      <c r="B114" s="168">
        <v>40326</v>
      </c>
      <c r="C114" t="s">
        <v>382</v>
      </c>
      <c r="D114" t="s">
        <v>308</v>
      </c>
      <c r="E114" t="s">
        <v>383</v>
      </c>
      <c r="F114">
        <v>21446</v>
      </c>
      <c r="G114" t="s">
        <v>382</v>
      </c>
      <c r="H114"/>
      <c r="I114">
        <v>61.090000152587891</v>
      </c>
      <c r="J114">
        <v>-1.7213637009263039E-2</v>
      </c>
      <c r="K114">
        <v>-7.9266820000000002E-2</v>
      </c>
      <c r="L114">
        <v>-7.6929070000000002E-2</v>
      </c>
      <c r="M114">
        <v>-8.1975909999999999E-2</v>
      </c>
      <c r="N114" s="27">
        <f t="shared" si="14"/>
        <v>40326</v>
      </c>
      <c r="O114" s="110" t="str">
        <f t="shared" si="15"/>
        <v xml:space="preserve"> </v>
      </c>
      <c r="P114" s="110" t="str">
        <f t="shared" si="16"/>
        <v xml:space="preserve"> </v>
      </c>
      <c r="Q114" s="110" t="str">
        <f t="shared" si="17"/>
        <v xml:space="preserve"> </v>
      </c>
      <c r="R114" s="110" t="str">
        <f t="shared" si="18"/>
        <v xml:space="preserve"> </v>
      </c>
      <c r="S114" s="110" t="str">
        <f t="shared" si="19"/>
        <v xml:space="preserve"> </v>
      </c>
      <c r="T114" s="110" t="str">
        <f t="shared" si="20"/>
        <v xml:space="preserve"> </v>
      </c>
      <c r="U114" s="110" t="str">
        <f t="shared" si="21"/>
        <v xml:space="preserve"> </v>
      </c>
      <c r="V114" s="110" t="str">
        <f t="shared" si="22"/>
        <v xml:space="preserve"> </v>
      </c>
      <c r="AI114" s="131"/>
      <c r="AJ114" s="131"/>
      <c r="AK114" s="131"/>
      <c r="AL114" s="132"/>
    </row>
    <row r="115" spans="1:38" ht="15">
      <c r="A115">
        <v>18163</v>
      </c>
      <c r="B115" s="168">
        <v>40359</v>
      </c>
      <c r="C115" t="s">
        <v>382</v>
      </c>
      <c r="D115" t="s">
        <v>308</v>
      </c>
      <c r="E115" t="s">
        <v>383</v>
      </c>
      <c r="F115">
        <v>21446</v>
      </c>
      <c r="G115" t="s">
        <v>382</v>
      </c>
      <c r="H115"/>
      <c r="I115">
        <v>59.979999542236328</v>
      </c>
      <c r="J115">
        <v>-1.816992275416851E-2</v>
      </c>
      <c r="K115">
        <v>-5.080204E-2</v>
      </c>
      <c r="L115">
        <v>-5.679911E-2</v>
      </c>
      <c r="M115">
        <v>-5.3882380000000001E-2</v>
      </c>
      <c r="N115" s="27">
        <f t="shared" si="14"/>
        <v>40359</v>
      </c>
      <c r="O115" s="110" t="str">
        <f t="shared" si="15"/>
        <v xml:space="preserve"> </v>
      </c>
      <c r="P115" s="110" t="str">
        <f t="shared" si="16"/>
        <v xml:space="preserve"> </v>
      </c>
      <c r="Q115" s="110" t="str">
        <f t="shared" si="17"/>
        <v xml:space="preserve"> </v>
      </c>
      <c r="R115" s="110" t="str">
        <f t="shared" si="18"/>
        <v xml:space="preserve"> </v>
      </c>
      <c r="S115" s="110" t="str">
        <f t="shared" si="19"/>
        <v xml:space="preserve"> </v>
      </c>
      <c r="T115" s="110" t="str">
        <f t="shared" si="20"/>
        <v xml:space="preserve"> </v>
      </c>
      <c r="U115" s="110" t="str">
        <f t="shared" si="21"/>
        <v xml:space="preserve"> </v>
      </c>
      <c r="V115" s="110" t="str">
        <f t="shared" si="22"/>
        <v xml:space="preserve"> </v>
      </c>
      <c r="AI115" s="131"/>
      <c r="AJ115" s="131"/>
      <c r="AK115" s="131"/>
      <c r="AL115" s="132"/>
    </row>
    <row r="116" spans="1:38" ht="15">
      <c r="A116">
        <v>18163</v>
      </c>
      <c r="B116" s="168">
        <v>40389</v>
      </c>
      <c r="C116" t="s">
        <v>382</v>
      </c>
      <c r="D116" t="s">
        <v>308</v>
      </c>
      <c r="E116" t="s">
        <v>383</v>
      </c>
      <c r="F116">
        <v>21446</v>
      </c>
      <c r="G116" t="s">
        <v>382</v>
      </c>
      <c r="H116"/>
      <c r="I116">
        <v>61.159999847412109</v>
      </c>
      <c r="J116">
        <v>2.7705907821655273E-2</v>
      </c>
      <c r="K116">
        <v>7.0383959999999995E-2</v>
      </c>
      <c r="L116">
        <v>5.9940449999999999E-2</v>
      </c>
      <c r="M116">
        <v>6.8777829999999998E-2</v>
      </c>
      <c r="N116" s="27">
        <f t="shared" si="14"/>
        <v>40389</v>
      </c>
      <c r="O116" s="110" t="str">
        <f t="shared" si="15"/>
        <v xml:space="preserve"> </v>
      </c>
      <c r="P116" s="110" t="str">
        <f t="shared" si="16"/>
        <v xml:space="preserve"> </v>
      </c>
      <c r="Q116" s="110" t="str">
        <f t="shared" si="17"/>
        <v xml:space="preserve"> </v>
      </c>
      <c r="R116" s="110" t="str">
        <f t="shared" si="18"/>
        <v xml:space="preserve"> </v>
      </c>
      <c r="S116" s="110" t="str">
        <f t="shared" si="19"/>
        <v xml:space="preserve"> </v>
      </c>
      <c r="T116" s="110" t="str">
        <f t="shared" si="20"/>
        <v xml:space="preserve"> </v>
      </c>
      <c r="U116" s="110" t="str">
        <f t="shared" si="21"/>
        <v xml:space="preserve"> </v>
      </c>
      <c r="V116" s="110" t="str">
        <f t="shared" si="22"/>
        <v xml:space="preserve"> </v>
      </c>
      <c r="AI116" s="131"/>
      <c r="AJ116" s="131"/>
      <c r="AK116" s="131"/>
      <c r="AL116" s="132"/>
    </row>
    <row r="117" spans="1:38" ht="15">
      <c r="A117">
        <v>18163</v>
      </c>
      <c r="B117" s="168">
        <v>40421</v>
      </c>
      <c r="C117" t="s">
        <v>382</v>
      </c>
      <c r="D117" t="s">
        <v>308</v>
      </c>
      <c r="E117" t="s">
        <v>383</v>
      </c>
      <c r="F117">
        <v>21446</v>
      </c>
      <c r="G117" t="s">
        <v>382</v>
      </c>
      <c r="H117"/>
      <c r="I117">
        <v>59.669998168945312</v>
      </c>
      <c r="J117">
        <v>-2.4362355470657349E-2</v>
      </c>
      <c r="K117">
        <v>-4.2886520000000004E-2</v>
      </c>
      <c r="L117">
        <v>-4.7566049999999999E-2</v>
      </c>
      <c r="M117">
        <v>-4.7449160000000004E-2</v>
      </c>
      <c r="N117" s="27">
        <f t="shared" si="14"/>
        <v>40421</v>
      </c>
      <c r="O117" s="110" t="str">
        <f t="shared" si="15"/>
        <v xml:space="preserve"> </v>
      </c>
      <c r="P117" s="110" t="str">
        <f t="shared" si="16"/>
        <v xml:space="preserve"> </v>
      </c>
      <c r="Q117" s="110" t="str">
        <f t="shared" si="17"/>
        <v xml:space="preserve"> </v>
      </c>
      <c r="R117" s="110" t="str">
        <f t="shared" si="18"/>
        <v xml:space="preserve"> </v>
      </c>
      <c r="S117" s="110" t="str">
        <f t="shared" si="19"/>
        <v xml:space="preserve"> </v>
      </c>
      <c r="T117" s="110" t="str">
        <f t="shared" si="20"/>
        <v xml:space="preserve"> </v>
      </c>
      <c r="U117" s="110" t="str">
        <f t="shared" si="21"/>
        <v xml:space="preserve"> </v>
      </c>
      <c r="V117" s="110" t="str">
        <f t="shared" si="22"/>
        <v xml:space="preserve"> </v>
      </c>
      <c r="AI117" s="131"/>
      <c r="AJ117" s="131"/>
      <c r="AK117" s="131"/>
      <c r="AL117" s="132"/>
    </row>
    <row r="118" spans="1:38" ht="15">
      <c r="A118">
        <v>18163</v>
      </c>
      <c r="B118" s="168">
        <v>40451</v>
      </c>
      <c r="C118" t="s">
        <v>382</v>
      </c>
      <c r="D118" t="s">
        <v>308</v>
      </c>
      <c r="E118" t="s">
        <v>383</v>
      </c>
      <c r="F118">
        <v>21446</v>
      </c>
      <c r="G118" t="s">
        <v>382</v>
      </c>
      <c r="H118"/>
      <c r="I118">
        <v>59.970001220703125</v>
      </c>
      <c r="J118">
        <v>5.0277034752070904E-3</v>
      </c>
      <c r="K118">
        <v>9.1668590000000008E-2</v>
      </c>
      <c r="L118">
        <v>9.6418249999999997E-2</v>
      </c>
      <c r="M118">
        <v>8.7551100000000007E-2</v>
      </c>
      <c r="N118" s="27">
        <f t="shared" si="14"/>
        <v>40451</v>
      </c>
      <c r="O118" s="110" t="str">
        <f t="shared" si="15"/>
        <v xml:space="preserve"> </v>
      </c>
      <c r="P118" s="110" t="str">
        <f t="shared" si="16"/>
        <v xml:space="preserve"> </v>
      </c>
      <c r="Q118" s="110" t="str">
        <f t="shared" si="17"/>
        <v xml:space="preserve"> </v>
      </c>
      <c r="R118" s="110" t="str">
        <f t="shared" si="18"/>
        <v xml:space="preserve"> </v>
      </c>
      <c r="S118" s="110" t="str">
        <f t="shared" si="19"/>
        <v xml:space="preserve"> </v>
      </c>
      <c r="T118" s="110" t="str">
        <f t="shared" si="20"/>
        <v xml:space="preserve"> </v>
      </c>
      <c r="U118" s="110" t="str">
        <f t="shared" si="21"/>
        <v xml:space="preserve"> </v>
      </c>
      <c r="V118" s="110" t="str">
        <f t="shared" si="22"/>
        <v xml:space="preserve"> </v>
      </c>
      <c r="AI118" s="131"/>
      <c r="AJ118" s="131"/>
      <c r="AK118" s="131"/>
      <c r="AL118" s="132"/>
    </row>
    <row r="119" spans="1:38" ht="15">
      <c r="A119">
        <v>18163</v>
      </c>
      <c r="B119" s="168">
        <v>40480</v>
      </c>
      <c r="C119" t="s">
        <v>382</v>
      </c>
      <c r="D119" t="s">
        <v>308</v>
      </c>
      <c r="E119" t="s">
        <v>383</v>
      </c>
      <c r="F119">
        <v>21446</v>
      </c>
      <c r="G119" t="s">
        <v>382</v>
      </c>
      <c r="H119"/>
      <c r="I119">
        <v>63.569999694824219</v>
      </c>
      <c r="J119">
        <v>6.8064004182815552E-2</v>
      </c>
      <c r="K119">
        <v>3.8606359999999999E-2</v>
      </c>
      <c r="L119">
        <v>4.0681340000000003E-2</v>
      </c>
      <c r="M119">
        <v>3.6855940000000004E-2</v>
      </c>
      <c r="N119" s="27">
        <f t="shared" si="14"/>
        <v>40480</v>
      </c>
      <c r="O119" s="110" t="str">
        <f t="shared" si="15"/>
        <v xml:space="preserve"> </v>
      </c>
      <c r="P119" s="110" t="str">
        <f t="shared" si="16"/>
        <v xml:space="preserve"> </v>
      </c>
      <c r="Q119" s="110" t="str">
        <f t="shared" si="17"/>
        <v xml:space="preserve"> </v>
      </c>
      <c r="R119" s="110" t="str">
        <f t="shared" si="18"/>
        <v xml:space="preserve"> </v>
      </c>
      <c r="S119" s="110" t="str">
        <f t="shared" si="19"/>
        <v xml:space="preserve"> </v>
      </c>
      <c r="T119" s="110" t="str">
        <f t="shared" si="20"/>
        <v xml:space="preserve"> </v>
      </c>
      <c r="U119" s="110" t="str">
        <f t="shared" si="21"/>
        <v xml:space="preserve"> </v>
      </c>
      <c r="V119" s="110" t="str">
        <f t="shared" si="22"/>
        <v xml:space="preserve"> </v>
      </c>
      <c r="AI119" s="131"/>
      <c r="AJ119" s="131"/>
      <c r="AK119" s="131"/>
      <c r="AL119" s="132"/>
    </row>
    <row r="120" spans="1:38" ht="15">
      <c r="A120">
        <v>18163</v>
      </c>
      <c r="B120" s="168">
        <v>40512</v>
      </c>
      <c r="C120" t="s">
        <v>382</v>
      </c>
      <c r="D120" t="s">
        <v>308</v>
      </c>
      <c r="E120" t="s">
        <v>383</v>
      </c>
      <c r="F120">
        <v>21446</v>
      </c>
      <c r="G120" t="s">
        <v>382</v>
      </c>
      <c r="H120"/>
      <c r="I120">
        <v>61.069999694824219</v>
      </c>
      <c r="J120">
        <v>-3.9326727390289307E-2</v>
      </c>
      <c r="K120">
        <v>5.1214860000000006E-3</v>
      </c>
      <c r="L120">
        <v>1.0735950000000001E-2</v>
      </c>
      <c r="M120">
        <v>-2.2902830000000002E-3</v>
      </c>
      <c r="N120" s="27">
        <f t="shared" si="14"/>
        <v>40512</v>
      </c>
      <c r="O120" s="110" t="str">
        <f t="shared" si="15"/>
        <v xml:space="preserve"> </v>
      </c>
      <c r="P120" s="110" t="str">
        <f t="shared" si="16"/>
        <v xml:space="preserve"> </v>
      </c>
      <c r="Q120" s="110" t="str">
        <f t="shared" si="17"/>
        <v xml:space="preserve"> </v>
      </c>
      <c r="R120" s="110" t="str">
        <f t="shared" si="18"/>
        <v xml:space="preserve"> </v>
      </c>
      <c r="S120" s="110" t="str">
        <f t="shared" si="19"/>
        <v xml:space="preserve"> </v>
      </c>
      <c r="T120" s="110" t="str">
        <f t="shared" si="20"/>
        <v xml:space="preserve"> </v>
      </c>
      <c r="U120" s="110" t="str">
        <f t="shared" si="21"/>
        <v xml:space="preserve"> </v>
      </c>
      <c r="V120" s="110" t="str">
        <f t="shared" si="22"/>
        <v xml:space="preserve"> </v>
      </c>
      <c r="AI120" s="131"/>
      <c r="AJ120" s="131"/>
      <c r="AK120" s="131"/>
      <c r="AL120" s="132"/>
    </row>
    <row r="121" spans="1:38" ht="15">
      <c r="A121">
        <v>18163</v>
      </c>
      <c r="B121" s="168">
        <v>40543</v>
      </c>
      <c r="C121" t="s">
        <v>382</v>
      </c>
      <c r="D121" t="s">
        <v>308</v>
      </c>
      <c r="E121" t="s">
        <v>383</v>
      </c>
      <c r="F121">
        <v>21446</v>
      </c>
      <c r="G121" t="s">
        <v>382</v>
      </c>
      <c r="H121"/>
      <c r="I121">
        <v>64.330001831054688</v>
      </c>
      <c r="J121">
        <v>5.3381402045488358E-2</v>
      </c>
      <c r="K121">
        <v>6.7213389999999998E-2</v>
      </c>
      <c r="L121">
        <v>6.8851019999999999E-2</v>
      </c>
      <c r="M121">
        <v>6.5300070000000002E-2</v>
      </c>
      <c r="N121" s="27">
        <f t="shared" si="14"/>
        <v>40543</v>
      </c>
      <c r="O121" s="110" t="str">
        <f t="shared" si="15"/>
        <v xml:space="preserve"> </v>
      </c>
      <c r="P121" s="110" t="str">
        <f t="shared" si="16"/>
        <v xml:space="preserve"> </v>
      </c>
      <c r="Q121" s="110" t="str">
        <f t="shared" si="17"/>
        <v xml:space="preserve"> </v>
      </c>
      <c r="R121" s="110" t="str">
        <f t="shared" si="18"/>
        <v xml:space="preserve"> </v>
      </c>
      <c r="S121" s="110" t="str">
        <f t="shared" si="19"/>
        <v xml:space="preserve"> </v>
      </c>
      <c r="T121" s="110" t="str">
        <f t="shared" si="20"/>
        <v xml:space="preserve"> </v>
      </c>
      <c r="U121" s="110" t="str">
        <f t="shared" si="21"/>
        <v xml:space="preserve"> </v>
      </c>
      <c r="V121" s="110" t="str">
        <f t="shared" si="22"/>
        <v xml:space="preserve"> </v>
      </c>
      <c r="AI121" s="131"/>
      <c r="AJ121" s="131"/>
      <c r="AK121" s="131"/>
      <c r="AL121" s="132"/>
    </row>
    <row r="122" spans="1:38" ht="15">
      <c r="A122">
        <v>18163</v>
      </c>
      <c r="B122" s="168">
        <v>40574</v>
      </c>
      <c r="C122" t="s">
        <v>382</v>
      </c>
      <c r="D122" t="s">
        <v>308</v>
      </c>
      <c r="E122" t="s">
        <v>383</v>
      </c>
      <c r="F122">
        <v>21446</v>
      </c>
      <c r="G122" t="s">
        <v>382</v>
      </c>
      <c r="H122"/>
      <c r="I122">
        <v>63.130001068115234</v>
      </c>
      <c r="J122">
        <v>-1.1164320632815361E-2</v>
      </c>
      <c r="K122">
        <v>1.9190209999999999E-2</v>
      </c>
      <c r="L122">
        <v>1.4411750000000001E-2</v>
      </c>
      <c r="M122">
        <v>2.264559E-2</v>
      </c>
      <c r="N122" s="27">
        <f t="shared" si="14"/>
        <v>40574</v>
      </c>
      <c r="O122" s="110" t="str">
        <f t="shared" si="15"/>
        <v xml:space="preserve"> </v>
      </c>
      <c r="P122" s="110" t="str">
        <f t="shared" si="16"/>
        <v xml:space="preserve"> </v>
      </c>
      <c r="Q122" s="110" t="str">
        <f t="shared" si="17"/>
        <v xml:space="preserve"> </v>
      </c>
      <c r="R122" s="110" t="str">
        <f t="shared" si="18"/>
        <v xml:space="preserve"> </v>
      </c>
      <c r="S122" s="110">
        <f t="shared" si="19"/>
        <v>-1.1164320632815361E-2</v>
      </c>
      <c r="T122" s="110">
        <f t="shared" si="20"/>
        <v>1.9190209999999999E-2</v>
      </c>
      <c r="U122" s="110">
        <f t="shared" si="21"/>
        <v>1.4411750000000001E-2</v>
      </c>
      <c r="V122" s="110">
        <f t="shared" si="22"/>
        <v>2.264559E-2</v>
      </c>
      <c r="AI122" s="131"/>
      <c r="AJ122" s="131"/>
      <c r="AK122" s="131"/>
      <c r="AL122" s="132"/>
    </row>
    <row r="123" spans="1:38" ht="15">
      <c r="A123">
        <v>18163</v>
      </c>
      <c r="B123" s="168">
        <v>40602</v>
      </c>
      <c r="C123" t="s">
        <v>382</v>
      </c>
      <c r="D123" t="s">
        <v>308</v>
      </c>
      <c r="E123" t="s">
        <v>383</v>
      </c>
      <c r="F123">
        <v>21446</v>
      </c>
      <c r="G123" t="s">
        <v>382</v>
      </c>
      <c r="H123"/>
      <c r="I123">
        <v>63.049999237060547</v>
      </c>
      <c r="J123">
        <v>-1.2672552838921547E-3</v>
      </c>
      <c r="K123">
        <v>3.8168340000000002E-2</v>
      </c>
      <c r="L123">
        <v>3.7036190000000004E-2</v>
      </c>
      <c r="M123">
        <v>3.1956579999999998E-2</v>
      </c>
      <c r="N123" s="27">
        <f t="shared" si="14"/>
        <v>40602</v>
      </c>
      <c r="O123" s="110" t="str">
        <f t="shared" si="15"/>
        <v xml:space="preserve"> </v>
      </c>
      <c r="P123" s="110" t="str">
        <f t="shared" si="16"/>
        <v xml:space="preserve"> </v>
      </c>
      <c r="Q123" s="110" t="str">
        <f t="shared" si="17"/>
        <v xml:space="preserve"> </v>
      </c>
      <c r="R123" s="110" t="str">
        <f t="shared" si="18"/>
        <v xml:space="preserve"> </v>
      </c>
      <c r="S123" s="110">
        <f t="shared" si="19"/>
        <v>-1.2672552838921547E-3</v>
      </c>
      <c r="T123" s="110">
        <f t="shared" si="20"/>
        <v>3.8168340000000002E-2</v>
      </c>
      <c r="U123" s="110">
        <f t="shared" si="21"/>
        <v>3.7036190000000004E-2</v>
      </c>
      <c r="V123" s="110">
        <f t="shared" si="22"/>
        <v>3.1956579999999998E-2</v>
      </c>
      <c r="AI123" s="131"/>
      <c r="AJ123" s="131"/>
      <c r="AK123" s="131"/>
      <c r="AL123" s="132"/>
    </row>
    <row r="124" spans="1:38" ht="15">
      <c r="A124">
        <v>18163</v>
      </c>
      <c r="B124" s="168">
        <v>40633</v>
      </c>
      <c r="C124" t="s">
        <v>382</v>
      </c>
      <c r="D124" t="s">
        <v>308</v>
      </c>
      <c r="E124" t="s">
        <v>383</v>
      </c>
      <c r="F124">
        <v>21446</v>
      </c>
      <c r="G124" t="s">
        <v>382</v>
      </c>
      <c r="H124"/>
      <c r="I124">
        <v>61.599998474121094</v>
      </c>
      <c r="J124">
        <v>-2.2997632622718811E-2</v>
      </c>
      <c r="K124">
        <v>3.3425440000000002E-3</v>
      </c>
      <c r="L124">
        <v>8.604744000000001E-3</v>
      </c>
      <c r="M124">
        <v>-1.0473020000000002E-3</v>
      </c>
      <c r="N124" s="27">
        <f t="shared" si="14"/>
        <v>40633</v>
      </c>
      <c r="O124" s="110" t="str">
        <f t="shared" si="15"/>
        <v xml:space="preserve"> </v>
      </c>
      <c r="P124" s="110" t="str">
        <f t="shared" si="16"/>
        <v xml:space="preserve"> </v>
      </c>
      <c r="Q124" s="110" t="str">
        <f t="shared" si="17"/>
        <v xml:space="preserve"> </v>
      </c>
      <c r="R124" s="110" t="str">
        <f t="shared" si="18"/>
        <v xml:space="preserve"> </v>
      </c>
      <c r="S124" s="110">
        <f t="shared" si="19"/>
        <v>-2.2997632622718811E-2</v>
      </c>
      <c r="T124" s="110">
        <f t="shared" si="20"/>
        <v>3.3425440000000002E-3</v>
      </c>
      <c r="U124" s="110">
        <f t="shared" si="21"/>
        <v>8.604744000000001E-3</v>
      </c>
      <c r="V124" s="110">
        <f t="shared" si="22"/>
        <v>-1.0473020000000002E-3</v>
      </c>
      <c r="AI124" s="131"/>
      <c r="AJ124" s="131"/>
      <c r="AK124" s="131"/>
      <c r="AL124" s="132"/>
    </row>
    <row r="125" spans="1:38" ht="15">
      <c r="A125">
        <v>18163</v>
      </c>
      <c r="B125" s="168">
        <v>40662</v>
      </c>
      <c r="C125" t="s">
        <v>382</v>
      </c>
      <c r="D125" t="s">
        <v>308</v>
      </c>
      <c r="E125" t="s">
        <v>383</v>
      </c>
      <c r="F125">
        <v>21446</v>
      </c>
      <c r="G125" t="s">
        <v>382</v>
      </c>
      <c r="H125"/>
      <c r="I125">
        <v>64.900001525878906</v>
      </c>
      <c r="J125">
        <v>6.2094207853078842E-2</v>
      </c>
      <c r="K125">
        <v>2.8601890000000001E-2</v>
      </c>
      <c r="L125">
        <v>1.9202940000000002E-2</v>
      </c>
      <c r="M125">
        <v>2.8495360000000001E-2</v>
      </c>
      <c r="N125" s="27">
        <f t="shared" si="14"/>
        <v>40662</v>
      </c>
      <c r="O125" s="110" t="str">
        <f t="shared" si="15"/>
        <v xml:space="preserve"> </v>
      </c>
      <c r="P125" s="110" t="str">
        <f t="shared" si="16"/>
        <v xml:space="preserve"> </v>
      </c>
      <c r="Q125" s="110" t="str">
        <f t="shared" si="17"/>
        <v xml:space="preserve"> </v>
      </c>
      <c r="R125" s="110" t="str">
        <f t="shared" si="18"/>
        <v xml:space="preserve"> </v>
      </c>
      <c r="S125" s="110">
        <f t="shared" si="19"/>
        <v>6.2094207853078842E-2</v>
      </c>
      <c r="T125" s="110">
        <f t="shared" si="20"/>
        <v>2.8601890000000001E-2</v>
      </c>
      <c r="U125" s="110">
        <f t="shared" si="21"/>
        <v>1.9202940000000002E-2</v>
      </c>
      <c r="V125" s="110">
        <f t="shared" si="22"/>
        <v>2.8495360000000001E-2</v>
      </c>
      <c r="AI125" s="131"/>
      <c r="AJ125" s="131"/>
      <c r="AK125" s="131"/>
      <c r="AL125" s="132"/>
    </row>
    <row r="126" spans="1:38" ht="15">
      <c r="A126">
        <v>18163</v>
      </c>
      <c r="B126" s="168">
        <v>40694</v>
      </c>
      <c r="C126" t="s">
        <v>382</v>
      </c>
      <c r="D126" t="s">
        <v>308</v>
      </c>
      <c r="E126" t="s">
        <v>383</v>
      </c>
      <c r="F126">
        <v>21446</v>
      </c>
      <c r="G126" t="s">
        <v>382</v>
      </c>
      <c r="H126"/>
      <c r="I126">
        <v>67</v>
      </c>
      <c r="J126">
        <v>3.2357450574636459E-2</v>
      </c>
      <c r="K126">
        <v>-1.495751E-2</v>
      </c>
      <c r="L126">
        <v>-1.8549490000000002E-2</v>
      </c>
      <c r="M126">
        <v>-1.350093E-2</v>
      </c>
      <c r="N126" s="27">
        <f t="shared" si="14"/>
        <v>40694</v>
      </c>
      <c r="O126" s="110" t="str">
        <f t="shared" si="15"/>
        <v xml:space="preserve"> </v>
      </c>
      <c r="P126" s="110" t="str">
        <f t="shared" si="16"/>
        <v xml:space="preserve"> </v>
      </c>
      <c r="Q126" s="110" t="str">
        <f t="shared" si="17"/>
        <v xml:space="preserve"> </v>
      </c>
      <c r="R126" s="110" t="str">
        <f t="shared" si="18"/>
        <v xml:space="preserve"> </v>
      </c>
      <c r="S126" s="110">
        <f t="shared" si="19"/>
        <v>3.2357450574636459E-2</v>
      </c>
      <c r="T126" s="110">
        <f t="shared" si="20"/>
        <v>-1.495751E-2</v>
      </c>
      <c r="U126" s="110">
        <f t="shared" si="21"/>
        <v>-1.8549490000000002E-2</v>
      </c>
      <c r="V126" s="110">
        <f t="shared" si="22"/>
        <v>-1.350093E-2</v>
      </c>
      <c r="AI126" s="131"/>
      <c r="AJ126" s="131"/>
      <c r="AK126" s="131"/>
      <c r="AL126" s="132"/>
    </row>
    <row r="127" spans="1:38" ht="15">
      <c r="A127">
        <v>18163</v>
      </c>
      <c r="B127" s="168">
        <v>40724</v>
      </c>
      <c r="C127" t="s">
        <v>382</v>
      </c>
      <c r="D127" t="s">
        <v>308</v>
      </c>
      <c r="E127" t="s">
        <v>383</v>
      </c>
      <c r="F127">
        <v>21446</v>
      </c>
      <c r="G127" t="s">
        <v>382</v>
      </c>
      <c r="H127"/>
      <c r="I127">
        <v>63.569999694824219</v>
      </c>
      <c r="J127">
        <v>-5.1194034516811371E-2</v>
      </c>
      <c r="K127">
        <v>-1.8452940000000001E-2</v>
      </c>
      <c r="L127">
        <v>-2.4105620000000001E-2</v>
      </c>
      <c r="M127">
        <v>-1.8257510000000001E-2</v>
      </c>
      <c r="N127" s="27">
        <f t="shared" si="14"/>
        <v>40724</v>
      </c>
      <c r="O127" s="110" t="str">
        <f t="shared" si="15"/>
        <v xml:space="preserve"> </v>
      </c>
      <c r="P127" s="110" t="str">
        <f t="shared" si="16"/>
        <v xml:space="preserve"> </v>
      </c>
      <c r="Q127" s="110" t="str">
        <f t="shared" si="17"/>
        <v xml:space="preserve"> </v>
      </c>
      <c r="R127" s="110" t="str">
        <f t="shared" si="18"/>
        <v xml:space="preserve"> </v>
      </c>
      <c r="S127" s="110">
        <f t="shared" si="19"/>
        <v>-5.1194034516811371E-2</v>
      </c>
      <c r="T127" s="110">
        <f t="shared" si="20"/>
        <v>-1.8452940000000001E-2</v>
      </c>
      <c r="U127" s="110">
        <f t="shared" si="21"/>
        <v>-2.4105620000000001E-2</v>
      </c>
      <c r="V127" s="110">
        <f t="shared" si="22"/>
        <v>-1.8257510000000001E-2</v>
      </c>
      <c r="AI127" s="131"/>
      <c r="AJ127" s="131"/>
      <c r="AK127" s="131"/>
      <c r="AL127" s="132"/>
    </row>
    <row r="128" spans="1:38" ht="15">
      <c r="A128">
        <v>18163</v>
      </c>
      <c r="B128" s="168">
        <v>40753</v>
      </c>
      <c r="C128" t="s">
        <v>382</v>
      </c>
      <c r="D128" t="s">
        <v>308</v>
      </c>
      <c r="E128" t="s">
        <v>383</v>
      </c>
      <c r="F128">
        <v>21446</v>
      </c>
      <c r="G128" t="s">
        <v>382</v>
      </c>
      <c r="H128"/>
      <c r="I128">
        <v>61.490001678466797</v>
      </c>
      <c r="J128">
        <v>-2.4461193010210991E-2</v>
      </c>
      <c r="K128">
        <v>-2.2550299999999999E-2</v>
      </c>
      <c r="L128">
        <v>-2.181288E-2</v>
      </c>
      <c r="M128">
        <v>-2.1474440000000001E-2</v>
      </c>
      <c r="N128" s="27">
        <f t="shared" si="14"/>
        <v>40753</v>
      </c>
      <c r="O128" s="110" t="str">
        <f t="shared" si="15"/>
        <v xml:space="preserve"> </v>
      </c>
      <c r="P128" s="110" t="str">
        <f t="shared" si="16"/>
        <v xml:space="preserve"> </v>
      </c>
      <c r="Q128" s="110" t="str">
        <f t="shared" si="17"/>
        <v xml:space="preserve"> </v>
      </c>
      <c r="R128" s="110" t="str">
        <f t="shared" si="18"/>
        <v xml:space="preserve"> </v>
      </c>
      <c r="S128" s="110">
        <f t="shared" si="19"/>
        <v>-2.4461193010210991E-2</v>
      </c>
      <c r="T128" s="110">
        <f t="shared" si="20"/>
        <v>-2.2550299999999999E-2</v>
      </c>
      <c r="U128" s="110">
        <f t="shared" si="21"/>
        <v>-2.181288E-2</v>
      </c>
      <c r="V128" s="110">
        <f t="shared" si="22"/>
        <v>-2.1474440000000001E-2</v>
      </c>
      <c r="AI128" s="131"/>
      <c r="AJ128" s="131"/>
      <c r="AK128" s="131"/>
      <c r="AL128" s="132"/>
    </row>
    <row r="129" spans="1:38" ht="15">
      <c r="A129">
        <v>18163</v>
      </c>
      <c r="B129" s="168">
        <v>40786</v>
      </c>
      <c r="C129" t="s">
        <v>382</v>
      </c>
      <c r="D129" t="s">
        <v>308</v>
      </c>
      <c r="E129" t="s">
        <v>383</v>
      </c>
      <c r="F129">
        <v>21446</v>
      </c>
      <c r="G129" t="s">
        <v>382</v>
      </c>
      <c r="H129"/>
      <c r="I129">
        <v>63.680000305175781</v>
      </c>
      <c r="J129">
        <v>3.5615522414445877E-2</v>
      </c>
      <c r="K129">
        <v>-5.7596580000000001E-2</v>
      </c>
      <c r="L129">
        <v>-7.5714970000000006E-2</v>
      </c>
      <c r="M129">
        <v>-5.6791100000000004E-2</v>
      </c>
      <c r="N129" s="27">
        <f t="shared" si="14"/>
        <v>40786</v>
      </c>
      <c r="O129" s="110" t="str">
        <f t="shared" si="15"/>
        <v xml:space="preserve"> </v>
      </c>
      <c r="P129" s="110" t="str">
        <f t="shared" si="16"/>
        <v xml:space="preserve"> </v>
      </c>
      <c r="Q129" s="110" t="str">
        <f t="shared" si="17"/>
        <v xml:space="preserve"> </v>
      </c>
      <c r="R129" s="110" t="str">
        <f t="shared" si="18"/>
        <v xml:space="preserve"> </v>
      </c>
      <c r="S129" s="110">
        <f t="shared" si="19"/>
        <v>3.5615522414445877E-2</v>
      </c>
      <c r="T129" s="110">
        <f t="shared" si="20"/>
        <v>-5.7596580000000001E-2</v>
      </c>
      <c r="U129" s="110">
        <f t="shared" si="21"/>
        <v>-7.5714970000000006E-2</v>
      </c>
      <c r="V129" s="110">
        <f t="shared" si="22"/>
        <v>-5.6791100000000004E-2</v>
      </c>
      <c r="AI129" s="131"/>
      <c r="AJ129" s="131"/>
      <c r="AK129" s="131"/>
      <c r="AL129" s="132"/>
    </row>
    <row r="130" spans="1:38" ht="15">
      <c r="A130">
        <v>18163</v>
      </c>
      <c r="B130" s="168">
        <v>40816</v>
      </c>
      <c r="C130" t="s">
        <v>382</v>
      </c>
      <c r="D130" t="s">
        <v>308</v>
      </c>
      <c r="E130" t="s">
        <v>383</v>
      </c>
      <c r="F130">
        <v>21446</v>
      </c>
      <c r="G130" t="s">
        <v>382</v>
      </c>
      <c r="H130"/>
      <c r="I130">
        <v>63.180000305175781</v>
      </c>
      <c r="J130">
        <v>-7.8517589718103409E-3</v>
      </c>
      <c r="K130">
        <v>-8.5029969999999996E-2</v>
      </c>
      <c r="L130">
        <v>-0.10091979999999999</v>
      </c>
      <c r="M130">
        <v>-7.1762010000000001E-2</v>
      </c>
      <c r="N130" s="27">
        <f t="shared" si="14"/>
        <v>40816</v>
      </c>
      <c r="O130" s="110" t="str">
        <f t="shared" si="15"/>
        <v xml:space="preserve"> </v>
      </c>
      <c r="P130" s="110" t="str">
        <f t="shared" si="16"/>
        <v xml:space="preserve"> </v>
      </c>
      <c r="Q130" s="110" t="str">
        <f t="shared" si="17"/>
        <v xml:space="preserve"> </v>
      </c>
      <c r="R130" s="110" t="str">
        <f t="shared" si="18"/>
        <v xml:space="preserve"> </v>
      </c>
      <c r="S130" s="110">
        <f t="shared" si="19"/>
        <v>-7.8517589718103409E-3</v>
      </c>
      <c r="T130" s="110">
        <f t="shared" si="20"/>
        <v>-8.5029969999999996E-2</v>
      </c>
      <c r="U130" s="110">
        <f t="shared" si="21"/>
        <v>-0.10091979999999999</v>
      </c>
      <c r="V130" s="110">
        <f t="shared" si="22"/>
        <v>-7.1762010000000001E-2</v>
      </c>
      <c r="AI130" s="131"/>
      <c r="AJ130" s="131"/>
      <c r="AK130" s="131"/>
      <c r="AL130" s="132"/>
    </row>
    <row r="131" spans="1:38" ht="15">
      <c r="A131">
        <v>18163</v>
      </c>
      <c r="B131" s="168">
        <v>40847</v>
      </c>
      <c r="C131" t="s">
        <v>382</v>
      </c>
      <c r="D131" t="s">
        <v>308</v>
      </c>
      <c r="E131" t="s">
        <v>383</v>
      </c>
      <c r="F131">
        <v>21446</v>
      </c>
      <c r="G131" t="s">
        <v>382</v>
      </c>
      <c r="H131"/>
      <c r="I131">
        <v>63.990001678466797</v>
      </c>
      <c r="J131">
        <v>2.1130125969648361E-2</v>
      </c>
      <c r="K131">
        <v>0.1142146</v>
      </c>
      <c r="L131">
        <v>0.1076973</v>
      </c>
      <c r="M131">
        <v>0.107723</v>
      </c>
      <c r="N131" s="27">
        <f t="shared" ref="N131:N194" si="23">B131</f>
        <v>40847</v>
      </c>
      <c r="O131" s="110" t="str">
        <f t="shared" ref="O131:O194" si="24">IF(AND(($X$12-4)&lt;=$N131,($X$13)&gt;=($N131-4)),J131," ")</f>
        <v xml:space="preserve"> </v>
      </c>
      <c r="P131" s="110" t="str">
        <f t="shared" ref="P131:P194" si="25">IF(AND(($X$12-4)&lt;=$N131,($X$13)&gt;=($N131-4)),K131," ")</f>
        <v xml:space="preserve"> </v>
      </c>
      <c r="Q131" s="110" t="str">
        <f t="shared" ref="Q131:Q194" si="26">IF(AND(($X$12-4)&lt;=$N131,($X$13)&gt;=($N131-4)),L131," ")</f>
        <v xml:space="preserve"> </v>
      </c>
      <c r="R131" s="110" t="str">
        <f t="shared" ref="R131:R194" si="27">IF(AND(($X$12-4)&lt;=$N131,($X$13)&gt;=($N131-4)),M131," ")</f>
        <v xml:space="preserve"> </v>
      </c>
      <c r="S131" s="110">
        <f t="shared" si="19"/>
        <v>2.1130125969648361E-2</v>
      </c>
      <c r="T131" s="110">
        <f t="shared" si="20"/>
        <v>0.1142146</v>
      </c>
      <c r="U131" s="110">
        <f t="shared" si="21"/>
        <v>0.1076973</v>
      </c>
      <c r="V131" s="110">
        <f t="shared" si="22"/>
        <v>0.107723</v>
      </c>
      <c r="AI131" s="131"/>
      <c r="AJ131" s="131"/>
      <c r="AK131" s="131"/>
      <c r="AL131" s="132"/>
    </row>
    <row r="132" spans="1:38" ht="15">
      <c r="A132">
        <v>18163</v>
      </c>
      <c r="B132" s="168">
        <v>40877</v>
      </c>
      <c r="C132" t="s">
        <v>382</v>
      </c>
      <c r="D132" t="s">
        <v>308</v>
      </c>
      <c r="E132" t="s">
        <v>383</v>
      </c>
      <c r="F132">
        <v>21446</v>
      </c>
      <c r="G132" t="s">
        <v>382</v>
      </c>
      <c r="H132"/>
      <c r="I132">
        <v>64.569999694824219</v>
      </c>
      <c r="J132">
        <v>9.0638846158981323E-3</v>
      </c>
      <c r="K132">
        <v>-6.2733340000000002E-3</v>
      </c>
      <c r="L132">
        <v>-2.0644760000000002E-2</v>
      </c>
      <c r="M132">
        <v>-5.0586450000000005E-3</v>
      </c>
      <c r="N132" s="27">
        <f t="shared" si="23"/>
        <v>40877</v>
      </c>
      <c r="O132" s="110" t="str">
        <f t="shared" si="24"/>
        <v xml:space="preserve"> </v>
      </c>
      <c r="P132" s="110" t="str">
        <f t="shared" si="25"/>
        <v xml:space="preserve"> </v>
      </c>
      <c r="Q132" s="110" t="str">
        <f t="shared" si="26"/>
        <v xml:space="preserve"> </v>
      </c>
      <c r="R132" s="110" t="str">
        <f t="shared" si="27"/>
        <v xml:space="preserve"> </v>
      </c>
      <c r="S132" s="110">
        <f t="shared" si="19"/>
        <v>9.0638846158981323E-3</v>
      </c>
      <c r="T132" s="110">
        <f t="shared" si="20"/>
        <v>-6.2733340000000002E-3</v>
      </c>
      <c r="U132" s="110">
        <f t="shared" si="21"/>
        <v>-2.0644760000000002E-2</v>
      </c>
      <c r="V132" s="110">
        <f t="shared" si="22"/>
        <v>-5.0586450000000005E-3</v>
      </c>
      <c r="AI132" s="131"/>
      <c r="AJ132" s="131"/>
      <c r="AK132" s="131"/>
      <c r="AL132" s="132"/>
    </row>
    <row r="133" spans="1:38" ht="15">
      <c r="A133">
        <v>18163</v>
      </c>
      <c r="B133" s="168">
        <v>40907</v>
      </c>
      <c r="C133" t="s">
        <v>382</v>
      </c>
      <c r="D133" t="s">
        <v>308</v>
      </c>
      <c r="E133" t="s">
        <v>383</v>
      </c>
      <c r="F133">
        <v>21446</v>
      </c>
      <c r="G133" t="s">
        <v>382</v>
      </c>
      <c r="H133"/>
      <c r="I133">
        <v>66.709999084472656</v>
      </c>
      <c r="J133">
        <v>3.3142317086458206E-2</v>
      </c>
      <c r="K133">
        <v>3.6706110000000003E-3</v>
      </c>
      <c r="L133">
        <v>-3.5607020000000002E-3</v>
      </c>
      <c r="M133">
        <v>8.5327509999999999E-3</v>
      </c>
      <c r="N133" s="27">
        <f t="shared" si="23"/>
        <v>40907</v>
      </c>
      <c r="O133" s="110" t="str">
        <f t="shared" si="24"/>
        <v xml:space="preserve"> </v>
      </c>
      <c r="P133" s="110" t="str">
        <f t="shared" si="25"/>
        <v xml:space="preserve"> </v>
      </c>
      <c r="Q133" s="110" t="str">
        <f t="shared" si="26"/>
        <v xml:space="preserve"> </v>
      </c>
      <c r="R133" s="110" t="str">
        <f t="shared" si="27"/>
        <v xml:space="preserve"> </v>
      </c>
      <c r="S133" s="110">
        <f t="shared" si="19"/>
        <v>3.3142317086458206E-2</v>
      </c>
      <c r="T133" s="110">
        <f t="shared" si="20"/>
        <v>3.6706110000000003E-3</v>
      </c>
      <c r="U133" s="110">
        <f t="shared" si="21"/>
        <v>-3.5607020000000002E-3</v>
      </c>
      <c r="V133" s="110">
        <f t="shared" si="22"/>
        <v>8.5327509999999999E-3</v>
      </c>
      <c r="AI133" s="131"/>
      <c r="AJ133" s="131"/>
      <c r="AK133" s="131"/>
      <c r="AL133" s="132"/>
    </row>
    <row r="134" spans="1:38" ht="15">
      <c r="A134">
        <v>18163</v>
      </c>
      <c r="B134" s="168">
        <v>40939</v>
      </c>
      <c r="C134" t="s">
        <v>382</v>
      </c>
      <c r="D134" t="s">
        <v>308</v>
      </c>
      <c r="E134" t="s">
        <v>383</v>
      </c>
      <c r="F134">
        <v>21446</v>
      </c>
      <c r="G134" t="s">
        <v>382</v>
      </c>
      <c r="H134"/>
      <c r="I134">
        <v>63.040000915527344</v>
      </c>
      <c r="J134">
        <v>-4.7144331037998199E-2</v>
      </c>
      <c r="K134">
        <v>5.4139520000000003E-2</v>
      </c>
      <c r="L134">
        <v>8.5342000000000001E-2</v>
      </c>
      <c r="M134">
        <v>4.358302E-2</v>
      </c>
      <c r="N134" s="27">
        <f t="shared" si="23"/>
        <v>40939</v>
      </c>
      <c r="O134" s="110" t="str">
        <f t="shared" si="24"/>
        <v xml:space="preserve"> </v>
      </c>
      <c r="P134" s="110" t="str">
        <f t="shared" si="25"/>
        <v xml:space="preserve"> </v>
      </c>
      <c r="Q134" s="110" t="str">
        <f t="shared" si="26"/>
        <v xml:space="preserve"> </v>
      </c>
      <c r="R134" s="110" t="str">
        <f t="shared" si="27"/>
        <v xml:space="preserve"> </v>
      </c>
      <c r="S134" s="110">
        <f t="shared" si="19"/>
        <v>-4.7144331037998199E-2</v>
      </c>
      <c r="T134" s="110">
        <f t="shared" si="20"/>
        <v>5.4139520000000003E-2</v>
      </c>
      <c r="U134" s="110">
        <f t="shared" si="21"/>
        <v>8.5342000000000001E-2</v>
      </c>
      <c r="V134" s="110">
        <f t="shared" si="22"/>
        <v>4.358302E-2</v>
      </c>
      <c r="AI134" s="131"/>
      <c r="AJ134" s="131"/>
      <c r="AK134" s="131"/>
      <c r="AL134" s="132"/>
    </row>
    <row r="135" spans="1:38" ht="15">
      <c r="A135">
        <v>18163</v>
      </c>
      <c r="B135" s="168">
        <v>40968</v>
      </c>
      <c r="C135" t="s">
        <v>382</v>
      </c>
      <c r="D135" t="s">
        <v>308</v>
      </c>
      <c r="E135" t="s">
        <v>383</v>
      </c>
      <c r="F135">
        <v>21446</v>
      </c>
      <c r="G135" t="s">
        <v>382</v>
      </c>
      <c r="H135"/>
      <c r="I135">
        <v>67.620002746582031</v>
      </c>
      <c r="J135">
        <v>7.2652310132980347E-2</v>
      </c>
      <c r="K135">
        <v>4.1252549999999999E-2</v>
      </c>
      <c r="L135">
        <v>3.649384E-2</v>
      </c>
      <c r="M135">
        <v>4.0589449999999999E-2</v>
      </c>
      <c r="N135" s="27">
        <f t="shared" si="23"/>
        <v>40968</v>
      </c>
      <c r="O135" s="110" t="str">
        <f t="shared" si="24"/>
        <v xml:space="preserve"> </v>
      </c>
      <c r="P135" s="110" t="str">
        <f t="shared" si="25"/>
        <v xml:space="preserve"> </v>
      </c>
      <c r="Q135" s="110" t="str">
        <f t="shared" si="26"/>
        <v xml:space="preserve"> </v>
      </c>
      <c r="R135" s="110" t="str">
        <f t="shared" si="27"/>
        <v xml:space="preserve"> </v>
      </c>
      <c r="S135" s="110">
        <f t="shared" si="19"/>
        <v>7.2652310132980347E-2</v>
      </c>
      <c r="T135" s="110">
        <f t="shared" si="20"/>
        <v>4.1252549999999999E-2</v>
      </c>
      <c r="U135" s="110">
        <f t="shared" si="21"/>
        <v>3.649384E-2</v>
      </c>
      <c r="V135" s="110">
        <f t="shared" si="22"/>
        <v>4.0589449999999999E-2</v>
      </c>
      <c r="AI135" s="131"/>
      <c r="AJ135" s="131"/>
      <c r="AK135" s="131"/>
      <c r="AL135" s="132"/>
    </row>
    <row r="136" spans="1:38" ht="15">
      <c r="A136">
        <v>18163</v>
      </c>
      <c r="B136" s="168">
        <v>40998</v>
      </c>
      <c r="C136" t="s">
        <v>382</v>
      </c>
      <c r="D136" t="s">
        <v>308</v>
      </c>
      <c r="E136" t="s">
        <v>383</v>
      </c>
      <c r="F136">
        <v>21446</v>
      </c>
      <c r="G136" t="s">
        <v>382</v>
      </c>
      <c r="H136"/>
      <c r="I136">
        <v>67.209999084472656</v>
      </c>
      <c r="J136">
        <v>-6.063348613679409E-3</v>
      </c>
      <c r="K136">
        <v>2.4039370000000001E-2</v>
      </c>
      <c r="L136">
        <v>1.7608260000000001E-2</v>
      </c>
      <c r="M136">
        <v>3.133238E-2</v>
      </c>
      <c r="N136" s="27">
        <f t="shared" si="23"/>
        <v>40998</v>
      </c>
      <c r="O136" s="110" t="str">
        <f t="shared" si="24"/>
        <v xml:space="preserve"> </v>
      </c>
      <c r="P136" s="110" t="str">
        <f t="shared" si="25"/>
        <v xml:space="preserve"> </v>
      </c>
      <c r="Q136" s="110" t="str">
        <f t="shared" si="26"/>
        <v xml:space="preserve"> </v>
      </c>
      <c r="R136" s="110" t="str">
        <f t="shared" si="27"/>
        <v xml:space="preserve"> </v>
      </c>
      <c r="S136" s="110">
        <f t="shared" si="19"/>
        <v>-6.063348613679409E-3</v>
      </c>
      <c r="T136" s="110">
        <f t="shared" si="20"/>
        <v>2.4039370000000001E-2</v>
      </c>
      <c r="U136" s="110">
        <f t="shared" si="21"/>
        <v>1.7608260000000001E-2</v>
      </c>
      <c r="V136" s="110">
        <f t="shared" si="22"/>
        <v>3.133238E-2</v>
      </c>
      <c r="AI136" s="131"/>
      <c r="AJ136" s="131"/>
      <c r="AK136" s="131"/>
      <c r="AL136" s="132"/>
    </row>
    <row r="137" spans="1:38" ht="15">
      <c r="A137">
        <v>18163</v>
      </c>
      <c r="B137" s="168">
        <v>41029</v>
      </c>
      <c r="C137" t="s">
        <v>382</v>
      </c>
      <c r="D137" t="s">
        <v>308</v>
      </c>
      <c r="E137" t="s">
        <v>383</v>
      </c>
      <c r="F137">
        <v>21446</v>
      </c>
      <c r="G137" t="s">
        <v>382</v>
      </c>
      <c r="H137"/>
      <c r="I137">
        <v>63.639999389648438</v>
      </c>
      <c r="J137">
        <v>-4.4755242764949799E-2</v>
      </c>
      <c r="K137">
        <v>-6.8402290000000006E-3</v>
      </c>
      <c r="L137">
        <v>-9.1063340000000007E-3</v>
      </c>
      <c r="M137">
        <v>-7.4974970000000005E-3</v>
      </c>
      <c r="N137" s="27">
        <f t="shared" si="23"/>
        <v>41029</v>
      </c>
      <c r="O137" s="110" t="str">
        <f t="shared" si="24"/>
        <v xml:space="preserve"> </v>
      </c>
      <c r="P137" s="110" t="str">
        <f t="shared" si="25"/>
        <v xml:space="preserve"> </v>
      </c>
      <c r="Q137" s="110" t="str">
        <f t="shared" si="26"/>
        <v xml:space="preserve"> </v>
      </c>
      <c r="R137" s="110" t="str">
        <f t="shared" si="27"/>
        <v xml:space="preserve"> </v>
      </c>
      <c r="S137" s="110">
        <f t="shared" si="19"/>
        <v>-4.4755242764949799E-2</v>
      </c>
      <c r="T137" s="110">
        <f t="shared" si="20"/>
        <v>-6.8402290000000006E-3</v>
      </c>
      <c r="U137" s="110">
        <f t="shared" si="21"/>
        <v>-9.1063340000000007E-3</v>
      </c>
      <c r="V137" s="110">
        <f t="shared" si="22"/>
        <v>-7.4974970000000005E-3</v>
      </c>
      <c r="AI137" s="131"/>
      <c r="AJ137" s="131"/>
      <c r="AK137" s="131"/>
      <c r="AL137" s="132"/>
    </row>
    <row r="138" spans="1:38" ht="15">
      <c r="A138">
        <v>18163</v>
      </c>
      <c r="B138" s="168">
        <v>41060</v>
      </c>
      <c r="C138" t="s">
        <v>382</v>
      </c>
      <c r="D138" t="s">
        <v>308</v>
      </c>
      <c r="E138" t="s">
        <v>383</v>
      </c>
      <c r="F138">
        <v>21446</v>
      </c>
      <c r="G138" t="s">
        <v>382</v>
      </c>
      <c r="H138"/>
      <c r="I138">
        <v>62.290000915527344</v>
      </c>
      <c r="J138">
        <v>-2.1213049069046974E-2</v>
      </c>
      <c r="K138">
        <v>-6.5641020000000008E-2</v>
      </c>
      <c r="L138">
        <v>-6.8417900000000004E-2</v>
      </c>
      <c r="M138">
        <v>-6.2650670000000006E-2</v>
      </c>
      <c r="N138" s="27">
        <f t="shared" si="23"/>
        <v>41060</v>
      </c>
      <c r="O138" s="110" t="str">
        <f t="shared" si="24"/>
        <v xml:space="preserve"> </v>
      </c>
      <c r="P138" s="110" t="str">
        <f t="shared" si="25"/>
        <v xml:space="preserve"> </v>
      </c>
      <c r="Q138" s="110" t="str">
        <f t="shared" si="26"/>
        <v xml:space="preserve"> </v>
      </c>
      <c r="R138" s="110" t="str">
        <f t="shared" si="27"/>
        <v xml:space="preserve"> </v>
      </c>
      <c r="S138" s="110">
        <f t="shared" si="19"/>
        <v>-2.1213049069046974E-2</v>
      </c>
      <c r="T138" s="110">
        <f t="shared" si="20"/>
        <v>-6.5641020000000008E-2</v>
      </c>
      <c r="U138" s="110">
        <f t="shared" si="21"/>
        <v>-6.8417900000000004E-2</v>
      </c>
      <c r="V138" s="110">
        <f t="shared" si="22"/>
        <v>-6.2650670000000006E-2</v>
      </c>
      <c r="AI138" s="131"/>
      <c r="AJ138" s="131"/>
      <c r="AK138" s="131"/>
      <c r="AL138" s="132"/>
    </row>
    <row r="139" spans="1:38" ht="15">
      <c r="A139">
        <v>18163</v>
      </c>
      <c r="B139" s="168">
        <v>41089</v>
      </c>
      <c r="C139" t="s">
        <v>382</v>
      </c>
      <c r="D139" t="s">
        <v>308</v>
      </c>
      <c r="E139" t="s">
        <v>383</v>
      </c>
      <c r="F139">
        <v>21446</v>
      </c>
      <c r="G139" t="s">
        <v>382</v>
      </c>
      <c r="H139"/>
      <c r="I139">
        <v>61.25</v>
      </c>
      <c r="J139">
        <v>-1.6696114093065262E-2</v>
      </c>
      <c r="K139">
        <v>3.8180820000000004E-2</v>
      </c>
      <c r="L139">
        <v>3.4187990000000001E-2</v>
      </c>
      <c r="M139">
        <v>3.955492E-2</v>
      </c>
      <c r="N139" s="27">
        <f t="shared" si="23"/>
        <v>41089</v>
      </c>
      <c r="O139" s="110" t="str">
        <f t="shared" si="24"/>
        <v xml:space="preserve"> </v>
      </c>
      <c r="P139" s="110" t="str">
        <f t="shared" si="25"/>
        <v xml:space="preserve"> </v>
      </c>
      <c r="Q139" s="110" t="str">
        <f t="shared" si="26"/>
        <v xml:space="preserve"> </v>
      </c>
      <c r="R139" s="110" t="str">
        <f t="shared" si="27"/>
        <v xml:space="preserve"> </v>
      </c>
      <c r="S139" s="110">
        <f t="shared" si="19"/>
        <v>-1.6696114093065262E-2</v>
      </c>
      <c r="T139" s="110">
        <f t="shared" si="20"/>
        <v>3.8180820000000004E-2</v>
      </c>
      <c r="U139" s="110">
        <f t="shared" si="21"/>
        <v>3.4187990000000001E-2</v>
      </c>
      <c r="V139" s="110">
        <f t="shared" si="22"/>
        <v>3.955492E-2</v>
      </c>
      <c r="AI139" s="131"/>
      <c r="AJ139" s="131"/>
      <c r="AK139" s="131"/>
      <c r="AL139" s="132"/>
    </row>
    <row r="140" spans="1:38" ht="15">
      <c r="A140">
        <v>18163</v>
      </c>
      <c r="B140" s="168">
        <v>41121</v>
      </c>
      <c r="C140" t="s">
        <v>382</v>
      </c>
      <c r="D140" t="s">
        <v>308</v>
      </c>
      <c r="E140" t="s">
        <v>383</v>
      </c>
      <c r="F140">
        <v>21446</v>
      </c>
      <c r="G140" t="s">
        <v>382</v>
      </c>
      <c r="H140"/>
      <c r="I140">
        <v>64.540000915527344</v>
      </c>
      <c r="J140">
        <v>6.2889806926250458E-2</v>
      </c>
      <c r="K140">
        <v>1.0305690000000001E-2</v>
      </c>
      <c r="L140">
        <v>-3.2805660000000004E-3</v>
      </c>
      <c r="M140">
        <v>1.259764E-2</v>
      </c>
      <c r="N140" s="27">
        <f t="shared" si="23"/>
        <v>41121</v>
      </c>
      <c r="O140" s="110" t="str">
        <f t="shared" si="24"/>
        <v xml:space="preserve"> </v>
      </c>
      <c r="P140" s="110" t="str">
        <f t="shared" si="25"/>
        <v xml:space="preserve"> </v>
      </c>
      <c r="Q140" s="110" t="str">
        <f t="shared" si="26"/>
        <v xml:space="preserve"> </v>
      </c>
      <c r="R140" s="110" t="str">
        <f t="shared" si="27"/>
        <v xml:space="preserve"> </v>
      </c>
      <c r="S140" s="110">
        <f t="shared" ref="S140:S203" si="28">IF(AND(($X$15-4)&lt;=$N140,($X$16)&gt;=($N140-4)),J140," ")</f>
        <v>6.2889806926250458E-2</v>
      </c>
      <c r="T140" s="110">
        <f t="shared" ref="T140:T203" si="29">IF(AND(($X$15-4)&lt;=$N140,($X$16)&gt;=($N140-4)),K140," ")</f>
        <v>1.0305690000000001E-2</v>
      </c>
      <c r="U140" s="110">
        <f t="shared" ref="U140:U203" si="30">IF(AND(($X$15-4)&lt;=$N140,($X$16)&gt;=($N140-4)),L140," ")</f>
        <v>-3.2805660000000004E-3</v>
      </c>
      <c r="V140" s="110">
        <f t="shared" si="22"/>
        <v>1.259764E-2</v>
      </c>
      <c r="AI140" s="131"/>
      <c r="AJ140" s="131"/>
      <c r="AK140" s="131"/>
      <c r="AL140" s="132"/>
    </row>
    <row r="141" spans="1:38" ht="15">
      <c r="A141">
        <v>18163</v>
      </c>
      <c r="B141" s="168">
        <v>41152</v>
      </c>
      <c r="C141" t="s">
        <v>382</v>
      </c>
      <c r="D141" t="s">
        <v>308</v>
      </c>
      <c r="E141" t="s">
        <v>383</v>
      </c>
      <c r="F141">
        <v>21446</v>
      </c>
      <c r="G141" t="s">
        <v>382</v>
      </c>
      <c r="H141"/>
      <c r="I141">
        <v>67.19000244140625</v>
      </c>
      <c r="J141">
        <v>4.1059829294681549E-2</v>
      </c>
      <c r="K141">
        <v>2.6336810000000002E-2</v>
      </c>
      <c r="L141">
        <v>2.481978E-2</v>
      </c>
      <c r="M141">
        <v>1.9763360000000001E-2</v>
      </c>
      <c r="N141" s="27">
        <f t="shared" si="23"/>
        <v>41152</v>
      </c>
      <c r="O141" s="110" t="str">
        <f t="shared" si="24"/>
        <v xml:space="preserve"> </v>
      </c>
      <c r="P141" s="110" t="str">
        <f t="shared" si="25"/>
        <v xml:space="preserve"> </v>
      </c>
      <c r="Q141" s="110" t="str">
        <f t="shared" si="26"/>
        <v xml:space="preserve"> </v>
      </c>
      <c r="R141" s="110" t="str">
        <f t="shared" si="27"/>
        <v xml:space="preserve"> </v>
      </c>
      <c r="S141" s="110">
        <f t="shared" si="28"/>
        <v>4.1059829294681549E-2</v>
      </c>
      <c r="T141" s="110">
        <f t="shared" si="29"/>
        <v>2.6336810000000002E-2</v>
      </c>
      <c r="U141" s="110">
        <f t="shared" si="30"/>
        <v>2.481978E-2</v>
      </c>
      <c r="V141" s="110">
        <f t="shared" si="22"/>
        <v>1.9763360000000001E-2</v>
      </c>
      <c r="AI141" s="131"/>
      <c r="AJ141" s="131"/>
      <c r="AK141" s="131"/>
      <c r="AL141" s="132"/>
    </row>
    <row r="142" spans="1:38" ht="15">
      <c r="A142">
        <v>18163</v>
      </c>
      <c r="B142" s="168">
        <v>41180</v>
      </c>
      <c r="C142" t="s">
        <v>382</v>
      </c>
      <c r="D142" t="s">
        <v>308</v>
      </c>
      <c r="E142" t="s">
        <v>383</v>
      </c>
      <c r="F142">
        <v>21446</v>
      </c>
      <c r="G142" t="s">
        <v>382</v>
      </c>
      <c r="H142"/>
      <c r="I142">
        <v>69.360000610351562</v>
      </c>
      <c r="J142">
        <v>3.2296445220708847E-2</v>
      </c>
      <c r="K142">
        <v>2.6532380000000001E-2</v>
      </c>
      <c r="L142">
        <v>3.4925160000000004E-2</v>
      </c>
      <c r="M142">
        <v>2.4236090000000002E-2</v>
      </c>
      <c r="N142" s="27">
        <f t="shared" si="23"/>
        <v>41180</v>
      </c>
      <c r="O142" s="110" t="str">
        <f t="shared" si="24"/>
        <v xml:space="preserve"> </v>
      </c>
      <c r="P142" s="110" t="str">
        <f t="shared" si="25"/>
        <v xml:space="preserve"> </v>
      </c>
      <c r="Q142" s="110" t="str">
        <f t="shared" si="26"/>
        <v xml:space="preserve"> </v>
      </c>
      <c r="R142" s="110" t="str">
        <f t="shared" si="27"/>
        <v xml:space="preserve"> </v>
      </c>
      <c r="S142" s="110">
        <f t="shared" si="28"/>
        <v>3.2296445220708847E-2</v>
      </c>
      <c r="T142" s="110">
        <f t="shared" si="29"/>
        <v>2.6532380000000001E-2</v>
      </c>
      <c r="U142" s="110">
        <f t="shared" si="30"/>
        <v>3.4925160000000004E-2</v>
      </c>
      <c r="V142" s="110">
        <f t="shared" si="22"/>
        <v>2.4236090000000002E-2</v>
      </c>
      <c r="AI142" s="131"/>
      <c r="AJ142" s="131"/>
      <c r="AK142" s="131"/>
      <c r="AL142" s="132"/>
    </row>
    <row r="143" spans="1:38" ht="15">
      <c r="A143">
        <v>18163</v>
      </c>
      <c r="B143" s="168">
        <v>41213</v>
      </c>
      <c r="C143" t="s">
        <v>382</v>
      </c>
      <c r="D143" t="s">
        <v>308</v>
      </c>
      <c r="E143" t="s">
        <v>383</v>
      </c>
      <c r="F143">
        <v>21446</v>
      </c>
      <c r="G143" t="s">
        <v>382</v>
      </c>
      <c r="H143"/>
      <c r="I143">
        <v>69.239997863769531</v>
      </c>
      <c r="J143">
        <v>6.3725090585649014E-3</v>
      </c>
      <c r="K143">
        <v>-1.406426E-2</v>
      </c>
      <c r="L143">
        <v>-1.3476989999999999E-2</v>
      </c>
      <c r="M143">
        <v>-1.9789400000000002E-2</v>
      </c>
      <c r="N143" s="27">
        <f t="shared" si="23"/>
        <v>41213</v>
      </c>
      <c r="O143" s="110" t="str">
        <f t="shared" si="24"/>
        <v xml:space="preserve"> </v>
      </c>
      <c r="P143" s="110" t="str">
        <f t="shared" si="25"/>
        <v xml:space="preserve"> </v>
      </c>
      <c r="Q143" s="110" t="str">
        <f t="shared" si="26"/>
        <v xml:space="preserve"> </v>
      </c>
      <c r="R143" s="110" t="str">
        <f t="shared" si="27"/>
        <v xml:space="preserve"> </v>
      </c>
      <c r="S143" s="110">
        <f t="shared" si="28"/>
        <v>6.3725090585649014E-3</v>
      </c>
      <c r="T143" s="110">
        <f t="shared" si="29"/>
        <v>-1.406426E-2</v>
      </c>
      <c r="U143" s="110">
        <f t="shared" si="30"/>
        <v>-1.3476989999999999E-2</v>
      </c>
      <c r="V143" s="110">
        <f t="shared" si="22"/>
        <v>-1.9789400000000002E-2</v>
      </c>
      <c r="AI143" s="131"/>
      <c r="AJ143" s="131"/>
      <c r="AK143" s="131"/>
      <c r="AL143" s="132"/>
    </row>
    <row r="144" spans="1:38" ht="15">
      <c r="A144">
        <v>18163</v>
      </c>
      <c r="B144" s="168">
        <v>41243</v>
      </c>
      <c r="C144" t="s">
        <v>382</v>
      </c>
      <c r="D144" t="s">
        <v>308</v>
      </c>
      <c r="E144" t="s">
        <v>383</v>
      </c>
      <c r="F144">
        <v>21446</v>
      </c>
      <c r="G144" t="s">
        <v>382</v>
      </c>
      <c r="H144"/>
      <c r="I144">
        <v>69.830001831054688</v>
      </c>
      <c r="J144">
        <v>8.5211433470249176E-3</v>
      </c>
      <c r="K144">
        <v>6.2194530000000007E-3</v>
      </c>
      <c r="L144">
        <v>2.790135E-3</v>
      </c>
      <c r="M144">
        <v>2.8467030000000003E-3</v>
      </c>
      <c r="N144" s="27">
        <f t="shared" si="23"/>
        <v>41243</v>
      </c>
      <c r="O144" s="110" t="str">
        <f t="shared" si="24"/>
        <v xml:space="preserve"> </v>
      </c>
      <c r="P144" s="110" t="str">
        <f t="shared" si="25"/>
        <v xml:space="preserve"> </v>
      </c>
      <c r="Q144" s="110" t="str">
        <f t="shared" si="26"/>
        <v xml:space="preserve"> </v>
      </c>
      <c r="R144" s="110" t="str">
        <f t="shared" si="27"/>
        <v xml:space="preserve"> </v>
      </c>
      <c r="S144" s="110">
        <f t="shared" si="28"/>
        <v>8.5211433470249176E-3</v>
      </c>
      <c r="T144" s="110">
        <f t="shared" si="29"/>
        <v>6.2194530000000007E-3</v>
      </c>
      <c r="U144" s="110">
        <f t="shared" si="30"/>
        <v>2.790135E-3</v>
      </c>
      <c r="V144" s="110">
        <f t="shared" ref="V144:V207" si="31">IF(AND(($X$15-4)&lt;=$N144,($X$16)&gt;=($N144-4)),M144," ")</f>
        <v>2.8467030000000003E-3</v>
      </c>
      <c r="AI144" s="131"/>
      <c r="AJ144" s="131"/>
      <c r="AK144" s="131"/>
      <c r="AL144" s="132"/>
    </row>
    <row r="145" spans="1:38" ht="15">
      <c r="A145">
        <v>18163</v>
      </c>
      <c r="B145" s="168">
        <v>41274</v>
      </c>
      <c r="C145" t="s">
        <v>382</v>
      </c>
      <c r="D145" t="s">
        <v>308</v>
      </c>
      <c r="E145" t="s">
        <v>383</v>
      </c>
      <c r="F145">
        <v>21446</v>
      </c>
      <c r="G145" t="s">
        <v>382</v>
      </c>
      <c r="H145"/>
      <c r="I145">
        <v>67.889999389648438</v>
      </c>
      <c r="J145">
        <v>-2.7781790122389793E-2</v>
      </c>
      <c r="K145">
        <v>1.257959E-2</v>
      </c>
      <c r="L145">
        <v>2.1871740000000001E-2</v>
      </c>
      <c r="M145">
        <v>7.0683100000000004E-3</v>
      </c>
      <c r="N145" s="27">
        <f t="shared" si="23"/>
        <v>41274</v>
      </c>
      <c r="O145" s="110" t="str">
        <f t="shared" si="24"/>
        <v xml:space="preserve"> </v>
      </c>
      <c r="P145" s="110" t="str">
        <f t="shared" si="25"/>
        <v xml:space="preserve"> </v>
      </c>
      <c r="Q145" s="110" t="str">
        <f t="shared" si="26"/>
        <v xml:space="preserve"> </v>
      </c>
      <c r="R145" s="110" t="str">
        <f t="shared" si="27"/>
        <v xml:space="preserve"> </v>
      </c>
      <c r="S145" s="110">
        <f t="shared" si="28"/>
        <v>-2.7781790122389793E-2</v>
      </c>
      <c r="T145" s="110">
        <f t="shared" si="29"/>
        <v>1.257959E-2</v>
      </c>
      <c r="U145" s="110">
        <f t="shared" si="30"/>
        <v>2.1871740000000001E-2</v>
      </c>
      <c r="V145" s="110">
        <f t="shared" si="31"/>
        <v>7.0683100000000004E-3</v>
      </c>
      <c r="AI145" s="131"/>
      <c r="AJ145" s="131"/>
      <c r="AK145" s="131"/>
      <c r="AL145" s="132"/>
    </row>
    <row r="146" spans="1:38" ht="15">
      <c r="A146">
        <v>18163</v>
      </c>
      <c r="B146" s="168">
        <v>41305</v>
      </c>
      <c r="C146" t="s">
        <v>382</v>
      </c>
      <c r="D146" t="s">
        <v>308</v>
      </c>
      <c r="E146" t="s">
        <v>383</v>
      </c>
      <c r="F146">
        <v>21446</v>
      </c>
      <c r="G146" t="s">
        <v>382</v>
      </c>
      <c r="H146"/>
      <c r="I146">
        <v>75.160003662109375</v>
      </c>
      <c r="J146">
        <v>0.11536315083503723</v>
      </c>
      <c r="K146">
        <v>5.4189109999999999E-2</v>
      </c>
      <c r="L146">
        <v>6.3509360000000001E-2</v>
      </c>
      <c r="M146">
        <v>5.0428060000000004E-2</v>
      </c>
      <c r="N146" s="27">
        <f t="shared" si="23"/>
        <v>41305</v>
      </c>
      <c r="O146" s="110" t="str">
        <f t="shared" si="24"/>
        <v xml:space="preserve"> </v>
      </c>
      <c r="P146" s="110" t="str">
        <f t="shared" si="25"/>
        <v xml:space="preserve"> </v>
      </c>
      <c r="Q146" s="110" t="str">
        <f t="shared" si="26"/>
        <v xml:space="preserve"> </v>
      </c>
      <c r="R146" s="110" t="str">
        <f t="shared" si="27"/>
        <v xml:space="preserve"> </v>
      </c>
      <c r="S146" s="110">
        <f t="shared" si="28"/>
        <v>0.11536315083503723</v>
      </c>
      <c r="T146" s="110">
        <f t="shared" si="29"/>
        <v>5.4189109999999999E-2</v>
      </c>
      <c r="U146" s="110">
        <f t="shared" si="30"/>
        <v>6.3509360000000001E-2</v>
      </c>
      <c r="V146" s="110">
        <f t="shared" si="31"/>
        <v>5.0428060000000004E-2</v>
      </c>
      <c r="AI146" s="131"/>
      <c r="AJ146" s="131"/>
      <c r="AK146" s="131"/>
      <c r="AL146" s="132"/>
    </row>
    <row r="147" spans="1:38" ht="15">
      <c r="A147">
        <v>18163</v>
      </c>
      <c r="B147" s="168">
        <v>41333</v>
      </c>
      <c r="C147" t="s">
        <v>382</v>
      </c>
      <c r="D147" t="s">
        <v>308</v>
      </c>
      <c r="E147" t="s">
        <v>383</v>
      </c>
      <c r="F147">
        <v>21446</v>
      </c>
      <c r="G147" t="s">
        <v>382</v>
      </c>
      <c r="H147"/>
      <c r="I147">
        <v>76.180000305175781</v>
      </c>
      <c r="J147">
        <v>1.3571003451943398E-2</v>
      </c>
      <c r="K147">
        <v>8.284352E-3</v>
      </c>
      <c r="L147">
        <v>3.4906820000000002E-3</v>
      </c>
      <c r="M147">
        <v>1.10606E-2</v>
      </c>
      <c r="N147" s="27">
        <f t="shared" si="23"/>
        <v>41333</v>
      </c>
      <c r="O147" s="110" t="str">
        <f t="shared" si="24"/>
        <v xml:space="preserve"> </v>
      </c>
      <c r="P147" s="110" t="str">
        <f t="shared" si="25"/>
        <v xml:space="preserve"> </v>
      </c>
      <c r="Q147" s="110" t="str">
        <f t="shared" si="26"/>
        <v xml:space="preserve"> </v>
      </c>
      <c r="R147" s="110" t="str">
        <f t="shared" si="27"/>
        <v xml:space="preserve"> </v>
      </c>
      <c r="S147" s="110">
        <f t="shared" si="28"/>
        <v>1.3571003451943398E-2</v>
      </c>
      <c r="T147" s="110">
        <f t="shared" si="29"/>
        <v>8.284352E-3</v>
      </c>
      <c r="U147" s="110">
        <f t="shared" si="30"/>
        <v>3.4906820000000002E-3</v>
      </c>
      <c r="V147" s="110">
        <f t="shared" si="31"/>
        <v>1.10606E-2</v>
      </c>
      <c r="AI147" s="131"/>
      <c r="AJ147" s="131"/>
      <c r="AK147" s="131"/>
      <c r="AL147" s="132"/>
    </row>
    <row r="148" spans="1:38" ht="15">
      <c r="A148">
        <v>18163</v>
      </c>
      <c r="B148" s="168">
        <v>41361</v>
      </c>
      <c r="C148" t="s">
        <v>382</v>
      </c>
      <c r="D148" t="s">
        <v>308</v>
      </c>
      <c r="E148" t="s">
        <v>383</v>
      </c>
      <c r="F148">
        <v>21446</v>
      </c>
      <c r="G148" t="s">
        <v>382</v>
      </c>
      <c r="H148"/>
      <c r="I148">
        <v>77.05999755859375</v>
      </c>
      <c r="J148">
        <v>1.1551552452147007E-2</v>
      </c>
      <c r="K148">
        <v>3.5319969999999999E-2</v>
      </c>
      <c r="L148">
        <v>3.1418660000000001E-2</v>
      </c>
      <c r="M148">
        <v>3.59878E-2</v>
      </c>
      <c r="N148" s="27">
        <f t="shared" si="23"/>
        <v>41361</v>
      </c>
      <c r="O148" s="110" t="str">
        <f t="shared" si="24"/>
        <v xml:space="preserve"> </v>
      </c>
      <c r="P148" s="110" t="str">
        <f t="shared" si="25"/>
        <v xml:space="preserve"> </v>
      </c>
      <c r="Q148" s="110" t="str">
        <f t="shared" si="26"/>
        <v xml:space="preserve"> </v>
      </c>
      <c r="R148" s="110" t="str">
        <f t="shared" si="27"/>
        <v xml:space="preserve"> </v>
      </c>
      <c r="S148" s="110">
        <f t="shared" si="28"/>
        <v>1.1551552452147007E-2</v>
      </c>
      <c r="T148" s="110">
        <f t="shared" si="29"/>
        <v>3.5319969999999999E-2</v>
      </c>
      <c r="U148" s="110">
        <f t="shared" si="30"/>
        <v>3.1418660000000001E-2</v>
      </c>
      <c r="V148" s="110">
        <f t="shared" si="31"/>
        <v>3.59878E-2</v>
      </c>
      <c r="AI148" s="131"/>
      <c r="AJ148" s="131"/>
      <c r="AK148" s="131"/>
      <c r="AL148" s="132"/>
    </row>
    <row r="149" spans="1:38" ht="15">
      <c r="A149">
        <v>18163</v>
      </c>
      <c r="B149" s="168">
        <v>41394</v>
      </c>
      <c r="C149" t="s">
        <v>382</v>
      </c>
      <c r="D149" t="s">
        <v>308</v>
      </c>
      <c r="E149" t="s">
        <v>383</v>
      </c>
      <c r="F149">
        <v>21446</v>
      </c>
      <c r="G149" t="s">
        <v>382</v>
      </c>
      <c r="H149"/>
      <c r="I149">
        <v>76.769996643066406</v>
      </c>
      <c r="J149">
        <v>4.0422924794256687E-3</v>
      </c>
      <c r="K149">
        <v>1.494205E-2</v>
      </c>
      <c r="L149">
        <v>2.4771910000000001E-3</v>
      </c>
      <c r="M149">
        <v>1.8085759999999999E-2</v>
      </c>
      <c r="N149" s="27">
        <f t="shared" si="23"/>
        <v>41394</v>
      </c>
      <c r="O149" s="110" t="str">
        <f t="shared" si="24"/>
        <v xml:space="preserve"> </v>
      </c>
      <c r="P149" s="110" t="str">
        <f t="shared" si="25"/>
        <v xml:space="preserve"> </v>
      </c>
      <c r="Q149" s="110" t="str">
        <f t="shared" si="26"/>
        <v xml:space="preserve"> </v>
      </c>
      <c r="R149" s="110" t="str">
        <f t="shared" si="27"/>
        <v xml:space="preserve"> </v>
      </c>
      <c r="S149" s="110">
        <f t="shared" si="28"/>
        <v>4.0422924794256687E-3</v>
      </c>
      <c r="T149" s="110">
        <f t="shared" si="29"/>
        <v>1.494205E-2</v>
      </c>
      <c r="U149" s="110">
        <f t="shared" si="30"/>
        <v>2.4771910000000001E-3</v>
      </c>
      <c r="V149" s="110">
        <f t="shared" si="31"/>
        <v>1.8085759999999999E-2</v>
      </c>
      <c r="AI149" s="131"/>
      <c r="AJ149" s="131"/>
      <c r="AK149" s="131"/>
      <c r="AL149" s="132"/>
    </row>
    <row r="150" spans="1:38" ht="15">
      <c r="A150">
        <v>18163</v>
      </c>
      <c r="B150" s="168">
        <v>41425</v>
      </c>
      <c r="C150" t="s">
        <v>382</v>
      </c>
      <c r="D150" t="s">
        <v>308</v>
      </c>
      <c r="E150" t="s">
        <v>383</v>
      </c>
      <c r="F150">
        <v>21446</v>
      </c>
      <c r="G150" t="s">
        <v>382</v>
      </c>
      <c r="H150"/>
      <c r="I150">
        <v>76.760002136230469</v>
      </c>
      <c r="J150">
        <v>-1.301876618526876E-4</v>
      </c>
      <c r="K150">
        <v>1.9154810000000001E-2</v>
      </c>
      <c r="L150">
        <v>2.3985349999999999E-2</v>
      </c>
      <c r="M150">
        <v>2.0762780000000002E-2</v>
      </c>
      <c r="N150" s="27">
        <f t="shared" si="23"/>
        <v>41425</v>
      </c>
      <c r="O150" s="110" t="str">
        <f t="shared" si="24"/>
        <v xml:space="preserve"> </v>
      </c>
      <c r="P150" s="110" t="str">
        <f t="shared" si="25"/>
        <v xml:space="preserve"> </v>
      </c>
      <c r="Q150" s="110" t="str">
        <f t="shared" si="26"/>
        <v xml:space="preserve"> </v>
      </c>
      <c r="R150" s="110" t="str">
        <f t="shared" si="27"/>
        <v xml:space="preserve"> </v>
      </c>
      <c r="S150" s="110">
        <f t="shared" si="28"/>
        <v>-1.301876618526876E-4</v>
      </c>
      <c r="T150" s="110">
        <f t="shared" si="29"/>
        <v>1.9154810000000001E-2</v>
      </c>
      <c r="U150" s="110">
        <f t="shared" si="30"/>
        <v>2.3985349999999999E-2</v>
      </c>
      <c r="V150" s="110">
        <f t="shared" si="31"/>
        <v>2.0762780000000002E-2</v>
      </c>
      <c r="AI150" s="131"/>
      <c r="AJ150" s="131"/>
      <c r="AK150" s="131"/>
      <c r="AL150" s="132"/>
    </row>
    <row r="151" spans="1:38" ht="15">
      <c r="A151">
        <v>18163</v>
      </c>
      <c r="B151" s="168">
        <v>41453</v>
      </c>
      <c r="C151" t="s">
        <v>382</v>
      </c>
      <c r="D151" t="s">
        <v>308</v>
      </c>
      <c r="E151" t="s">
        <v>383</v>
      </c>
      <c r="F151">
        <v>21446</v>
      </c>
      <c r="G151" t="s">
        <v>382</v>
      </c>
      <c r="H151"/>
      <c r="I151">
        <v>76.989997863769531</v>
      </c>
      <c r="J151">
        <v>2.9962966218590736E-3</v>
      </c>
      <c r="K151">
        <v>-1.5071280000000001E-2</v>
      </c>
      <c r="L151">
        <v>-1.3011969999999999E-2</v>
      </c>
      <c r="M151">
        <v>-1.499933E-2</v>
      </c>
      <c r="N151" s="27">
        <f t="shared" si="23"/>
        <v>41453</v>
      </c>
      <c r="O151" s="110" t="str">
        <f t="shared" si="24"/>
        <v xml:space="preserve"> </v>
      </c>
      <c r="P151" s="110" t="str">
        <f t="shared" si="25"/>
        <v xml:space="preserve"> </v>
      </c>
      <c r="Q151" s="110" t="str">
        <f t="shared" si="26"/>
        <v xml:space="preserve"> </v>
      </c>
      <c r="R151" s="110" t="str">
        <f t="shared" si="27"/>
        <v xml:space="preserve"> </v>
      </c>
      <c r="S151" s="110">
        <f t="shared" si="28"/>
        <v>2.9962966218590736E-3</v>
      </c>
      <c r="T151" s="110">
        <f t="shared" si="29"/>
        <v>-1.5071280000000001E-2</v>
      </c>
      <c r="U151" s="110">
        <f t="shared" si="30"/>
        <v>-1.3011969999999999E-2</v>
      </c>
      <c r="V151" s="110">
        <f t="shared" si="31"/>
        <v>-1.499933E-2</v>
      </c>
      <c r="AI151" s="131"/>
      <c r="AJ151" s="131"/>
      <c r="AK151" s="131"/>
      <c r="AL151" s="132"/>
    </row>
    <row r="152" spans="1:38" ht="15">
      <c r="A152">
        <v>18163</v>
      </c>
      <c r="B152" s="168">
        <v>41486</v>
      </c>
      <c r="C152" t="s">
        <v>382</v>
      </c>
      <c r="D152" t="s">
        <v>308</v>
      </c>
      <c r="E152" t="s">
        <v>383</v>
      </c>
      <c r="F152">
        <v>21446</v>
      </c>
      <c r="G152" t="s">
        <v>382</v>
      </c>
      <c r="H152"/>
      <c r="I152">
        <v>80.300003051757812</v>
      </c>
      <c r="J152">
        <v>5.0805367529392242E-2</v>
      </c>
      <c r="K152">
        <v>5.2689720000000002E-2</v>
      </c>
      <c r="L152">
        <v>5.4898280000000001E-2</v>
      </c>
      <c r="M152">
        <v>4.9462110000000004E-2</v>
      </c>
      <c r="N152" s="27">
        <f t="shared" si="23"/>
        <v>41486</v>
      </c>
      <c r="O152" s="110" t="str">
        <f t="shared" si="24"/>
        <v xml:space="preserve"> </v>
      </c>
      <c r="P152" s="110" t="str">
        <f t="shared" si="25"/>
        <v xml:space="preserve"> </v>
      </c>
      <c r="Q152" s="110" t="str">
        <f t="shared" si="26"/>
        <v xml:space="preserve"> </v>
      </c>
      <c r="R152" s="110" t="str">
        <f t="shared" si="27"/>
        <v xml:space="preserve"> </v>
      </c>
      <c r="S152" s="110">
        <f t="shared" si="28"/>
        <v>5.0805367529392242E-2</v>
      </c>
      <c r="T152" s="110">
        <f t="shared" si="29"/>
        <v>5.2689720000000002E-2</v>
      </c>
      <c r="U152" s="110">
        <f t="shared" si="30"/>
        <v>5.4898280000000001E-2</v>
      </c>
      <c r="V152" s="110">
        <f t="shared" si="31"/>
        <v>4.9462110000000004E-2</v>
      </c>
      <c r="AI152" s="131"/>
      <c r="AJ152" s="131"/>
      <c r="AK152" s="131"/>
      <c r="AL152" s="132"/>
    </row>
    <row r="153" spans="1:38" ht="15">
      <c r="A153">
        <v>18163</v>
      </c>
      <c r="B153" s="168">
        <v>41516</v>
      </c>
      <c r="C153" t="s">
        <v>382</v>
      </c>
      <c r="D153" t="s">
        <v>308</v>
      </c>
      <c r="E153" t="s">
        <v>383</v>
      </c>
      <c r="F153">
        <v>21446</v>
      </c>
      <c r="G153" t="s">
        <v>382</v>
      </c>
      <c r="H153"/>
      <c r="I153">
        <v>77.889999389648438</v>
      </c>
      <c r="J153">
        <v>-3.0012497678399086E-2</v>
      </c>
      <c r="K153">
        <v>-2.5760669999999999E-2</v>
      </c>
      <c r="L153">
        <v>-1.7278000000000002E-2</v>
      </c>
      <c r="M153">
        <v>-3.1298010000000001E-2</v>
      </c>
      <c r="N153" s="27">
        <f t="shared" si="23"/>
        <v>41516</v>
      </c>
      <c r="O153" s="110" t="str">
        <f t="shared" si="24"/>
        <v xml:space="preserve"> </v>
      </c>
      <c r="P153" s="110" t="str">
        <f t="shared" si="25"/>
        <v xml:space="preserve"> </v>
      </c>
      <c r="Q153" s="110" t="str">
        <f t="shared" si="26"/>
        <v xml:space="preserve"> </v>
      </c>
      <c r="R153" s="110" t="str">
        <f t="shared" si="27"/>
        <v xml:space="preserve"> </v>
      </c>
      <c r="S153" s="110">
        <f t="shared" si="28"/>
        <v>-3.0012497678399086E-2</v>
      </c>
      <c r="T153" s="110">
        <f t="shared" si="29"/>
        <v>-2.5760669999999999E-2</v>
      </c>
      <c r="U153" s="110">
        <f t="shared" si="30"/>
        <v>-1.7278000000000002E-2</v>
      </c>
      <c r="V153" s="110">
        <f t="shared" si="31"/>
        <v>-3.1298010000000001E-2</v>
      </c>
      <c r="AI153" s="131"/>
      <c r="AJ153" s="131"/>
      <c r="AK153" s="131"/>
      <c r="AL153" s="132"/>
    </row>
    <row r="154" spans="1:38" ht="15">
      <c r="A154">
        <v>18163</v>
      </c>
      <c r="B154" s="168">
        <v>41547</v>
      </c>
      <c r="C154" t="s">
        <v>382</v>
      </c>
      <c r="D154" t="s">
        <v>308</v>
      </c>
      <c r="E154" t="s">
        <v>383</v>
      </c>
      <c r="F154">
        <v>21446</v>
      </c>
      <c r="G154" t="s">
        <v>382</v>
      </c>
      <c r="H154"/>
      <c r="I154">
        <v>75.589996337890625</v>
      </c>
      <c r="J154">
        <v>-2.9528861865401268E-2</v>
      </c>
      <c r="K154">
        <v>3.7513950000000004E-2</v>
      </c>
      <c r="L154">
        <v>5.1828360000000004E-2</v>
      </c>
      <c r="M154">
        <v>2.9749480000000002E-2</v>
      </c>
      <c r="N154" s="27">
        <f t="shared" si="23"/>
        <v>41547</v>
      </c>
      <c r="O154" s="110" t="str">
        <f t="shared" si="24"/>
        <v xml:space="preserve"> </v>
      </c>
      <c r="P154" s="110" t="str">
        <f t="shared" si="25"/>
        <v xml:space="preserve"> </v>
      </c>
      <c r="Q154" s="110" t="str">
        <f t="shared" si="26"/>
        <v xml:space="preserve"> </v>
      </c>
      <c r="R154" s="110" t="str">
        <f t="shared" si="27"/>
        <v xml:space="preserve"> </v>
      </c>
      <c r="S154" s="110">
        <f t="shared" si="28"/>
        <v>-2.9528861865401268E-2</v>
      </c>
      <c r="T154" s="110">
        <f t="shared" si="29"/>
        <v>3.7513950000000004E-2</v>
      </c>
      <c r="U154" s="110">
        <f t="shared" si="30"/>
        <v>5.1828360000000004E-2</v>
      </c>
      <c r="V154" s="110">
        <f t="shared" si="31"/>
        <v>2.9749480000000002E-2</v>
      </c>
      <c r="AI154" s="131"/>
      <c r="AJ154" s="131"/>
      <c r="AK154" s="131"/>
      <c r="AL154" s="132"/>
    </row>
    <row r="155" spans="1:38" ht="15">
      <c r="A155">
        <v>18163</v>
      </c>
      <c r="B155" s="168">
        <v>41578</v>
      </c>
      <c r="C155" t="s">
        <v>382</v>
      </c>
      <c r="D155" t="s">
        <v>308</v>
      </c>
      <c r="E155" t="s">
        <v>383</v>
      </c>
      <c r="F155">
        <v>21446</v>
      </c>
      <c r="G155" t="s">
        <v>382</v>
      </c>
      <c r="H155"/>
      <c r="I155">
        <v>80.75</v>
      </c>
      <c r="J155">
        <v>7.6220452785491943E-2</v>
      </c>
      <c r="K155">
        <v>3.990784E-2</v>
      </c>
      <c r="L155">
        <v>2.5761909999999999E-2</v>
      </c>
      <c r="M155">
        <v>4.4595759999999998E-2</v>
      </c>
      <c r="N155" s="27">
        <f t="shared" si="23"/>
        <v>41578</v>
      </c>
      <c r="O155" s="110" t="str">
        <f t="shared" si="24"/>
        <v xml:space="preserve"> </v>
      </c>
      <c r="P155" s="110" t="str">
        <f t="shared" si="25"/>
        <v xml:space="preserve"> </v>
      </c>
      <c r="Q155" s="110" t="str">
        <f t="shared" si="26"/>
        <v xml:space="preserve"> </v>
      </c>
      <c r="R155" s="110" t="str">
        <f t="shared" si="27"/>
        <v xml:space="preserve"> </v>
      </c>
      <c r="S155" s="110">
        <f t="shared" si="28"/>
        <v>7.6220452785491943E-2</v>
      </c>
      <c r="T155" s="110">
        <f t="shared" si="29"/>
        <v>3.990784E-2</v>
      </c>
      <c r="U155" s="110">
        <f t="shared" si="30"/>
        <v>2.5761909999999999E-2</v>
      </c>
      <c r="V155" s="110">
        <f t="shared" si="31"/>
        <v>4.4595759999999998E-2</v>
      </c>
      <c r="AI155" s="131"/>
      <c r="AJ155" s="131"/>
      <c r="AK155" s="131"/>
      <c r="AL155" s="132"/>
    </row>
    <row r="156" spans="1:38" ht="15">
      <c r="A156">
        <v>18163</v>
      </c>
      <c r="B156" s="168">
        <v>41607</v>
      </c>
      <c r="C156" t="s">
        <v>382</v>
      </c>
      <c r="D156" t="s">
        <v>308</v>
      </c>
      <c r="E156" t="s">
        <v>383</v>
      </c>
      <c r="F156">
        <v>21446</v>
      </c>
      <c r="G156" t="s">
        <v>382</v>
      </c>
      <c r="H156"/>
      <c r="I156">
        <v>84.220001220703125</v>
      </c>
      <c r="J156">
        <v>4.2972151190042496E-2</v>
      </c>
      <c r="K156">
        <v>2.49728E-2</v>
      </c>
      <c r="L156">
        <v>2.3397770000000002E-2</v>
      </c>
      <c r="M156">
        <v>2.8049460000000002E-2</v>
      </c>
      <c r="N156" s="27">
        <f t="shared" si="23"/>
        <v>41607</v>
      </c>
      <c r="O156" s="110" t="str">
        <f t="shared" si="24"/>
        <v xml:space="preserve"> </v>
      </c>
      <c r="P156" s="110" t="str">
        <f t="shared" si="25"/>
        <v xml:space="preserve"> </v>
      </c>
      <c r="Q156" s="110" t="str">
        <f t="shared" si="26"/>
        <v xml:space="preserve"> </v>
      </c>
      <c r="R156" s="110" t="str">
        <f t="shared" si="27"/>
        <v xml:space="preserve"> </v>
      </c>
      <c r="S156" s="110">
        <f t="shared" si="28"/>
        <v>4.2972151190042496E-2</v>
      </c>
      <c r="T156" s="110">
        <f t="shared" si="29"/>
        <v>2.49728E-2</v>
      </c>
      <c r="U156" s="110">
        <f t="shared" si="30"/>
        <v>2.3397770000000002E-2</v>
      </c>
      <c r="V156" s="110">
        <f t="shared" si="31"/>
        <v>2.8049460000000002E-2</v>
      </c>
      <c r="AI156" s="131"/>
      <c r="AJ156" s="131"/>
      <c r="AK156" s="131"/>
      <c r="AL156" s="132"/>
    </row>
    <row r="157" spans="1:38" ht="15">
      <c r="A157">
        <v>18163</v>
      </c>
      <c r="B157" s="168">
        <v>41639</v>
      </c>
      <c r="C157" t="s">
        <v>382</v>
      </c>
      <c r="D157" t="s">
        <v>308</v>
      </c>
      <c r="E157" t="s">
        <v>383</v>
      </c>
      <c r="F157">
        <v>21446</v>
      </c>
      <c r="G157" t="s">
        <v>382</v>
      </c>
      <c r="H157"/>
      <c r="I157">
        <v>81.410003662109375</v>
      </c>
      <c r="J157">
        <v>-3.3364966511726379E-2</v>
      </c>
      <c r="K157">
        <v>2.615955E-2</v>
      </c>
      <c r="L157">
        <v>2.5241900000000001E-2</v>
      </c>
      <c r="M157">
        <v>2.356283E-2</v>
      </c>
      <c r="N157" s="27">
        <f t="shared" si="23"/>
        <v>41639</v>
      </c>
      <c r="O157" s="110" t="str">
        <f t="shared" si="24"/>
        <v xml:space="preserve"> </v>
      </c>
      <c r="P157" s="110" t="str">
        <f t="shared" si="25"/>
        <v xml:space="preserve"> </v>
      </c>
      <c r="Q157" s="110" t="str">
        <f t="shared" si="26"/>
        <v xml:space="preserve"> </v>
      </c>
      <c r="R157" s="110" t="str">
        <f t="shared" si="27"/>
        <v xml:space="preserve"> </v>
      </c>
      <c r="S157" s="110">
        <f t="shared" si="28"/>
        <v>-3.3364966511726379E-2</v>
      </c>
      <c r="T157" s="110">
        <f t="shared" si="29"/>
        <v>2.615955E-2</v>
      </c>
      <c r="U157" s="110">
        <f t="shared" si="30"/>
        <v>2.5241900000000001E-2</v>
      </c>
      <c r="V157" s="110">
        <f t="shared" si="31"/>
        <v>2.356283E-2</v>
      </c>
      <c r="AI157" s="131"/>
      <c r="AJ157" s="131"/>
      <c r="AK157" s="131"/>
      <c r="AL157" s="132"/>
    </row>
    <row r="158" spans="1:38" ht="15">
      <c r="A158">
        <v>18163</v>
      </c>
      <c r="B158" s="168">
        <v>41670</v>
      </c>
      <c r="C158" t="s">
        <v>382</v>
      </c>
      <c r="D158" t="s">
        <v>308</v>
      </c>
      <c r="E158" t="s">
        <v>383</v>
      </c>
      <c r="F158">
        <v>21446</v>
      </c>
      <c r="G158" t="s">
        <v>382</v>
      </c>
      <c r="H158"/>
      <c r="I158">
        <v>76.620002746582031</v>
      </c>
      <c r="J158">
        <v>-5.144946277141571E-2</v>
      </c>
      <c r="K158">
        <v>-3.0046820000000002E-2</v>
      </c>
      <c r="L158">
        <v>-1.2818249999999999E-3</v>
      </c>
      <c r="M158">
        <v>-3.5582900000000001E-2</v>
      </c>
      <c r="N158" s="27">
        <f t="shared" si="23"/>
        <v>41670</v>
      </c>
      <c r="O158" s="110" t="str">
        <f t="shared" si="24"/>
        <v xml:space="preserve"> </v>
      </c>
      <c r="P158" s="110" t="str">
        <f t="shared" si="25"/>
        <v xml:space="preserve"> </v>
      </c>
      <c r="Q158" s="110" t="str">
        <f t="shared" si="26"/>
        <v xml:space="preserve"> </v>
      </c>
      <c r="R158" s="110" t="str">
        <f t="shared" si="27"/>
        <v xml:space="preserve"> </v>
      </c>
      <c r="S158" s="110">
        <f t="shared" si="28"/>
        <v>-5.144946277141571E-2</v>
      </c>
      <c r="T158" s="110">
        <f t="shared" si="29"/>
        <v>-3.0046820000000002E-2</v>
      </c>
      <c r="U158" s="110">
        <f t="shared" si="30"/>
        <v>-1.2818249999999999E-3</v>
      </c>
      <c r="V158" s="110">
        <f t="shared" si="31"/>
        <v>-3.5582900000000001E-2</v>
      </c>
      <c r="AI158" s="131"/>
      <c r="AJ158" s="131"/>
      <c r="AK158" s="131"/>
      <c r="AL158" s="132"/>
    </row>
    <row r="159" spans="1:38" ht="15">
      <c r="A159">
        <v>18163</v>
      </c>
      <c r="B159" s="168">
        <v>41698</v>
      </c>
      <c r="C159" t="s">
        <v>382</v>
      </c>
      <c r="D159" t="s">
        <v>308</v>
      </c>
      <c r="E159" t="s">
        <v>383</v>
      </c>
      <c r="F159">
        <v>21446</v>
      </c>
      <c r="G159" t="s">
        <v>382</v>
      </c>
      <c r="H159"/>
      <c r="I159">
        <v>78.660003662109375</v>
      </c>
      <c r="J159">
        <v>2.6624912396073341E-2</v>
      </c>
      <c r="K159">
        <v>4.6225380000000003E-2</v>
      </c>
      <c r="L159">
        <v>4.4257160000000004E-2</v>
      </c>
      <c r="M159">
        <v>4.3117040000000002E-2</v>
      </c>
      <c r="N159" s="27">
        <f t="shared" si="23"/>
        <v>41698</v>
      </c>
      <c r="O159" s="110" t="str">
        <f t="shared" si="24"/>
        <v xml:space="preserve"> </v>
      </c>
      <c r="P159" s="110" t="str">
        <f t="shared" si="25"/>
        <v xml:space="preserve"> </v>
      </c>
      <c r="Q159" s="110" t="str">
        <f t="shared" si="26"/>
        <v xml:space="preserve"> </v>
      </c>
      <c r="R159" s="110" t="str">
        <f t="shared" si="27"/>
        <v xml:space="preserve"> </v>
      </c>
      <c r="S159" s="110">
        <f t="shared" si="28"/>
        <v>2.6624912396073341E-2</v>
      </c>
      <c r="T159" s="110">
        <f t="shared" si="29"/>
        <v>4.6225380000000003E-2</v>
      </c>
      <c r="U159" s="110">
        <f t="shared" si="30"/>
        <v>4.4257160000000004E-2</v>
      </c>
      <c r="V159" s="110">
        <f t="shared" si="31"/>
        <v>4.3117040000000002E-2</v>
      </c>
      <c r="AI159" s="131"/>
      <c r="AJ159" s="131"/>
      <c r="AK159" s="131"/>
      <c r="AL159" s="132"/>
    </row>
    <row r="160" spans="1:38" ht="15">
      <c r="A160">
        <v>18163</v>
      </c>
      <c r="B160" s="168">
        <v>41729</v>
      </c>
      <c r="C160" t="s">
        <v>382</v>
      </c>
      <c r="D160" t="s">
        <v>308</v>
      </c>
      <c r="E160" t="s">
        <v>383</v>
      </c>
      <c r="F160">
        <v>21446</v>
      </c>
      <c r="G160" t="s">
        <v>382</v>
      </c>
      <c r="H160"/>
      <c r="I160">
        <v>80.599998474121094</v>
      </c>
      <c r="J160">
        <v>2.4663040414452553E-2</v>
      </c>
      <c r="K160">
        <v>4.544167E-3</v>
      </c>
      <c r="L160">
        <v>1.0280700000000001E-3</v>
      </c>
      <c r="M160">
        <v>6.9321580000000008E-3</v>
      </c>
      <c r="N160" s="27">
        <f t="shared" si="23"/>
        <v>41729</v>
      </c>
      <c r="O160" s="110" t="str">
        <f t="shared" si="24"/>
        <v xml:space="preserve"> </v>
      </c>
      <c r="P160" s="110" t="str">
        <f t="shared" si="25"/>
        <v xml:space="preserve"> </v>
      </c>
      <c r="Q160" s="110" t="str">
        <f t="shared" si="26"/>
        <v xml:space="preserve"> </v>
      </c>
      <c r="R160" s="110" t="str">
        <f t="shared" si="27"/>
        <v xml:space="preserve"> </v>
      </c>
      <c r="S160" s="110">
        <f t="shared" si="28"/>
        <v>2.4663040414452553E-2</v>
      </c>
      <c r="T160" s="110">
        <f t="shared" si="29"/>
        <v>4.544167E-3</v>
      </c>
      <c r="U160" s="110">
        <f t="shared" si="30"/>
        <v>1.0280700000000001E-3</v>
      </c>
      <c r="V160" s="110">
        <f t="shared" si="31"/>
        <v>6.9321580000000008E-3</v>
      </c>
      <c r="AI160" s="131"/>
      <c r="AJ160" s="131"/>
      <c r="AK160" s="131"/>
      <c r="AL160" s="132"/>
    </row>
    <row r="161" spans="1:38" ht="15">
      <c r="A161">
        <v>18163</v>
      </c>
      <c r="B161" s="168">
        <v>41759</v>
      </c>
      <c r="C161" t="s">
        <v>382</v>
      </c>
      <c r="D161" t="s">
        <v>308</v>
      </c>
      <c r="E161" t="s">
        <v>383</v>
      </c>
      <c r="F161">
        <v>21446</v>
      </c>
      <c r="G161" t="s">
        <v>382</v>
      </c>
      <c r="H161"/>
      <c r="I161">
        <v>82.550003051757812</v>
      </c>
      <c r="J161">
        <v>3.2178718596696854E-2</v>
      </c>
      <c r="K161">
        <v>1.5690830000000002E-3</v>
      </c>
      <c r="L161">
        <v>-2.231901E-2</v>
      </c>
      <c r="M161">
        <v>6.2007970000000001E-3</v>
      </c>
      <c r="N161" s="27">
        <f t="shared" si="23"/>
        <v>41759</v>
      </c>
      <c r="O161" s="110" t="str">
        <f t="shared" si="24"/>
        <v xml:space="preserve"> </v>
      </c>
      <c r="P161" s="110" t="str">
        <f t="shared" si="25"/>
        <v xml:space="preserve"> </v>
      </c>
      <c r="Q161" s="110" t="str">
        <f t="shared" si="26"/>
        <v xml:space="preserve"> </v>
      </c>
      <c r="R161" s="110" t="str">
        <f t="shared" si="27"/>
        <v xml:space="preserve"> </v>
      </c>
      <c r="S161" s="110">
        <f t="shared" si="28"/>
        <v>3.2178718596696854E-2</v>
      </c>
      <c r="T161" s="110">
        <f t="shared" si="29"/>
        <v>1.5690830000000002E-3</v>
      </c>
      <c r="U161" s="110">
        <f t="shared" si="30"/>
        <v>-2.231901E-2</v>
      </c>
      <c r="V161" s="110">
        <f t="shared" si="31"/>
        <v>6.2007970000000001E-3</v>
      </c>
      <c r="AI161" s="131"/>
      <c r="AJ161" s="131"/>
      <c r="AK161" s="131"/>
      <c r="AL161" s="132"/>
    </row>
    <row r="162" spans="1:38" ht="15">
      <c r="A162">
        <v>18163</v>
      </c>
      <c r="B162" s="168">
        <v>41789</v>
      </c>
      <c r="C162" t="s">
        <v>382</v>
      </c>
      <c r="D162" t="s">
        <v>308</v>
      </c>
      <c r="E162" t="s">
        <v>383</v>
      </c>
      <c r="F162">
        <v>21446</v>
      </c>
      <c r="G162" t="s">
        <v>382</v>
      </c>
      <c r="H162"/>
      <c r="I162">
        <v>80.790000915527344</v>
      </c>
      <c r="J162">
        <v>-2.1320436149835587E-2</v>
      </c>
      <c r="K162">
        <v>2.026029E-2</v>
      </c>
      <c r="L162">
        <v>6.6465030000000007E-3</v>
      </c>
      <c r="M162">
        <v>2.1030280000000002E-2</v>
      </c>
      <c r="N162" s="27">
        <f t="shared" si="23"/>
        <v>41789</v>
      </c>
      <c r="O162" s="110" t="str">
        <f t="shared" si="24"/>
        <v xml:space="preserve"> </v>
      </c>
      <c r="P162" s="110" t="str">
        <f t="shared" si="25"/>
        <v xml:space="preserve"> </v>
      </c>
      <c r="Q162" s="110" t="str">
        <f t="shared" si="26"/>
        <v xml:space="preserve"> </v>
      </c>
      <c r="R162" s="110" t="str">
        <f t="shared" si="27"/>
        <v xml:space="preserve"> </v>
      </c>
      <c r="S162" s="110">
        <f t="shared" si="28"/>
        <v>-2.1320436149835587E-2</v>
      </c>
      <c r="T162" s="110">
        <f t="shared" si="29"/>
        <v>2.026029E-2</v>
      </c>
      <c r="U162" s="110">
        <f t="shared" si="30"/>
        <v>6.6465030000000007E-3</v>
      </c>
      <c r="V162" s="110">
        <f t="shared" si="31"/>
        <v>2.1030280000000002E-2</v>
      </c>
      <c r="AI162" s="131"/>
      <c r="AJ162" s="131"/>
      <c r="AK162" s="131"/>
      <c r="AL162" s="132"/>
    </row>
    <row r="163" spans="1:38" ht="15">
      <c r="A163">
        <v>18163</v>
      </c>
      <c r="B163" s="168">
        <v>41820</v>
      </c>
      <c r="C163" t="s">
        <v>382</v>
      </c>
      <c r="D163" t="s">
        <v>308</v>
      </c>
      <c r="E163" t="s">
        <v>383</v>
      </c>
      <c r="F163">
        <v>21446</v>
      </c>
      <c r="G163" t="s">
        <v>382</v>
      </c>
      <c r="H163"/>
      <c r="I163">
        <v>78.589996337890625</v>
      </c>
      <c r="J163">
        <v>-2.723114937543869E-2</v>
      </c>
      <c r="K163">
        <v>2.7990500000000001E-2</v>
      </c>
      <c r="L163">
        <v>3.950087E-2</v>
      </c>
      <c r="M163">
        <v>1.9058310000000002E-2</v>
      </c>
      <c r="N163" s="27">
        <f t="shared" si="23"/>
        <v>41820</v>
      </c>
      <c r="O163" s="110" t="str">
        <f t="shared" si="24"/>
        <v xml:space="preserve"> </v>
      </c>
      <c r="P163" s="110" t="str">
        <f t="shared" si="25"/>
        <v xml:space="preserve"> </v>
      </c>
      <c r="Q163" s="110" t="str">
        <f t="shared" si="26"/>
        <v xml:space="preserve"> </v>
      </c>
      <c r="R163" s="110" t="str">
        <f t="shared" si="27"/>
        <v xml:space="preserve"> </v>
      </c>
      <c r="S163" s="110">
        <f t="shared" si="28"/>
        <v>-2.723114937543869E-2</v>
      </c>
      <c r="T163" s="110">
        <f t="shared" si="29"/>
        <v>2.7990500000000001E-2</v>
      </c>
      <c r="U163" s="110">
        <f t="shared" si="30"/>
        <v>3.950087E-2</v>
      </c>
      <c r="V163" s="110">
        <f t="shared" si="31"/>
        <v>1.9058310000000002E-2</v>
      </c>
      <c r="AI163" s="131"/>
      <c r="AJ163" s="131"/>
      <c r="AK163" s="131"/>
      <c r="AL163" s="132"/>
    </row>
    <row r="164" spans="1:38" ht="15">
      <c r="A164">
        <v>18163</v>
      </c>
      <c r="B164" s="168">
        <v>41851</v>
      </c>
      <c r="C164" t="s">
        <v>382</v>
      </c>
      <c r="D164" t="s">
        <v>308</v>
      </c>
      <c r="E164" t="s">
        <v>383</v>
      </c>
      <c r="F164">
        <v>21446</v>
      </c>
      <c r="G164" t="s">
        <v>382</v>
      </c>
      <c r="H164"/>
      <c r="I164">
        <v>77.319999694824219</v>
      </c>
      <c r="J164">
        <v>-7.9704374074935913E-3</v>
      </c>
      <c r="K164">
        <v>-2.0567539999999999E-2</v>
      </c>
      <c r="L164">
        <v>-3.5235969999999998E-2</v>
      </c>
      <c r="M164">
        <v>-1.507986E-2</v>
      </c>
      <c r="N164" s="27">
        <f t="shared" si="23"/>
        <v>41851</v>
      </c>
      <c r="O164" s="110" t="str">
        <f t="shared" si="24"/>
        <v xml:space="preserve"> </v>
      </c>
      <c r="P164" s="110" t="str">
        <f t="shared" si="25"/>
        <v xml:space="preserve"> </v>
      </c>
      <c r="Q164" s="110" t="str">
        <f t="shared" si="26"/>
        <v xml:space="preserve"> </v>
      </c>
      <c r="R164" s="110" t="str">
        <f t="shared" si="27"/>
        <v xml:space="preserve"> </v>
      </c>
      <c r="S164" s="110">
        <f t="shared" si="28"/>
        <v>-7.9704374074935913E-3</v>
      </c>
      <c r="T164" s="110">
        <f t="shared" si="29"/>
        <v>-2.0567539999999999E-2</v>
      </c>
      <c r="U164" s="110">
        <f t="shared" si="30"/>
        <v>-3.5235969999999998E-2</v>
      </c>
      <c r="V164" s="110">
        <f t="shared" si="31"/>
        <v>-1.507986E-2</v>
      </c>
      <c r="AI164" s="131"/>
      <c r="AJ164" s="131"/>
      <c r="AK164" s="131"/>
      <c r="AL164" s="132"/>
    </row>
    <row r="165" spans="1:38" ht="15">
      <c r="A165">
        <v>18163</v>
      </c>
      <c r="B165" s="168">
        <v>41880</v>
      </c>
      <c r="C165" t="s">
        <v>382</v>
      </c>
      <c r="D165" t="s">
        <v>308</v>
      </c>
      <c r="E165" t="s">
        <v>383</v>
      </c>
      <c r="F165">
        <v>21446</v>
      </c>
      <c r="G165" t="s">
        <v>382</v>
      </c>
      <c r="H165"/>
      <c r="I165">
        <v>83.110000610351562</v>
      </c>
      <c r="J165">
        <v>7.4883610010147095E-2</v>
      </c>
      <c r="K165">
        <v>4.0226120000000004E-2</v>
      </c>
      <c r="L165">
        <v>3.3707090000000002E-2</v>
      </c>
      <c r="M165">
        <v>3.7655319999999999E-2</v>
      </c>
      <c r="N165" s="27">
        <f t="shared" si="23"/>
        <v>41880</v>
      </c>
      <c r="O165" s="110" t="str">
        <f t="shared" si="24"/>
        <v xml:space="preserve"> </v>
      </c>
      <c r="P165" s="110" t="str">
        <f t="shared" si="25"/>
        <v xml:space="preserve"> </v>
      </c>
      <c r="Q165" s="110" t="str">
        <f t="shared" si="26"/>
        <v xml:space="preserve"> </v>
      </c>
      <c r="R165" s="110" t="str">
        <f t="shared" si="27"/>
        <v xml:space="preserve"> </v>
      </c>
      <c r="S165" s="110">
        <f t="shared" si="28"/>
        <v>7.4883610010147095E-2</v>
      </c>
      <c r="T165" s="110">
        <f t="shared" si="29"/>
        <v>4.0226120000000004E-2</v>
      </c>
      <c r="U165" s="110">
        <f t="shared" si="30"/>
        <v>3.3707090000000002E-2</v>
      </c>
      <c r="V165" s="110">
        <f t="shared" si="31"/>
        <v>3.7655319999999999E-2</v>
      </c>
      <c r="AI165" s="131"/>
      <c r="AJ165" s="131"/>
      <c r="AK165" s="131"/>
      <c r="AL165" s="132"/>
    </row>
    <row r="166" spans="1:38" ht="15">
      <c r="A166">
        <v>18163</v>
      </c>
      <c r="B166" s="168">
        <v>41912</v>
      </c>
      <c r="C166" t="s">
        <v>382</v>
      </c>
      <c r="D166" t="s">
        <v>308</v>
      </c>
      <c r="E166" t="s">
        <v>383</v>
      </c>
      <c r="F166">
        <v>21446</v>
      </c>
      <c r="G166" t="s">
        <v>382</v>
      </c>
      <c r="H166"/>
      <c r="I166">
        <v>83.739997863769531</v>
      </c>
      <c r="J166">
        <v>7.5802821666002274E-3</v>
      </c>
      <c r="K166">
        <v>-2.5208420000000002E-2</v>
      </c>
      <c r="L166">
        <v>-4.4987869999999999E-2</v>
      </c>
      <c r="M166">
        <v>-1.5513860000000001E-2</v>
      </c>
      <c r="N166" s="27">
        <f t="shared" si="23"/>
        <v>41912</v>
      </c>
      <c r="O166" s="110" t="str">
        <f t="shared" si="24"/>
        <v xml:space="preserve"> </v>
      </c>
      <c r="P166" s="110" t="str">
        <f t="shared" si="25"/>
        <v xml:space="preserve"> </v>
      </c>
      <c r="Q166" s="110" t="str">
        <f t="shared" si="26"/>
        <v xml:space="preserve"> </v>
      </c>
      <c r="R166" s="110" t="str">
        <f t="shared" si="27"/>
        <v xml:space="preserve"> </v>
      </c>
      <c r="S166" s="110">
        <f t="shared" si="28"/>
        <v>7.5802821666002274E-3</v>
      </c>
      <c r="T166" s="110">
        <f t="shared" si="29"/>
        <v>-2.5208420000000002E-2</v>
      </c>
      <c r="U166" s="110">
        <f t="shared" si="30"/>
        <v>-4.4987869999999999E-2</v>
      </c>
      <c r="V166" s="110">
        <f t="shared" si="31"/>
        <v>-1.5513860000000001E-2</v>
      </c>
      <c r="AI166" s="131"/>
      <c r="AJ166" s="131"/>
      <c r="AK166" s="131"/>
      <c r="AL166" s="132"/>
    </row>
    <row r="167" spans="1:38" ht="15">
      <c r="A167">
        <v>18163</v>
      </c>
      <c r="B167" s="168">
        <v>41943</v>
      </c>
      <c r="C167" t="s">
        <v>382</v>
      </c>
      <c r="D167" t="s">
        <v>308</v>
      </c>
      <c r="E167" t="s">
        <v>383</v>
      </c>
      <c r="F167">
        <v>21446</v>
      </c>
      <c r="G167" t="s">
        <v>382</v>
      </c>
      <c r="H167"/>
      <c r="I167">
        <v>87.269996643066406</v>
      </c>
      <c r="J167">
        <v>4.9839965999126434E-2</v>
      </c>
      <c r="K167">
        <v>2.1171780000000001E-2</v>
      </c>
      <c r="L167">
        <v>1.417654E-2</v>
      </c>
      <c r="M167">
        <v>2.320146E-2</v>
      </c>
      <c r="N167" s="27">
        <f t="shared" si="23"/>
        <v>41943</v>
      </c>
      <c r="O167" s="110" t="str">
        <f t="shared" si="24"/>
        <v xml:space="preserve"> </v>
      </c>
      <c r="P167" s="110" t="str">
        <f t="shared" si="25"/>
        <v xml:space="preserve"> </v>
      </c>
      <c r="Q167" s="110" t="str">
        <f t="shared" si="26"/>
        <v xml:space="preserve"> </v>
      </c>
      <c r="R167" s="110" t="str">
        <f t="shared" si="27"/>
        <v xml:space="preserve"> </v>
      </c>
      <c r="S167" s="110">
        <f t="shared" si="28"/>
        <v>4.9839965999126434E-2</v>
      </c>
      <c r="T167" s="110">
        <f t="shared" si="29"/>
        <v>2.1171780000000001E-2</v>
      </c>
      <c r="U167" s="110">
        <f t="shared" si="30"/>
        <v>1.417654E-2</v>
      </c>
      <c r="V167" s="110">
        <f t="shared" si="31"/>
        <v>2.320146E-2</v>
      </c>
      <c r="AI167" s="131"/>
      <c r="AJ167" s="131"/>
      <c r="AK167" s="131"/>
      <c r="AL167" s="132"/>
    </row>
    <row r="168" spans="1:38" ht="15">
      <c r="A168">
        <v>18163</v>
      </c>
      <c r="B168" s="168">
        <v>41971</v>
      </c>
      <c r="C168" t="s">
        <v>382</v>
      </c>
      <c r="D168" t="s">
        <v>308</v>
      </c>
      <c r="E168" t="s">
        <v>383</v>
      </c>
      <c r="F168">
        <v>21446</v>
      </c>
      <c r="G168" t="s">
        <v>382</v>
      </c>
      <c r="H168"/>
      <c r="I168">
        <v>90.430000305175781</v>
      </c>
      <c r="J168">
        <v>3.6209508776664734E-2</v>
      </c>
      <c r="K168">
        <v>2.1114299999999999E-2</v>
      </c>
      <c r="L168">
        <v>-2.458493E-3</v>
      </c>
      <c r="M168">
        <v>2.4533579999999999E-2</v>
      </c>
      <c r="N168" s="27">
        <f t="shared" si="23"/>
        <v>41971</v>
      </c>
      <c r="O168" s="110" t="str">
        <f t="shared" si="24"/>
        <v xml:space="preserve"> </v>
      </c>
      <c r="P168" s="110" t="str">
        <f t="shared" si="25"/>
        <v xml:space="preserve"> </v>
      </c>
      <c r="Q168" s="110" t="str">
        <f t="shared" si="26"/>
        <v xml:space="preserve"> </v>
      </c>
      <c r="R168" s="110" t="str">
        <f t="shared" si="27"/>
        <v xml:space="preserve"> </v>
      </c>
      <c r="S168" s="110">
        <f t="shared" si="28"/>
        <v>3.6209508776664734E-2</v>
      </c>
      <c r="T168" s="110">
        <f t="shared" si="29"/>
        <v>2.1114299999999999E-2</v>
      </c>
      <c r="U168" s="110">
        <f t="shared" si="30"/>
        <v>-2.458493E-3</v>
      </c>
      <c r="V168" s="110">
        <f t="shared" si="31"/>
        <v>2.4533579999999999E-2</v>
      </c>
      <c r="AI168" s="131"/>
      <c r="AJ168" s="131"/>
      <c r="AK168" s="131"/>
      <c r="AL168" s="132"/>
    </row>
    <row r="169" spans="1:38" ht="15">
      <c r="A169">
        <v>18163</v>
      </c>
      <c r="B169" s="168">
        <v>42004</v>
      </c>
      <c r="C169" t="s">
        <v>382</v>
      </c>
      <c r="D169" t="s">
        <v>308</v>
      </c>
      <c r="E169" t="s">
        <v>383</v>
      </c>
      <c r="F169">
        <v>21446</v>
      </c>
      <c r="G169" t="s">
        <v>382</v>
      </c>
      <c r="H169"/>
      <c r="I169">
        <v>91.089996337890625</v>
      </c>
      <c r="J169">
        <v>7.2984187863767147E-3</v>
      </c>
      <c r="K169">
        <v>-3.6613160000000004E-3</v>
      </c>
      <c r="L169">
        <v>-1.8099690000000001E-4</v>
      </c>
      <c r="M169">
        <v>-4.1885120000000001E-3</v>
      </c>
      <c r="N169" s="27">
        <f t="shared" si="23"/>
        <v>42004</v>
      </c>
      <c r="O169" s="110" t="str">
        <f t="shared" si="24"/>
        <v xml:space="preserve"> </v>
      </c>
      <c r="P169" s="110" t="str">
        <f t="shared" si="25"/>
        <v xml:space="preserve"> </v>
      </c>
      <c r="Q169" s="110" t="str">
        <f t="shared" si="26"/>
        <v xml:space="preserve"> </v>
      </c>
      <c r="R169" s="110" t="str">
        <f t="shared" si="27"/>
        <v xml:space="preserve"> </v>
      </c>
      <c r="S169" s="110">
        <f t="shared" si="28"/>
        <v>7.2984187863767147E-3</v>
      </c>
      <c r="T169" s="110">
        <f t="shared" si="29"/>
        <v>-3.6613160000000004E-3</v>
      </c>
      <c r="U169" s="110">
        <f t="shared" si="30"/>
        <v>-1.8099690000000001E-4</v>
      </c>
      <c r="V169" s="110">
        <f t="shared" si="31"/>
        <v>-4.1885120000000001E-3</v>
      </c>
      <c r="AI169" s="131"/>
      <c r="AJ169" s="131"/>
      <c r="AK169" s="131"/>
      <c r="AL169" s="132"/>
    </row>
    <row r="170" spans="1:38" ht="15">
      <c r="A170">
        <v>18163</v>
      </c>
      <c r="B170" s="168">
        <v>42034</v>
      </c>
      <c r="C170" t="s">
        <v>382</v>
      </c>
      <c r="D170" t="s">
        <v>308</v>
      </c>
      <c r="E170" t="s">
        <v>383</v>
      </c>
      <c r="F170">
        <v>21446</v>
      </c>
      <c r="G170" t="s">
        <v>382</v>
      </c>
      <c r="H170"/>
      <c r="I170">
        <v>84.290000915527344</v>
      </c>
      <c r="J170">
        <v>-6.7585855722427368E-2</v>
      </c>
      <c r="K170">
        <v>-2.7207020000000002E-2</v>
      </c>
      <c r="L170">
        <v>-1.9076570000000001E-2</v>
      </c>
      <c r="M170">
        <v>-3.1040850000000002E-2</v>
      </c>
      <c r="N170" s="27">
        <f t="shared" si="23"/>
        <v>42034</v>
      </c>
      <c r="O170" s="110" t="str">
        <f t="shared" si="24"/>
        <v xml:space="preserve"> </v>
      </c>
      <c r="P170" s="110" t="str">
        <f t="shared" si="25"/>
        <v xml:space="preserve"> </v>
      </c>
      <c r="Q170" s="110" t="str">
        <f t="shared" si="26"/>
        <v xml:space="preserve"> </v>
      </c>
      <c r="R170" s="110" t="str">
        <f t="shared" si="27"/>
        <v xml:space="preserve"> </v>
      </c>
      <c r="S170" s="110">
        <f t="shared" si="28"/>
        <v>-6.7585855722427368E-2</v>
      </c>
      <c r="T170" s="110">
        <f t="shared" si="29"/>
        <v>-2.7207020000000002E-2</v>
      </c>
      <c r="U170" s="110">
        <f t="shared" si="30"/>
        <v>-1.9076570000000001E-2</v>
      </c>
      <c r="V170" s="110">
        <f t="shared" si="31"/>
        <v>-3.1040850000000002E-2</v>
      </c>
      <c r="AI170" s="131"/>
      <c r="AJ170" s="131"/>
      <c r="AK170" s="131"/>
      <c r="AL170" s="132"/>
    </row>
    <row r="171" spans="1:38" ht="15">
      <c r="A171">
        <v>18163</v>
      </c>
      <c r="B171" s="168">
        <v>42062</v>
      </c>
      <c r="C171" t="s">
        <v>382</v>
      </c>
      <c r="D171" t="s">
        <v>308</v>
      </c>
      <c r="E171" t="s">
        <v>383</v>
      </c>
      <c r="F171">
        <v>21446</v>
      </c>
      <c r="G171" t="s">
        <v>382</v>
      </c>
      <c r="H171"/>
      <c r="I171">
        <v>85.129997253417969</v>
      </c>
      <c r="J171">
        <v>9.9655510857701302E-3</v>
      </c>
      <c r="K171">
        <v>5.5999350000000003E-2</v>
      </c>
      <c r="L171">
        <v>5.4161239999999999E-2</v>
      </c>
      <c r="M171">
        <v>5.4892509999999999E-2</v>
      </c>
      <c r="N171" s="27">
        <f t="shared" si="23"/>
        <v>42062</v>
      </c>
      <c r="O171" s="110" t="str">
        <f t="shared" si="24"/>
        <v xml:space="preserve"> </v>
      </c>
      <c r="P171" s="110" t="str">
        <f t="shared" si="25"/>
        <v xml:space="preserve"> </v>
      </c>
      <c r="Q171" s="110" t="str">
        <f t="shared" si="26"/>
        <v xml:space="preserve"> </v>
      </c>
      <c r="R171" s="110" t="str">
        <f t="shared" si="27"/>
        <v xml:space="preserve"> </v>
      </c>
      <c r="S171" s="110">
        <f t="shared" si="28"/>
        <v>9.9655510857701302E-3</v>
      </c>
      <c r="T171" s="110">
        <f t="shared" si="29"/>
        <v>5.5999350000000003E-2</v>
      </c>
      <c r="U171" s="110">
        <f t="shared" si="30"/>
        <v>5.4161239999999999E-2</v>
      </c>
      <c r="V171" s="110">
        <f t="shared" si="31"/>
        <v>5.4892509999999999E-2</v>
      </c>
      <c r="AI171" s="131"/>
      <c r="AJ171" s="131"/>
      <c r="AK171" s="131"/>
      <c r="AL171" s="132"/>
    </row>
    <row r="172" spans="1:38" ht="15">
      <c r="A172">
        <v>18163</v>
      </c>
      <c r="B172" s="168">
        <v>42094</v>
      </c>
      <c r="C172" t="s">
        <v>382</v>
      </c>
      <c r="D172" t="s">
        <v>308</v>
      </c>
      <c r="E172" t="s">
        <v>383</v>
      </c>
      <c r="F172">
        <v>21446</v>
      </c>
      <c r="G172" t="s">
        <v>382</v>
      </c>
      <c r="H172"/>
      <c r="I172">
        <v>81.94000244140625</v>
      </c>
      <c r="J172">
        <v>-3.7472043186426163E-2</v>
      </c>
      <c r="K172">
        <v>-1.04096E-2</v>
      </c>
      <c r="L172">
        <v>-5.1095120000000001E-3</v>
      </c>
      <c r="M172">
        <v>-1.7396060000000001E-2</v>
      </c>
      <c r="N172" s="27">
        <f t="shared" si="23"/>
        <v>42094</v>
      </c>
      <c r="O172" s="110" t="str">
        <f t="shared" si="24"/>
        <v xml:space="preserve"> </v>
      </c>
      <c r="P172" s="110" t="str">
        <f t="shared" si="25"/>
        <v xml:space="preserve"> </v>
      </c>
      <c r="Q172" s="110" t="str">
        <f t="shared" si="26"/>
        <v xml:space="preserve"> </v>
      </c>
      <c r="R172" s="110" t="str">
        <f t="shared" si="27"/>
        <v xml:space="preserve"> </v>
      </c>
      <c r="S172" s="110">
        <f t="shared" si="28"/>
        <v>-3.7472043186426163E-2</v>
      </c>
      <c r="T172" s="110">
        <f t="shared" si="29"/>
        <v>-1.04096E-2</v>
      </c>
      <c r="U172" s="110">
        <f t="shared" si="30"/>
        <v>-5.1095120000000001E-3</v>
      </c>
      <c r="V172" s="110">
        <f t="shared" si="31"/>
        <v>-1.7396060000000001E-2</v>
      </c>
      <c r="AI172" s="131"/>
      <c r="AJ172" s="131"/>
      <c r="AK172" s="131"/>
      <c r="AL172" s="132"/>
    </row>
    <row r="173" spans="1:38" ht="15">
      <c r="A173">
        <v>18163</v>
      </c>
      <c r="B173" s="168">
        <v>42124</v>
      </c>
      <c r="C173" t="s">
        <v>382</v>
      </c>
      <c r="D173" t="s">
        <v>308</v>
      </c>
      <c r="E173" t="s">
        <v>383</v>
      </c>
      <c r="F173">
        <v>21446</v>
      </c>
      <c r="G173" t="s">
        <v>382</v>
      </c>
      <c r="H173"/>
      <c r="I173">
        <v>79.510002136230469</v>
      </c>
      <c r="J173">
        <v>-2.1565783768892288E-2</v>
      </c>
      <c r="K173">
        <v>8.776397E-3</v>
      </c>
      <c r="L173">
        <v>1.512902E-2</v>
      </c>
      <c r="M173">
        <v>8.5207620000000012E-3</v>
      </c>
      <c r="N173" s="27">
        <f t="shared" si="23"/>
        <v>42124</v>
      </c>
      <c r="O173" s="110" t="str">
        <f t="shared" si="24"/>
        <v xml:space="preserve"> </v>
      </c>
      <c r="P173" s="110" t="str">
        <f t="shared" si="25"/>
        <v xml:space="preserve"> </v>
      </c>
      <c r="Q173" s="110" t="str">
        <f t="shared" si="26"/>
        <v xml:space="preserve"> </v>
      </c>
      <c r="R173" s="110" t="str">
        <f t="shared" si="27"/>
        <v xml:space="preserve"> </v>
      </c>
      <c r="S173" s="110">
        <f t="shared" si="28"/>
        <v>-2.1565783768892288E-2</v>
      </c>
      <c r="T173" s="110">
        <f t="shared" si="29"/>
        <v>8.776397E-3</v>
      </c>
      <c r="U173" s="110">
        <f t="shared" si="30"/>
        <v>1.512902E-2</v>
      </c>
      <c r="V173" s="110">
        <f t="shared" si="31"/>
        <v>8.5207620000000012E-3</v>
      </c>
      <c r="AI173" s="131"/>
      <c r="AJ173" s="131"/>
      <c r="AK173" s="131"/>
      <c r="AL173" s="132"/>
    </row>
    <row r="174" spans="1:38" ht="15">
      <c r="A174">
        <v>18163</v>
      </c>
      <c r="B174" s="168">
        <v>42153</v>
      </c>
      <c r="C174" t="s">
        <v>382</v>
      </c>
      <c r="D174" t="s">
        <v>308</v>
      </c>
      <c r="E174" t="s">
        <v>383</v>
      </c>
      <c r="F174">
        <v>21446</v>
      </c>
      <c r="G174" t="s">
        <v>382</v>
      </c>
      <c r="H174"/>
      <c r="I174">
        <v>78.389999389648438</v>
      </c>
      <c r="J174">
        <v>-1.4086312614381313E-2</v>
      </c>
      <c r="K174">
        <v>1.0268880000000001E-2</v>
      </c>
      <c r="L174">
        <v>3.9830460000000005E-3</v>
      </c>
      <c r="M174">
        <v>1.0491439999999999E-2</v>
      </c>
      <c r="N174" s="27">
        <f t="shared" si="23"/>
        <v>42153</v>
      </c>
      <c r="O174" s="110" t="str">
        <f t="shared" si="24"/>
        <v xml:space="preserve"> </v>
      </c>
      <c r="P174" s="110" t="str">
        <f t="shared" si="25"/>
        <v xml:space="preserve"> </v>
      </c>
      <c r="Q174" s="110" t="str">
        <f t="shared" si="26"/>
        <v xml:space="preserve"> </v>
      </c>
      <c r="R174" s="110" t="str">
        <f t="shared" si="27"/>
        <v xml:space="preserve"> </v>
      </c>
      <c r="S174" s="110">
        <f t="shared" si="28"/>
        <v>-1.4086312614381313E-2</v>
      </c>
      <c r="T174" s="110">
        <f t="shared" si="29"/>
        <v>1.0268880000000001E-2</v>
      </c>
      <c r="U174" s="110">
        <f t="shared" si="30"/>
        <v>3.9830460000000005E-3</v>
      </c>
      <c r="V174" s="110">
        <f t="shared" si="31"/>
        <v>1.0491439999999999E-2</v>
      </c>
      <c r="AI174" s="131"/>
      <c r="AJ174" s="131"/>
      <c r="AK174" s="131"/>
      <c r="AL174" s="132"/>
    </row>
    <row r="175" spans="1:38" ht="15">
      <c r="A175">
        <v>18163</v>
      </c>
      <c r="B175" s="168">
        <v>42185</v>
      </c>
      <c r="C175" t="s">
        <v>382</v>
      </c>
      <c r="D175" t="s">
        <v>308</v>
      </c>
      <c r="E175" t="s">
        <v>383</v>
      </c>
      <c r="F175">
        <v>21446</v>
      </c>
      <c r="G175" t="s">
        <v>382</v>
      </c>
      <c r="H175"/>
      <c r="I175">
        <v>78.239997863769531</v>
      </c>
      <c r="J175">
        <v>-1.9135288894176483E-3</v>
      </c>
      <c r="K175">
        <v>-1.9272040000000001E-2</v>
      </c>
      <c r="L175">
        <v>-1.348045E-2</v>
      </c>
      <c r="M175">
        <v>-2.1011769999999999E-2</v>
      </c>
      <c r="N175" s="27">
        <f t="shared" si="23"/>
        <v>42185</v>
      </c>
      <c r="O175" s="110" t="str">
        <f t="shared" si="24"/>
        <v xml:space="preserve"> </v>
      </c>
      <c r="P175" s="110" t="str">
        <f t="shared" si="25"/>
        <v xml:space="preserve"> </v>
      </c>
      <c r="Q175" s="110" t="str">
        <f t="shared" si="26"/>
        <v xml:space="preserve"> </v>
      </c>
      <c r="R175" s="110" t="str">
        <f t="shared" si="27"/>
        <v xml:space="preserve"> </v>
      </c>
      <c r="S175" s="110">
        <f t="shared" si="28"/>
        <v>-1.9135288894176483E-3</v>
      </c>
      <c r="T175" s="110">
        <f t="shared" si="29"/>
        <v>-1.9272040000000001E-2</v>
      </c>
      <c r="U175" s="110">
        <f t="shared" si="30"/>
        <v>-1.348045E-2</v>
      </c>
      <c r="V175" s="110">
        <f t="shared" si="31"/>
        <v>-2.1011769999999999E-2</v>
      </c>
      <c r="AI175" s="131"/>
      <c r="AJ175" s="131"/>
      <c r="AK175" s="131"/>
      <c r="AL175" s="132"/>
    </row>
    <row r="176" spans="1:38" ht="15">
      <c r="A176">
        <v>18163</v>
      </c>
      <c r="B176" s="168">
        <v>42216</v>
      </c>
      <c r="C176" t="s">
        <v>382</v>
      </c>
      <c r="D176" t="s">
        <v>308</v>
      </c>
      <c r="E176" t="s">
        <v>383</v>
      </c>
      <c r="F176">
        <v>21446</v>
      </c>
      <c r="G176" t="s">
        <v>382</v>
      </c>
      <c r="H176"/>
      <c r="I176">
        <v>76.699996948242188</v>
      </c>
      <c r="J176">
        <v>-1.1210390366613865E-2</v>
      </c>
      <c r="K176">
        <v>1.2063240000000001E-2</v>
      </c>
      <c r="L176">
        <v>-2.7157590000000002E-2</v>
      </c>
      <c r="M176">
        <v>1.9742039999999999E-2</v>
      </c>
      <c r="N176" s="27">
        <f t="shared" si="23"/>
        <v>42216</v>
      </c>
      <c r="O176" s="110" t="str">
        <f t="shared" si="24"/>
        <v xml:space="preserve"> </v>
      </c>
      <c r="P176" s="110" t="str">
        <f t="shared" si="25"/>
        <v xml:space="preserve"> </v>
      </c>
      <c r="Q176" s="110" t="str">
        <f t="shared" si="26"/>
        <v xml:space="preserve"> </v>
      </c>
      <c r="R176" s="110" t="str">
        <f t="shared" si="27"/>
        <v xml:space="preserve"> </v>
      </c>
      <c r="S176" s="110">
        <f t="shared" si="28"/>
        <v>-1.1210390366613865E-2</v>
      </c>
      <c r="T176" s="110">
        <f t="shared" si="29"/>
        <v>1.2063240000000001E-2</v>
      </c>
      <c r="U176" s="110">
        <f t="shared" si="30"/>
        <v>-2.7157590000000002E-2</v>
      </c>
      <c r="V176" s="110">
        <f t="shared" si="31"/>
        <v>1.9742039999999999E-2</v>
      </c>
      <c r="AI176" s="131"/>
      <c r="AJ176" s="131"/>
      <c r="AK176" s="131"/>
      <c r="AL176" s="132"/>
    </row>
    <row r="177" spans="1:38" ht="15">
      <c r="A177">
        <v>18163</v>
      </c>
      <c r="B177" s="168">
        <v>42247</v>
      </c>
      <c r="C177" t="s">
        <v>382</v>
      </c>
      <c r="D177" t="s">
        <v>308</v>
      </c>
      <c r="E177" t="s">
        <v>383</v>
      </c>
      <c r="F177">
        <v>21446</v>
      </c>
      <c r="G177" t="s">
        <v>382</v>
      </c>
      <c r="H177"/>
      <c r="I177">
        <v>70.669998168945312</v>
      </c>
      <c r="J177">
        <v>-7.8617982566356659E-2</v>
      </c>
      <c r="K177">
        <v>-5.9978990000000003E-2</v>
      </c>
      <c r="L177">
        <v>-4.7287490000000001E-2</v>
      </c>
      <c r="M177">
        <v>-6.2580800000000006E-2</v>
      </c>
      <c r="N177" s="27">
        <f t="shared" si="23"/>
        <v>42247</v>
      </c>
      <c r="O177" s="110" t="str">
        <f t="shared" si="24"/>
        <v xml:space="preserve"> </v>
      </c>
      <c r="P177" s="110" t="str">
        <f t="shared" si="25"/>
        <v xml:space="preserve"> </v>
      </c>
      <c r="Q177" s="110" t="str">
        <f t="shared" si="26"/>
        <v xml:space="preserve"> </v>
      </c>
      <c r="R177" s="110" t="str">
        <f t="shared" si="27"/>
        <v xml:space="preserve"> </v>
      </c>
      <c r="S177" s="110">
        <f t="shared" si="28"/>
        <v>-7.8617982566356659E-2</v>
      </c>
      <c r="T177" s="110">
        <f t="shared" si="29"/>
        <v>-5.9978990000000003E-2</v>
      </c>
      <c r="U177" s="110">
        <f t="shared" si="30"/>
        <v>-4.7287490000000001E-2</v>
      </c>
      <c r="V177" s="110">
        <f t="shared" si="31"/>
        <v>-6.2580800000000006E-2</v>
      </c>
      <c r="AI177" s="131"/>
      <c r="AJ177" s="131"/>
      <c r="AK177" s="131"/>
      <c r="AL177" s="132"/>
    </row>
    <row r="178" spans="1:38" ht="15">
      <c r="A178">
        <v>18163</v>
      </c>
      <c r="B178" s="168">
        <v>42277</v>
      </c>
      <c r="C178" t="s">
        <v>382</v>
      </c>
      <c r="D178" t="s">
        <v>308</v>
      </c>
      <c r="E178" t="s">
        <v>383</v>
      </c>
      <c r="F178">
        <v>21446</v>
      </c>
      <c r="G178" t="s">
        <v>382</v>
      </c>
      <c r="H178"/>
      <c r="I178">
        <v>71.94000244140625</v>
      </c>
      <c r="J178">
        <v>1.7970912158489227E-2</v>
      </c>
      <c r="K178">
        <v>-3.3830529999999998E-2</v>
      </c>
      <c r="L178">
        <v>-4.9927650000000004E-2</v>
      </c>
      <c r="M178">
        <v>-2.6442819999999999E-2</v>
      </c>
      <c r="N178" s="27">
        <f t="shared" si="23"/>
        <v>42277</v>
      </c>
      <c r="O178" s="110" t="str">
        <f t="shared" si="24"/>
        <v xml:space="preserve"> </v>
      </c>
      <c r="P178" s="110" t="str">
        <f t="shared" si="25"/>
        <v xml:space="preserve"> </v>
      </c>
      <c r="Q178" s="110" t="str">
        <f t="shared" si="26"/>
        <v xml:space="preserve"> </v>
      </c>
      <c r="R178" s="110" t="str">
        <f t="shared" si="27"/>
        <v xml:space="preserve"> </v>
      </c>
      <c r="S178" s="110">
        <f t="shared" si="28"/>
        <v>1.7970912158489227E-2</v>
      </c>
      <c r="T178" s="110">
        <f t="shared" si="29"/>
        <v>-3.3830529999999998E-2</v>
      </c>
      <c r="U178" s="110">
        <f t="shared" si="30"/>
        <v>-4.9927650000000004E-2</v>
      </c>
      <c r="V178" s="110">
        <f t="shared" si="31"/>
        <v>-2.6442819999999999E-2</v>
      </c>
      <c r="AI178" s="131"/>
      <c r="AJ178" s="131"/>
      <c r="AK178" s="131"/>
      <c r="AL178" s="132"/>
    </row>
    <row r="179" spans="1:38" ht="15">
      <c r="A179">
        <v>18163</v>
      </c>
      <c r="B179" s="168">
        <v>42307</v>
      </c>
      <c r="C179" t="s">
        <v>382</v>
      </c>
      <c r="D179" t="s">
        <v>308</v>
      </c>
      <c r="E179" t="s">
        <v>383</v>
      </c>
      <c r="F179">
        <v>21446</v>
      </c>
      <c r="G179" t="s">
        <v>382</v>
      </c>
      <c r="H179"/>
      <c r="I179">
        <v>76.379997253417969</v>
      </c>
      <c r="J179">
        <v>7.0932649075984955E-2</v>
      </c>
      <c r="K179">
        <v>7.4039709999999995E-2</v>
      </c>
      <c r="L179">
        <v>5.2880450000000002E-2</v>
      </c>
      <c r="M179">
        <v>8.2983080000000001E-2</v>
      </c>
      <c r="N179" s="27">
        <f t="shared" si="23"/>
        <v>42307</v>
      </c>
      <c r="O179" s="110" t="str">
        <f t="shared" si="24"/>
        <v xml:space="preserve"> </v>
      </c>
      <c r="P179" s="110" t="str">
        <f t="shared" si="25"/>
        <v xml:space="preserve"> </v>
      </c>
      <c r="Q179" s="110" t="str">
        <f t="shared" si="26"/>
        <v xml:space="preserve"> </v>
      </c>
      <c r="R179" s="110" t="str">
        <f t="shared" si="27"/>
        <v xml:space="preserve"> </v>
      </c>
      <c r="S179" s="110">
        <f t="shared" si="28"/>
        <v>7.0932649075984955E-2</v>
      </c>
      <c r="T179" s="110">
        <f t="shared" si="29"/>
        <v>7.4039709999999995E-2</v>
      </c>
      <c r="U179" s="110">
        <f t="shared" si="30"/>
        <v>5.2880450000000002E-2</v>
      </c>
      <c r="V179" s="110">
        <f t="shared" si="31"/>
        <v>8.2983080000000001E-2</v>
      </c>
      <c r="AI179" s="131"/>
      <c r="AJ179" s="131"/>
      <c r="AK179" s="131"/>
      <c r="AL179" s="132"/>
    </row>
    <row r="180" spans="1:38" ht="15">
      <c r="A180">
        <v>18163</v>
      </c>
      <c r="B180" s="168">
        <v>42338</v>
      </c>
      <c r="C180" t="s">
        <v>382</v>
      </c>
      <c r="D180" t="s">
        <v>308</v>
      </c>
      <c r="E180" t="s">
        <v>383</v>
      </c>
      <c r="F180">
        <v>21446</v>
      </c>
      <c r="G180" t="s">
        <v>382</v>
      </c>
      <c r="H180"/>
      <c r="I180">
        <v>74.839996337890625</v>
      </c>
      <c r="J180">
        <v>-2.016235888004303E-2</v>
      </c>
      <c r="K180">
        <v>2.4256830000000001E-3</v>
      </c>
      <c r="L180">
        <v>7.3396750000000004E-3</v>
      </c>
      <c r="M180">
        <v>5.0496299999999998E-4</v>
      </c>
      <c r="N180" s="27">
        <f t="shared" si="23"/>
        <v>42338</v>
      </c>
      <c r="O180" s="110" t="str">
        <f t="shared" si="24"/>
        <v xml:space="preserve"> </v>
      </c>
      <c r="P180" s="110" t="str">
        <f t="shared" si="25"/>
        <v xml:space="preserve"> </v>
      </c>
      <c r="Q180" s="110" t="str">
        <f t="shared" si="26"/>
        <v xml:space="preserve"> </v>
      </c>
      <c r="R180" s="110" t="str">
        <f t="shared" si="27"/>
        <v xml:space="preserve"> </v>
      </c>
      <c r="S180" s="110">
        <f t="shared" si="28"/>
        <v>-2.016235888004303E-2</v>
      </c>
      <c r="T180" s="110">
        <f t="shared" si="29"/>
        <v>2.4256830000000001E-3</v>
      </c>
      <c r="U180" s="110">
        <f t="shared" si="30"/>
        <v>7.3396750000000004E-3</v>
      </c>
      <c r="V180" s="110">
        <f t="shared" si="31"/>
        <v>5.0496299999999998E-4</v>
      </c>
      <c r="AI180" s="131"/>
      <c r="AJ180" s="131"/>
      <c r="AK180" s="131"/>
      <c r="AL180" s="132"/>
    </row>
    <row r="181" spans="1:38" ht="15">
      <c r="A181">
        <v>18163</v>
      </c>
      <c r="B181" s="168">
        <v>42369</v>
      </c>
      <c r="C181" t="s">
        <v>382</v>
      </c>
      <c r="D181" t="s">
        <v>308</v>
      </c>
      <c r="E181" t="s">
        <v>383</v>
      </c>
      <c r="F181">
        <v>21446</v>
      </c>
      <c r="G181" t="s">
        <v>382</v>
      </c>
      <c r="H181"/>
      <c r="I181">
        <v>79.410003662109375</v>
      </c>
      <c r="J181">
        <v>6.1063703149557114E-2</v>
      </c>
      <c r="K181">
        <v>-2.2288479999999999E-2</v>
      </c>
      <c r="L181">
        <v>-3.5902919999999998E-2</v>
      </c>
      <c r="M181">
        <v>-1.7530199999999999E-2</v>
      </c>
      <c r="N181" s="27">
        <f t="shared" si="23"/>
        <v>42369</v>
      </c>
      <c r="O181" s="110" t="str">
        <f t="shared" si="24"/>
        <v xml:space="preserve"> </v>
      </c>
      <c r="P181" s="110" t="str">
        <f t="shared" si="25"/>
        <v xml:space="preserve"> </v>
      </c>
      <c r="Q181" s="110" t="str">
        <f t="shared" si="26"/>
        <v xml:space="preserve"> </v>
      </c>
      <c r="R181" s="110" t="str">
        <f t="shared" si="27"/>
        <v xml:space="preserve"> </v>
      </c>
      <c r="S181" s="110">
        <f t="shared" si="28"/>
        <v>6.1063703149557114E-2</v>
      </c>
      <c r="T181" s="110">
        <f t="shared" si="29"/>
        <v>-2.2288479999999999E-2</v>
      </c>
      <c r="U181" s="110">
        <f t="shared" si="30"/>
        <v>-3.5902919999999998E-2</v>
      </c>
      <c r="V181" s="110">
        <f t="shared" si="31"/>
        <v>-1.7530199999999999E-2</v>
      </c>
      <c r="AI181" s="131"/>
      <c r="AJ181" s="131"/>
      <c r="AK181" s="131"/>
      <c r="AL181" s="132"/>
    </row>
    <row r="182" spans="1:38" ht="15">
      <c r="A182">
        <v>18163</v>
      </c>
      <c r="B182" s="168">
        <v>42398</v>
      </c>
      <c r="C182" t="s">
        <v>382</v>
      </c>
      <c r="D182" t="s">
        <v>308</v>
      </c>
      <c r="E182" t="s">
        <v>383</v>
      </c>
      <c r="F182">
        <v>21446</v>
      </c>
      <c r="G182" t="s">
        <v>382</v>
      </c>
      <c r="H182"/>
      <c r="I182">
        <v>81.69000244140625</v>
      </c>
      <c r="J182">
        <v>3.7059545516967773E-2</v>
      </c>
      <c r="K182">
        <v>-5.718007E-2</v>
      </c>
      <c r="L182">
        <v>-7.4948559999999997E-2</v>
      </c>
      <c r="M182">
        <v>-5.0735340000000004E-2</v>
      </c>
      <c r="N182" s="27">
        <f t="shared" si="23"/>
        <v>42398</v>
      </c>
      <c r="O182" s="110">
        <f t="shared" si="24"/>
        <v>3.7059545516967773E-2</v>
      </c>
      <c r="P182" s="110">
        <f t="shared" si="25"/>
        <v>-5.718007E-2</v>
      </c>
      <c r="Q182" s="110">
        <f t="shared" si="26"/>
        <v>-7.4948559999999997E-2</v>
      </c>
      <c r="R182" s="110">
        <f t="shared" si="27"/>
        <v>-5.0735340000000004E-2</v>
      </c>
      <c r="S182" s="110">
        <f t="shared" si="28"/>
        <v>3.7059545516967773E-2</v>
      </c>
      <c r="T182" s="110">
        <f t="shared" si="29"/>
        <v>-5.718007E-2</v>
      </c>
      <c r="U182" s="110">
        <f t="shared" si="30"/>
        <v>-7.4948559999999997E-2</v>
      </c>
      <c r="V182" s="110">
        <f t="shared" si="31"/>
        <v>-5.0735340000000004E-2</v>
      </c>
      <c r="AI182" s="131"/>
      <c r="AJ182" s="131"/>
      <c r="AK182" s="131"/>
      <c r="AL182" s="132"/>
    </row>
    <row r="183" spans="1:38" ht="15">
      <c r="A183">
        <v>18163</v>
      </c>
      <c r="B183" s="168">
        <v>42429</v>
      </c>
      <c r="C183" t="s">
        <v>382</v>
      </c>
      <c r="D183" t="s">
        <v>308</v>
      </c>
      <c r="E183" t="s">
        <v>383</v>
      </c>
      <c r="F183">
        <v>21446</v>
      </c>
      <c r="G183" t="s">
        <v>382</v>
      </c>
      <c r="H183"/>
      <c r="I183">
        <v>80.290000915527344</v>
      </c>
      <c r="J183">
        <v>-1.7137978225946426E-2</v>
      </c>
      <c r="K183">
        <v>6.0439240000000006E-4</v>
      </c>
      <c r="L183">
        <v>5.5865890000000003E-3</v>
      </c>
      <c r="M183">
        <v>-4.1283550000000002E-3</v>
      </c>
      <c r="N183" s="27">
        <f t="shared" si="23"/>
        <v>42429</v>
      </c>
      <c r="O183" s="110">
        <f t="shared" si="24"/>
        <v>-1.7137978225946426E-2</v>
      </c>
      <c r="P183" s="110">
        <f t="shared" si="25"/>
        <v>6.0439240000000006E-4</v>
      </c>
      <c r="Q183" s="110">
        <f t="shared" si="26"/>
        <v>5.5865890000000003E-3</v>
      </c>
      <c r="R183" s="110">
        <f t="shared" si="27"/>
        <v>-4.1283550000000002E-3</v>
      </c>
      <c r="S183" s="110">
        <f t="shared" si="28"/>
        <v>-1.7137978225946426E-2</v>
      </c>
      <c r="T183" s="110">
        <f t="shared" si="29"/>
        <v>6.0439240000000006E-4</v>
      </c>
      <c r="U183" s="110">
        <f t="shared" si="30"/>
        <v>5.5865890000000003E-3</v>
      </c>
      <c r="V183" s="110">
        <f t="shared" si="31"/>
        <v>-4.1283550000000002E-3</v>
      </c>
      <c r="AI183" s="131"/>
      <c r="AJ183" s="131"/>
      <c r="AK183" s="131"/>
      <c r="AL183" s="132"/>
    </row>
    <row r="184" spans="1:38" ht="15">
      <c r="A184">
        <v>18163</v>
      </c>
      <c r="B184" s="168">
        <v>42460</v>
      </c>
      <c r="C184" t="s">
        <v>382</v>
      </c>
      <c r="D184" t="s">
        <v>308</v>
      </c>
      <c r="E184" t="s">
        <v>383</v>
      </c>
      <c r="F184">
        <v>21446</v>
      </c>
      <c r="G184" t="s">
        <v>382</v>
      </c>
      <c r="H184"/>
      <c r="I184">
        <v>82.30999755859375</v>
      </c>
      <c r="J184">
        <v>2.5158757343888283E-2</v>
      </c>
      <c r="K184">
        <v>7.0581190000000002E-2</v>
      </c>
      <c r="L184">
        <v>7.8189830000000002E-2</v>
      </c>
      <c r="M184">
        <v>6.5991110000000006E-2</v>
      </c>
      <c r="N184" s="27">
        <f t="shared" si="23"/>
        <v>42460</v>
      </c>
      <c r="O184" s="110">
        <f t="shared" si="24"/>
        <v>2.5158757343888283E-2</v>
      </c>
      <c r="P184" s="110">
        <f t="shared" si="25"/>
        <v>7.0581190000000002E-2</v>
      </c>
      <c r="Q184" s="110">
        <f t="shared" si="26"/>
        <v>7.8189830000000002E-2</v>
      </c>
      <c r="R184" s="110">
        <f t="shared" si="27"/>
        <v>6.5991110000000006E-2</v>
      </c>
      <c r="S184" s="110">
        <f t="shared" si="28"/>
        <v>2.5158757343888283E-2</v>
      </c>
      <c r="T184" s="110">
        <f t="shared" si="29"/>
        <v>7.0581190000000002E-2</v>
      </c>
      <c r="U184" s="110">
        <f t="shared" si="30"/>
        <v>7.8189830000000002E-2</v>
      </c>
      <c r="V184" s="110">
        <f t="shared" si="31"/>
        <v>6.5991110000000006E-2</v>
      </c>
      <c r="AI184" s="131"/>
      <c r="AJ184" s="131"/>
      <c r="AK184" s="131"/>
      <c r="AL184" s="132"/>
    </row>
    <row r="185" spans="1:38" ht="15">
      <c r="A185">
        <v>18163</v>
      </c>
      <c r="B185" s="168">
        <v>42489</v>
      </c>
      <c r="C185" t="s">
        <v>382</v>
      </c>
      <c r="D185" t="s">
        <v>308</v>
      </c>
      <c r="E185" t="s">
        <v>383</v>
      </c>
      <c r="F185">
        <v>21446</v>
      </c>
      <c r="G185" t="s">
        <v>382</v>
      </c>
      <c r="H185"/>
      <c r="I185">
        <v>80.120002746582031</v>
      </c>
      <c r="J185">
        <v>-1.8472783267498016E-2</v>
      </c>
      <c r="K185">
        <v>1.173658E-2</v>
      </c>
      <c r="L185">
        <v>3.9878339999999998E-2</v>
      </c>
      <c r="M185">
        <v>2.69937E-3</v>
      </c>
      <c r="N185" s="27">
        <f t="shared" si="23"/>
        <v>42489</v>
      </c>
      <c r="O185" s="110">
        <f t="shared" si="24"/>
        <v>-1.8472783267498016E-2</v>
      </c>
      <c r="P185" s="110">
        <f t="shared" si="25"/>
        <v>1.173658E-2</v>
      </c>
      <c r="Q185" s="110">
        <f t="shared" si="26"/>
        <v>3.9878339999999998E-2</v>
      </c>
      <c r="R185" s="110">
        <f t="shared" si="27"/>
        <v>2.69937E-3</v>
      </c>
      <c r="S185" s="110">
        <f t="shared" si="28"/>
        <v>-1.8472783267498016E-2</v>
      </c>
      <c r="T185" s="110">
        <f t="shared" si="29"/>
        <v>1.173658E-2</v>
      </c>
      <c r="U185" s="110">
        <f t="shared" si="30"/>
        <v>3.9878339999999998E-2</v>
      </c>
      <c r="V185" s="110">
        <f t="shared" si="31"/>
        <v>2.69937E-3</v>
      </c>
      <c r="AI185" s="131"/>
      <c r="AJ185" s="131"/>
      <c r="AK185" s="131"/>
      <c r="AL185" s="132"/>
    </row>
    <row r="186" spans="1:38" ht="15">
      <c r="A186">
        <v>18163</v>
      </c>
      <c r="B186" s="168">
        <v>42521</v>
      </c>
      <c r="C186" t="s">
        <v>382</v>
      </c>
      <c r="D186" t="s">
        <v>308</v>
      </c>
      <c r="E186" t="s">
        <v>383</v>
      </c>
      <c r="F186">
        <v>21446</v>
      </c>
      <c r="G186" t="s">
        <v>382</v>
      </c>
      <c r="H186"/>
      <c r="I186">
        <v>81.040000915527344</v>
      </c>
      <c r="J186">
        <v>1.1482752859592438E-2</v>
      </c>
      <c r="K186">
        <v>1.426884E-2</v>
      </c>
      <c r="L186">
        <v>-6.2475660000000006E-4</v>
      </c>
      <c r="M186">
        <v>1.5329490000000001E-2</v>
      </c>
      <c r="N186" s="27">
        <f t="shared" si="23"/>
        <v>42521</v>
      </c>
      <c r="O186" s="110">
        <f t="shared" si="24"/>
        <v>1.1482752859592438E-2</v>
      </c>
      <c r="P186" s="110">
        <f t="shared" si="25"/>
        <v>1.426884E-2</v>
      </c>
      <c r="Q186" s="110">
        <f t="shared" si="26"/>
        <v>-6.2475660000000006E-4</v>
      </c>
      <c r="R186" s="110">
        <f t="shared" si="27"/>
        <v>1.5329490000000001E-2</v>
      </c>
      <c r="S186" s="110">
        <f t="shared" si="28"/>
        <v>1.1482752859592438E-2</v>
      </c>
      <c r="T186" s="110">
        <f t="shared" si="29"/>
        <v>1.426884E-2</v>
      </c>
      <c r="U186" s="110">
        <f t="shared" si="30"/>
        <v>-6.2475660000000006E-4</v>
      </c>
      <c r="V186" s="110">
        <f t="shared" si="31"/>
        <v>1.5329490000000001E-2</v>
      </c>
      <c r="AI186" s="131"/>
      <c r="AJ186" s="131"/>
      <c r="AK186" s="131"/>
      <c r="AL186" s="132"/>
    </row>
    <row r="187" spans="1:38" ht="15">
      <c r="A187">
        <v>18163</v>
      </c>
      <c r="B187" s="168">
        <v>42551</v>
      </c>
      <c r="C187" t="s">
        <v>382</v>
      </c>
      <c r="D187" t="s">
        <v>308</v>
      </c>
      <c r="E187" t="s">
        <v>383</v>
      </c>
      <c r="F187">
        <v>21446</v>
      </c>
      <c r="G187" t="s">
        <v>382</v>
      </c>
      <c r="H187"/>
      <c r="I187">
        <v>84.669998168945312</v>
      </c>
      <c r="J187">
        <v>4.479265958070755E-2</v>
      </c>
      <c r="K187">
        <v>2.926236E-3</v>
      </c>
      <c r="L187">
        <v>5.826332E-3</v>
      </c>
      <c r="M187">
        <v>9.0607350000000003E-4</v>
      </c>
      <c r="N187" s="27">
        <f t="shared" si="23"/>
        <v>42551</v>
      </c>
      <c r="O187" s="110">
        <f t="shared" si="24"/>
        <v>4.479265958070755E-2</v>
      </c>
      <c r="P187" s="110">
        <f t="shared" si="25"/>
        <v>2.926236E-3</v>
      </c>
      <c r="Q187" s="110">
        <f t="shared" si="26"/>
        <v>5.826332E-3</v>
      </c>
      <c r="R187" s="110">
        <f t="shared" si="27"/>
        <v>9.0607350000000003E-4</v>
      </c>
      <c r="S187" s="110">
        <f t="shared" si="28"/>
        <v>4.479265958070755E-2</v>
      </c>
      <c r="T187" s="110">
        <f t="shared" si="29"/>
        <v>2.926236E-3</v>
      </c>
      <c r="U187" s="110">
        <f t="shared" si="30"/>
        <v>5.826332E-3</v>
      </c>
      <c r="V187" s="110">
        <f t="shared" si="31"/>
        <v>9.0607350000000003E-4</v>
      </c>
      <c r="AI187" s="131"/>
      <c r="AJ187" s="131"/>
      <c r="AK187" s="131"/>
      <c r="AL187" s="132"/>
    </row>
    <row r="188" spans="1:38" ht="15">
      <c r="A188">
        <v>18163</v>
      </c>
      <c r="B188" s="168">
        <v>42580</v>
      </c>
      <c r="C188" t="s">
        <v>382</v>
      </c>
      <c r="D188" t="s">
        <v>308</v>
      </c>
      <c r="E188" t="s">
        <v>383</v>
      </c>
      <c r="F188">
        <v>21446</v>
      </c>
      <c r="G188" t="s">
        <v>382</v>
      </c>
      <c r="H188"/>
      <c r="I188">
        <v>85.589996337890625</v>
      </c>
      <c r="J188">
        <v>1.8772860988974571E-2</v>
      </c>
      <c r="K188">
        <v>3.8846079999999998E-2</v>
      </c>
      <c r="L188">
        <v>4.9895590000000004E-2</v>
      </c>
      <c r="M188">
        <v>3.5609809999999999E-2</v>
      </c>
      <c r="N188" s="27">
        <f t="shared" si="23"/>
        <v>42580</v>
      </c>
      <c r="O188" s="110">
        <f t="shared" si="24"/>
        <v>1.8772860988974571E-2</v>
      </c>
      <c r="P188" s="110">
        <f t="shared" si="25"/>
        <v>3.8846079999999998E-2</v>
      </c>
      <c r="Q188" s="110">
        <f t="shared" si="26"/>
        <v>4.9895590000000004E-2</v>
      </c>
      <c r="R188" s="110">
        <f t="shared" si="27"/>
        <v>3.5609809999999999E-2</v>
      </c>
      <c r="S188" s="110">
        <f t="shared" si="28"/>
        <v>1.8772860988974571E-2</v>
      </c>
      <c r="T188" s="110">
        <f t="shared" si="29"/>
        <v>3.8846079999999998E-2</v>
      </c>
      <c r="U188" s="110">
        <f t="shared" si="30"/>
        <v>4.9895590000000004E-2</v>
      </c>
      <c r="V188" s="110">
        <f t="shared" si="31"/>
        <v>3.5609809999999999E-2</v>
      </c>
      <c r="AI188" s="131"/>
      <c r="AJ188" s="131"/>
      <c r="AK188" s="131"/>
      <c r="AL188" s="132"/>
    </row>
    <row r="189" spans="1:38" ht="15">
      <c r="A189">
        <v>18163</v>
      </c>
      <c r="B189" s="168">
        <v>42613</v>
      </c>
      <c r="C189" t="s">
        <v>382</v>
      </c>
      <c r="D189" t="s">
        <v>308</v>
      </c>
      <c r="E189" t="s">
        <v>383</v>
      </c>
      <c r="F189">
        <v>21446</v>
      </c>
      <c r="G189" t="s">
        <v>382</v>
      </c>
      <c r="H189"/>
      <c r="I189">
        <v>87.30999755859375</v>
      </c>
      <c r="J189">
        <v>2.0095821470022202E-2</v>
      </c>
      <c r="K189">
        <v>2.7996640000000003E-3</v>
      </c>
      <c r="L189">
        <v>1.3062600000000001E-2</v>
      </c>
      <c r="M189">
        <v>-1.219176E-3</v>
      </c>
      <c r="N189" s="27">
        <f t="shared" si="23"/>
        <v>42613</v>
      </c>
      <c r="O189" s="110">
        <f t="shared" si="24"/>
        <v>2.0095821470022202E-2</v>
      </c>
      <c r="P189" s="110">
        <f t="shared" si="25"/>
        <v>2.7996640000000003E-3</v>
      </c>
      <c r="Q189" s="110">
        <f t="shared" si="26"/>
        <v>1.3062600000000001E-2</v>
      </c>
      <c r="R189" s="110">
        <f t="shared" si="27"/>
        <v>-1.219176E-3</v>
      </c>
      <c r="S189" s="110">
        <f t="shared" si="28"/>
        <v>2.0095821470022202E-2</v>
      </c>
      <c r="T189" s="110">
        <f t="shared" si="29"/>
        <v>2.7996640000000003E-3</v>
      </c>
      <c r="U189" s="110">
        <f t="shared" si="30"/>
        <v>1.3062600000000001E-2</v>
      </c>
      <c r="V189" s="110">
        <f t="shared" si="31"/>
        <v>-1.219176E-3</v>
      </c>
      <c r="AI189" s="131"/>
      <c r="AJ189" s="131"/>
      <c r="AK189" s="131"/>
      <c r="AL189" s="132"/>
    </row>
    <row r="190" spans="1:38" ht="15">
      <c r="A190">
        <v>18163</v>
      </c>
      <c r="B190" s="168">
        <v>42643</v>
      </c>
      <c r="C190" t="s">
        <v>382</v>
      </c>
      <c r="D190" t="s">
        <v>308</v>
      </c>
      <c r="E190" t="s">
        <v>383</v>
      </c>
      <c r="F190">
        <v>21446</v>
      </c>
      <c r="G190" t="s">
        <v>382</v>
      </c>
      <c r="H190"/>
      <c r="I190">
        <v>89.75</v>
      </c>
      <c r="J190">
        <v>2.7946427464485168E-2</v>
      </c>
      <c r="K190">
        <v>3.0199040000000003E-3</v>
      </c>
      <c r="L190">
        <v>1.53808E-2</v>
      </c>
      <c r="M190">
        <v>-1.234483E-3</v>
      </c>
      <c r="N190" s="27">
        <f t="shared" si="23"/>
        <v>42643</v>
      </c>
      <c r="O190" s="110">
        <f t="shared" si="24"/>
        <v>2.7946427464485168E-2</v>
      </c>
      <c r="P190" s="110">
        <f t="shared" si="25"/>
        <v>3.0199040000000003E-3</v>
      </c>
      <c r="Q190" s="110">
        <f t="shared" si="26"/>
        <v>1.53808E-2</v>
      </c>
      <c r="R190" s="110">
        <f t="shared" si="27"/>
        <v>-1.234483E-3</v>
      </c>
      <c r="S190" s="110">
        <f t="shared" si="28"/>
        <v>2.7946427464485168E-2</v>
      </c>
      <c r="T190" s="110">
        <f t="shared" si="29"/>
        <v>3.0199040000000003E-3</v>
      </c>
      <c r="U190" s="110">
        <f t="shared" si="30"/>
        <v>1.53808E-2</v>
      </c>
      <c r="V190" s="110">
        <f t="shared" si="31"/>
        <v>-1.234483E-3</v>
      </c>
      <c r="AI190" s="131"/>
      <c r="AJ190" s="131"/>
      <c r="AK190" s="131"/>
      <c r="AL190" s="132"/>
    </row>
    <row r="191" spans="1:38" ht="15">
      <c r="A191">
        <v>18163</v>
      </c>
      <c r="B191" s="168">
        <v>42674</v>
      </c>
      <c r="C191" t="s">
        <v>382</v>
      </c>
      <c r="D191" t="s">
        <v>308</v>
      </c>
      <c r="E191" t="s">
        <v>383</v>
      </c>
      <c r="F191">
        <v>21446</v>
      </c>
      <c r="G191" t="s">
        <v>382</v>
      </c>
      <c r="H191"/>
      <c r="I191">
        <v>86.800003051757812</v>
      </c>
      <c r="J191">
        <v>-2.5409437716007233E-2</v>
      </c>
      <c r="K191">
        <v>-2.158622E-2</v>
      </c>
      <c r="L191">
        <v>-3.9942079999999998E-2</v>
      </c>
      <c r="M191">
        <v>-1.9425620000000001E-2</v>
      </c>
      <c r="N191" s="27">
        <f t="shared" si="23"/>
        <v>42674</v>
      </c>
      <c r="O191" s="110">
        <f t="shared" si="24"/>
        <v>-2.5409437716007233E-2</v>
      </c>
      <c r="P191" s="110">
        <f t="shared" si="25"/>
        <v>-2.158622E-2</v>
      </c>
      <c r="Q191" s="110">
        <f t="shared" si="26"/>
        <v>-3.9942079999999998E-2</v>
      </c>
      <c r="R191" s="110">
        <f t="shared" si="27"/>
        <v>-1.9425620000000001E-2</v>
      </c>
      <c r="S191" s="110">
        <f t="shared" si="28"/>
        <v>-2.5409437716007233E-2</v>
      </c>
      <c r="T191" s="110">
        <f t="shared" si="29"/>
        <v>-2.158622E-2</v>
      </c>
      <c r="U191" s="110">
        <f t="shared" si="30"/>
        <v>-3.9942079999999998E-2</v>
      </c>
      <c r="V191" s="110">
        <f t="shared" si="31"/>
        <v>-1.9425620000000001E-2</v>
      </c>
      <c r="AI191" s="131"/>
      <c r="AJ191" s="131"/>
      <c r="AK191" s="131"/>
      <c r="AL191" s="132"/>
    </row>
    <row r="192" spans="1:38" ht="15">
      <c r="A192">
        <v>18163</v>
      </c>
      <c r="B192" s="168">
        <v>42704</v>
      </c>
      <c r="C192" t="s">
        <v>382</v>
      </c>
      <c r="D192" t="s">
        <v>308</v>
      </c>
      <c r="E192" t="s">
        <v>383</v>
      </c>
      <c r="F192">
        <v>21446</v>
      </c>
      <c r="G192" t="s">
        <v>382</v>
      </c>
      <c r="H192"/>
      <c r="I192">
        <v>82.459999084472656</v>
      </c>
      <c r="J192">
        <v>-5.0000045448541641E-2</v>
      </c>
      <c r="K192">
        <v>4.0545749999999998E-2</v>
      </c>
      <c r="L192">
        <v>5.0511449999999999E-2</v>
      </c>
      <c r="M192">
        <v>3.4174450000000002E-2</v>
      </c>
      <c r="N192" s="27">
        <f t="shared" si="23"/>
        <v>42704</v>
      </c>
      <c r="O192" s="110">
        <f t="shared" si="24"/>
        <v>-5.0000045448541641E-2</v>
      </c>
      <c r="P192" s="110">
        <f t="shared" si="25"/>
        <v>4.0545749999999998E-2</v>
      </c>
      <c r="Q192" s="110">
        <f t="shared" si="26"/>
        <v>5.0511449999999999E-2</v>
      </c>
      <c r="R192" s="110">
        <f t="shared" si="27"/>
        <v>3.4174450000000002E-2</v>
      </c>
      <c r="S192" s="110">
        <f t="shared" si="28"/>
        <v>-5.0000045448541641E-2</v>
      </c>
      <c r="T192" s="110">
        <f t="shared" si="29"/>
        <v>4.0545749999999998E-2</v>
      </c>
      <c r="U192" s="110">
        <f t="shared" si="30"/>
        <v>5.0511449999999999E-2</v>
      </c>
      <c r="V192" s="110">
        <f t="shared" si="31"/>
        <v>3.4174450000000002E-2</v>
      </c>
      <c r="AI192" s="131"/>
      <c r="AJ192" s="131"/>
      <c r="AK192" s="131"/>
      <c r="AL192" s="132"/>
    </row>
    <row r="193" spans="1:38" ht="15">
      <c r="A193">
        <v>18163</v>
      </c>
      <c r="B193" s="168">
        <v>42734</v>
      </c>
      <c r="C193" t="s">
        <v>382</v>
      </c>
      <c r="D193" t="s">
        <v>308</v>
      </c>
      <c r="E193" t="s">
        <v>383</v>
      </c>
      <c r="F193">
        <v>21446</v>
      </c>
      <c r="G193" t="s">
        <v>382</v>
      </c>
      <c r="H193"/>
      <c r="I193">
        <v>84.080001831054688</v>
      </c>
      <c r="J193">
        <v>1.9645921885967255E-2</v>
      </c>
      <c r="K193">
        <v>1.8767820000000001E-2</v>
      </c>
      <c r="L193">
        <v>1.5881340000000001E-2</v>
      </c>
      <c r="M193">
        <v>1.8200750000000002E-2</v>
      </c>
      <c r="N193" s="27">
        <f t="shared" si="23"/>
        <v>42734</v>
      </c>
      <c r="O193" s="110">
        <f t="shared" si="24"/>
        <v>1.9645921885967255E-2</v>
      </c>
      <c r="P193" s="110">
        <f t="shared" si="25"/>
        <v>1.8767820000000001E-2</v>
      </c>
      <c r="Q193" s="110">
        <f t="shared" si="26"/>
        <v>1.5881340000000001E-2</v>
      </c>
      <c r="R193" s="110">
        <f t="shared" si="27"/>
        <v>1.8200750000000002E-2</v>
      </c>
      <c r="S193" s="110">
        <f t="shared" si="28"/>
        <v>1.9645921885967255E-2</v>
      </c>
      <c r="T193" s="110">
        <f t="shared" si="29"/>
        <v>1.8767820000000001E-2</v>
      </c>
      <c r="U193" s="110">
        <f t="shared" si="30"/>
        <v>1.5881340000000001E-2</v>
      </c>
      <c r="V193" s="110">
        <f t="shared" si="31"/>
        <v>1.8200750000000002E-2</v>
      </c>
      <c r="AI193" s="131"/>
      <c r="AJ193" s="131"/>
      <c r="AK193" s="131"/>
      <c r="AL193" s="132"/>
    </row>
    <row r="194" spans="1:38" ht="15">
      <c r="A194">
        <v>18163</v>
      </c>
      <c r="B194" s="168">
        <v>42766</v>
      </c>
      <c r="C194" t="s">
        <v>382</v>
      </c>
      <c r="D194" t="s">
        <v>308</v>
      </c>
      <c r="E194" t="s">
        <v>383</v>
      </c>
      <c r="F194">
        <v>21446</v>
      </c>
      <c r="G194" t="s">
        <v>382</v>
      </c>
      <c r="H194"/>
      <c r="I194">
        <v>87.599998474121094</v>
      </c>
      <c r="J194">
        <v>4.9827504903078079E-2</v>
      </c>
      <c r="K194">
        <v>2.2176669999999999E-2</v>
      </c>
      <c r="L194">
        <v>2.5941660000000002E-2</v>
      </c>
      <c r="M194">
        <v>1.7884340000000002E-2</v>
      </c>
      <c r="N194" s="27">
        <f t="shared" si="23"/>
        <v>42766</v>
      </c>
      <c r="O194" s="110">
        <f t="shared" si="24"/>
        <v>4.9827504903078079E-2</v>
      </c>
      <c r="P194" s="110">
        <f t="shared" si="25"/>
        <v>2.2176669999999999E-2</v>
      </c>
      <c r="Q194" s="110">
        <f t="shared" si="26"/>
        <v>2.5941660000000002E-2</v>
      </c>
      <c r="R194" s="110">
        <f t="shared" si="27"/>
        <v>1.7884340000000002E-2</v>
      </c>
      <c r="S194" s="110">
        <f t="shared" si="28"/>
        <v>4.9827504903078079E-2</v>
      </c>
      <c r="T194" s="110">
        <f t="shared" si="29"/>
        <v>2.2176669999999999E-2</v>
      </c>
      <c r="U194" s="110">
        <f t="shared" si="30"/>
        <v>2.5941660000000002E-2</v>
      </c>
      <c r="V194" s="110">
        <f t="shared" si="31"/>
        <v>1.7884340000000002E-2</v>
      </c>
      <c r="AI194" s="131"/>
      <c r="AJ194" s="131"/>
      <c r="AK194" s="131"/>
      <c r="AL194" s="132"/>
    </row>
    <row r="195" spans="1:38" ht="15">
      <c r="A195">
        <v>18163</v>
      </c>
      <c r="B195" s="168">
        <v>42794</v>
      </c>
      <c r="C195" t="s">
        <v>382</v>
      </c>
      <c r="D195" t="s">
        <v>308</v>
      </c>
      <c r="E195" t="s">
        <v>383</v>
      </c>
      <c r="F195">
        <v>21446</v>
      </c>
      <c r="G195" t="s">
        <v>382</v>
      </c>
      <c r="H195"/>
      <c r="I195">
        <v>91.069999694824219</v>
      </c>
      <c r="J195">
        <v>3.9611887186765671E-2</v>
      </c>
      <c r="K195">
        <v>3.2631899999999998E-2</v>
      </c>
      <c r="L195">
        <v>1.711698E-2</v>
      </c>
      <c r="M195">
        <v>3.7198260000000004E-2</v>
      </c>
      <c r="N195" s="27">
        <f t="shared" ref="N195:N229" si="32">B195</f>
        <v>42794</v>
      </c>
      <c r="O195" s="110">
        <f t="shared" ref="O195:O241" si="33">IF(AND(($X$12-4)&lt;=$N195,($X$13)&gt;=($N195-4)),J195," ")</f>
        <v>3.9611887186765671E-2</v>
      </c>
      <c r="P195" s="110">
        <f t="shared" ref="P195:P241" si="34">IF(AND(($X$12-4)&lt;=$N195,($X$13)&gt;=($N195-4)),K195," ")</f>
        <v>3.2631899999999998E-2</v>
      </c>
      <c r="Q195" s="110">
        <f t="shared" ref="Q195:Q241" si="35">IF(AND(($X$12-4)&lt;=$N195,($X$13)&gt;=($N195-4)),L195," ")</f>
        <v>1.711698E-2</v>
      </c>
      <c r="R195" s="110">
        <f t="shared" ref="R195:R241" si="36">IF(AND(($X$12-4)&lt;=$N195,($X$13)&gt;=($N195-4)),M195," ")</f>
        <v>3.7198260000000004E-2</v>
      </c>
      <c r="S195" s="110">
        <f t="shared" si="28"/>
        <v>3.9611887186765671E-2</v>
      </c>
      <c r="T195" s="110">
        <f t="shared" si="29"/>
        <v>3.2631899999999998E-2</v>
      </c>
      <c r="U195" s="110">
        <f t="shared" si="30"/>
        <v>1.711698E-2</v>
      </c>
      <c r="V195" s="110">
        <f t="shared" si="31"/>
        <v>3.7198260000000004E-2</v>
      </c>
      <c r="AI195" s="131"/>
      <c r="AJ195" s="131"/>
      <c r="AK195" s="131"/>
      <c r="AL195" s="132"/>
    </row>
    <row r="196" spans="1:38" ht="15">
      <c r="A196">
        <v>18163</v>
      </c>
      <c r="B196" s="168">
        <v>42825</v>
      </c>
      <c r="C196" t="s">
        <v>382</v>
      </c>
      <c r="D196" t="s">
        <v>308</v>
      </c>
      <c r="E196" t="s">
        <v>383</v>
      </c>
      <c r="F196">
        <v>21446</v>
      </c>
      <c r="G196" t="s">
        <v>382</v>
      </c>
      <c r="H196"/>
      <c r="I196">
        <v>89.849998474121094</v>
      </c>
      <c r="J196">
        <v>-1.3396302238106728E-2</v>
      </c>
      <c r="K196">
        <v>2.0949690000000003E-3</v>
      </c>
      <c r="L196">
        <v>6.4097880000000005E-3</v>
      </c>
      <c r="M196">
        <v>-3.8923020000000003E-4</v>
      </c>
      <c r="N196" s="27">
        <f t="shared" si="32"/>
        <v>42825</v>
      </c>
      <c r="O196" s="110">
        <f t="shared" si="33"/>
        <v>-1.3396302238106728E-2</v>
      </c>
      <c r="P196" s="110">
        <f t="shared" si="34"/>
        <v>2.0949690000000003E-3</v>
      </c>
      <c r="Q196" s="110">
        <f t="shared" si="35"/>
        <v>6.4097880000000005E-3</v>
      </c>
      <c r="R196" s="110">
        <f t="shared" si="36"/>
        <v>-3.8923020000000003E-4</v>
      </c>
      <c r="S196" s="110">
        <f t="shared" si="28"/>
        <v>-1.3396302238106728E-2</v>
      </c>
      <c r="T196" s="110">
        <f t="shared" si="29"/>
        <v>2.0949690000000003E-3</v>
      </c>
      <c r="U196" s="110">
        <f t="shared" si="30"/>
        <v>6.4097880000000005E-3</v>
      </c>
      <c r="V196" s="110">
        <f t="shared" si="31"/>
        <v>-3.8923020000000003E-4</v>
      </c>
      <c r="AI196" s="131"/>
      <c r="AJ196" s="131"/>
      <c r="AK196" s="131"/>
      <c r="AL196" s="132"/>
    </row>
    <row r="197" spans="1:38" ht="15">
      <c r="A197">
        <v>18163</v>
      </c>
      <c r="B197" s="168">
        <v>42853</v>
      </c>
      <c r="C197" t="s">
        <v>382</v>
      </c>
      <c r="D197" t="s">
        <v>308</v>
      </c>
      <c r="E197" t="s">
        <v>383</v>
      </c>
      <c r="F197">
        <v>21446</v>
      </c>
      <c r="G197" t="s">
        <v>382</v>
      </c>
      <c r="H197"/>
      <c r="I197">
        <v>87.330001831054688</v>
      </c>
      <c r="J197">
        <v>-2.03716941177845E-2</v>
      </c>
      <c r="K197">
        <v>9.6275750000000011E-3</v>
      </c>
      <c r="L197">
        <v>3.6905800000000002E-3</v>
      </c>
      <c r="M197">
        <v>9.0912170000000004E-3</v>
      </c>
      <c r="N197" s="27">
        <f t="shared" si="32"/>
        <v>42853</v>
      </c>
      <c r="O197" s="110">
        <f t="shared" si="33"/>
        <v>-2.03716941177845E-2</v>
      </c>
      <c r="P197" s="110">
        <f t="shared" si="34"/>
        <v>9.6275750000000011E-3</v>
      </c>
      <c r="Q197" s="110">
        <f t="shared" si="35"/>
        <v>3.6905800000000002E-3</v>
      </c>
      <c r="R197" s="110">
        <f t="shared" si="36"/>
        <v>9.0912170000000004E-3</v>
      </c>
      <c r="S197" s="110">
        <f t="shared" si="28"/>
        <v>-2.03716941177845E-2</v>
      </c>
      <c r="T197" s="110">
        <f t="shared" si="29"/>
        <v>9.6275750000000011E-3</v>
      </c>
      <c r="U197" s="110">
        <f t="shared" si="30"/>
        <v>3.6905800000000002E-3</v>
      </c>
      <c r="V197" s="110">
        <f t="shared" si="31"/>
        <v>9.0912170000000004E-3</v>
      </c>
      <c r="AI197" s="131"/>
      <c r="AJ197" s="131"/>
      <c r="AK197" s="131"/>
      <c r="AL197" s="132"/>
    </row>
    <row r="198" spans="1:38" ht="15">
      <c r="A198">
        <v>18163</v>
      </c>
      <c r="B198" s="168">
        <v>42886</v>
      </c>
      <c r="C198" t="s">
        <v>382</v>
      </c>
      <c r="D198" t="s">
        <v>308</v>
      </c>
      <c r="E198" t="s">
        <v>383</v>
      </c>
      <c r="F198">
        <v>21446</v>
      </c>
      <c r="G198" t="s">
        <v>382</v>
      </c>
      <c r="H198"/>
      <c r="I198">
        <v>88.089996337890625</v>
      </c>
      <c r="J198">
        <v>8.7025593966245651E-3</v>
      </c>
      <c r="K198">
        <v>9.3033030000000006E-3</v>
      </c>
      <c r="L198">
        <v>-1.1327460000000001E-2</v>
      </c>
      <c r="M198">
        <v>1.157621E-2</v>
      </c>
      <c r="N198" s="27">
        <f t="shared" si="32"/>
        <v>42886</v>
      </c>
      <c r="O198" s="110">
        <f t="shared" si="33"/>
        <v>8.7025593966245651E-3</v>
      </c>
      <c r="P198" s="110">
        <f t="shared" si="34"/>
        <v>9.3033030000000006E-3</v>
      </c>
      <c r="Q198" s="110">
        <f t="shared" si="35"/>
        <v>-1.1327460000000001E-2</v>
      </c>
      <c r="R198" s="110">
        <f t="shared" si="36"/>
        <v>1.157621E-2</v>
      </c>
      <c r="S198" s="110">
        <f t="shared" si="28"/>
        <v>8.7025593966245651E-3</v>
      </c>
      <c r="T198" s="110">
        <f t="shared" si="29"/>
        <v>9.3033030000000006E-3</v>
      </c>
      <c r="U198" s="110">
        <f t="shared" si="30"/>
        <v>-1.1327460000000001E-2</v>
      </c>
      <c r="V198" s="110">
        <f t="shared" si="31"/>
        <v>1.157621E-2</v>
      </c>
      <c r="AI198" s="131"/>
      <c r="AJ198" s="131"/>
      <c r="AK198" s="131"/>
      <c r="AL198" s="132"/>
    </row>
    <row r="199" spans="1:38" ht="15">
      <c r="A199">
        <v>18163</v>
      </c>
      <c r="B199" s="168">
        <v>42916</v>
      </c>
      <c r="C199" t="s">
        <v>382</v>
      </c>
      <c r="D199" t="s">
        <v>308</v>
      </c>
      <c r="E199" t="s">
        <v>383</v>
      </c>
      <c r="F199">
        <v>21446</v>
      </c>
      <c r="G199" t="s">
        <v>382</v>
      </c>
      <c r="H199"/>
      <c r="I199">
        <v>87.150001525878906</v>
      </c>
      <c r="J199">
        <v>-1.0670846328139305E-2</v>
      </c>
      <c r="K199">
        <v>9.5514930000000012E-3</v>
      </c>
      <c r="L199">
        <v>2.2944920000000001E-2</v>
      </c>
      <c r="M199">
        <v>4.8138320000000005E-3</v>
      </c>
      <c r="N199" s="27">
        <f t="shared" si="32"/>
        <v>42916</v>
      </c>
      <c r="O199" s="110">
        <f t="shared" si="33"/>
        <v>-1.0670846328139305E-2</v>
      </c>
      <c r="P199" s="110">
        <f t="shared" si="34"/>
        <v>9.5514930000000012E-3</v>
      </c>
      <c r="Q199" s="110">
        <f t="shared" si="35"/>
        <v>2.2944920000000001E-2</v>
      </c>
      <c r="R199" s="110">
        <f t="shared" si="36"/>
        <v>4.8138320000000005E-3</v>
      </c>
      <c r="S199" s="110">
        <f t="shared" si="28"/>
        <v>-1.0670846328139305E-2</v>
      </c>
      <c r="T199" s="110">
        <f t="shared" si="29"/>
        <v>9.5514930000000012E-3</v>
      </c>
      <c r="U199" s="110">
        <f t="shared" si="30"/>
        <v>2.2944920000000001E-2</v>
      </c>
      <c r="V199" s="110">
        <f t="shared" si="31"/>
        <v>4.8138320000000005E-3</v>
      </c>
      <c r="AI199" s="131"/>
      <c r="AJ199" s="131"/>
      <c r="AK199" s="131"/>
      <c r="AL199" s="132"/>
    </row>
    <row r="200" spans="1:38" ht="15">
      <c r="A200">
        <v>18163</v>
      </c>
      <c r="B200" s="168">
        <v>42947</v>
      </c>
      <c r="C200" t="s">
        <v>382</v>
      </c>
      <c r="D200" t="s">
        <v>308</v>
      </c>
      <c r="E200" t="s">
        <v>383</v>
      </c>
      <c r="F200">
        <v>21446</v>
      </c>
      <c r="G200" t="s">
        <v>382</v>
      </c>
      <c r="H200"/>
      <c r="I200">
        <v>90.819999694824219</v>
      </c>
      <c r="J200">
        <v>5.0024073570966721E-2</v>
      </c>
      <c r="K200">
        <v>2.030879E-2</v>
      </c>
      <c r="L200">
        <v>9.089036E-3</v>
      </c>
      <c r="M200">
        <v>1.9348770000000001E-2</v>
      </c>
      <c r="N200" s="27">
        <f t="shared" si="32"/>
        <v>42947</v>
      </c>
      <c r="O200" s="110">
        <f t="shared" si="33"/>
        <v>5.0024073570966721E-2</v>
      </c>
      <c r="P200" s="110">
        <f t="shared" si="34"/>
        <v>2.030879E-2</v>
      </c>
      <c r="Q200" s="110">
        <f t="shared" si="35"/>
        <v>9.089036E-3</v>
      </c>
      <c r="R200" s="110">
        <f t="shared" si="36"/>
        <v>1.9348770000000001E-2</v>
      </c>
      <c r="S200" s="110">
        <f t="shared" si="28"/>
        <v>5.0024073570966721E-2</v>
      </c>
      <c r="T200" s="110">
        <f t="shared" si="29"/>
        <v>2.030879E-2</v>
      </c>
      <c r="U200" s="110">
        <f t="shared" si="30"/>
        <v>9.089036E-3</v>
      </c>
      <c r="V200" s="110">
        <f t="shared" si="31"/>
        <v>1.9348770000000001E-2</v>
      </c>
      <c r="AI200" s="131"/>
      <c r="AJ200" s="131"/>
      <c r="AK200" s="131"/>
      <c r="AL200" s="132"/>
    </row>
    <row r="201" spans="1:38" ht="15">
      <c r="A201">
        <v>18163</v>
      </c>
      <c r="B201" s="168">
        <v>42978</v>
      </c>
      <c r="C201" t="s">
        <v>382</v>
      </c>
      <c r="D201" t="s">
        <v>308</v>
      </c>
      <c r="E201" t="s">
        <v>383</v>
      </c>
      <c r="F201">
        <v>21446</v>
      </c>
      <c r="G201" t="s">
        <v>382</v>
      </c>
      <c r="H201"/>
      <c r="I201">
        <v>92.269996643066406</v>
      </c>
      <c r="J201">
        <v>1.5965612605214119E-2</v>
      </c>
      <c r="K201">
        <v>1.5746460000000001E-3</v>
      </c>
      <c r="L201">
        <v>-8.7395120000000014E-3</v>
      </c>
      <c r="M201">
        <v>5.4649229999999998E-4</v>
      </c>
      <c r="N201" s="27">
        <f t="shared" si="32"/>
        <v>42978</v>
      </c>
      <c r="O201" s="110">
        <f t="shared" si="33"/>
        <v>1.5965612605214119E-2</v>
      </c>
      <c r="P201" s="110">
        <f t="shared" si="34"/>
        <v>1.5746460000000001E-3</v>
      </c>
      <c r="Q201" s="110">
        <f t="shared" si="35"/>
        <v>-8.7395120000000014E-3</v>
      </c>
      <c r="R201" s="110">
        <f t="shared" si="36"/>
        <v>5.4649229999999998E-4</v>
      </c>
      <c r="S201" s="110">
        <f t="shared" si="28"/>
        <v>1.5965612605214119E-2</v>
      </c>
      <c r="T201" s="110">
        <f t="shared" si="29"/>
        <v>1.5746460000000001E-3</v>
      </c>
      <c r="U201" s="110">
        <f t="shared" si="30"/>
        <v>-8.7395120000000014E-3</v>
      </c>
      <c r="V201" s="110">
        <f t="shared" si="31"/>
        <v>5.4649229999999998E-4</v>
      </c>
      <c r="AI201" s="131"/>
      <c r="AJ201" s="131"/>
      <c r="AK201" s="131"/>
      <c r="AL201" s="132"/>
    </row>
    <row r="202" spans="1:38" ht="15">
      <c r="A202">
        <v>18163</v>
      </c>
      <c r="B202" s="168">
        <v>43007</v>
      </c>
      <c r="C202" t="s">
        <v>382</v>
      </c>
      <c r="D202" t="s">
        <v>308</v>
      </c>
      <c r="E202" t="s">
        <v>383</v>
      </c>
      <c r="F202">
        <v>21446</v>
      </c>
      <c r="G202" t="s">
        <v>382</v>
      </c>
      <c r="H202"/>
      <c r="I202">
        <v>90.980003356933594</v>
      </c>
      <c r="J202">
        <v>-1.398063637316227E-2</v>
      </c>
      <c r="K202">
        <v>2.3777450000000002E-2</v>
      </c>
      <c r="L202">
        <v>4.6862519999999998E-2</v>
      </c>
      <c r="M202">
        <v>1.9302900000000001E-2</v>
      </c>
      <c r="N202" s="27">
        <f t="shared" si="32"/>
        <v>43007</v>
      </c>
      <c r="O202" s="110">
        <f t="shared" si="33"/>
        <v>-1.398063637316227E-2</v>
      </c>
      <c r="P202" s="110">
        <f t="shared" si="34"/>
        <v>2.3777450000000002E-2</v>
      </c>
      <c r="Q202" s="110">
        <f t="shared" si="35"/>
        <v>4.6862519999999998E-2</v>
      </c>
      <c r="R202" s="110">
        <f t="shared" si="36"/>
        <v>1.9302900000000001E-2</v>
      </c>
      <c r="S202" s="110">
        <f t="shared" si="28"/>
        <v>-1.398063637316227E-2</v>
      </c>
      <c r="T202" s="110">
        <f t="shared" si="29"/>
        <v>2.3777450000000002E-2</v>
      </c>
      <c r="U202" s="110">
        <f t="shared" si="30"/>
        <v>4.6862519999999998E-2</v>
      </c>
      <c r="V202" s="110">
        <f t="shared" si="31"/>
        <v>1.9302900000000001E-2</v>
      </c>
      <c r="AI202" s="131"/>
      <c r="AJ202" s="131"/>
      <c r="AK202" s="131"/>
      <c r="AL202" s="132"/>
    </row>
    <row r="203" spans="1:38" ht="15">
      <c r="A203">
        <v>18163</v>
      </c>
      <c r="B203" s="168">
        <v>43039</v>
      </c>
      <c r="C203" t="s">
        <v>382</v>
      </c>
      <c r="D203" t="s">
        <v>308</v>
      </c>
      <c r="E203" t="s">
        <v>383</v>
      </c>
      <c r="F203">
        <v>21446</v>
      </c>
      <c r="G203" t="s">
        <v>382</v>
      </c>
      <c r="H203"/>
      <c r="I203">
        <v>86.339996337890625</v>
      </c>
      <c r="J203">
        <v>-4.3420609086751938E-2</v>
      </c>
      <c r="K203">
        <v>1.9276790000000002E-2</v>
      </c>
      <c r="L203">
        <v>2.2166500000000001E-3</v>
      </c>
      <c r="M203">
        <v>2.2188180000000002E-2</v>
      </c>
      <c r="N203" s="27">
        <f t="shared" si="32"/>
        <v>43039</v>
      </c>
      <c r="O203" s="110">
        <f t="shared" si="33"/>
        <v>-4.3420609086751938E-2</v>
      </c>
      <c r="P203" s="110">
        <f t="shared" si="34"/>
        <v>1.9276790000000002E-2</v>
      </c>
      <c r="Q203" s="110">
        <f t="shared" si="35"/>
        <v>2.2166500000000001E-3</v>
      </c>
      <c r="R203" s="110">
        <f t="shared" si="36"/>
        <v>2.2188180000000002E-2</v>
      </c>
      <c r="S203" s="110">
        <f t="shared" si="28"/>
        <v>-4.3420609086751938E-2</v>
      </c>
      <c r="T203" s="110">
        <f t="shared" si="29"/>
        <v>1.9276790000000002E-2</v>
      </c>
      <c r="U203" s="110">
        <f t="shared" si="30"/>
        <v>2.2166500000000001E-3</v>
      </c>
      <c r="V203" s="110">
        <f t="shared" si="31"/>
        <v>2.2188180000000002E-2</v>
      </c>
      <c r="AI203" s="131"/>
      <c r="AJ203" s="131"/>
      <c r="AK203" s="131"/>
      <c r="AL203" s="132"/>
    </row>
    <row r="204" spans="1:38" ht="15">
      <c r="A204">
        <v>18163</v>
      </c>
      <c r="B204" s="168">
        <v>43069</v>
      </c>
      <c r="C204" t="s">
        <v>382</v>
      </c>
      <c r="D204" t="s">
        <v>308</v>
      </c>
      <c r="E204" t="s">
        <v>383</v>
      </c>
      <c r="F204">
        <v>21446</v>
      </c>
      <c r="G204" t="s">
        <v>382</v>
      </c>
      <c r="H204"/>
      <c r="I204">
        <v>89.989997863769531</v>
      </c>
      <c r="J204">
        <v>4.2274747043848038E-2</v>
      </c>
      <c r="K204">
        <v>2.7252490000000001E-2</v>
      </c>
      <c r="L204">
        <v>2.0847640000000001E-2</v>
      </c>
      <c r="M204">
        <v>2.8082599999999999E-2</v>
      </c>
      <c r="N204" s="27">
        <f t="shared" si="32"/>
        <v>43069</v>
      </c>
      <c r="O204" s="110">
        <f t="shared" si="33"/>
        <v>4.2274747043848038E-2</v>
      </c>
      <c r="P204" s="110">
        <f t="shared" si="34"/>
        <v>2.7252490000000001E-2</v>
      </c>
      <c r="Q204" s="110">
        <f t="shared" si="35"/>
        <v>2.0847640000000001E-2</v>
      </c>
      <c r="R204" s="110">
        <f t="shared" si="36"/>
        <v>2.8082599999999999E-2</v>
      </c>
      <c r="S204" s="110">
        <f t="shared" ref="S204:S241" si="37">IF(AND(($X$15-4)&lt;=$N204,($X$16)&gt;=($N204-4)),J204," ")</f>
        <v>4.2274747043848038E-2</v>
      </c>
      <c r="T204" s="110">
        <f t="shared" ref="T204:T241" si="38">IF(AND(($X$15-4)&lt;=$N204,($X$16)&gt;=($N204-4)),K204," ")</f>
        <v>2.7252490000000001E-2</v>
      </c>
      <c r="U204" s="110">
        <f t="shared" ref="U204:U241" si="39">IF(AND(($X$15-4)&lt;=$N204,($X$16)&gt;=($N204-4)),L204," ")</f>
        <v>2.0847640000000001E-2</v>
      </c>
      <c r="V204" s="110">
        <f t="shared" si="31"/>
        <v>2.8082599999999999E-2</v>
      </c>
      <c r="AI204" s="131"/>
      <c r="AJ204" s="131"/>
      <c r="AK204" s="131"/>
      <c r="AL204" s="132"/>
    </row>
    <row r="205" spans="1:38" ht="15">
      <c r="A205">
        <v>18163</v>
      </c>
      <c r="B205" s="168">
        <v>43098</v>
      </c>
      <c r="C205" t="s">
        <v>382</v>
      </c>
      <c r="D205" t="s">
        <v>308</v>
      </c>
      <c r="E205" t="s">
        <v>383</v>
      </c>
      <c r="F205">
        <v>21446</v>
      </c>
      <c r="G205" t="s">
        <v>382</v>
      </c>
      <c r="H205"/>
      <c r="I205">
        <v>91.879997253417969</v>
      </c>
      <c r="J205">
        <v>2.1002328023314476E-2</v>
      </c>
      <c r="K205">
        <v>1.2152690000000001E-2</v>
      </c>
      <c r="L205">
        <v>1.4234210000000001E-2</v>
      </c>
      <c r="M205">
        <v>9.8316189999999998E-3</v>
      </c>
      <c r="N205" s="27">
        <f t="shared" si="32"/>
        <v>43098</v>
      </c>
      <c r="O205" s="110">
        <f t="shared" si="33"/>
        <v>2.1002328023314476E-2</v>
      </c>
      <c r="P205" s="110">
        <f t="shared" si="34"/>
        <v>1.2152690000000001E-2</v>
      </c>
      <c r="Q205" s="110">
        <f t="shared" si="35"/>
        <v>1.4234210000000001E-2</v>
      </c>
      <c r="R205" s="110">
        <f t="shared" si="36"/>
        <v>9.8316189999999998E-3</v>
      </c>
      <c r="S205" s="110">
        <f t="shared" si="37"/>
        <v>2.1002328023314476E-2</v>
      </c>
      <c r="T205" s="110">
        <f t="shared" si="38"/>
        <v>1.2152690000000001E-2</v>
      </c>
      <c r="U205" s="110">
        <f t="shared" si="39"/>
        <v>1.4234210000000001E-2</v>
      </c>
      <c r="V205" s="110">
        <f t="shared" si="31"/>
        <v>9.8316189999999998E-3</v>
      </c>
      <c r="AI205" s="131"/>
      <c r="AJ205" s="131"/>
      <c r="AK205" s="131"/>
      <c r="AL205" s="132"/>
    </row>
    <row r="206" spans="1:38" ht="15">
      <c r="A206">
        <v>18163</v>
      </c>
      <c r="B206" s="168">
        <v>43131</v>
      </c>
      <c r="C206" t="s">
        <v>382</v>
      </c>
      <c r="D206" t="s">
        <v>308</v>
      </c>
      <c r="E206" t="s">
        <v>383</v>
      </c>
      <c r="F206">
        <v>21446</v>
      </c>
      <c r="G206" t="s">
        <v>382</v>
      </c>
      <c r="H206"/>
      <c r="I206">
        <v>86.339996337890625</v>
      </c>
      <c r="J206">
        <v>-5.2790608257055283E-2</v>
      </c>
      <c r="K206">
        <v>5.0626650000000002E-2</v>
      </c>
      <c r="L206">
        <v>2.9440070000000002E-2</v>
      </c>
      <c r="M206">
        <v>5.6178730000000003E-2</v>
      </c>
      <c r="N206" s="27">
        <f t="shared" si="32"/>
        <v>43131</v>
      </c>
      <c r="O206" s="110">
        <f t="shared" si="33"/>
        <v>-5.2790608257055283E-2</v>
      </c>
      <c r="P206" s="110">
        <f t="shared" si="34"/>
        <v>5.0626650000000002E-2</v>
      </c>
      <c r="Q206" s="110">
        <f t="shared" si="35"/>
        <v>2.9440070000000002E-2</v>
      </c>
      <c r="R206" s="110">
        <f t="shared" si="36"/>
        <v>5.6178730000000003E-2</v>
      </c>
      <c r="S206" s="110">
        <f t="shared" si="37"/>
        <v>-5.2790608257055283E-2</v>
      </c>
      <c r="T206" s="110">
        <f t="shared" si="38"/>
        <v>5.0626650000000002E-2</v>
      </c>
      <c r="U206" s="110">
        <f t="shared" si="39"/>
        <v>2.9440070000000002E-2</v>
      </c>
      <c r="V206" s="110">
        <f t="shared" si="31"/>
        <v>5.6178730000000003E-2</v>
      </c>
      <c r="AI206" s="131"/>
      <c r="AJ206" s="131"/>
      <c r="AK206" s="131"/>
      <c r="AL206" s="132"/>
    </row>
    <row r="207" spans="1:38" ht="15">
      <c r="A207">
        <v>18163</v>
      </c>
      <c r="B207" s="168">
        <v>43159</v>
      </c>
      <c r="C207" t="s">
        <v>382</v>
      </c>
      <c r="D207" t="s">
        <v>308</v>
      </c>
      <c r="E207" t="s">
        <v>383</v>
      </c>
      <c r="F207">
        <v>21446</v>
      </c>
      <c r="G207" t="s">
        <v>382</v>
      </c>
      <c r="H207"/>
      <c r="I207">
        <v>78.519996643066406</v>
      </c>
      <c r="J207">
        <v>-9.0572156012058258E-2</v>
      </c>
      <c r="K207">
        <v>-3.9511110000000002E-2</v>
      </c>
      <c r="L207">
        <v>-4.003951E-2</v>
      </c>
      <c r="M207">
        <v>-3.8947380000000004E-2</v>
      </c>
      <c r="N207" s="27">
        <f t="shared" si="32"/>
        <v>43159</v>
      </c>
      <c r="O207" s="110">
        <f t="shared" si="33"/>
        <v>-9.0572156012058258E-2</v>
      </c>
      <c r="P207" s="110">
        <f t="shared" si="34"/>
        <v>-3.9511110000000002E-2</v>
      </c>
      <c r="Q207" s="110">
        <f t="shared" si="35"/>
        <v>-4.003951E-2</v>
      </c>
      <c r="R207" s="110">
        <f t="shared" si="36"/>
        <v>-3.8947380000000004E-2</v>
      </c>
      <c r="S207" s="110">
        <f t="shared" si="37"/>
        <v>-9.0572156012058258E-2</v>
      </c>
      <c r="T207" s="110">
        <f t="shared" si="38"/>
        <v>-3.9511110000000002E-2</v>
      </c>
      <c r="U207" s="110">
        <f t="shared" si="39"/>
        <v>-4.003951E-2</v>
      </c>
      <c r="V207" s="110">
        <f t="shared" si="31"/>
        <v>-3.8947380000000004E-2</v>
      </c>
      <c r="AI207" s="131"/>
      <c r="AJ207" s="131"/>
      <c r="AK207" s="131"/>
      <c r="AL207" s="132"/>
    </row>
    <row r="208" spans="1:38" ht="15">
      <c r="A208">
        <v>18163</v>
      </c>
      <c r="B208" s="168">
        <v>43188</v>
      </c>
      <c r="C208" t="s">
        <v>382</v>
      </c>
      <c r="D208" t="s">
        <v>308</v>
      </c>
      <c r="E208" t="s">
        <v>383</v>
      </c>
      <c r="F208">
        <v>21446</v>
      </c>
      <c r="G208" t="s">
        <v>382</v>
      </c>
      <c r="H208"/>
      <c r="I208">
        <v>79.279998779296875</v>
      </c>
      <c r="J208">
        <v>9.6790902316570282E-3</v>
      </c>
      <c r="K208">
        <v>-1.845426E-2</v>
      </c>
      <c r="L208">
        <v>1.1827550000000002E-3</v>
      </c>
      <c r="M208">
        <v>-2.688451E-2</v>
      </c>
      <c r="N208" s="27">
        <f t="shared" si="32"/>
        <v>43188</v>
      </c>
      <c r="O208" s="110">
        <f t="shared" si="33"/>
        <v>9.6790902316570282E-3</v>
      </c>
      <c r="P208" s="110">
        <f t="shared" si="34"/>
        <v>-1.845426E-2</v>
      </c>
      <c r="Q208" s="110">
        <f t="shared" si="35"/>
        <v>1.1827550000000002E-3</v>
      </c>
      <c r="R208" s="110">
        <f t="shared" si="36"/>
        <v>-2.688451E-2</v>
      </c>
      <c r="S208" s="110">
        <f t="shared" si="37"/>
        <v>9.6790902316570282E-3</v>
      </c>
      <c r="T208" s="110">
        <f t="shared" si="38"/>
        <v>-1.845426E-2</v>
      </c>
      <c r="U208" s="110">
        <f t="shared" si="39"/>
        <v>1.1827550000000002E-3</v>
      </c>
      <c r="V208" s="110">
        <f t="shared" ref="V208:V241" si="40">IF(AND(($X$15-4)&lt;=$N208,($X$16)&gt;=($N208-4)),M208," ")</f>
        <v>-2.688451E-2</v>
      </c>
      <c r="AI208" s="131"/>
      <c r="AJ208" s="131"/>
      <c r="AK208" s="131"/>
      <c r="AL208" s="132"/>
    </row>
    <row r="209" spans="1:38" ht="15">
      <c r="A209">
        <v>18163</v>
      </c>
      <c r="B209" s="168">
        <v>43220</v>
      </c>
      <c r="C209" t="s">
        <v>382</v>
      </c>
      <c r="D209" t="s">
        <v>308</v>
      </c>
      <c r="E209" t="s">
        <v>383</v>
      </c>
      <c r="F209">
        <v>21446</v>
      </c>
      <c r="G209" t="s">
        <v>382</v>
      </c>
      <c r="H209"/>
      <c r="I209">
        <v>72.339996337890625</v>
      </c>
      <c r="J209">
        <v>-7.8491456806659698E-2</v>
      </c>
      <c r="K209">
        <v>4.710115E-3</v>
      </c>
      <c r="L209">
        <v>8.2052779999999999E-3</v>
      </c>
      <c r="M209">
        <v>2.7188010000000003E-3</v>
      </c>
      <c r="N209" s="27">
        <f t="shared" si="32"/>
        <v>43220</v>
      </c>
      <c r="O209" s="110">
        <f t="shared" si="33"/>
        <v>-7.8491456806659698E-2</v>
      </c>
      <c r="P209" s="110">
        <f t="shared" si="34"/>
        <v>4.710115E-3</v>
      </c>
      <c r="Q209" s="110">
        <f t="shared" si="35"/>
        <v>8.2052779999999999E-3</v>
      </c>
      <c r="R209" s="110">
        <f t="shared" si="36"/>
        <v>2.7188010000000003E-3</v>
      </c>
      <c r="S209" s="110">
        <f t="shared" si="37"/>
        <v>-7.8491456806659698E-2</v>
      </c>
      <c r="T209" s="110">
        <f t="shared" si="38"/>
        <v>4.710115E-3</v>
      </c>
      <c r="U209" s="110">
        <f t="shared" si="39"/>
        <v>8.2052779999999999E-3</v>
      </c>
      <c r="V209" s="110">
        <f t="shared" si="40"/>
        <v>2.7188010000000003E-3</v>
      </c>
      <c r="AI209" s="131"/>
      <c r="AJ209" s="131"/>
      <c r="AK209" s="131"/>
      <c r="AL209" s="132"/>
    </row>
    <row r="210" spans="1:38" ht="15">
      <c r="A210">
        <v>18163</v>
      </c>
      <c r="B210" s="168">
        <v>43251</v>
      </c>
      <c r="C210" t="s">
        <v>382</v>
      </c>
      <c r="D210" t="s">
        <v>308</v>
      </c>
      <c r="E210" t="s">
        <v>383</v>
      </c>
      <c r="F210">
        <v>21446</v>
      </c>
      <c r="G210" t="s">
        <v>382</v>
      </c>
      <c r="H210"/>
      <c r="I210">
        <v>73.169998168945312</v>
      </c>
      <c r="J210">
        <v>1.1473623104393482E-2</v>
      </c>
      <c r="K210">
        <v>2.6174670000000001E-2</v>
      </c>
      <c r="L210">
        <v>3.4611799999999998E-2</v>
      </c>
      <c r="M210">
        <v>2.1608350000000002E-2</v>
      </c>
      <c r="N210" s="27">
        <f t="shared" si="32"/>
        <v>43251</v>
      </c>
      <c r="O210" s="110">
        <f t="shared" si="33"/>
        <v>1.1473623104393482E-2</v>
      </c>
      <c r="P210" s="110">
        <f t="shared" si="34"/>
        <v>2.6174670000000001E-2</v>
      </c>
      <c r="Q210" s="110">
        <f t="shared" si="35"/>
        <v>3.4611799999999998E-2</v>
      </c>
      <c r="R210" s="110">
        <f t="shared" si="36"/>
        <v>2.1608350000000002E-2</v>
      </c>
      <c r="S210" s="110">
        <f t="shared" si="37"/>
        <v>1.1473623104393482E-2</v>
      </c>
      <c r="T210" s="110">
        <f t="shared" si="38"/>
        <v>2.6174670000000001E-2</v>
      </c>
      <c r="U210" s="110">
        <f t="shared" si="39"/>
        <v>3.4611799999999998E-2</v>
      </c>
      <c r="V210" s="110">
        <f t="shared" si="40"/>
        <v>2.1608350000000002E-2</v>
      </c>
      <c r="AI210" s="131"/>
      <c r="AJ210" s="131"/>
      <c r="AK210" s="131"/>
      <c r="AL210" s="132"/>
    </row>
    <row r="211" spans="1:38" ht="15">
      <c r="A211">
        <v>18163</v>
      </c>
      <c r="B211" s="168">
        <v>43280</v>
      </c>
      <c r="C211" t="s">
        <v>382</v>
      </c>
      <c r="D211" t="s">
        <v>308</v>
      </c>
      <c r="E211" t="s">
        <v>383</v>
      </c>
      <c r="F211">
        <v>21446</v>
      </c>
      <c r="G211" t="s">
        <v>382</v>
      </c>
      <c r="H211"/>
      <c r="I211">
        <v>78.05999755859375</v>
      </c>
      <c r="J211">
        <v>6.6830664873123169E-2</v>
      </c>
      <c r="K211">
        <v>5.362637E-3</v>
      </c>
      <c r="L211">
        <v>2.8185080000000004E-3</v>
      </c>
      <c r="M211">
        <v>4.8424000000000002E-3</v>
      </c>
      <c r="N211" s="27">
        <f t="shared" si="32"/>
        <v>43280</v>
      </c>
      <c r="O211" s="110">
        <f t="shared" si="33"/>
        <v>6.6830664873123169E-2</v>
      </c>
      <c r="P211" s="110">
        <f t="shared" si="34"/>
        <v>5.362637E-3</v>
      </c>
      <c r="Q211" s="110">
        <f t="shared" si="35"/>
        <v>2.8185080000000004E-3</v>
      </c>
      <c r="R211" s="110">
        <f t="shared" si="36"/>
        <v>4.8424000000000002E-3</v>
      </c>
      <c r="S211" s="110">
        <f t="shared" si="37"/>
        <v>6.6830664873123169E-2</v>
      </c>
      <c r="T211" s="110">
        <f t="shared" si="38"/>
        <v>5.362637E-3</v>
      </c>
      <c r="U211" s="110">
        <f t="shared" si="39"/>
        <v>2.8185080000000004E-3</v>
      </c>
      <c r="V211" s="110">
        <f t="shared" si="40"/>
        <v>4.8424000000000002E-3</v>
      </c>
      <c r="AI211" s="131"/>
      <c r="AJ211" s="131"/>
      <c r="AK211" s="131"/>
      <c r="AL211" s="132"/>
    </row>
    <row r="212" spans="1:38" ht="15">
      <c r="A212">
        <v>18163</v>
      </c>
      <c r="B212" s="168">
        <v>43312</v>
      </c>
      <c r="C212" t="s">
        <v>382</v>
      </c>
      <c r="D212" t="s">
        <v>308</v>
      </c>
      <c r="E212" t="s">
        <v>383</v>
      </c>
      <c r="F212">
        <v>21446</v>
      </c>
      <c r="G212" t="s">
        <v>382</v>
      </c>
      <c r="H212"/>
      <c r="I212">
        <v>80.879997253417969</v>
      </c>
      <c r="J212">
        <v>4.531385749578476E-2</v>
      </c>
      <c r="K212">
        <v>3.1602690000000003E-2</v>
      </c>
      <c r="L212">
        <v>6.8001550000000004E-3</v>
      </c>
      <c r="M212">
        <v>3.6021589999999999E-2</v>
      </c>
      <c r="N212" s="27">
        <f t="shared" si="32"/>
        <v>43312</v>
      </c>
      <c r="O212" s="110">
        <f t="shared" si="33"/>
        <v>4.531385749578476E-2</v>
      </c>
      <c r="P212" s="110">
        <f t="shared" si="34"/>
        <v>3.1602690000000003E-2</v>
      </c>
      <c r="Q212" s="110">
        <f t="shared" si="35"/>
        <v>6.8001550000000004E-3</v>
      </c>
      <c r="R212" s="110">
        <f t="shared" si="36"/>
        <v>3.6021589999999999E-2</v>
      </c>
      <c r="S212" s="110">
        <f t="shared" si="37"/>
        <v>4.531385749578476E-2</v>
      </c>
      <c r="T212" s="110">
        <f t="shared" si="38"/>
        <v>3.1602690000000003E-2</v>
      </c>
      <c r="U212" s="110">
        <f t="shared" si="39"/>
        <v>6.8001550000000004E-3</v>
      </c>
      <c r="V212" s="110">
        <f t="shared" si="40"/>
        <v>3.6021589999999999E-2</v>
      </c>
      <c r="AI212" s="131"/>
      <c r="AJ212" s="131"/>
      <c r="AK212" s="131"/>
      <c r="AL212" s="132"/>
    </row>
    <row r="213" spans="1:38" ht="15">
      <c r="A213">
        <v>18163</v>
      </c>
      <c r="B213" s="168">
        <v>43343</v>
      </c>
      <c r="C213" t="s">
        <v>382</v>
      </c>
      <c r="D213" t="s">
        <v>308</v>
      </c>
      <c r="E213" t="s">
        <v>383</v>
      </c>
      <c r="F213">
        <v>21446</v>
      </c>
      <c r="G213" t="s">
        <v>382</v>
      </c>
      <c r="H213"/>
      <c r="I213">
        <v>82.949996948242188</v>
      </c>
      <c r="J213">
        <v>2.55934689193964E-2</v>
      </c>
      <c r="K213">
        <v>3.0204399999999999E-2</v>
      </c>
      <c r="L213">
        <v>1.91577E-2</v>
      </c>
      <c r="M213">
        <v>3.026322E-2</v>
      </c>
      <c r="N213" s="27">
        <f t="shared" si="32"/>
        <v>43343</v>
      </c>
      <c r="O213" s="110">
        <f t="shared" si="33"/>
        <v>2.55934689193964E-2</v>
      </c>
      <c r="P213" s="110">
        <f t="shared" si="34"/>
        <v>3.0204399999999999E-2</v>
      </c>
      <c r="Q213" s="110">
        <f t="shared" si="35"/>
        <v>1.91577E-2</v>
      </c>
      <c r="R213" s="110">
        <f t="shared" si="36"/>
        <v>3.026322E-2</v>
      </c>
      <c r="S213" s="110">
        <f t="shared" si="37"/>
        <v>2.55934689193964E-2</v>
      </c>
      <c r="T213" s="110">
        <f t="shared" si="38"/>
        <v>3.0204399999999999E-2</v>
      </c>
      <c r="U213" s="110">
        <f t="shared" si="39"/>
        <v>1.91577E-2</v>
      </c>
      <c r="V213" s="110">
        <f t="shared" si="40"/>
        <v>3.026322E-2</v>
      </c>
      <c r="AI213" s="131"/>
      <c r="AJ213" s="131"/>
      <c r="AK213" s="131"/>
      <c r="AL213" s="132"/>
    </row>
    <row r="214" spans="1:38" ht="15">
      <c r="A214">
        <v>18163</v>
      </c>
      <c r="B214" s="168">
        <v>43371</v>
      </c>
      <c r="C214" t="s">
        <v>382</v>
      </c>
      <c r="D214" t="s">
        <v>308</v>
      </c>
      <c r="E214" t="s">
        <v>383</v>
      </c>
      <c r="F214">
        <v>21446</v>
      </c>
      <c r="G214" t="s">
        <v>382</v>
      </c>
      <c r="H214"/>
      <c r="I214">
        <v>83.230003356933594</v>
      </c>
      <c r="J214">
        <v>3.3756047487258911E-3</v>
      </c>
      <c r="K214">
        <v>4.32142E-4</v>
      </c>
      <c r="L214">
        <v>-1.031412E-2</v>
      </c>
      <c r="M214">
        <v>4.2943010000000004E-3</v>
      </c>
      <c r="N214" s="27">
        <f t="shared" si="32"/>
        <v>43371</v>
      </c>
      <c r="O214" s="110">
        <f t="shared" si="33"/>
        <v>3.3756047487258911E-3</v>
      </c>
      <c r="P214" s="110">
        <f t="shared" si="34"/>
        <v>4.32142E-4</v>
      </c>
      <c r="Q214" s="110">
        <f t="shared" si="35"/>
        <v>-1.031412E-2</v>
      </c>
      <c r="R214" s="110">
        <f t="shared" si="36"/>
        <v>4.2943010000000004E-3</v>
      </c>
      <c r="S214" s="110">
        <f t="shared" si="37"/>
        <v>3.3756047487258911E-3</v>
      </c>
      <c r="T214" s="110">
        <f t="shared" si="38"/>
        <v>4.32142E-4</v>
      </c>
      <c r="U214" s="110">
        <f t="shared" si="39"/>
        <v>-1.031412E-2</v>
      </c>
      <c r="V214" s="110">
        <f t="shared" si="40"/>
        <v>4.2943010000000004E-3</v>
      </c>
      <c r="AI214" s="131"/>
      <c r="AJ214" s="131"/>
      <c r="AK214" s="131"/>
      <c r="AL214" s="132"/>
    </row>
    <row r="215" spans="1:38" ht="15">
      <c r="A215">
        <v>18163</v>
      </c>
      <c r="B215" s="168">
        <v>43404</v>
      </c>
      <c r="C215" t="s">
        <v>382</v>
      </c>
      <c r="D215" t="s">
        <v>308</v>
      </c>
      <c r="E215" t="s">
        <v>383</v>
      </c>
      <c r="F215">
        <v>21446</v>
      </c>
      <c r="G215" t="s">
        <v>382</v>
      </c>
      <c r="H215"/>
      <c r="I215">
        <v>88.680000305175781</v>
      </c>
      <c r="J215">
        <v>7.4098244309425354E-2</v>
      </c>
      <c r="K215">
        <v>-7.4075700000000008E-2</v>
      </c>
      <c r="L215">
        <v>-8.2433290000000006E-2</v>
      </c>
      <c r="M215">
        <v>-6.9403359999999997E-2</v>
      </c>
      <c r="N215" s="27">
        <f t="shared" si="32"/>
        <v>43404</v>
      </c>
      <c r="O215" s="110">
        <f t="shared" si="33"/>
        <v>7.4098244309425354E-2</v>
      </c>
      <c r="P215" s="110">
        <f t="shared" si="34"/>
        <v>-7.4075700000000008E-2</v>
      </c>
      <c r="Q215" s="110">
        <f t="shared" si="35"/>
        <v>-8.2433290000000006E-2</v>
      </c>
      <c r="R215" s="110">
        <f t="shared" si="36"/>
        <v>-6.9403359999999997E-2</v>
      </c>
      <c r="S215" s="110">
        <f t="shared" si="37"/>
        <v>7.4098244309425354E-2</v>
      </c>
      <c r="T215" s="110">
        <f t="shared" si="38"/>
        <v>-7.4075700000000008E-2</v>
      </c>
      <c r="U215" s="110">
        <f t="shared" si="39"/>
        <v>-8.2433290000000006E-2</v>
      </c>
      <c r="V215" s="110">
        <f t="shared" si="40"/>
        <v>-6.9403359999999997E-2</v>
      </c>
      <c r="AI215" s="131"/>
      <c r="AJ215" s="131"/>
      <c r="AK215" s="131"/>
      <c r="AL215" s="132"/>
    </row>
    <row r="216" spans="1:38" ht="15">
      <c r="A216">
        <v>18163</v>
      </c>
      <c r="B216" s="168">
        <v>43434</v>
      </c>
      <c r="C216" t="s">
        <v>382</v>
      </c>
      <c r="D216" t="s">
        <v>308</v>
      </c>
      <c r="E216" t="s">
        <v>383</v>
      </c>
      <c r="F216">
        <v>21446</v>
      </c>
      <c r="G216" t="s">
        <v>382</v>
      </c>
      <c r="H216"/>
      <c r="I216">
        <v>94.510002136230469</v>
      </c>
      <c r="J216">
        <v>6.5742015838623047E-2</v>
      </c>
      <c r="K216">
        <v>1.8489490000000001E-2</v>
      </c>
      <c r="L216">
        <v>5.7618350000000003E-4</v>
      </c>
      <c r="M216">
        <v>1.7859380000000001E-2</v>
      </c>
      <c r="N216" s="27">
        <f t="shared" si="32"/>
        <v>43434</v>
      </c>
      <c r="O216" s="110">
        <f t="shared" si="33"/>
        <v>6.5742015838623047E-2</v>
      </c>
      <c r="P216" s="110">
        <f t="shared" si="34"/>
        <v>1.8489490000000001E-2</v>
      </c>
      <c r="Q216" s="110">
        <f t="shared" si="35"/>
        <v>5.7618350000000003E-4</v>
      </c>
      <c r="R216" s="110">
        <f t="shared" si="36"/>
        <v>1.7859380000000001E-2</v>
      </c>
      <c r="S216" s="110">
        <f t="shared" si="37"/>
        <v>6.5742015838623047E-2</v>
      </c>
      <c r="T216" s="110">
        <f t="shared" si="38"/>
        <v>1.8489490000000001E-2</v>
      </c>
      <c r="U216" s="110">
        <f t="shared" si="39"/>
        <v>5.7618350000000003E-4</v>
      </c>
      <c r="V216" s="110">
        <f t="shared" si="40"/>
        <v>1.7859380000000001E-2</v>
      </c>
      <c r="AI216" s="131"/>
      <c r="AJ216" s="131"/>
      <c r="AK216" s="131"/>
      <c r="AL216" s="132"/>
    </row>
    <row r="217" spans="1:38" ht="15">
      <c r="A217">
        <v>18163</v>
      </c>
      <c r="B217" s="168">
        <v>43465</v>
      </c>
      <c r="C217" t="s">
        <v>382</v>
      </c>
      <c r="D217" t="s">
        <v>308</v>
      </c>
      <c r="E217" t="s">
        <v>383</v>
      </c>
      <c r="F217">
        <v>21446</v>
      </c>
      <c r="G217" t="s">
        <v>382</v>
      </c>
      <c r="H217"/>
      <c r="I217">
        <v>91.919998168945312</v>
      </c>
      <c r="J217">
        <v>-2.7404548600316048E-2</v>
      </c>
      <c r="K217">
        <v>-8.9888949999999995E-2</v>
      </c>
      <c r="L217">
        <v>-9.9310170000000003E-2</v>
      </c>
      <c r="M217">
        <v>-9.1776949999999996E-2</v>
      </c>
      <c r="N217" s="27">
        <f t="shared" si="32"/>
        <v>43465</v>
      </c>
      <c r="O217" s="110">
        <f t="shared" si="33"/>
        <v>-2.7404548600316048E-2</v>
      </c>
      <c r="P217" s="110">
        <f t="shared" si="34"/>
        <v>-8.9888949999999995E-2</v>
      </c>
      <c r="Q217" s="110">
        <f t="shared" si="35"/>
        <v>-9.9310170000000003E-2</v>
      </c>
      <c r="R217" s="110">
        <f t="shared" si="36"/>
        <v>-9.1776949999999996E-2</v>
      </c>
      <c r="S217" s="110">
        <f t="shared" si="37"/>
        <v>-2.7404548600316048E-2</v>
      </c>
      <c r="T217" s="110">
        <f t="shared" si="38"/>
        <v>-8.9888949999999995E-2</v>
      </c>
      <c r="U217" s="110">
        <f t="shared" si="39"/>
        <v>-9.9310170000000003E-2</v>
      </c>
      <c r="V217" s="110">
        <f t="shared" si="40"/>
        <v>-9.1776949999999996E-2</v>
      </c>
      <c r="AI217" s="131"/>
      <c r="AJ217" s="131"/>
      <c r="AK217" s="131"/>
      <c r="AL217" s="132"/>
    </row>
    <row r="218" spans="1:38" ht="15">
      <c r="A218">
        <v>18163</v>
      </c>
      <c r="B218" s="168">
        <v>43496</v>
      </c>
      <c r="C218" t="s">
        <v>382</v>
      </c>
      <c r="D218" t="s">
        <v>308</v>
      </c>
      <c r="E218" t="s">
        <v>383</v>
      </c>
      <c r="F218">
        <v>21446</v>
      </c>
      <c r="G218" t="s">
        <v>382</v>
      </c>
      <c r="H218"/>
      <c r="I218">
        <v>96.470001220703125</v>
      </c>
      <c r="J218">
        <v>5.7302035391330719E-2</v>
      </c>
      <c r="K218">
        <v>8.8295239999999997E-2</v>
      </c>
      <c r="L218">
        <v>0.12026819999999999</v>
      </c>
      <c r="M218">
        <v>7.8684400000000002E-2</v>
      </c>
      <c r="N218" s="27">
        <f t="shared" si="32"/>
        <v>43496</v>
      </c>
      <c r="O218" s="110">
        <f t="shared" si="33"/>
        <v>5.7302035391330719E-2</v>
      </c>
      <c r="P218" s="110">
        <f t="shared" si="34"/>
        <v>8.8295239999999997E-2</v>
      </c>
      <c r="Q218" s="110">
        <f t="shared" si="35"/>
        <v>0.12026819999999999</v>
      </c>
      <c r="R218" s="110">
        <f t="shared" si="36"/>
        <v>7.8684400000000002E-2</v>
      </c>
      <c r="S218" s="110">
        <f t="shared" si="37"/>
        <v>5.7302035391330719E-2</v>
      </c>
      <c r="T218" s="110">
        <f t="shared" si="38"/>
        <v>8.8295239999999997E-2</v>
      </c>
      <c r="U218" s="110">
        <f t="shared" si="39"/>
        <v>0.12026819999999999</v>
      </c>
      <c r="V218" s="110">
        <f t="shared" si="40"/>
        <v>7.8684400000000002E-2</v>
      </c>
      <c r="AI218" s="131"/>
      <c r="AJ218" s="131"/>
      <c r="AK218" s="131"/>
      <c r="AL218" s="132"/>
    </row>
    <row r="219" spans="1:38" ht="15">
      <c r="A219">
        <v>18163</v>
      </c>
      <c r="B219" s="168">
        <v>43524</v>
      </c>
      <c r="C219" t="s">
        <v>382</v>
      </c>
      <c r="D219" t="s">
        <v>308</v>
      </c>
      <c r="E219" t="s">
        <v>383</v>
      </c>
      <c r="F219">
        <v>21446</v>
      </c>
      <c r="G219" t="s">
        <v>382</v>
      </c>
      <c r="H219"/>
      <c r="I219">
        <v>98.550003051757812</v>
      </c>
      <c r="J219">
        <v>2.1561125293374062E-2</v>
      </c>
      <c r="K219">
        <v>3.2723530000000001E-2</v>
      </c>
      <c r="L219">
        <v>3.856565E-2</v>
      </c>
      <c r="M219">
        <v>2.9728930000000001E-2</v>
      </c>
      <c r="N219" s="27">
        <f t="shared" si="32"/>
        <v>43524</v>
      </c>
      <c r="O219" s="110">
        <f t="shared" si="33"/>
        <v>2.1561125293374062E-2</v>
      </c>
      <c r="P219" s="110">
        <f t="shared" si="34"/>
        <v>3.2723530000000001E-2</v>
      </c>
      <c r="Q219" s="110">
        <f t="shared" si="35"/>
        <v>3.856565E-2</v>
      </c>
      <c r="R219" s="110">
        <f t="shared" si="36"/>
        <v>2.9728930000000001E-2</v>
      </c>
      <c r="S219" s="110">
        <f t="shared" si="37"/>
        <v>2.1561125293374062E-2</v>
      </c>
      <c r="T219" s="110">
        <f t="shared" si="38"/>
        <v>3.2723530000000001E-2</v>
      </c>
      <c r="U219" s="110">
        <f t="shared" si="39"/>
        <v>3.856565E-2</v>
      </c>
      <c r="V219" s="110">
        <f t="shared" si="40"/>
        <v>2.9728930000000001E-2</v>
      </c>
      <c r="AI219" s="131"/>
      <c r="AJ219" s="131"/>
      <c r="AK219" s="131"/>
      <c r="AL219" s="132"/>
    </row>
    <row r="220" spans="1:38" ht="15">
      <c r="A220">
        <v>18163</v>
      </c>
      <c r="B220" s="168">
        <v>43553</v>
      </c>
      <c r="C220" t="s">
        <v>382</v>
      </c>
      <c r="D220" t="s">
        <v>308</v>
      </c>
      <c r="E220" t="s">
        <v>383</v>
      </c>
      <c r="F220">
        <v>21446</v>
      </c>
      <c r="G220" t="s">
        <v>382</v>
      </c>
      <c r="H220"/>
      <c r="I220">
        <v>104.05000305175781</v>
      </c>
      <c r="J220">
        <v>5.5809233337640762E-2</v>
      </c>
      <c r="K220">
        <v>1.2963510000000001E-2</v>
      </c>
      <c r="L220">
        <v>-3.8958240000000004E-3</v>
      </c>
      <c r="M220">
        <v>1.7924289999999999E-2</v>
      </c>
      <c r="N220" s="27">
        <f t="shared" si="32"/>
        <v>43553</v>
      </c>
      <c r="O220" s="110">
        <f t="shared" si="33"/>
        <v>5.5809233337640762E-2</v>
      </c>
      <c r="P220" s="110">
        <f t="shared" si="34"/>
        <v>1.2963510000000001E-2</v>
      </c>
      <c r="Q220" s="110">
        <f t="shared" si="35"/>
        <v>-3.8958240000000004E-3</v>
      </c>
      <c r="R220" s="110">
        <f t="shared" si="36"/>
        <v>1.7924289999999999E-2</v>
      </c>
      <c r="S220" s="110">
        <f t="shared" si="37"/>
        <v>5.5809233337640762E-2</v>
      </c>
      <c r="T220" s="110">
        <f t="shared" si="38"/>
        <v>1.2963510000000001E-2</v>
      </c>
      <c r="U220" s="110">
        <f t="shared" si="39"/>
        <v>-3.8958240000000004E-3</v>
      </c>
      <c r="V220" s="110">
        <f t="shared" si="40"/>
        <v>1.7924289999999999E-2</v>
      </c>
      <c r="AI220" s="131"/>
      <c r="AJ220" s="131"/>
      <c r="AK220" s="131"/>
      <c r="AL220" s="132"/>
    </row>
    <row r="221" spans="1:38" ht="15">
      <c r="A221">
        <v>18163</v>
      </c>
      <c r="B221" s="168">
        <v>43585</v>
      </c>
      <c r="C221" t="s">
        <v>382</v>
      </c>
      <c r="D221" t="s">
        <v>308</v>
      </c>
      <c r="E221" t="s">
        <v>383</v>
      </c>
      <c r="F221">
        <v>21446</v>
      </c>
      <c r="G221" t="s">
        <v>382</v>
      </c>
      <c r="H221"/>
      <c r="I221">
        <v>106.48000335693359</v>
      </c>
      <c r="J221">
        <v>3.0522827059030533E-2</v>
      </c>
      <c r="K221">
        <v>3.788859E-2</v>
      </c>
      <c r="L221">
        <v>2.032279E-2</v>
      </c>
      <c r="M221">
        <v>3.9313439999999998E-2</v>
      </c>
      <c r="N221" s="27">
        <f t="shared" si="32"/>
        <v>43585</v>
      </c>
      <c r="O221" s="110">
        <f t="shared" si="33"/>
        <v>3.0522827059030533E-2</v>
      </c>
      <c r="P221" s="110">
        <f t="shared" si="34"/>
        <v>3.788859E-2</v>
      </c>
      <c r="Q221" s="110">
        <f t="shared" si="35"/>
        <v>2.032279E-2</v>
      </c>
      <c r="R221" s="110">
        <f t="shared" si="36"/>
        <v>3.9313439999999998E-2</v>
      </c>
      <c r="S221" s="110">
        <f t="shared" si="37"/>
        <v>3.0522827059030533E-2</v>
      </c>
      <c r="T221" s="110">
        <f t="shared" si="38"/>
        <v>3.788859E-2</v>
      </c>
      <c r="U221" s="110">
        <f t="shared" si="39"/>
        <v>2.032279E-2</v>
      </c>
      <c r="V221" s="110">
        <f t="shared" si="40"/>
        <v>3.9313439999999998E-2</v>
      </c>
      <c r="AI221" s="131"/>
      <c r="AJ221" s="131"/>
      <c r="AK221" s="131"/>
      <c r="AL221" s="132"/>
    </row>
    <row r="222" spans="1:38" ht="15">
      <c r="A222">
        <v>18163</v>
      </c>
      <c r="B222" s="168">
        <v>43616</v>
      </c>
      <c r="C222" t="s">
        <v>382</v>
      </c>
      <c r="D222" t="s">
        <v>308</v>
      </c>
      <c r="E222" t="s">
        <v>383</v>
      </c>
      <c r="F222">
        <v>21446</v>
      </c>
      <c r="G222" t="s">
        <v>382</v>
      </c>
      <c r="H222"/>
      <c r="I222">
        <v>102.91000366210938</v>
      </c>
      <c r="J222">
        <v>-3.3527418971061707E-2</v>
      </c>
      <c r="K222">
        <v>-6.167856E-2</v>
      </c>
      <c r="L222">
        <v>-6.4571440000000008E-2</v>
      </c>
      <c r="M222">
        <v>-6.5777730000000006E-2</v>
      </c>
      <c r="N222" s="27">
        <f t="shared" si="32"/>
        <v>43616</v>
      </c>
      <c r="O222" s="110">
        <f t="shared" si="33"/>
        <v>-3.3527418971061707E-2</v>
      </c>
      <c r="P222" s="110">
        <f t="shared" si="34"/>
        <v>-6.167856E-2</v>
      </c>
      <c r="Q222" s="110">
        <f t="shared" si="35"/>
        <v>-6.4571440000000008E-2</v>
      </c>
      <c r="R222" s="110">
        <f t="shared" si="36"/>
        <v>-6.5777730000000006E-2</v>
      </c>
      <c r="S222" s="110">
        <f t="shared" si="37"/>
        <v>-3.3527418971061707E-2</v>
      </c>
      <c r="T222" s="110">
        <f t="shared" si="38"/>
        <v>-6.167856E-2</v>
      </c>
      <c r="U222" s="110">
        <f t="shared" si="39"/>
        <v>-6.4571440000000008E-2</v>
      </c>
      <c r="V222" s="110">
        <f t="shared" si="40"/>
        <v>-6.5777730000000006E-2</v>
      </c>
      <c r="AI222" s="131"/>
      <c r="AJ222" s="131"/>
      <c r="AK222" s="131"/>
      <c r="AL222" s="132"/>
    </row>
    <row r="223" spans="1:38" ht="15">
      <c r="A223">
        <v>18163</v>
      </c>
      <c r="B223" s="168">
        <v>43644</v>
      </c>
      <c r="C223" t="s">
        <v>382</v>
      </c>
      <c r="D223" t="s">
        <v>308</v>
      </c>
      <c r="E223" t="s">
        <v>383</v>
      </c>
      <c r="F223">
        <v>21446</v>
      </c>
      <c r="G223" t="s">
        <v>382</v>
      </c>
      <c r="H223"/>
      <c r="I223">
        <v>109.65000152587891</v>
      </c>
      <c r="J223">
        <v>6.5494097769260406E-2</v>
      </c>
      <c r="K223">
        <v>6.7278859999999996E-2</v>
      </c>
      <c r="L223">
        <v>4.900206E-2</v>
      </c>
      <c r="M223">
        <v>6.8930190000000002E-2</v>
      </c>
      <c r="N223" s="27">
        <f t="shared" si="32"/>
        <v>43644</v>
      </c>
      <c r="O223" s="110">
        <f t="shared" si="33"/>
        <v>6.5494097769260406E-2</v>
      </c>
      <c r="P223" s="110">
        <f t="shared" si="34"/>
        <v>6.7278859999999996E-2</v>
      </c>
      <c r="Q223" s="110">
        <f t="shared" si="35"/>
        <v>4.900206E-2</v>
      </c>
      <c r="R223" s="110">
        <f t="shared" si="36"/>
        <v>6.8930190000000002E-2</v>
      </c>
      <c r="S223" s="110">
        <f t="shared" si="37"/>
        <v>6.5494097769260406E-2</v>
      </c>
      <c r="T223" s="110">
        <f t="shared" si="38"/>
        <v>6.7278859999999996E-2</v>
      </c>
      <c r="U223" s="110">
        <f t="shared" si="39"/>
        <v>4.900206E-2</v>
      </c>
      <c r="V223" s="110">
        <f t="shared" si="40"/>
        <v>6.8930190000000002E-2</v>
      </c>
      <c r="AI223" s="131"/>
      <c r="AJ223" s="131"/>
      <c r="AK223" s="131"/>
      <c r="AL223" s="132"/>
    </row>
    <row r="224" spans="1:38" ht="15">
      <c r="A224">
        <v>18163</v>
      </c>
      <c r="B224" s="168">
        <v>43677</v>
      </c>
      <c r="C224" t="s">
        <v>382</v>
      </c>
      <c r="D224" t="s">
        <v>308</v>
      </c>
      <c r="E224" t="s">
        <v>383</v>
      </c>
      <c r="F224">
        <v>21446</v>
      </c>
      <c r="G224" t="s">
        <v>382</v>
      </c>
      <c r="H224"/>
      <c r="I224">
        <v>118.04000091552734</v>
      </c>
      <c r="J224">
        <v>8.3318732678890228E-2</v>
      </c>
      <c r="K224">
        <v>1.185431E-2</v>
      </c>
      <c r="L224">
        <v>-5.2448700000000004E-3</v>
      </c>
      <c r="M224">
        <v>1.312819E-2</v>
      </c>
      <c r="N224" s="27">
        <f t="shared" si="32"/>
        <v>43677</v>
      </c>
      <c r="O224" s="110">
        <f t="shared" si="33"/>
        <v>8.3318732678890228E-2</v>
      </c>
      <c r="P224" s="110">
        <f t="shared" si="34"/>
        <v>1.185431E-2</v>
      </c>
      <c r="Q224" s="110">
        <f t="shared" si="35"/>
        <v>-5.2448700000000004E-3</v>
      </c>
      <c r="R224" s="110">
        <f t="shared" si="36"/>
        <v>1.312819E-2</v>
      </c>
      <c r="S224" s="110">
        <f t="shared" si="37"/>
        <v>8.3318732678890228E-2</v>
      </c>
      <c r="T224" s="110">
        <f t="shared" si="38"/>
        <v>1.185431E-2</v>
      </c>
      <c r="U224" s="110">
        <f t="shared" si="39"/>
        <v>-5.2448700000000004E-3</v>
      </c>
      <c r="V224" s="110">
        <f t="shared" si="40"/>
        <v>1.312819E-2</v>
      </c>
      <c r="AI224" s="131"/>
      <c r="AJ224" s="131"/>
      <c r="AK224" s="131"/>
      <c r="AL224" s="132"/>
    </row>
    <row r="225" spans="1:38" ht="15">
      <c r="A225">
        <v>18163</v>
      </c>
      <c r="B225" s="168">
        <v>43707</v>
      </c>
      <c r="C225" t="s">
        <v>382</v>
      </c>
      <c r="D225" t="s">
        <v>308</v>
      </c>
      <c r="E225" t="s">
        <v>383</v>
      </c>
      <c r="F225">
        <v>21446</v>
      </c>
      <c r="G225" t="s">
        <v>382</v>
      </c>
      <c r="H225"/>
      <c r="I225">
        <v>120.23000335693359</v>
      </c>
      <c r="J225">
        <v>1.8553053960204124E-2</v>
      </c>
      <c r="K225">
        <v>-2.0339329999999999E-2</v>
      </c>
      <c r="L225">
        <v>-4.0001170000000003E-2</v>
      </c>
      <c r="M225">
        <v>-1.8091650000000001E-2</v>
      </c>
      <c r="N225" s="27">
        <f t="shared" si="32"/>
        <v>43707</v>
      </c>
      <c r="O225" s="110">
        <f t="shared" si="33"/>
        <v>1.8553053960204124E-2</v>
      </c>
      <c r="P225" s="110">
        <f t="shared" si="34"/>
        <v>-2.0339329999999999E-2</v>
      </c>
      <c r="Q225" s="110">
        <f t="shared" si="35"/>
        <v>-4.0001170000000003E-2</v>
      </c>
      <c r="R225" s="110">
        <f t="shared" si="36"/>
        <v>-1.8091650000000001E-2</v>
      </c>
      <c r="S225" s="110">
        <f t="shared" si="37"/>
        <v>1.8553053960204124E-2</v>
      </c>
      <c r="T225" s="110">
        <f t="shared" si="38"/>
        <v>-2.0339329999999999E-2</v>
      </c>
      <c r="U225" s="110">
        <f t="shared" si="39"/>
        <v>-4.0001170000000003E-2</v>
      </c>
      <c r="V225" s="110">
        <f t="shared" si="40"/>
        <v>-1.8091650000000001E-2</v>
      </c>
      <c r="AI225" s="131"/>
      <c r="AJ225" s="131"/>
      <c r="AK225" s="131"/>
      <c r="AL225" s="132"/>
    </row>
    <row r="226" spans="1:38" ht="15">
      <c r="A226">
        <v>18163</v>
      </c>
      <c r="B226" s="168">
        <v>43738</v>
      </c>
      <c r="C226" t="s">
        <v>382</v>
      </c>
      <c r="D226" t="s">
        <v>308</v>
      </c>
      <c r="E226" t="s">
        <v>383</v>
      </c>
      <c r="F226">
        <v>21446</v>
      </c>
      <c r="G226" t="s">
        <v>382</v>
      </c>
      <c r="H226"/>
      <c r="I226">
        <v>124.37999725341797</v>
      </c>
      <c r="J226">
        <v>3.451712429523468E-2</v>
      </c>
      <c r="K226">
        <v>1.6032970000000001E-2</v>
      </c>
      <c r="L226">
        <v>1.7680700000000001E-2</v>
      </c>
      <c r="M226">
        <v>1.7181169999999999E-2</v>
      </c>
      <c r="N226" s="27">
        <f t="shared" si="32"/>
        <v>43738</v>
      </c>
      <c r="O226" s="110">
        <f t="shared" si="33"/>
        <v>3.451712429523468E-2</v>
      </c>
      <c r="P226" s="110">
        <f t="shared" si="34"/>
        <v>1.6032970000000001E-2</v>
      </c>
      <c r="Q226" s="110">
        <f t="shared" si="35"/>
        <v>1.7680700000000001E-2</v>
      </c>
      <c r="R226" s="110">
        <f t="shared" si="36"/>
        <v>1.7181169999999999E-2</v>
      </c>
      <c r="S226" s="110">
        <f t="shared" si="37"/>
        <v>3.451712429523468E-2</v>
      </c>
      <c r="T226" s="110">
        <f t="shared" si="38"/>
        <v>1.6032970000000001E-2</v>
      </c>
      <c r="U226" s="110">
        <f t="shared" si="39"/>
        <v>1.7680700000000001E-2</v>
      </c>
      <c r="V226" s="110">
        <f t="shared" si="40"/>
        <v>1.7181169999999999E-2</v>
      </c>
      <c r="AI226" s="131"/>
      <c r="AJ226" s="131"/>
      <c r="AK226" s="131"/>
      <c r="AL226" s="132"/>
    </row>
    <row r="227" spans="1:38" ht="15">
      <c r="A227">
        <v>18163</v>
      </c>
      <c r="B227" s="168">
        <v>43769</v>
      </c>
      <c r="C227" t="s">
        <v>382</v>
      </c>
      <c r="D227" t="s">
        <v>308</v>
      </c>
      <c r="E227" t="s">
        <v>383</v>
      </c>
      <c r="F227">
        <v>21446</v>
      </c>
      <c r="G227" t="s">
        <v>382</v>
      </c>
      <c r="H227"/>
      <c r="I227">
        <v>124.51000213623047</v>
      </c>
      <c r="J227">
        <v>7.0421681739389896E-3</v>
      </c>
      <c r="K227">
        <v>1.9255939999999999E-2</v>
      </c>
      <c r="L227">
        <v>6.2908690000000001E-3</v>
      </c>
      <c r="M227">
        <v>2.0431750000000002E-2</v>
      </c>
      <c r="N227" s="27">
        <f t="shared" si="32"/>
        <v>43769</v>
      </c>
      <c r="O227" s="110">
        <f t="shared" si="33"/>
        <v>7.0421681739389896E-3</v>
      </c>
      <c r="P227" s="110">
        <f t="shared" si="34"/>
        <v>1.9255939999999999E-2</v>
      </c>
      <c r="Q227" s="110">
        <f t="shared" si="35"/>
        <v>6.2908690000000001E-3</v>
      </c>
      <c r="R227" s="110">
        <f t="shared" si="36"/>
        <v>2.0431750000000002E-2</v>
      </c>
      <c r="S227" s="110">
        <f t="shared" si="37"/>
        <v>7.0421681739389896E-3</v>
      </c>
      <c r="T227" s="110">
        <f t="shared" si="38"/>
        <v>1.9255939999999999E-2</v>
      </c>
      <c r="U227" s="110">
        <f t="shared" si="39"/>
        <v>6.2908690000000001E-3</v>
      </c>
      <c r="V227" s="110">
        <f t="shared" si="40"/>
        <v>2.0431750000000002E-2</v>
      </c>
      <c r="AI227" s="131"/>
      <c r="AJ227" s="131"/>
      <c r="AK227" s="131"/>
      <c r="AL227" s="132"/>
    </row>
    <row r="228" spans="1:38" ht="15">
      <c r="A228">
        <v>18163</v>
      </c>
      <c r="B228" s="168">
        <v>43798</v>
      </c>
      <c r="C228" t="s">
        <v>382</v>
      </c>
      <c r="D228" t="s">
        <v>308</v>
      </c>
      <c r="E228" t="s">
        <v>383</v>
      </c>
      <c r="F228">
        <v>21446</v>
      </c>
      <c r="G228" t="s">
        <v>382</v>
      </c>
      <c r="H228"/>
      <c r="I228">
        <v>122.05999755859375</v>
      </c>
      <c r="J228">
        <v>-1.9677171483635902E-2</v>
      </c>
      <c r="K228">
        <v>3.4996520000000003E-2</v>
      </c>
      <c r="L228">
        <v>2.6600809999999999E-2</v>
      </c>
      <c r="M228">
        <v>3.4047060000000004E-2</v>
      </c>
      <c r="N228" s="27">
        <f t="shared" si="32"/>
        <v>43798</v>
      </c>
      <c r="O228" s="110">
        <f t="shared" si="33"/>
        <v>-1.9677171483635902E-2</v>
      </c>
      <c r="P228" s="110">
        <f t="shared" si="34"/>
        <v>3.4996520000000003E-2</v>
      </c>
      <c r="Q228" s="110">
        <f t="shared" si="35"/>
        <v>2.6600809999999999E-2</v>
      </c>
      <c r="R228" s="110">
        <f t="shared" si="36"/>
        <v>3.4047060000000004E-2</v>
      </c>
      <c r="S228" s="110">
        <f t="shared" si="37"/>
        <v>-1.9677171483635902E-2</v>
      </c>
      <c r="T228" s="110">
        <f t="shared" si="38"/>
        <v>3.4996520000000003E-2</v>
      </c>
      <c r="U228" s="110">
        <f t="shared" si="39"/>
        <v>2.6600809999999999E-2</v>
      </c>
      <c r="V228" s="110">
        <f t="shared" si="40"/>
        <v>3.4047060000000004E-2</v>
      </c>
      <c r="AI228" s="131"/>
      <c r="AJ228" s="131"/>
      <c r="AK228" s="131"/>
      <c r="AL228" s="132"/>
    </row>
    <row r="229" spans="1:38" ht="15">
      <c r="A229">
        <v>18163</v>
      </c>
      <c r="B229" s="168">
        <v>43830</v>
      </c>
      <c r="C229" t="s">
        <v>382</v>
      </c>
      <c r="D229" t="s">
        <v>308</v>
      </c>
      <c r="E229" t="s">
        <v>383</v>
      </c>
      <c r="F229">
        <v>21446</v>
      </c>
      <c r="G229" t="s">
        <v>382</v>
      </c>
      <c r="H229"/>
      <c r="I229">
        <v>124.90000152587891</v>
      </c>
      <c r="J229">
        <v>2.3267278447747231E-2</v>
      </c>
      <c r="K229">
        <v>2.8490680000000001E-2</v>
      </c>
      <c r="L229">
        <v>4.4379389999999998E-2</v>
      </c>
      <c r="M229">
        <v>2.8589800000000002E-2</v>
      </c>
      <c r="N229" s="27">
        <f t="shared" si="32"/>
        <v>43830</v>
      </c>
      <c r="O229" s="110">
        <f t="shared" si="33"/>
        <v>2.3267278447747231E-2</v>
      </c>
      <c r="P229" s="110">
        <f t="shared" si="34"/>
        <v>2.8490680000000001E-2</v>
      </c>
      <c r="Q229" s="110">
        <f t="shared" si="35"/>
        <v>4.4379389999999998E-2</v>
      </c>
      <c r="R229" s="110">
        <f t="shared" si="36"/>
        <v>2.8589800000000002E-2</v>
      </c>
      <c r="S229" s="110">
        <f t="shared" si="37"/>
        <v>2.3267278447747231E-2</v>
      </c>
      <c r="T229" s="110">
        <f t="shared" si="38"/>
        <v>2.8490680000000001E-2</v>
      </c>
      <c r="U229" s="110">
        <f t="shared" si="39"/>
        <v>4.4379389999999998E-2</v>
      </c>
      <c r="V229" s="110">
        <f t="shared" si="40"/>
        <v>2.8589800000000002E-2</v>
      </c>
      <c r="AI229" s="131"/>
      <c r="AJ229" s="131"/>
      <c r="AK229" s="131"/>
      <c r="AL229" s="132"/>
    </row>
    <row r="230" spans="1:38" ht="15">
      <c r="A230">
        <v>18163</v>
      </c>
      <c r="B230" s="168">
        <v>43861</v>
      </c>
      <c r="C230" t="s">
        <v>382</v>
      </c>
      <c r="D230" t="s">
        <v>308</v>
      </c>
      <c r="E230" t="s">
        <v>383</v>
      </c>
      <c r="F230">
        <v>21446</v>
      </c>
      <c r="G230" t="s">
        <v>382</v>
      </c>
      <c r="H230"/>
      <c r="I230">
        <v>124.62000274658203</v>
      </c>
      <c r="J230">
        <v>3.7301937118172646E-3</v>
      </c>
      <c r="K230">
        <v>-1.7277760000000001E-3</v>
      </c>
      <c r="L230">
        <v>-1.3333640000000001E-2</v>
      </c>
      <c r="M230">
        <v>-1.62809E-3</v>
      </c>
      <c r="N230" s="27">
        <f t="shared" ref="N230:N241" si="41">B230</f>
        <v>43861</v>
      </c>
      <c r="O230" s="110">
        <f t="shared" si="33"/>
        <v>3.7301937118172646E-3</v>
      </c>
      <c r="P230" s="110">
        <f t="shared" si="34"/>
        <v>-1.7277760000000001E-3</v>
      </c>
      <c r="Q230" s="110">
        <f t="shared" si="35"/>
        <v>-1.3333640000000001E-2</v>
      </c>
      <c r="R230" s="110">
        <f t="shared" si="36"/>
        <v>-1.62809E-3</v>
      </c>
      <c r="S230" s="110">
        <f t="shared" si="37"/>
        <v>3.7301937118172646E-3</v>
      </c>
      <c r="T230" s="110">
        <f t="shared" si="38"/>
        <v>-1.7277760000000001E-3</v>
      </c>
      <c r="U230" s="110">
        <f t="shared" si="39"/>
        <v>-1.3333640000000001E-2</v>
      </c>
      <c r="V230" s="110">
        <f t="shared" si="40"/>
        <v>-1.62809E-3</v>
      </c>
      <c r="AI230" s="131"/>
      <c r="AJ230" s="131"/>
      <c r="AK230" s="131"/>
      <c r="AL230" s="132"/>
    </row>
    <row r="231" spans="1:38" ht="15">
      <c r="A231">
        <v>18163</v>
      </c>
      <c r="B231" s="168">
        <v>43889</v>
      </c>
      <c r="C231" t="s">
        <v>382</v>
      </c>
      <c r="D231" t="s">
        <v>308</v>
      </c>
      <c r="E231" t="s">
        <v>383</v>
      </c>
      <c r="F231">
        <v>21446</v>
      </c>
      <c r="G231" t="s">
        <v>382</v>
      </c>
      <c r="H231"/>
      <c r="I231">
        <v>113.23000335693359</v>
      </c>
      <c r="J231">
        <v>-9.1397844254970551E-2</v>
      </c>
      <c r="K231">
        <v>-7.7918050000000003E-2</v>
      </c>
      <c r="L231">
        <v>-6.9814470000000003E-2</v>
      </c>
      <c r="M231">
        <v>-8.4110470000000007E-2</v>
      </c>
      <c r="N231" s="27">
        <f t="shared" si="41"/>
        <v>43889</v>
      </c>
      <c r="O231" s="110">
        <f t="shared" si="33"/>
        <v>-9.1397844254970551E-2</v>
      </c>
      <c r="P231" s="110">
        <f t="shared" si="34"/>
        <v>-7.7918050000000003E-2</v>
      </c>
      <c r="Q231" s="110">
        <f t="shared" si="35"/>
        <v>-6.9814470000000003E-2</v>
      </c>
      <c r="R231" s="110">
        <f t="shared" si="36"/>
        <v>-8.4110470000000007E-2</v>
      </c>
      <c r="S231" s="110">
        <f t="shared" si="37"/>
        <v>-9.1397844254970551E-2</v>
      </c>
      <c r="T231" s="110">
        <f t="shared" si="38"/>
        <v>-7.7918050000000003E-2</v>
      </c>
      <c r="U231" s="110">
        <f t="shared" si="39"/>
        <v>-6.9814470000000003E-2</v>
      </c>
      <c r="V231" s="110">
        <f t="shared" si="40"/>
        <v>-8.4110470000000007E-2</v>
      </c>
      <c r="AI231" s="131"/>
      <c r="AJ231" s="131"/>
      <c r="AK231" s="131"/>
      <c r="AL231" s="132"/>
    </row>
    <row r="232" spans="1:38" ht="15">
      <c r="A232">
        <v>18163</v>
      </c>
      <c r="B232" s="168">
        <v>43921</v>
      </c>
      <c r="C232" t="s">
        <v>382</v>
      </c>
      <c r="D232" t="s">
        <v>308</v>
      </c>
      <c r="E232" t="s">
        <v>383</v>
      </c>
      <c r="F232">
        <v>21446</v>
      </c>
      <c r="G232" t="s">
        <v>382</v>
      </c>
      <c r="H232"/>
      <c r="I232">
        <v>110</v>
      </c>
      <c r="J232">
        <v>-2.8526037931442261E-2</v>
      </c>
      <c r="K232">
        <v>-0.14173259999999999</v>
      </c>
      <c r="L232">
        <v>-0.20750089999999999</v>
      </c>
      <c r="M232">
        <v>-0.12511929999999999</v>
      </c>
      <c r="N232" s="27">
        <f t="shared" si="41"/>
        <v>43921</v>
      </c>
      <c r="O232" s="110">
        <f t="shared" si="33"/>
        <v>-2.8526037931442261E-2</v>
      </c>
      <c r="P232" s="110">
        <f t="shared" si="34"/>
        <v>-0.14173259999999999</v>
      </c>
      <c r="Q232" s="110">
        <f t="shared" si="35"/>
        <v>-0.20750089999999999</v>
      </c>
      <c r="R232" s="110">
        <f t="shared" si="36"/>
        <v>-0.12511929999999999</v>
      </c>
      <c r="S232" s="110">
        <f t="shared" si="37"/>
        <v>-2.8526037931442261E-2</v>
      </c>
      <c r="T232" s="110">
        <f t="shared" si="38"/>
        <v>-0.14173259999999999</v>
      </c>
      <c r="U232" s="110">
        <f t="shared" si="39"/>
        <v>-0.20750089999999999</v>
      </c>
      <c r="V232" s="110">
        <f t="shared" si="40"/>
        <v>-0.12511929999999999</v>
      </c>
      <c r="AI232" s="131"/>
      <c r="AJ232" s="131"/>
      <c r="AK232" s="131"/>
      <c r="AL232" s="132"/>
    </row>
    <row r="233" spans="1:38" ht="15">
      <c r="A233">
        <v>18163</v>
      </c>
      <c r="B233" s="168">
        <v>43951</v>
      </c>
      <c r="C233" t="s">
        <v>382</v>
      </c>
      <c r="D233" t="s">
        <v>308</v>
      </c>
      <c r="E233" t="s">
        <v>383</v>
      </c>
      <c r="F233">
        <v>21446</v>
      </c>
      <c r="G233" t="s">
        <v>382</v>
      </c>
      <c r="H233"/>
      <c r="I233">
        <v>117.87000274658203</v>
      </c>
      <c r="J233">
        <v>7.8733660280704498E-2</v>
      </c>
      <c r="K233">
        <v>0.1296766</v>
      </c>
      <c r="L233">
        <v>0.15387229999999999</v>
      </c>
      <c r="M233">
        <v>0.12684409999999999</v>
      </c>
      <c r="N233" s="27">
        <f t="shared" si="41"/>
        <v>43951</v>
      </c>
      <c r="O233" s="110">
        <f t="shared" si="33"/>
        <v>7.8733660280704498E-2</v>
      </c>
      <c r="P233" s="110">
        <f t="shared" si="34"/>
        <v>0.1296766</v>
      </c>
      <c r="Q233" s="110">
        <f t="shared" si="35"/>
        <v>0.15387229999999999</v>
      </c>
      <c r="R233" s="110">
        <f t="shared" si="36"/>
        <v>0.12684409999999999</v>
      </c>
      <c r="S233" s="110">
        <f t="shared" si="37"/>
        <v>7.8733660280704498E-2</v>
      </c>
      <c r="T233" s="110">
        <f t="shared" si="38"/>
        <v>0.1296766</v>
      </c>
      <c r="U233" s="110">
        <f t="shared" si="39"/>
        <v>0.15387229999999999</v>
      </c>
      <c r="V233" s="110">
        <f t="shared" si="40"/>
        <v>0.12684409999999999</v>
      </c>
      <c r="AI233" s="131"/>
      <c r="AJ233" s="131"/>
      <c r="AK233" s="131"/>
      <c r="AL233" s="132"/>
    </row>
    <row r="234" spans="1:38" ht="15">
      <c r="A234">
        <v>18163</v>
      </c>
      <c r="B234" s="168">
        <v>43980</v>
      </c>
      <c r="C234" t="s">
        <v>382</v>
      </c>
      <c r="D234" t="s">
        <v>308</v>
      </c>
      <c r="E234" t="s">
        <v>383</v>
      </c>
      <c r="F234">
        <v>21446</v>
      </c>
      <c r="G234" t="s">
        <v>382</v>
      </c>
      <c r="H234"/>
      <c r="I234">
        <v>115.91999816894531</v>
      </c>
      <c r="J234">
        <v>-1.6543688252568245E-2</v>
      </c>
      <c r="K234">
        <v>5.3738609999999999E-2</v>
      </c>
      <c r="L234">
        <v>6.4069500000000001E-2</v>
      </c>
      <c r="M234">
        <v>4.5281780000000001E-2</v>
      </c>
      <c r="N234" s="27">
        <f t="shared" si="41"/>
        <v>43980</v>
      </c>
      <c r="O234" s="110">
        <f t="shared" si="33"/>
        <v>-1.6543688252568245E-2</v>
      </c>
      <c r="P234" s="110">
        <f t="shared" si="34"/>
        <v>5.3738609999999999E-2</v>
      </c>
      <c r="Q234" s="110">
        <f t="shared" si="35"/>
        <v>6.4069500000000001E-2</v>
      </c>
      <c r="R234" s="110">
        <f t="shared" si="36"/>
        <v>4.5281780000000001E-2</v>
      </c>
      <c r="S234" s="110">
        <f t="shared" si="37"/>
        <v>-1.6543688252568245E-2</v>
      </c>
      <c r="T234" s="110">
        <f t="shared" si="38"/>
        <v>5.3738609999999999E-2</v>
      </c>
      <c r="U234" s="110">
        <f t="shared" si="39"/>
        <v>6.4069500000000001E-2</v>
      </c>
      <c r="V234" s="110">
        <f t="shared" si="40"/>
        <v>4.5281780000000001E-2</v>
      </c>
      <c r="AI234" s="131"/>
      <c r="AJ234" s="131"/>
      <c r="AK234" s="131"/>
      <c r="AL234" s="132"/>
    </row>
    <row r="235" spans="1:38" ht="15">
      <c r="A235">
        <v>18163</v>
      </c>
      <c r="B235" s="168">
        <v>44012</v>
      </c>
      <c r="C235" t="s">
        <v>382</v>
      </c>
      <c r="D235" t="s">
        <v>308</v>
      </c>
      <c r="E235" t="s">
        <v>383</v>
      </c>
      <c r="F235">
        <v>21446</v>
      </c>
      <c r="G235" t="s">
        <v>382</v>
      </c>
      <c r="H235"/>
      <c r="I235">
        <v>119.56999969482422</v>
      </c>
      <c r="J235">
        <v>3.1487245112657547E-2</v>
      </c>
      <c r="K235">
        <v>2.5299189999999999E-2</v>
      </c>
      <c r="L235">
        <v>5.7390629999999998E-2</v>
      </c>
      <c r="M235">
        <v>1.8388399999999999E-2</v>
      </c>
      <c r="N235" s="27">
        <f t="shared" si="41"/>
        <v>44012</v>
      </c>
      <c r="O235" s="110">
        <f t="shared" si="33"/>
        <v>3.1487245112657547E-2</v>
      </c>
      <c r="P235" s="110">
        <f t="shared" si="34"/>
        <v>2.5299189999999999E-2</v>
      </c>
      <c r="Q235" s="110">
        <f t="shared" si="35"/>
        <v>5.7390629999999998E-2</v>
      </c>
      <c r="R235" s="110">
        <f t="shared" si="36"/>
        <v>1.8388399999999999E-2</v>
      </c>
      <c r="S235" s="110">
        <f t="shared" si="37"/>
        <v>3.1487245112657547E-2</v>
      </c>
      <c r="T235" s="110">
        <f t="shared" si="38"/>
        <v>2.5299189999999999E-2</v>
      </c>
      <c r="U235" s="110">
        <f t="shared" si="39"/>
        <v>5.7390629999999998E-2</v>
      </c>
      <c r="V235" s="110">
        <f t="shared" si="40"/>
        <v>1.8388399999999999E-2</v>
      </c>
      <c r="AI235" s="131"/>
      <c r="AJ235" s="131"/>
      <c r="AK235" s="131"/>
      <c r="AL235" s="132"/>
    </row>
    <row r="236" spans="1:38" ht="15">
      <c r="A236">
        <v>18163</v>
      </c>
      <c r="B236" s="168">
        <v>44043</v>
      </c>
      <c r="C236" t="s">
        <v>382</v>
      </c>
      <c r="D236" t="s">
        <v>308</v>
      </c>
      <c r="E236" t="s">
        <v>383</v>
      </c>
      <c r="F236">
        <v>21446</v>
      </c>
      <c r="G236" t="s">
        <v>382</v>
      </c>
      <c r="H236"/>
      <c r="I236">
        <v>131.1199951171875</v>
      </c>
      <c r="J236">
        <v>0.10320895910263062</v>
      </c>
      <c r="K236">
        <v>5.5528670000000002E-2</v>
      </c>
      <c r="L236">
        <v>4.0736479999999999E-2</v>
      </c>
      <c r="M236">
        <v>5.5101299999999999E-2</v>
      </c>
      <c r="N236" s="27">
        <f t="shared" si="41"/>
        <v>44043</v>
      </c>
      <c r="O236" s="110">
        <f t="shared" si="33"/>
        <v>0.10320895910263062</v>
      </c>
      <c r="P236" s="110">
        <f t="shared" si="34"/>
        <v>5.5528670000000002E-2</v>
      </c>
      <c r="Q236" s="110">
        <f t="shared" si="35"/>
        <v>4.0736479999999999E-2</v>
      </c>
      <c r="R236" s="110">
        <f t="shared" si="36"/>
        <v>5.5101299999999999E-2</v>
      </c>
      <c r="S236" s="110">
        <f t="shared" si="37"/>
        <v>0.10320895910263062</v>
      </c>
      <c r="T236" s="110">
        <f t="shared" si="38"/>
        <v>5.5528670000000002E-2</v>
      </c>
      <c r="U236" s="110">
        <f t="shared" si="39"/>
        <v>4.0736479999999999E-2</v>
      </c>
      <c r="V236" s="110">
        <f t="shared" si="40"/>
        <v>5.5101299999999999E-2</v>
      </c>
      <c r="AI236" s="131"/>
      <c r="AJ236" s="131"/>
      <c r="AK236" s="131"/>
      <c r="AL236" s="132"/>
    </row>
    <row r="237" spans="1:38" ht="15">
      <c r="A237">
        <v>18163</v>
      </c>
      <c r="B237" s="168">
        <v>44074</v>
      </c>
      <c r="C237" t="s">
        <v>382</v>
      </c>
      <c r="D237" t="s">
        <v>308</v>
      </c>
      <c r="E237" t="s">
        <v>383</v>
      </c>
      <c r="F237">
        <v>21446</v>
      </c>
      <c r="G237" t="s">
        <v>382</v>
      </c>
      <c r="H237"/>
      <c r="I237">
        <v>138.33000183105469</v>
      </c>
      <c r="J237">
        <v>5.4987851530313492E-2</v>
      </c>
      <c r="K237">
        <v>6.8442929999999999E-2</v>
      </c>
      <c r="L237">
        <v>3.8883790000000001E-2</v>
      </c>
      <c r="M237">
        <v>7.0064689999999999E-2</v>
      </c>
      <c r="N237" s="27">
        <f t="shared" si="41"/>
        <v>44074</v>
      </c>
      <c r="O237" s="110">
        <f t="shared" si="33"/>
        <v>5.4987851530313492E-2</v>
      </c>
      <c r="P237" s="110">
        <f t="shared" si="34"/>
        <v>6.8442929999999999E-2</v>
      </c>
      <c r="Q237" s="110">
        <f t="shared" si="35"/>
        <v>3.8883790000000001E-2</v>
      </c>
      <c r="R237" s="110">
        <f t="shared" si="36"/>
        <v>7.0064689999999999E-2</v>
      </c>
      <c r="S237" s="110">
        <f t="shared" si="37"/>
        <v>5.4987851530313492E-2</v>
      </c>
      <c r="T237" s="110">
        <f t="shared" si="38"/>
        <v>6.8442929999999999E-2</v>
      </c>
      <c r="U237" s="110">
        <f t="shared" si="39"/>
        <v>3.8883790000000001E-2</v>
      </c>
      <c r="V237" s="110">
        <f t="shared" si="40"/>
        <v>7.0064689999999999E-2</v>
      </c>
      <c r="AI237" s="131"/>
      <c r="AJ237" s="131"/>
      <c r="AK237" s="131"/>
      <c r="AL237" s="132"/>
    </row>
    <row r="238" spans="1:38" ht="15">
      <c r="A238">
        <v>18163</v>
      </c>
      <c r="B238" s="168">
        <v>44104</v>
      </c>
      <c r="C238" t="s">
        <v>382</v>
      </c>
      <c r="D238" t="s">
        <v>308</v>
      </c>
      <c r="E238" t="s">
        <v>383</v>
      </c>
      <c r="F238">
        <v>21446</v>
      </c>
      <c r="G238" t="s">
        <v>382</v>
      </c>
      <c r="H238"/>
      <c r="I238">
        <v>138.99000549316406</v>
      </c>
      <c r="J238">
        <v>4.7712256200611591E-3</v>
      </c>
      <c r="K238">
        <v>-3.5056900000000002E-2</v>
      </c>
      <c r="L238">
        <v>-2.7356479999999999E-2</v>
      </c>
      <c r="M238">
        <v>-3.9227959999999999E-2</v>
      </c>
      <c r="N238" s="27">
        <f t="shared" si="41"/>
        <v>44104</v>
      </c>
      <c r="O238" s="110">
        <f t="shared" si="33"/>
        <v>4.7712256200611591E-3</v>
      </c>
      <c r="P238" s="110">
        <f t="shared" si="34"/>
        <v>-3.5056900000000002E-2</v>
      </c>
      <c r="Q238" s="110">
        <f t="shared" si="35"/>
        <v>-2.7356479999999999E-2</v>
      </c>
      <c r="R238" s="110">
        <f t="shared" si="36"/>
        <v>-3.9227959999999999E-2</v>
      </c>
      <c r="S238" s="110">
        <f t="shared" si="37"/>
        <v>4.7712256200611591E-3</v>
      </c>
      <c r="T238" s="110">
        <f t="shared" si="38"/>
        <v>-3.5056900000000002E-2</v>
      </c>
      <c r="U238" s="110">
        <f t="shared" si="39"/>
        <v>-2.7356479999999999E-2</v>
      </c>
      <c r="V238" s="110">
        <f t="shared" si="40"/>
        <v>-3.9227959999999999E-2</v>
      </c>
      <c r="AI238" s="131"/>
      <c r="AJ238" s="131"/>
      <c r="AK238" s="131"/>
      <c r="AL238" s="132"/>
    </row>
    <row r="239" spans="1:38" ht="15">
      <c r="A239">
        <v>18163</v>
      </c>
      <c r="B239" s="168">
        <v>44134</v>
      </c>
      <c r="C239" t="s">
        <v>382</v>
      </c>
      <c r="D239" t="s">
        <v>308</v>
      </c>
      <c r="E239" t="s">
        <v>383</v>
      </c>
      <c r="F239">
        <v>21446</v>
      </c>
      <c r="G239" t="s">
        <v>382</v>
      </c>
      <c r="H239"/>
      <c r="I239">
        <v>137.10000610351562</v>
      </c>
      <c r="J239">
        <v>-7.9091973602771759E-3</v>
      </c>
      <c r="K239">
        <v>-2.017795E-2</v>
      </c>
      <c r="L239">
        <v>5.8393289999999999E-4</v>
      </c>
      <c r="M239">
        <v>-2.7665780000000001E-2</v>
      </c>
      <c r="N239" s="27">
        <f t="shared" si="41"/>
        <v>44134</v>
      </c>
      <c r="O239" s="110">
        <f t="shared" si="33"/>
        <v>-7.9091973602771759E-3</v>
      </c>
      <c r="P239" s="110">
        <f t="shared" si="34"/>
        <v>-2.017795E-2</v>
      </c>
      <c r="Q239" s="110">
        <f t="shared" si="35"/>
        <v>5.8393289999999999E-4</v>
      </c>
      <c r="R239" s="110">
        <f t="shared" si="36"/>
        <v>-2.7665780000000001E-2</v>
      </c>
      <c r="S239" s="110">
        <f t="shared" si="37"/>
        <v>-7.9091973602771759E-3</v>
      </c>
      <c r="T239" s="110">
        <f t="shared" si="38"/>
        <v>-2.017795E-2</v>
      </c>
      <c r="U239" s="110">
        <f t="shared" si="39"/>
        <v>5.8393289999999999E-4</v>
      </c>
      <c r="V239" s="110">
        <f t="shared" si="40"/>
        <v>-2.7665780000000001E-2</v>
      </c>
      <c r="AI239" s="131"/>
      <c r="AJ239" s="131"/>
      <c r="AK239" s="131"/>
      <c r="AL239" s="132"/>
    </row>
    <row r="240" spans="1:38" ht="15">
      <c r="A240">
        <v>18163</v>
      </c>
      <c r="B240" s="168">
        <v>44165</v>
      </c>
      <c r="C240" t="s">
        <v>382</v>
      </c>
      <c r="D240" t="s">
        <v>308</v>
      </c>
      <c r="E240" t="s">
        <v>383</v>
      </c>
      <c r="F240">
        <v>21446</v>
      </c>
      <c r="G240" t="s">
        <v>382</v>
      </c>
      <c r="H240"/>
      <c r="I240">
        <v>138.8699951171875</v>
      </c>
      <c r="J240">
        <v>1.2910204008221626E-2</v>
      </c>
      <c r="K240">
        <v>0.1237065</v>
      </c>
      <c r="L240">
        <v>0.17441209999999999</v>
      </c>
      <c r="M240">
        <v>0.10754569999999999</v>
      </c>
      <c r="N240" s="27">
        <f t="shared" si="41"/>
        <v>44165</v>
      </c>
      <c r="O240" s="110">
        <f t="shared" si="33"/>
        <v>1.2910204008221626E-2</v>
      </c>
      <c r="P240" s="110">
        <f t="shared" si="34"/>
        <v>0.1237065</v>
      </c>
      <c r="Q240" s="110">
        <f t="shared" si="35"/>
        <v>0.17441209999999999</v>
      </c>
      <c r="R240" s="110">
        <f t="shared" si="36"/>
        <v>0.10754569999999999</v>
      </c>
      <c r="S240" s="110">
        <f t="shared" si="37"/>
        <v>1.2910204008221626E-2</v>
      </c>
      <c r="T240" s="110">
        <f t="shared" si="38"/>
        <v>0.1237065</v>
      </c>
      <c r="U240" s="110">
        <f t="shared" si="39"/>
        <v>0.17441209999999999</v>
      </c>
      <c r="V240" s="110">
        <f t="shared" si="40"/>
        <v>0.10754569999999999</v>
      </c>
      <c r="AI240" s="131"/>
      <c r="AJ240" s="131"/>
      <c r="AK240" s="131"/>
      <c r="AL240" s="132"/>
    </row>
    <row r="241" spans="1:38" ht="15">
      <c r="A241">
        <v>18163</v>
      </c>
      <c r="B241" s="168">
        <v>44196</v>
      </c>
      <c r="C241" t="s">
        <v>382</v>
      </c>
      <c r="D241" t="s">
        <v>308</v>
      </c>
      <c r="E241" t="s">
        <v>383</v>
      </c>
      <c r="F241">
        <v>21446</v>
      </c>
      <c r="G241" t="s">
        <v>382</v>
      </c>
      <c r="H241"/>
      <c r="I241">
        <v>139.13999938964844</v>
      </c>
      <c r="J241">
        <v>1.9442952470853925E-3</v>
      </c>
      <c r="K241">
        <v>4.5048089999999999E-2</v>
      </c>
      <c r="L241">
        <v>7.2852630000000002E-2</v>
      </c>
      <c r="M241">
        <v>3.7121410000000001E-2</v>
      </c>
      <c r="N241" s="27">
        <f t="shared" si="41"/>
        <v>44196</v>
      </c>
      <c r="O241" s="110">
        <f t="shared" si="33"/>
        <v>1.9442952470853925E-3</v>
      </c>
      <c r="P241" s="110">
        <f t="shared" si="34"/>
        <v>4.5048089999999999E-2</v>
      </c>
      <c r="Q241" s="110">
        <f t="shared" si="35"/>
        <v>7.2852630000000002E-2</v>
      </c>
      <c r="R241" s="110">
        <f t="shared" si="36"/>
        <v>3.7121410000000001E-2</v>
      </c>
      <c r="S241" s="110">
        <f t="shared" si="37"/>
        <v>1.9442952470853925E-3</v>
      </c>
      <c r="T241" s="110">
        <f t="shared" si="38"/>
        <v>4.5048089999999999E-2</v>
      </c>
      <c r="U241" s="110">
        <f t="shared" si="39"/>
        <v>7.2852630000000002E-2</v>
      </c>
      <c r="V241" s="110">
        <f t="shared" si="40"/>
        <v>3.7121410000000001E-2</v>
      </c>
      <c r="AI241" s="131"/>
      <c r="AJ241" s="131"/>
      <c r="AK241" s="131"/>
      <c r="AL241" s="132"/>
    </row>
    <row r="242" spans="1:38" ht="15">
      <c r="A242"/>
      <c r="C242"/>
      <c r="G242"/>
      <c r="I242"/>
      <c r="J242"/>
      <c r="K242"/>
      <c r="L242"/>
      <c r="M242"/>
    </row>
    <row r="243" spans="1:38" ht="15">
      <c r="A243"/>
      <c r="C243"/>
      <c r="G243"/>
      <c r="I243"/>
      <c r="J243"/>
      <c r="K243"/>
      <c r="L243"/>
      <c r="M243"/>
    </row>
    <row r="244" spans="1:38" ht="15">
      <c r="C244"/>
      <c r="G244"/>
    </row>
    <row r="245" spans="1:38" ht="15">
      <c r="C245"/>
      <c r="G245"/>
    </row>
    <row r="246" spans="1:38" ht="15">
      <c r="C246"/>
      <c r="G246"/>
    </row>
    <row r="247" spans="1:38" ht="15">
      <c r="C247"/>
      <c r="G247"/>
      <c r="J247" s="26">
        <f>SLOPE(J177:J236,K177:K236)</f>
        <v>0.41666634505473071</v>
      </c>
      <c r="K247" s="26">
        <f>SLOPE(J177:J236,L177:L236)</f>
        <v>0.26892880126595925</v>
      </c>
      <c r="L247" s="26">
        <f>SLOPE(J177:J236,M177:M236)</f>
        <v>0.45889206456471521</v>
      </c>
    </row>
    <row r="248" spans="1:38" ht="15">
      <c r="C248"/>
      <c r="G248"/>
    </row>
    <row r="249" spans="1:38" ht="15">
      <c r="C249"/>
      <c r="G249"/>
    </row>
    <row r="250" spans="1:38" ht="15">
      <c r="C250"/>
      <c r="G250"/>
    </row>
    <row r="251" spans="1:38" ht="15">
      <c r="C251"/>
      <c r="G251"/>
    </row>
    <row r="252" spans="1:38" ht="15">
      <c r="C252"/>
      <c r="G252"/>
    </row>
    <row r="253" spans="1:38" ht="15">
      <c r="C253"/>
      <c r="G253"/>
    </row>
    <row r="254" spans="1:38" ht="15">
      <c r="C254"/>
      <c r="G254"/>
    </row>
    <row r="255" spans="1:38" ht="15">
      <c r="C255"/>
      <c r="G255"/>
    </row>
    <row r="256" spans="1:38" ht="15">
      <c r="C256"/>
      <c r="G256"/>
    </row>
    <row r="257" spans="3:7" ht="15">
      <c r="C257"/>
      <c r="G257"/>
    </row>
    <row r="258" spans="3:7" ht="15">
      <c r="C258"/>
      <c r="G258"/>
    </row>
    <row r="259" spans="3:7" ht="15">
      <c r="C259"/>
      <c r="G259"/>
    </row>
    <row r="260" spans="3:7" ht="15">
      <c r="C260"/>
      <c r="G260"/>
    </row>
    <row r="261" spans="3:7" ht="15">
      <c r="C261"/>
      <c r="G261"/>
    </row>
    <row r="262" spans="3:7" ht="15">
      <c r="C262"/>
      <c r="G262"/>
    </row>
    <row r="263" spans="3:7" ht="15">
      <c r="C263"/>
      <c r="G263"/>
    </row>
    <row r="264" spans="3:7" ht="15">
      <c r="C264"/>
      <c r="G264"/>
    </row>
    <row r="265" spans="3:7" ht="15">
      <c r="C265"/>
      <c r="G265"/>
    </row>
    <row r="266" spans="3:7" ht="15">
      <c r="C266"/>
      <c r="G266"/>
    </row>
    <row r="267" spans="3:7" ht="15">
      <c r="C267"/>
      <c r="G267"/>
    </row>
    <row r="268" spans="3:7" ht="15">
      <c r="C268"/>
      <c r="G268"/>
    </row>
    <row r="269" spans="3:7" ht="15">
      <c r="C269"/>
      <c r="G269"/>
    </row>
    <row r="270" spans="3:7" ht="15">
      <c r="C270"/>
      <c r="G270"/>
    </row>
    <row r="271" spans="3:7" ht="15">
      <c r="C271"/>
      <c r="G271"/>
    </row>
    <row r="272" spans="3:7" ht="15">
      <c r="C272"/>
      <c r="G272"/>
    </row>
    <row r="273" spans="3:7" ht="15">
      <c r="C273"/>
      <c r="G273"/>
    </row>
    <row r="274" spans="3:7" ht="15">
      <c r="C274"/>
      <c r="G274"/>
    </row>
    <row r="275" spans="3:7" ht="15">
      <c r="C275"/>
      <c r="G275"/>
    </row>
    <row r="276" spans="3:7" ht="15">
      <c r="C276"/>
      <c r="G276"/>
    </row>
    <row r="277" spans="3:7" ht="15">
      <c r="C277"/>
      <c r="G277"/>
    </row>
    <row r="278" spans="3:7" ht="15">
      <c r="C278"/>
      <c r="G278"/>
    </row>
    <row r="279" spans="3:7" ht="15">
      <c r="C279"/>
      <c r="G279"/>
    </row>
    <row r="280" spans="3:7" ht="15">
      <c r="C280"/>
      <c r="G280"/>
    </row>
    <row r="281" spans="3:7" ht="15">
      <c r="C281"/>
      <c r="G281"/>
    </row>
    <row r="282" spans="3:7" ht="15">
      <c r="C282"/>
      <c r="G282"/>
    </row>
    <row r="283" spans="3:7" ht="15">
      <c r="C283"/>
      <c r="G283"/>
    </row>
    <row r="284" spans="3:7" ht="15">
      <c r="C284"/>
      <c r="G284"/>
    </row>
    <row r="285" spans="3:7" ht="15">
      <c r="C285"/>
      <c r="G285"/>
    </row>
    <row r="286" spans="3:7" ht="15">
      <c r="C286"/>
      <c r="G286"/>
    </row>
    <row r="287" spans="3:7" ht="15">
      <c r="C287"/>
      <c r="G287"/>
    </row>
    <row r="288" spans="3:7" ht="15">
      <c r="C288"/>
      <c r="G288"/>
    </row>
    <row r="289" spans="3:7" ht="15">
      <c r="C289"/>
      <c r="G289"/>
    </row>
    <row r="290" spans="3:7" ht="15">
      <c r="C290"/>
      <c r="G290"/>
    </row>
    <row r="291" spans="3:7" ht="15">
      <c r="C291"/>
      <c r="G291"/>
    </row>
    <row r="292" spans="3:7" ht="15">
      <c r="C292"/>
      <c r="G292"/>
    </row>
    <row r="293" spans="3:7" ht="15">
      <c r="C293"/>
      <c r="G293"/>
    </row>
    <row r="294" spans="3:7" ht="15">
      <c r="C294"/>
      <c r="G294"/>
    </row>
    <row r="295" spans="3:7" ht="15">
      <c r="C295"/>
      <c r="G295"/>
    </row>
    <row r="296" spans="3:7" ht="15">
      <c r="C296"/>
      <c r="G296"/>
    </row>
    <row r="297" spans="3:7" ht="15">
      <c r="C297"/>
      <c r="G297"/>
    </row>
    <row r="298" spans="3:7" ht="15">
      <c r="C298"/>
      <c r="G298"/>
    </row>
    <row r="299" spans="3:7" ht="15">
      <c r="C299"/>
      <c r="G299"/>
    </row>
    <row r="300" spans="3:7" ht="15">
      <c r="C300"/>
      <c r="G300"/>
    </row>
    <row r="301" spans="3:7" ht="15">
      <c r="C301"/>
      <c r="G301"/>
    </row>
    <row r="302" spans="3:7" ht="15">
      <c r="C302"/>
      <c r="G302"/>
    </row>
    <row r="303" spans="3:7" ht="15">
      <c r="C303"/>
      <c r="G303"/>
    </row>
    <row r="304" spans="3:7" ht="15">
      <c r="C304"/>
      <c r="G304"/>
    </row>
    <row r="305" spans="3:16" ht="15">
      <c r="C305"/>
      <c r="G305"/>
    </row>
    <row r="306" spans="3:16" ht="15">
      <c r="C306"/>
      <c r="G306"/>
    </row>
    <row r="307" spans="3:16" ht="15">
      <c r="C307"/>
      <c r="G307"/>
      <c r="O307" s="176" t="e">
        <f>O170-O245</f>
        <v>#VALUE!</v>
      </c>
      <c r="P307" s="176" t="e">
        <f>P170-P245</f>
        <v>#VALUE!</v>
      </c>
    </row>
    <row r="308" spans="3:16" ht="15">
      <c r="C308"/>
      <c r="G308"/>
      <c r="O308" s="176" t="e">
        <f t="shared" ref="O308:P371" si="42">O171-O246</f>
        <v>#VALUE!</v>
      </c>
      <c r="P308" s="176" t="e">
        <f t="shared" si="42"/>
        <v>#VALUE!</v>
      </c>
    </row>
    <row r="309" spans="3:16" ht="15">
      <c r="C309"/>
      <c r="G309"/>
      <c r="O309" s="176" t="e">
        <f t="shared" si="42"/>
        <v>#VALUE!</v>
      </c>
      <c r="P309" s="176" t="e">
        <f t="shared" si="42"/>
        <v>#VALUE!</v>
      </c>
    </row>
    <row r="310" spans="3:16" ht="15">
      <c r="C310"/>
      <c r="G310"/>
      <c r="O310" s="176" t="e">
        <f t="shared" si="42"/>
        <v>#VALUE!</v>
      </c>
      <c r="P310" s="176" t="e">
        <f t="shared" si="42"/>
        <v>#VALUE!</v>
      </c>
    </row>
    <row r="311" spans="3:16" ht="15">
      <c r="C311"/>
      <c r="G311"/>
      <c r="O311" s="176" t="e">
        <f t="shared" si="42"/>
        <v>#VALUE!</v>
      </c>
      <c r="P311" s="176" t="e">
        <f t="shared" si="42"/>
        <v>#VALUE!</v>
      </c>
    </row>
    <row r="312" spans="3:16" ht="15">
      <c r="C312"/>
      <c r="G312"/>
      <c r="O312" s="176" t="e">
        <f t="shared" si="42"/>
        <v>#VALUE!</v>
      </c>
      <c r="P312" s="176" t="e">
        <f t="shared" si="42"/>
        <v>#VALUE!</v>
      </c>
    </row>
    <row r="313" spans="3:16" ht="15">
      <c r="C313"/>
      <c r="G313"/>
      <c r="O313" s="176" t="e">
        <f t="shared" si="42"/>
        <v>#VALUE!</v>
      </c>
      <c r="P313" s="176" t="e">
        <f t="shared" si="42"/>
        <v>#VALUE!</v>
      </c>
    </row>
    <row r="314" spans="3:16" ht="15">
      <c r="C314"/>
      <c r="G314"/>
      <c r="O314" s="176" t="e">
        <f t="shared" si="42"/>
        <v>#VALUE!</v>
      </c>
      <c r="P314" s="176" t="e">
        <f t="shared" si="42"/>
        <v>#VALUE!</v>
      </c>
    </row>
    <row r="315" spans="3:16" ht="15">
      <c r="C315"/>
      <c r="G315"/>
      <c r="O315" s="176" t="e">
        <f t="shared" si="42"/>
        <v>#VALUE!</v>
      </c>
      <c r="P315" s="176" t="e">
        <f t="shared" si="42"/>
        <v>#VALUE!</v>
      </c>
    </row>
    <row r="316" spans="3:16" ht="15">
      <c r="C316"/>
      <c r="G316"/>
      <c r="O316" s="176" t="e">
        <f t="shared" si="42"/>
        <v>#VALUE!</v>
      </c>
      <c r="P316" s="176" t="e">
        <f t="shared" si="42"/>
        <v>#VALUE!</v>
      </c>
    </row>
    <row r="317" spans="3:16" ht="15">
      <c r="C317"/>
      <c r="G317"/>
      <c r="O317" s="176" t="e">
        <f t="shared" si="42"/>
        <v>#VALUE!</v>
      </c>
      <c r="P317" s="176" t="e">
        <f t="shared" si="42"/>
        <v>#VALUE!</v>
      </c>
    </row>
    <row r="318" spans="3:16" ht="15">
      <c r="C318"/>
      <c r="G318"/>
      <c r="O318" s="176" t="e">
        <f t="shared" si="42"/>
        <v>#VALUE!</v>
      </c>
      <c r="P318" s="176" t="e">
        <f t="shared" si="42"/>
        <v>#VALUE!</v>
      </c>
    </row>
    <row r="319" spans="3:16" ht="15">
      <c r="C319"/>
      <c r="G319"/>
      <c r="O319" s="176">
        <f t="shared" si="42"/>
        <v>3.7059545516967773E-2</v>
      </c>
      <c r="P319" s="176">
        <f t="shared" si="42"/>
        <v>-5.718007E-2</v>
      </c>
    </row>
    <row r="320" spans="3:16" ht="15">
      <c r="C320"/>
      <c r="G320"/>
      <c r="O320" s="176">
        <f t="shared" si="42"/>
        <v>-1.7137978225946426E-2</v>
      </c>
      <c r="P320" s="176">
        <f t="shared" si="42"/>
        <v>6.0439240000000006E-4</v>
      </c>
    </row>
    <row r="321" spans="3:16" ht="15">
      <c r="C321"/>
      <c r="G321"/>
      <c r="O321" s="176">
        <f t="shared" si="42"/>
        <v>2.5158757343888283E-2</v>
      </c>
      <c r="P321" s="176">
        <f t="shared" si="42"/>
        <v>7.0581190000000002E-2</v>
      </c>
    </row>
    <row r="322" spans="3:16" ht="15">
      <c r="C322"/>
      <c r="G322"/>
      <c r="O322" s="176">
        <f t="shared" si="42"/>
        <v>-1.8472783267498016E-2</v>
      </c>
      <c r="P322" s="176">
        <f t="shared" si="42"/>
        <v>1.173658E-2</v>
      </c>
    </row>
    <row r="323" spans="3:16" ht="15">
      <c r="C323"/>
      <c r="G323"/>
      <c r="O323" s="176">
        <f t="shared" si="42"/>
        <v>1.1482752859592438E-2</v>
      </c>
      <c r="P323" s="176">
        <f t="shared" si="42"/>
        <v>1.426884E-2</v>
      </c>
    </row>
    <row r="324" spans="3:16" ht="15">
      <c r="C324"/>
      <c r="G324"/>
      <c r="O324" s="176">
        <f t="shared" si="42"/>
        <v>4.479265958070755E-2</v>
      </c>
      <c r="P324" s="176">
        <f t="shared" si="42"/>
        <v>2.926236E-3</v>
      </c>
    </row>
    <row r="325" spans="3:16" ht="15">
      <c r="C325"/>
      <c r="G325"/>
      <c r="O325" s="176">
        <f t="shared" si="42"/>
        <v>1.8772860988974571E-2</v>
      </c>
      <c r="P325" s="176">
        <f t="shared" si="42"/>
        <v>3.8846079999999998E-2</v>
      </c>
    </row>
    <row r="326" spans="3:16" ht="15">
      <c r="C326"/>
      <c r="G326"/>
      <c r="O326" s="176">
        <f t="shared" si="42"/>
        <v>2.0095821470022202E-2</v>
      </c>
      <c r="P326" s="176">
        <f t="shared" si="42"/>
        <v>2.7996640000000003E-3</v>
      </c>
    </row>
    <row r="327" spans="3:16" ht="15">
      <c r="C327"/>
      <c r="G327"/>
      <c r="O327" s="176">
        <f t="shared" si="42"/>
        <v>2.7946427464485168E-2</v>
      </c>
      <c r="P327" s="176">
        <f t="shared" si="42"/>
        <v>3.0199040000000003E-3</v>
      </c>
    </row>
    <row r="328" spans="3:16" ht="15">
      <c r="C328"/>
      <c r="G328"/>
      <c r="O328" s="176">
        <f t="shared" si="42"/>
        <v>-2.5409437716007233E-2</v>
      </c>
      <c r="P328" s="176">
        <f t="shared" si="42"/>
        <v>-2.158622E-2</v>
      </c>
    </row>
    <row r="329" spans="3:16" ht="15">
      <c r="C329"/>
      <c r="G329"/>
      <c r="O329" s="176">
        <f t="shared" si="42"/>
        <v>-5.0000045448541641E-2</v>
      </c>
      <c r="P329" s="176">
        <f t="shared" si="42"/>
        <v>4.0545749999999998E-2</v>
      </c>
    </row>
    <row r="330" spans="3:16" ht="15">
      <c r="C330"/>
      <c r="G330"/>
      <c r="O330" s="176">
        <f t="shared" si="42"/>
        <v>1.9645921885967255E-2</v>
      </c>
      <c r="P330" s="176">
        <f t="shared" si="42"/>
        <v>1.8767820000000001E-2</v>
      </c>
    </row>
    <row r="331" spans="3:16" ht="15">
      <c r="C331"/>
      <c r="G331"/>
      <c r="O331" s="176">
        <f t="shared" si="42"/>
        <v>4.9827504903078079E-2</v>
      </c>
      <c r="P331" s="176">
        <f t="shared" si="42"/>
        <v>2.2176669999999999E-2</v>
      </c>
    </row>
    <row r="332" spans="3:16" ht="15">
      <c r="C332"/>
      <c r="G332"/>
      <c r="O332" s="176">
        <f t="shared" si="42"/>
        <v>3.9611887186765671E-2</v>
      </c>
      <c r="P332" s="176">
        <f t="shared" si="42"/>
        <v>3.2631899999999998E-2</v>
      </c>
    </row>
    <row r="333" spans="3:16" ht="15">
      <c r="C333"/>
      <c r="G333"/>
      <c r="O333" s="176">
        <f t="shared" si="42"/>
        <v>-1.3396302238106728E-2</v>
      </c>
      <c r="P333" s="176">
        <f t="shared" si="42"/>
        <v>2.0949690000000003E-3</v>
      </c>
    </row>
    <row r="334" spans="3:16" ht="15">
      <c r="C334"/>
      <c r="G334"/>
      <c r="O334" s="176">
        <f t="shared" si="42"/>
        <v>-2.03716941177845E-2</v>
      </c>
      <c r="P334" s="176">
        <f t="shared" si="42"/>
        <v>9.6275750000000011E-3</v>
      </c>
    </row>
    <row r="335" spans="3:16" ht="15">
      <c r="C335"/>
      <c r="G335"/>
      <c r="O335" s="176">
        <f t="shared" si="42"/>
        <v>8.7025593966245651E-3</v>
      </c>
      <c r="P335" s="176">
        <f t="shared" si="42"/>
        <v>9.3033030000000006E-3</v>
      </c>
    </row>
    <row r="336" spans="3:16" ht="15">
      <c r="C336"/>
      <c r="G336"/>
      <c r="O336" s="176">
        <f t="shared" si="42"/>
        <v>-1.0670846328139305E-2</v>
      </c>
      <c r="P336" s="176">
        <f t="shared" si="42"/>
        <v>9.5514930000000012E-3</v>
      </c>
    </row>
    <row r="337" spans="3:16" ht="15">
      <c r="C337"/>
      <c r="G337"/>
      <c r="O337" s="176">
        <f t="shared" si="42"/>
        <v>5.0024073570966721E-2</v>
      </c>
      <c r="P337" s="176">
        <f t="shared" si="42"/>
        <v>2.030879E-2</v>
      </c>
    </row>
    <row r="338" spans="3:16" ht="15">
      <c r="C338"/>
      <c r="G338"/>
      <c r="O338" s="176">
        <f t="shared" si="42"/>
        <v>1.5965612605214119E-2</v>
      </c>
      <c r="P338" s="176">
        <f t="shared" si="42"/>
        <v>1.5746460000000001E-3</v>
      </c>
    </row>
    <row r="339" spans="3:16" ht="15">
      <c r="C339"/>
      <c r="G339"/>
      <c r="O339" s="176">
        <f t="shared" si="42"/>
        <v>-1.398063637316227E-2</v>
      </c>
      <c r="P339" s="176">
        <f t="shared" si="42"/>
        <v>2.3777450000000002E-2</v>
      </c>
    </row>
    <row r="340" spans="3:16" ht="15">
      <c r="C340"/>
      <c r="G340"/>
      <c r="O340" s="176">
        <f t="shared" si="42"/>
        <v>-4.3420609086751938E-2</v>
      </c>
      <c r="P340" s="176">
        <f t="shared" si="42"/>
        <v>1.9276790000000002E-2</v>
      </c>
    </row>
    <row r="341" spans="3:16" ht="15">
      <c r="C341"/>
      <c r="G341"/>
      <c r="O341" s="176">
        <f t="shared" si="42"/>
        <v>4.2274747043848038E-2</v>
      </c>
      <c r="P341" s="176">
        <f t="shared" si="42"/>
        <v>2.7252490000000001E-2</v>
      </c>
    </row>
    <row r="342" spans="3:16" ht="15">
      <c r="C342"/>
      <c r="G342"/>
      <c r="O342" s="176">
        <f t="shared" si="42"/>
        <v>2.1002328023314476E-2</v>
      </c>
      <c r="P342" s="176">
        <f t="shared" si="42"/>
        <v>1.2152690000000001E-2</v>
      </c>
    </row>
    <row r="343" spans="3:16" ht="15">
      <c r="C343"/>
      <c r="G343"/>
      <c r="O343" s="176">
        <f t="shared" si="42"/>
        <v>-5.2790608257055283E-2</v>
      </c>
      <c r="P343" s="176">
        <f t="shared" si="42"/>
        <v>5.0626650000000002E-2</v>
      </c>
    </row>
    <row r="344" spans="3:16" ht="15">
      <c r="C344"/>
      <c r="G344"/>
      <c r="O344" s="176">
        <f t="shared" si="42"/>
        <v>-9.0572156012058258E-2</v>
      </c>
      <c r="P344" s="176">
        <f t="shared" si="42"/>
        <v>-3.9511110000000002E-2</v>
      </c>
    </row>
    <row r="345" spans="3:16" ht="15">
      <c r="C345"/>
      <c r="G345"/>
      <c r="O345" s="176">
        <f t="shared" si="42"/>
        <v>9.6790902316570282E-3</v>
      </c>
      <c r="P345" s="176">
        <f t="shared" si="42"/>
        <v>-1.845426E-2</v>
      </c>
    </row>
    <row r="346" spans="3:16" ht="15">
      <c r="C346"/>
      <c r="G346"/>
      <c r="O346" s="176">
        <f t="shared" si="42"/>
        <v>-7.8491456806659698E-2</v>
      </c>
      <c r="P346" s="176">
        <f t="shared" si="42"/>
        <v>4.710115E-3</v>
      </c>
    </row>
    <row r="347" spans="3:16" ht="15">
      <c r="C347"/>
      <c r="G347"/>
      <c r="O347" s="176">
        <f t="shared" si="42"/>
        <v>1.1473623104393482E-2</v>
      </c>
      <c r="P347" s="176">
        <f t="shared" si="42"/>
        <v>2.6174670000000001E-2</v>
      </c>
    </row>
    <row r="348" spans="3:16" ht="15">
      <c r="C348"/>
      <c r="G348"/>
      <c r="O348" s="176">
        <f t="shared" si="42"/>
        <v>6.6830664873123169E-2</v>
      </c>
      <c r="P348" s="176">
        <f t="shared" si="42"/>
        <v>5.362637E-3</v>
      </c>
    </row>
    <row r="349" spans="3:16" ht="15">
      <c r="C349"/>
      <c r="G349"/>
      <c r="O349" s="176">
        <f t="shared" si="42"/>
        <v>4.531385749578476E-2</v>
      </c>
      <c r="P349" s="176">
        <f t="shared" si="42"/>
        <v>3.1602690000000003E-2</v>
      </c>
    </row>
    <row r="350" spans="3:16" ht="15">
      <c r="C350"/>
      <c r="G350"/>
      <c r="O350" s="176">
        <f t="shared" si="42"/>
        <v>2.55934689193964E-2</v>
      </c>
      <c r="P350" s="176">
        <f t="shared" si="42"/>
        <v>3.0204399999999999E-2</v>
      </c>
    </row>
    <row r="351" spans="3:16" ht="15">
      <c r="C351"/>
      <c r="G351"/>
      <c r="O351" s="176">
        <f t="shared" si="42"/>
        <v>3.3756047487258911E-3</v>
      </c>
      <c r="P351" s="176">
        <f t="shared" si="42"/>
        <v>4.32142E-4</v>
      </c>
    </row>
    <row r="352" spans="3:16" ht="15">
      <c r="C352"/>
      <c r="G352"/>
      <c r="O352" s="176">
        <f t="shared" si="42"/>
        <v>7.4098244309425354E-2</v>
      </c>
      <c r="P352" s="176">
        <f t="shared" si="42"/>
        <v>-7.4075700000000008E-2</v>
      </c>
    </row>
    <row r="353" spans="3:16" ht="15">
      <c r="C353"/>
      <c r="G353"/>
      <c r="O353" s="176">
        <f t="shared" si="42"/>
        <v>6.5742015838623047E-2</v>
      </c>
      <c r="P353" s="176">
        <f t="shared" si="42"/>
        <v>1.8489490000000001E-2</v>
      </c>
    </row>
    <row r="354" spans="3:16" ht="15">
      <c r="C354"/>
      <c r="G354"/>
      <c r="O354" s="176">
        <f t="shared" si="42"/>
        <v>-2.7404548600316048E-2</v>
      </c>
      <c r="P354" s="176">
        <f t="shared" si="42"/>
        <v>-8.9888949999999995E-2</v>
      </c>
    </row>
    <row r="355" spans="3:16" ht="15">
      <c r="C355"/>
      <c r="G355"/>
      <c r="O355" s="176">
        <f t="shared" si="42"/>
        <v>5.7302035391330719E-2</v>
      </c>
      <c r="P355" s="176">
        <f t="shared" si="42"/>
        <v>8.8295239999999997E-2</v>
      </c>
    </row>
    <row r="356" spans="3:16">
      <c r="O356" s="176">
        <f t="shared" si="42"/>
        <v>2.1561125293374062E-2</v>
      </c>
      <c r="P356" s="176">
        <f t="shared" si="42"/>
        <v>3.2723530000000001E-2</v>
      </c>
    </row>
    <row r="357" spans="3:16">
      <c r="O357" s="176">
        <f t="shared" si="42"/>
        <v>5.5809233337640762E-2</v>
      </c>
      <c r="P357" s="176">
        <f t="shared" si="42"/>
        <v>1.2963510000000001E-2</v>
      </c>
    </row>
    <row r="358" spans="3:16">
      <c r="O358" s="176">
        <f t="shared" si="42"/>
        <v>3.0522827059030533E-2</v>
      </c>
      <c r="P358" s="176">
        <f t="shared" si="42"/>
        <v>3.788859E-2</v>
      </c>
    </row>
    <row r="359" spans="3:16">
      <c r="O359" s="176">
        <f t="shared" si="42"/>
        <v>-3.3527418971061707E-2</v>
      </c>
      <c r="P359" s="176">
        <f t="shared" si="42"/>
        <v>-6.167856E-2</v>
      </c>
    </row>
    <row r="360" spans="3:16">
      <c r="O360" s="176">
        <f t="shared" si="42"/>
        <v>6.5494097769260406E-2</v>
      </c>
      <c r="P360" s="176">
        <f t="shared" si="42"/>
        <v>6.7278859999999996E-2</v>
      </c>
    </row>
    <row r="361" spans="3:16">
      <c r="O361" s="176">
        <f t="shared" si="42"/>
        <v>8.3318732678890228E-2</v>
      </c>
      <c r="P361" s="176">
        <f t="shared" si="42"/>
        <v>1.185431E-2</v>
      </c>
    </row>
    <row r="362" spans="3:16">
      <c r="O362" s="176">
        <f t="shared" si="42"/>
        <v>1.8553053960204124E-2</v>
      </c>
      <c r="P362" s="176">
        <f t="shared" si="42"/>
        <v>-2.0339329999999999E-2</v>
      </c>
    </row>
    <row r="363" spans="3:16">
      <c r="O363" s="176">
        <f t="shared" si="42"/>
        <v>3.451712429523468E-2</v>
      </c>
      <c r="P363" s="176">
        <f t="shared" si="42"/>
        <v>1.6032970000000001E-2</v>
      </c>
    </row>
    <row r="364" spans="3:16">
      <c r="O364" s="176">
        <f t="shared" si="42"/>
        <v>7.0421681739389896E-3</v>
      </c>
      <c r="P364" s="176">
        <f t="shared" si="42"/>
        <v>1.9255939999999999E-2</v>
      </c>
    </row>
    <row r="365" spans="3:16">
      <c r="O365" s="176">
        <f t="shared" si="42"/>
        <v>-1.9677171483635902E-2</v>
      </c>
      <c r="P365" s="176">
        <f t="shared" si="42"/>
        <v>3.4996520000000003E-2</v>
      </c>
    </row>
    <row r="366" spans="3:16">
      <c r="O366" s="176">
        <f t="shared" si="42"/>
        <v>2.3267278447747231E-2</v>
      </c>
      <c r="P366" s="176">
        <f t="shared" si="42"/>
        <v>2.8490680000000001E-2</v>
      </c>
    </row>
    <row r="367" spans="3:16">
      <c r="O367" s="176">
        <f t="shared" si="42"/>
        <v>3.7301937118172646E-3</v>
      </c>
      <c r="P367" s="176">
        <f t="shared" si="42"/>
        <v>-1.7277760000000001E-3</v>
      </c>
    </row>
    <row r="368" spans="3:16">
      <c r="O368" s="176">
        <f t="shared" si="42"/>
        <v>-9.1397844254970551E-2</v>
      </c>
      <c r="P368" s="176">
        <f t="shared" si="42"/>
        <v>-7.7918050000000003E-2</v>
      </c>
    </row>
    <row r="369" spans="15:16">
      <c r="O369" s="176" t="e">
        <f t="shared" si="42"/>
        <v>#VALUE!</v>
      </c>
      <c r="P369" s="176" t="e">
        <f t="shared" si="42"/>
        <v>#VALUE!</v>
      </c>
    </row>
    <row r="370" spans="15:16">
      <c r="O370" s="176" t="e">
        <f t="shared" si="42"/>
        <v>#VALUE!</v>
      </c>
      <c r="P370" s="176" t="e">
        <f t="shared" si="42"/>
        <v>#VALUE!</v>
      </c>
    </row>
    <row r="371" spans="15:16">
      <c r="O371" s="176" t="e">
        <f t="shared" si="42"/>
        <v>#VALUE!</v>
      </c>
      <c r="P371" s="176" t="e">
        <f t="shared" si="42"/>
        <v>#VALUE!</v>
      </c>
    </row>
    <row r="372" spans="15:16">
      <c r="O372" s="176" t="e">
        <f t="shared" ref="O372:P435" si="43">O235-O310</f>
        <v>#VALUE!</v>
      </c>
      <c r="P372" s="176" t="e">
        <f t="shared" si="43"/>
        <v>#VALUE!</v>
      </c>
    </row>
    <row r="373" spans="15:16">
      <c r="O373" s="176" t="e">
        <f t="shared" si="43"/>
        <v>#VALUE!</v>
      </c>
      <c r="P373" s="176" t="e">
        <f t="shared" si="43"/>
        <v>#VALUE!</v>
      </c>
    </row>
    <row r="374" spans="15:16">
      <c r="O374" s="176" t="e">
        <f t="shared" si="43"/>
        <v>#VALUE!</v>
      </c>
      <c r="P374" s="176" t="e">
        <f t="shared" si="43"/>
        <v>#VALUE!</v>
      </c>
    </row>
    <row r="375" spans="15:16">
      <c r="O375" s="176" t="e">
        <f t="shared" si="43"/>
        <v>#VALUE!</v>
      </c>
      <c r="P375" s="176" t="e">
        <f t="shared" si="43"/>
        <v>#VALUE!</v>
      </c>
    </row>
    <row r="376" spans="15:16">
      <c r="O376" s="176" t="e">
        <f t="shared" si="43"/>
        <v>#VALUE!</v>
      </c>
      <c r="P376" s="176" t="e">
        <f t="shared" si="43"/>
        <v>#VALUE!</v>
      </c>
    </row>
    <row r="377" spans="15:16">
      <c r="O377" s="176" t="e">
        <f t="shared" si="43"/>
        <v>#VALUE!</v>
      </c>
      <c r="P377" s="176" t="e">
        <f t="shared" si="43"/>
        <v>#VALUE!</v>
      </c>
    </row>
    <row r="378" spans="15:16">
      <c r="O378" s="176" t="e">
        <f t="shared" si="43"/>
        <v>#VALUE!</v>
      </c>
      <c r="P378" s="176" t="e">
        <f t="shared" si="43"/>
        <v>#VALUE!</v>
      </c>
    </row>
    <row r="379" spans="15:16">
      <c r="O379" s="176" t="e">
        <f t="shared" si="43"/>
        <v>#VALUE!</v>
      </c>
      <c r="P379" s="176" t="e">
        <f t="shared" si="43"/>
        <v>#VALUE!</v>
      </c>
    </row>
    <row r="380" spans="15:16">
      <c r="O380" s="176" t="e">
        <f t="shared" si="43"/>
        <v>#VALUE!</v>
      </c>
      <c r="P380" s="176" t="e">
        <f t="shared" si="43"/>
        <v>#VALUE!</v>
      </c>
    </row>
    <row r="381" spans="15:16">
      <c r="O381" s="176">
        <f t="shared" si="43"/>
        <v>-3.7059545516967773E-2</v>
      </c>
      <c r="P381" s="176">
        <f t="shared" si="43"/>
        <v>5.718007E-2</v>
      </c>
    </row>
    <row r="382" spans="15:16">
      <c r="O382" s="176">
        <f t="shared" si="43"/>
        <v>1.7137978225946426E-2</v>
      </c>
      <c r="P382" s="176">
        <f t="shared" si="43"/>
        <v>-6.0439240000000006E-4</v>
      </c>
    </row>
    <row r="383" spans="15:16">
      <c r="O383" s="176">
        <f t="shared" si="43"/>
        <v>-2.5158757343888283E-2</v>
      </c>
      <c r="P383" s="176">
        <f t="shared" si="43"/>
        <v>-7.0581190000000002E-2</v>
      </c>
    </row>
    <row r="384" spans="15:16">
      <c r="O384" s="176">
        <f t="shared" si="43"/>
        <v>1.8472783267498016E-2</v>
      </c>
      <c r="P384" s="176">
        <f t="shared" si="43"/>
        <v>-1.173658E-2</v>
      </c>
    </row>
    <row r="385" spans="15:16">
      <c r="O385" s="176">
        <f t="shared" si="43"/>
        <v>-1.1482752859592438E-2</v>
      </c>
      <c r="P385" s="176">
        <f t="shared" si="43"/>
        <v>-1.426884E-2</v>
      </c>
    </row>
    <row r="386" spans="15:16">
      <c r="O386" s="176">
        <f t="shared" si="43"/>
        <v>-4.479265958070755E-2</v>
      </c>
      <c r="P386" s="176">
        <f t="shared" si="43"/>
        <v>-2.926236E-3</v>
      </c>
    </row>
    <row r="387" spans="15:16">
      <c r="O387" s="176">
        <f t="shared" si="43"/>
        <v>-1.8772860988974571E-2</v>
      </c>
      <c r="P387" s="176">
        <f t="shared" si="43"/>
        <v>-3.8846079999999998E-2</v>
      </c>
    </row>
    <row r="388" spans="15:16">
      <c r="O388" s="176">
        <f t="shared" si="43"/>
        <v>-2.0095821470022202E-2</v>
      </c>
      <c r="P388" s="176">
        <f t="shared" si="43"/>
        <v>-2.7996640000000003E-3</v>
      </c>
    </row>
    <row r="389" spans="15:16">
      <c r="O389" s="176">
        <f t="shared" si="43"/>
        <v>-2.7946427464485168E-2</v>
      </c>
      <c r="P389" s="176">
        <f t="shared" si="43"/>
        <v>-3.0199040000000003E-3</v>
      </c>
    </row>
    <row r="390" spans="15:16">
      <c r="O390" s="176">
        <f t="shared" si="43"/>
        <v>2.5409437716007233E-2</v>
      </c>
      <c r="P390" s="176">
        <f t="shared" si="43"/>
        <v>2.158622E-2</v>
      </c>
    </row>
    <row r="391" spans="15:16">
      <c r="O391" s="176">
        <f t="shared" si="43"/>
        <v>5.0000045448541641E-2</v>
      </c>
      <c r="P391" s="176">
        <f t="shared" si="43"/>
        <v>-4.0545749999999998E-2</v>
      </c>
    </row>
    <row r="392" spans="15:16">
      <c r="O392" s="176">
        <f t="shared" si="43"/>
        <v>-1.9645921885967255E-2</v>
      </c>
      <c r="P392" s="176">
        <f t="shared" si="43"/>
        <v>-1.8767820000000001E-2</v>
      </c>
    </row>
    <row r="393" spans="15:16">
      <c r="O393" s="176">
        <f t="shared" si="43"/>
        <v>-4.9827504903078079E-2</v>
      </c>
      <c r="P393" s="176">
        <f t="shared" si="43"/>
        <v>-2.2176669999999999E-2</v>
      </c>
    </row>
    <row r="394" spans="15:16">
      <c r="O394" s="176">
        <f t="shared" si="43"/>
        <v>-3.9611887186765671E-2</v>
      </c>
      <c r="P394" s="176">
        <f t="shared" si="43"/>
        <v>-3.2631899999999998E-2</v>
      </c>
    </row>
    <row r="395" spans="15:16">
      <c r="O395" s="176">
        <f t="shared" si="43"/>
        <v>1.3396302238106728E-2</v>
      </c>
      <c r="P395" s="176">
        <f t="shared" si="43"/>
        <v>-2.0949690000000003E-3</v>
      </c>
    </row>
    <row r="396" spans="15:16">
      <c r="O396" s="176">
        <f t="shared" si="43"/>
        <v>2.03716941177845E-2</v>
      </c>
      <c r="P396" s="176">
        <f t="shared" si="43"/>
        <v>-9.6275750000000011E-3</v>
      </c>
    </row>
    <row r="397" spans="15:16">
      <c r="O397" s="176">
        <f t="shared" si="43"/>
        <v>-8.7025593966245651E-3</v>
      </c>
      <c r="P397" s="176">
        <f t="shared" si="43"/>
        <v>-9.3033030000000006E-3</v>
      </c>
    </row>
    <row r="398" spans="15:16">
      <c r="O398" s="176">
        <f t="shared" si="43"/>
        <v>1.0670846328139305E-2</v>
      </c>
      <c r="P398" s="176">
        <f t="shared" si="43"/>
        <v>-9.5514930000000012E-3</v>
      </c>
    </row>
    <row r="399" spans="15:16">
      <c r="O399" s="176">
        <f t="shared" si="43"/>
        <v>-5.0024073570966721E-2</v>
      </c>
      <c r="P399" s="176">
        <f t="shared" si="43"/>
        <v>-2.030879E-2</v>
      </c>
    </row>
    <row r="400" spans="15:16">
      <c r="O400" s="176">
        <f t="shared" si="43"/>
        <v>-1.5965612605214119E-2</v>
      </c>
      <c r="P400" s="176">
        <f t="shared" si="43"/>
        <v>-1.5746460000000001E-3</v>
      </c>
    </row>
    <row r="401" spans="15:16">
      <c r="O401" s="176">
        <f t="shared" si="43"/>
        <v>1.398063637316227E-2</v>
      </c>
      <c r="P401" s="176">
        <f t="shared" si="43"/>
        <v>-2.3777450000000002E-2</v>
      </c>
    </row>
    <row r="402" spans="15:16">
      <c r="O402" s="176">
        <f t="shared" si="43"/>
        <v>4.3420609086751938E-2</v>
      </c>
      <c r="P402" s="176">
        <f t="shared" si="43"/>
        <v>-1.9276790000000002E-2</v>
      </c>
    </row>
    <row r="403" spans="15:16">
      <c r="O403" s="176">
        <f t="shared" si="43"/>
        <v>-4.2274747043848038E-2</v>
      </c>
      <c r="P403" s="176">
        <f t="shared" si="43"/>
        <v>-2.7252490000000001E-2</v>
      </c>
    </row>
    <row r="404" spans="15:16">
      <c r="O404" s="176">
        <f t="shared" si="43"/>
        <v>-2.1002328023314476E-2</v>
      </c>
      <c r="P404" s="176">
        <f t="shared" si="43"/>
        <v>-1.2152690000000001E-2</v>
      </c>
    </row>
    <row r="405" spans="15:16">
      <c r="O405" s="176">
        <f t="shared" si="43"/>
        <v>5.2790608257055283E-2</v>
      </c>
      <c r="P405" s="176">
        <f t="shared" si="43"/>
        <v>-5.0626650000000002E-2</v>
      </c>
    </row>
    <row r="406" spans="15:16">
      <c r="O406" s="176">
        <f t="shared" si="43"/>
        <v>9.0572156012058258E-2</v>
      </c>
      <c r="P406" s="176">
        <f t="shared" si="43"/>
        <v>3.9511110000000002E-2</v>
      </c>
    </row>
    <row r="407" spans="15:16">
      <c r="O407" s="176">
        <f t="shared" si="43"/>
        <v>-9.6790902316570282E-3</v>
      </c>
      <c r="P407" s="176">
        <f t="shared" si="43"/>
        <v>1.845426E-2</v>
      </c>
    </row>
    <row r="408" spans="15:16">
      <c r="O408" s="176">
        <f t="shared" si="43"/>
        <v>7.8491456806659698E-2</v>
      </c>
      <c r="P408" s="176">
        <f t="shared" si="43"/>
        <v>-4.710115E-3</v>
      </c>
    </row>
    <row r="409" spans="15:16">
      <c r="O409" s="176">
        <f t="shared" si="43"/>
        <v>-1.1473623104393482E-2</v>
      </c>
      <c r="P409" s="176">
        <f t="shared" si="43"/>
        <v>-2.6174670000000001E-2</v>
      </c>
    </row>
    <row r="410" spans="15:16">
      <c r="O410" s="176">
        <f t="shared" si="43"/>
        <v>-6.6830664873123169E-2</v>
      </c>
      <c r="P410" s="176">
        <f t="shared" si="43"/>
        <v>-5.362637E-3</v>
      </c>
    </row>
    <row r="411" spans="15:16">
      <c r="O411" s="176">
        <f t="shared" si="43"/>
        <v>-4.531385749578476E-2</v>
      </c>
      <c r="P411" s="176">
        <f t="shared" si="43"/>
        <v>-3.1602690000000003E-2</v>
      </c>
    </row>
    <row r="412" spans="15:16">
      <c r="O412" s="176">
        <f t="shared" si="43"/>
        <v>-2.55934689193964E-2</v>
      </c>
      <c r="P412" s="176">
        <f t="shared" si="43"/>
        <v>-3.0204399999999999E-2</v>
      </c>
    </row>
    <row r="413" spans="15:16">
      <c r="O413" s="176">
        <f t="shared" si="43"/>
        <v>-3.3756047487258911E-3</v>
      </c>
      <c r="P413" s="176">
        <f t="shared" si="43"/>
        <v>-4.32142E-4</v>
      </c>
    </row>
    <row r="414" spans="15:16">
      <c r="O414" s="176">
        <f t="shared" si="43"/>
        <v>-7.4098244309425354E-2</v>
      </c>
      <c r="P414" s="176">
        <f t="shared" si="43"/>
        <v>7.4075700000000008E-2</v>
      </c>
    </row>
    <row r="415" spans="15:16">
      <c r="O415" s="176">
        <f t="shared" si="43"/>
        <v>-6.5742015838623047E-2</v>
      </c>
      <c r="P415" s="176">
        <f t="shared" si="43"/>
        <v>-1.8489490000000001E-2</v>
      </c>
    </row>
    <row r="416" spans="15:16">
      <c r="O416" s="176">
        <f t="shared" si="43"/>
        <v>2.7404548600316048E-2</v>
      </c>
      <c r="P416" s="176">
        <f t="shared" si="43"/>
        <v>8.9888949999999995E-2</v>
      </c>
    </row>
    <row r="417" spans="15:16">
      <c r="O417" s="176">
        <f t="shared" si="43"/>
        <v>-5.7302035391330719E-2</v>
      </c>
      <c r="P417" s="176">
        <f t="shared" si="43"/>
        <v>-8.8295239999999997E-2</v>
      </c>
    </row>
    <row r="418" spans="15:16">
      <c r="O418" s="176">
        <f t="shared" si="43"/>
        <v>-2.1561125293374062E-2</v>
      </c>
      <c r="P418" s="176">
        <f t="shared" si="43"/>
        <v>-3.2723530000000001E-2</v>
      </c>
    </row>
    <row r="419" spans="15:16">
      <c r="O419" s="176">
        <f t="shared" si="43"/>
        <v>-5.5809233337640762E-2</v>
      </c>
      <c r="P419" s="176">
        <f t="shared" si="43"/>
        <v>-1.2963510000000001E-2</v>
      </c>
    </row>
    <row r="420" spans="15:16">
      <c r="O420" s="176">
        <f t="shared" si="43"/>
        <v>-3.0522827059030533E-2</v>
      </c>
      <c r="P420" s="176">
        <f t="shared" si="43"/>
        <v>-3.788859E-2</v>
      </c>
    </row>
    <row r="421" spans="15:16">
      <c r="O421" s="176">
        <f t="shared" si="43"/>
        <v>3.3527418971061707E-2</v>
      </c>
      <c r="P421" s="176">
        <f t="shared" si="43"/>
        <v>6.167856E-2</v>
      </c>
    </row>
    <row r="422" spans="15:16">
      <c r="O422" s="176">
        <f t="shared" si="43"/>
        <v>-6.5494097769260406E-2</v>
      </c>
      <c r="P422" s="176">
        <f t="shared" si="43"/>
        <v>-6.7278859999999996E-2</v>
      </c>
    </row>
    <row r="423" spans="15:16">
      <c r="O423" s="176">
        <f t="shared" si="43"/>
        <v>-8.3318732678890228E-2</v>
      </c>
      <c r="P423" s="176">
        <f t="shared" si="43"/>
        <v>-1.185431E-2</v>
      </c>
    </row>
    <row r="424" spans="15:16">
      <c r="O424" s="176">
        <f t="shared" si="43"/>
        <v>-1.8553053960204124E-2</v>
      </c>
      <c r="P424" s="176">
        <f t="shared" si="43"/>
        <v>2.0339329999999999E-2</v>
      </c>
    </row>
    <row r="425" spans="15:16">
      <c r="O425" s="176">
        <f t="shared" si="43"/>
        <v>-3.451712429523468E-2</v>
      </c>
      <c r="P425" s="176">
        <f t="shared" si="43"/>
        <v>-1.6032970000000001E-2</v>
      </c>
    </row>
    <row r="426" spans="15:16">
      <c r="O426" s="176">
        <f t="shared" si="43"/>
        <v>-7.0421681739389896E-3</v>
      </c>
      <c r="P426" s="176">
        <f t="shared" si="43"/>
        <v>-1.9255939999999999E-2</v>
      </c>
    </row>
    <row r="427" spans="15:16">
      <c r="O427" s="176">
        <f t="shared" si="43"/>
        <v>1.9677171483635902E-2</v>
      </c>
      <c r="P427" s="176">
        <f t="shared" si="43"/>
        <v>-3.4996520000000003E-2</v>
      </c>
    </row>
    <row r="428" spans="15:16">
      <c r="O428" s="176">
        <f t="shared" si="43"/>
        <v>-2.3267278447747231E-2</v>
      </c>
      <c r="P428" s="176">
        <f t="shared" si="43"/>
        <v>-2.8490680000000001E-2</v>
      </c>
    </row>
    <row r="429" spans="15:16">
      <c r="O429" s="176">
        <f t="shared" si="43"/>
        <v>-3.7301937118172646E-3</v>
      </c>
      <c r="P429" s="176">
        <f t="shared" si="43"/>
        <v>1.7277760000000001E-3</v>
      </c>
    </row>
    <row r="430" spans="15:16">
      <c r="O430" s="176">
        <f t="shared" si="43"/>
        <v>9.1397844254970551E-2</v>
      </c>
      <c r="P430" s="176">
        <f t="shared" si="43"/>
        <v>7.7918050000000003E-2</v>
      </c>
    </row>
    <row r="431" spans="15:16">
      <c r="O431" s="176" t="e">
        <f t="shared" si="43"/>
        <v>#VALUE!</v>
      </c>
      <c r="P431" s="176" t="e">
        <f t="shared" si="43"/>
        <v>#VALUE!</v>
      </c>
    </row>
    <row r="432" spans="15:16">
      <c r="O432" s="176" t="e">
        <f t="shared" si="43"/>
        <v>#VALUE!</v>
      </c>
      <c r="P432" s="176" t="e">
        <f t="shared" si="43"/>
        <v>#VALUE!</v>
      </c>
    </row>
    <row r="433" spans="15:16">
      <c r="O433" s="176" t="e">
        <f t="shared" si="43"/>
        <v>#VALUE!</v>
      </c>
      <c r="P433" s="176" t="e">
        <f t="shared" si="43"/>
        <v>#VALUE!</v>
      </c>
    </row>
    <row r="434" spans="15:16">
      <c r="O434" s="176" t="e">
        <f t="shared" si="43"/>
        <v>#VALUE!</v>
      </c>
      <c r="P434" s="176" t="e">
        <f t="shared" si="43"/>
        <v>#VALUE!</v>
      </c>
    </row>
    <row r="435" spans="15:16">
      <c r="O435" s="176" t="e">
        <f t="shared" si="43"/>
        <v>#VALUE!</v>
      </c>
      <c r="P435" s="176" t="e">
        <f t="shared" si="43"/>
        <v>#VALUE!</v>
      </c>
    </row>
    <row r="436" spans="15:16">
      <c r="O436" s="176" t="e">
        <f t="shared" ref="O436:P499" si="44">O299-O374</f>
        <v>#VALUE!</v>
      </c>
      <c r="P436" s="176" t="e">
        <f t="shared" si="44"/>
        <v>#VALUE!</v>
      </c>
    </row>
    <row r="437" spans="15:16">
      <c r="O437" s="176" t="e">
        <f t="shared" si="44"/>
        <v>#VALUE!</v>
      </c>
      <c r="P437" s="176" t="e">
        <f t="shared" si="44"/>
        <v>#VALUE!</v>
      </c>
    </row>
    <row r="438" spans="15:16">
      <c r="O438" s="176" t="e">
        <f t="shared" si="44"/>
        <v>#VALUE!</v>
      </c>
      <c r="P438" s="176" t="e">
        <f t="shared" si="44"/>
        <v>#VALUE!</v>
      </c>
    </row>
    <row r="439" spans="15:16">
      <c r="O439" s="176" t="e">
        <f t="shared" si="44"/>
        <v>#VALUE!</v>
      </c>
      <c r="P439" s="176" t="e">
        <f t="shared" si="44"/>
        <v>#VALUE!</v>
      </c>
    </row>
    <row r="440" spans="15:16">
      <c r="O440" s="176" t="e">
        <f t="shared" si="44"/>
        <v>#VALUE!</v>
      </c>
      <c r="P440" s="176" t="e">
        <f t="shared" si="44"/>
        <v>#VALUE!</v>
      </c>
    </row>
    <row r="441" spans="15:16">
      <c r="O441" s="176" t="e">
        <f t="shared" si="44"/>
        <v>#VALUE!</v>
      </c>
      <c r="P441" s="176" t="e">
        <f t="shared" si="44"/>
        <v>#VALUE!</v>
      </c>
    </row>
    <row r="442" spans="15:16">
      <c r="O442" s="176" t="e">
        <f t="shared" si="44"/>
        <v>#VALUE!</v>
      </c>
      <c r="P442" s="176" t="e">
        <f t="shared" si="44"/>
        <v>#VALUE!</v>
      </c>
    </row>
    <row r="443" spans="15:16">
      <c r="O443" s="176">
        <f t="shared" si="44"/>
        <v>3.7059545516967773E-2</v>
      </c>
      <c r="P443" s="176">
        <f t="shared" si="44"/>
        <v>-5.718007E-2</v>
      </c>
    </row>
    <row r="444" spans="15:16">
      <c r="O444" s="176" t="e">
        <f t="shared" si="44"/>
        <v>#VALUE!</v>
      </c>
      <c r="P444" s="176" t="e">
        <f t="shared" si="44"/>
        <v>#VALUE!</v>
      </c>
    </row>
    <row r="445" spans="15:16">
      <c r="O445" s="176" t="e">
        <f t="shared" si="44"/>
        <v>#VALUE!</v>
      </c>
      <c r="P445" s="176" t="e">
        <f t="shared" si="44"/>
        <v>#VALUE!</v>
      </c>
    </row>
    <row r="446" spans="15:16">
      <c r="O446" s="176" t="e">
        <f t="shared" si="44"/>
        <v>#VALUE!</v>
      </c>
      <c r="P446" s="176" t="e">
        <f t="shared" si="44"/>
        <v>#VALUE!</v>
      </c>
    </row>
    <row r="447" spans="15:16">
      <c r="O447" s="176" t="e">
        <f t="shared" si="44"/>
        <v>#VALUE!</v>
      </c>
      <c r="P447" s="176" t="e">
        <f t="shared" si="44"/>
        <v>#VALUE!</v>
      </c>
    </row>
    <row r="448" spans="15:16">
      <c r="O448" s="176" t="e">
        <f t="shared" si="44"/>
        <v>#VALUE!</v>
      </c>
      <c r="P448" s="176" t="e">
        <f t="shared" si="44"/>
        <v>#VALUE!</v>
      </c>
    </row>
    <row r="449" spans="15:16">
      <c r="O449" s="176" t="e">
        <f t="shared" si="44"/>
        <v>#VALUE!</v>
      </c>
      <c r="P449" s="176" t="e">
        <f t="shared" si="44"/>
        <v>#VALUE!</v>
      </c>
    </row>
    <row r="450" spans="15:16">
      <c r="O450" s="176" t="e">
        <f t="shared" si="44"/>
        <v>#VALUE!</v>
      </c>
      <c r="P450" s="176" t="e">
        <f t="shared" si="44"/>
        <v>#VALUE!</v>
      </c>
    </row>
    <row r="451" spans="15:16">
      <c r="O451" s="176" t="e">
        <f t="shared" si="44"/>
        <v>#VALUE!</v>
      </c>
      <c r="P451" s="176" t="e">
        <f t="shared" si="44"/>
        <v>#VALUE!</v>
      </c>
    </row>
    <row r="452" spans="15:16">
      <c r="O452" s="176" t="e">
        <f t="shared" si="44"/>
        <v>#VALUE!</v>
      </c>
      <c r="P452" s="176" t="e">
        <f t="shared" si="44"/>
        <v>#VALUE!</v>
      </c>
    </row>
    <row r="453" spans="15:16">
      <c r="O453" s="176" t="e">
        <f t="shared" si="44"/>
        <v>#VALUE!</v>
      </c>
      <c r="P453" s="176" t="e">
        <f t="shared" si="44"/>
        <v>#VALUE!</v>
      </c>
    </row>
    <row r="454" spans="15:16">
      <c r="O454" s="176" t="e">
        <f t="shared" si="44"/>
        <v>#VALUE!</v>
      </c>
      <c r="P454" s="176" t="e">
        <f t="shared" si="44"/>
        <v>#VALUE!</v>
      </c>
    </row>
    <row r="455" spans="15:16">
      <c r="O455" s="176" t="e">
        <f t="shared" si="44"/>
        <v>#VALUE!</v>
      </c>
      <c r="P455" s="176" t="e">
        <f t="shared" si="44"/>
        <v>#VALUE!</v>
      </c>
    </row>
    <row r="456" spans="15:16">
      <c r="O456" s="176">
        <f t="shared" si="44"/>
        <v>7.6671432703733444E-2</v>
      </c>
      <c r="P456" s="176">
        <f t="shared" si="44"/>
        <v>-2.4548170000000001E-2</v>
      </c>
    </row>
    <row r="457" spans="15:16">
      <c r="O457" s="176">
        <f t="shared" si="44"/>
        <v>-3.0534280464053154E-2</v>
      </c>
      <c r="P457" s="176">
        <f t="shared" si="44"/>
        <v>2.6993614000000005E-3</v>
      </c>
    </row>
    <row r="458" spans="15:16">
      <c r="O458" s="176">
        <f t="shared" si="44"/>
        <v>4.7870632261037827E-3</v>
      </c>
      <c r="P458" s="176">
        <f t="shared" si="44"/>
        <v>8.0208765000000001E-2</v>
      </c>
    </row>
    <row r="459" spans="15:16">
      <c r="O459" s="176">
        <f t="shared" si="44"/>
        <v>-9.7702238708734512E-3</v>
      </c>
      <c r="P459" s="176">
        <f t="shared" si="44"/>
        <v>2.1039883000000002E-2</v>
      </c>
    </row>
    <row r="460" spans="15:16">
      <c r="O460" s="176">
        <f t="shared" si="44"/>
        <v>8.1190653145313263E-4</v>
      </c>
      <c r="P460" s="176">
        <f t="shared" si="44"/>
        <v>2.3820332999999999E-2</v>
      </c>
    </row>
    <row r="461" spans="15:16">
      <c r="O461" s="176">
        <f t="shared" si="44"/>
        <v>9.4816733151674271E-2</v>
      </c>
      <c r="P461" s="176">
        <f t="shared" si="44"/>
        <v>2.3235025999999999E-2</v>
      </c>
    </row>
    <row r="462" spans="15:16">
      <c r="O462" s="176">
        <f t="shared" si="44"/>
        <v>3.473847359418869E-2</v>
      </c>
      <c r="P462" s="176">
        <f t="shared" si="44"/>
        <v>4.0420725999999997E-2</v>
      </c>
    </row>
    <row r="463" spans="15:16">
      <c r="O463" s="176">
        <f t="shared" si="44"/>
        <v>6.1151850968599319E-3</v>
      </c>
      <c r="P463" s="176">
        <f t="shared" si="44"/>
        <v>2.6577114000000002E-2</v>
      </c>
    </row>
    <row r="464" spans="15:16">
      <c r="O464" s="176">
        <f t="shared" si="44"/>
        <v>-1.5474181622266769E-2</v>
      </c>
      <c r="P464" s="176">
        <f t="shared" si="44"/>
        <v>2.2296694000000002E-2</v>
      </c>
    </row>
    <row r="465" spans="15:16">
      <c r="O465" s="176">
        <f t="shared" si="44"/>
        <v>1.6865309327840805E-2</v>
      </c>
      <c r="P465" s="176">
        <f t="shared" si="44"/>
        <v>5.666270000000001E-3</v>
      </c>
    </row>
    <row r="466" spans="15:16">
      <c r="O466" s="176">
        <f t="shared" si="44"/>
        <v>-2.8997717425227165E-2</v>
      </c>
      <c r="P466" s="176">
        <f t="shared" si="44"/>
        <v>5.2698439999999999E-2</v>
      </c>
    </row>
    <row r="467" spans="15:16">
      <c r="O467" s="176">
        <f t="shared" si="44"/>
        <v>-3.3144686371088028E-2</v>
      </c>
      <c r="P467" s="176">
        <f t="shared" si="44"/>
        <v>6.939447E-2</v>
      </c>
    </row>
    <row r="468" spans="15:16">
      <c r="O468" s="176">
        <f t="shared" si="44"/>
        <v>-4.0744651108980179E-2</v>
      </c>
      <c r="P468" s="176">
        <f t="shared" si="44"/>
        <v>-1.7334440000000003E-2</v>
      </c>
    </row>
    <row r="469" spans="15:16">
      <c r="O469" s="176">
        <f t="shared" si="44"/>
        <v>4.9290977418422699E-2</v>
      </c>
      <c r="P469" s="176">
        <f t="shared" si="44"/>
        <v>1.4177639999999998E-2</v>
      </c>
    </row>
    <row r="470" spans="15:16">
      <c r="O470" s="176">
        <f t="shared" si="44"/>
        <v>-9.1887759044766426E-2</v>
      </c>
      <c r="P470" s="176">
        <f t="shared" si="44"/>
        <v>6.8050840000000003E-3</v>
      </c>
    </row>
    <row r="471" spans="15:16">
      <c r="O471" s="176">
        <f t="shared" si="44"/>
        <v>-8.8980710133910179E-3</v>
      </c>
      <c r="P471" s="176">
        <f t="shared" si="44"/>
        <v>3.5802245000000003E-2</v>
      </c>
    </row>
    <row r="472" spans="15:16">
      <c r="O472" s="176">
        <f t="shared" si="44"/>
        <v>7.5533224269747734E-2</v>
      </c>
      <c r="P472" s="176">
        <f t="shared" si="44"/>
        <v>1.4665940000000001E-2</v>
      </c>
    </row>
    <row r="473" spans="15:16">
      <c r="O473" s="176">
        <f t="shared" si="44"/>
        <v>3.4643011167645454E-2</v>
      </c>
      <c r="P473" s="176">
        <f t="shared" si="44"/>
        <v>4.1154183000000004E-2</v>
      </c>
    </row>
    <row r="474" spans="15:16">
      <c r="O474" s="176">
        <f t="shared" si="44"/>
        <v>7.5617542490363121E-2</v>
      </c>
      <c r="P474" s="176">
        <f t="shared" si="44"/>
        <v>5.0513189999999999E-2</v>
      </c>
    </row>
    <row r="475" spans="15:16">
      <c r="O475" s="176">
        <f t="shared" si="44"/>
        <v>1.934121735394001E-2</v>
      </c>
      <c r="P475" s="176">
        <f t="shared" si="44"/>
        <v>2.0067880000000002E-3</v>
      </c>
    </row>
    <row r="476" spans="15:16">
      <c r="O476" s="176">
        <f t="shared" si="44"/>
        <v>6.0117607936263084E-2</v>
      </c>
      <c r="P476" s="176">
        <f t="shared" si="44"/>
        <v>-5.0298250000000003E-2</v>
      </c>
    </row>
    <row r="477" spans="15:16">
      <c r="O477" s="176">
        <f t="shared" si="44"/>
        <v>2.2321406751871109E-2</v>
      </c>
      <c r="P477" s="176">
        <f t="shared" si="44"/>
        <v>3.7766279999999999E-2</v>
      </c>
    </row>
    <row r="478" spans="15:16">
      <c r="O478" s="176">
        <f t="shared" si="44"/>
        <v>1.487019844353199E-2</v>
      </c>
      <c r="P478" s="176">
        <f t="shared" si="44"/>
        <v>-6.2636459999999991E-2</v>
      </c>
    </row>
    <row r="479" spans="15:16">
      <c r="O479" s="176">
        <f t="shared" si="44"/>
        <v>7.8304363414645195E-2</v>
      </c>
      <c r="P479" s="176">
        <f t="shared" si="44"/>
        <v>0.10044792999999999</v>
      </c>
    </row>
    <row r="480" spans="15:16">
      <c r="O480" s="176">
        <f t="shared" si="44"/>
        <v>-3.1229482963681221E-2</v>
      </c>
      <c r="P480" s="176">
        <f t="shared" si="44"/>
        <v>8.3350179999999996E-2</v>
      </c>
    </row>
    <row r="481" spans="15:16">
      <c r="O481" s="176">
        <f t="shared" si="44"/>
        <v>-3.4762922674417496E-2</v>
      </c>
      <c r="P481" s="176">
        <f t="shared" si="44"/>
        <v>-2.6547600000000001E-2</v>
      </c>
    </row>
    <row r="482" spans="15:16">
      <c r="O482" s="176">
        <f t="shared" si="44"/>
        <v>4.0201917290687561E-2</v>
      </c>
      <c r="P482" s="176">
        <f t="shared" si="44"/>
        <v>1.943433E-2</v>
      </c>
    </row>
    <row r="483" spans="15:16">
      <c r="O483" s="176">
        <f t="shared" si="44"/>
        <v>-0.11201887577772141</v>
      </c>
      <c r="P483" s="176">
        <f t="shared" si="44"/>
        <v>-5.6968445E-2</v>
      </c>
    </row>
    <row r="484" spans="15:16">
      <c r="O484" s="176">
        <f t="shared" si="44"/>
        <v>7.6967720873653889E-2</v>
      </c>
      <c r="P484" s="176">
        <f t="shared" si="44"/>
        <v>9.3453529999999993E-2</v>
      </c>
    </row>
    <row r="485" spans="15:16">
      <c r="O485" s="176">
        <f t="shared" si="44"/>
        <v>0.1501493975520134</v>
      </c>
      <c r="P485" s="176">
        <f t="shared" si="44"/>
        <v>1.7216947E-2</v>
      </c>
    </row>
    <row r="486" spans="15:16">
      <c r="O486" s="176">
        <f t="shared" si="44"/>
        <v>6.3866911455988884E-2</v>
      </c>
      <c r="P486" s="176">
        <f t="shared" si="44"/>
        <v>1.1263360000000004E-2</v>
      </c>
    </row>
    <row r="487" spans="15:16">
      <c r="O487" s="176">
        <f t="shared" si="44"/>
        <v>6.0110593214631081E-2</v>
      </c>
      <c r="P487" s="176">
        <f t="shared" si="44"/>
        <v>4.623737E-2</v>
      </c>
    </row>
    <row r="488" spans="15:16">
      <c r="O488" s="176">
        <f t="shared" si="44"/>
        <v>1.0417772922664881E-2</v>
      </c>
      <c r="P488" s="176">
        <f t="shared" si="44"/>
        <v>1.9688081999999999E-2</v>
      </c>
    </row>
    <row r="489" spans="15:16">
      <c r="O489" s="176">
        <f t="shared" si="44"/>
        <v>5.4421072825789452E-2</v>
      </c>
      <c r="P489" s="176">
        <f t="shared" si="44"/>
        <v>-3.9079180000000005E-2</v>
      </c>
    </row>
    <row r="490" spans="15:16">
      <c r="O490" s="176">
        <f t="shared" si="44"/>
        <v>8.9009294286370277E-2</v>
      </c>
      <c r="P490" s="176">
        <f t="shared" si="44"/>
        <v>4.6980170000000002E-2</v>
      </c>
    </row>
    <row r="491" spans="15:16">
      <c r="O491" s="176">
        <f t="shared" si="44"/>
        <v>-2.3674354888498783E-2</v>
      </c>
      <c r="P491" s="176">
        <f t="shared" si="44"/>
        <v>-9.1616725999999996E-2</v>
      </c>
    </row>
    <row r="492" spans="15:16">
      <c r="O492" s="176">
        <f t="shared" si="44"/>
        <v>-3.4095808863639832E-2</v>
      </c>
      <c r="P492" s="176">
        <f t="shared" si="44"/>
        <v>1.0377189999999994E-2</v>
      </c>
    </row>
    <row r="493" spans="15:16">
      <c r="O493" s="176" t="e">
        <f t="shared" si="44"/>
        <v>#VALUE!</v>
      </c>
      <c r="P493" s="176" t="e">
        <f t="shared" si="44"/>
        <v>#VALUE!</v>
      </c>
    </row>
    <row r="494" spans="15:16">
      <c r="O494" s="176" t="e">
        <f t="shared" si="44"/>
        <v>#VALUE!</v>
      </c>
      <c r="P494" s="176" t="e">
        <f t="shared" si="44"/>
        <v>#VALUE!</v>
      </c>
    </row>
    <row r="495" spans="15:16">
      <c r="O495" s="176" t="e">
        <f t="shared" si="44"/>
        <v>#VALUE!</v>
      </c>
      <c r="P495" s="176" t="e">
        <f t="shared" si="44"/>
        <v>#VALUE!</v>
      </c>
    </row>
    <row r="496" spans="15:16">
      <c r="O496" s="176" t="e">
        <f t="shared" si="44"/>
        <v>#VALUE!</v>
      </c>
      <c r="P496" s="176" t="e">
        <f t="shared" si="44"/>
        <v>#VALUE!</v>
      </c>
    </row>
    <row r="497" spans="15:16">
      <c r="O497" s="176" t="e">
        <f t="shared" si="44"/>
        <v>#VALUE!</v>
      </c>
      <c r="P497" s="176" t="e">
        <f t="shared" si="44"/>
        <v>#VALUE!</v>
      </c>
    </row>
    <row r="498" spans="15:16">
      <c r="O498" s="176" t="e">
        <f t="shared" si="44"/>
        <v>#VALUE!</v>
      </c>
      <c r="P498" s="176" t="e">
        <f t="shared" si="44"/>
        <v>#VALUE!</v>
      </c>
    </row>
    <row r="499" spans="15:16">
      <c r="O499" s="176" t="e">
        <f t="shared" si="44"/>
        <v>#VALUE!</v>
      </c>
      <c r="P499" s="176" t="e">
        <f t="shared" si="44"/>
        <v>#VALUE!</v>
      </c>
    </row>
    <row r="500" spans="15:16">
      <c r="O500" s="176" t="e">
        <f t="shared" ref="O500:P563" si="45">O363-O438</f>
        <v>#VALUE!</v>
      </c>
      <c r="P500" s="176" t="e">
        <f t="shared" si="45"/>
        <v>#VALUE!</v>
      </c>
    </row>
    <row r="501" spans="15:16">
      <c r="O501" s="176" t="e">
        <f t="shared" si="45"/>
        <v>#VALUE!</v>
      </c>
      <c r="P501" s="176" t="e">
        <f t="shared" si="45"/>
        <v>#VALUE!</v>
      </c>
    </row>
    <row r="502" spans="15:16">
      <c r="O502" s="176" t="e">
        <f t="shared" si="45"/>
        <v>#VALUE!</v>
      </c>
      <c r="P502" s="176" t="e">
        <f t="shared" si="45"/>
        <v>#VALUE!</v>
      </c>
    </row>
    <row r="503" spans="15:16">
      <c r="O503" s="176" t="e">
        <f t="shared" si="45"/>
        <v>#VALUE!</v>
      </c>
      <c r="P503" s="176" t="e">
        <f t="shared" si="45"/>
        <v>#VALUE!</v>
      </c>
    </row>
    <row r="504" spans="15:16">
      <c r="O504" s="176" t="e">
        <f t="shared" si="45"/>
        <v>#VALUE!</v>
      </c>
      <c r="P504" s="176" t="e">
        <f t="shared" si="45"/>
        <v>#VALUE!</v>
      </c>
    </row>
    <row r="505" spans="15:16">
      <c r="O505" s="176">
        <f t="shared" si="45"/>
        <v>-0.12845738977193832</v>
      </c>
      <c r="P505" s="176">
        <f t="shared" si="45"/>
        <v>-2.0737980000000003E-2</v>
      </c>
    </row>
    <row r="506" spans="15:16">
      <c r="O506" s="176" t="e">
        <f t="shared" si="45"/>
        <v>#VALUE!</v>
      </c>
      <c r="P506" s="176" t="e">
        <f t="shared" si="45"/>
        <v>#VALUE!</v>
      </c>
    </row>
    <row r="507" spans="15:16">
      <c r="O507" s="176" t="e">
        <f t="shared" si="45"/>
        <v>#VALUE!</v>
      </c>
      <c r="P507" s="176" t="e">
        <f t="shared" si="45"/>
        <v>#VALUE!</v>
      </c>
    </row>
    <row r="508" spans="15:16">
      <c r="O508" s="176" t="e">
        <f t="shared" si="45"/>
        <v>#VALUE!</v>
      </c>
      <c r="P508" s="176" t="e">
        <f t="shared" si="45"/>
        <v>#VALUE!</v>
      </c>
    </row>
    <row r="509" spans="15:16">
      <c r="O509" s="176" t="e">
        <f t="shared" si="45"/>
        <v>#VALUE!</v>
      </c>
      <c r="P509" s="176" t="e">
        <f t="shared" si="45"/>
        <v>#VALUE!</v>
      </c>
    </row>
    <row r="510" spans="15:16">
      <c r="O510" s="176" t="e">
        <f t="shared" si="45"/>
        <v>#VALUE!</v>
      </c>
      <c r="P510" s="176" t="e">
        <f t="shared" si="45"/>
        <v>#VALUE!</v>
      </c>
    </row>
    <row r="511" spans="15:16">
      <c r="O511" s="176" t="e">
        <f t="shared" si="45"/>
        <v>#VALUE!</v>
      </c>
      <c r="P511" s="176" t="e">
        <f t="shared" si="45"/>
        <v>#VALUE!</v>
      </c>
    </row>
    <row r="512" spans="15:16">
      <c r="O512" s="176" t="e">
        <f t="shared" si="45"/>
        <v>#VALUE!</v>
      </c>
      <c r="P512" s="176" t="e">
        <f t="shared" si="45"/>
        <v>#VALUE!</v>
      </c>
    </row>
    <row r="513" spans="15:16">
      <c r="O513" s="176" t="e">
        <f t="shared" si="45"/>
        <v>#VALUE!</v>
      </c>
      <c r="P513" s="176" t="e">
        <f t="shared" si="45"/>
        <v>#VALUE!</v>
      </c>
    </row>
    <row r="514" spans="15:16">
      <c r="O514" s="176" t="e">
        <f t="shared" si="45"/>
        <v>#VALUE!</v>
      </c>
      <c r="P514" s="176" t="e">
        <f t="shared" si="45"/>
        <v>#VALUE!</v>
      </c>
    </row>
    <row r="515" spans="15:16">
      <c r="O515" s="176" t="e">
        <f t="shared" si="45"/>
        <v>#VALUE!</v>
      </c>
      <c r="P515" s="176" t="e">
        <f t="shared" si="45"/>
        <v>#VALUE!</v>
      </c>
    </row>
    <row r="516" spans="15:16">
      <c r="O516" s="176" t="e">
        <f t="shared" si="45"/>
        <v>#VALUE!</v>
      </c>
      <c r="P516" s="176" t="e">
        <f t="shared" si="45"/>
        <v>#VALUE!</v>
      </c>
    </row>
    <row r="517" spans="15:16">
      <c r="O517" s="176" t="e">
        <f t="shared" si="45"/>
        <v>#VALUE!</v>
      </c>
      <c r="P517" s="176" t="e">
        <f t="shared" si="45"/>
        <v>#VALUE!</v>
      </c>
    </row>
    <row r="518" spans="15:16">
      <c r="O518" s="176">
        <f t="shared" si="45"/>
        <v>-0.11373097822070122</v>
      </c>
      <c r="P518" s="176">
        <f t="shared" si="45"/>
        <v>8.1728240000000008E-2</v>
      </c>
    </row>
    <row r="519" spans="15:16">
      <c r="O519" s="176">
        <f t="shared" si="45"/>
        <v>4.767225868999958E-2</v>
      </c>
      <c r="P519" s="176">
        <f t="shared" si="45"/>
        <v>-3.3037538000000007E-3</v>
      </c>
    </row>
    <row r="520" spans="15:16">
      <c r="O520" s="176">
        <f t="shared" si="45"/>
        <v>-2.9945820569992065E-2</v>
      </c>
      <c r="P520" s="176">
        <f t="shared" si="45"/>
        <v>-0.150789955</v>
      </c>
    </row>
    <row r="521" spans="15:16">
      <c r="O521" s="176">
        <f t="shared" si="45"/>
        <v>2.8243007138371468E-2</v>
      </c>
      <c r="P521" s="176">
        <f t="shared" si="45"/>
        <v>-3.2776463000000006E-2</v>
      </c>
    </row>
    <row r="522" spans="15:16">
      <c r="O522" s="176">
        <f t="shared" si="45"/>
        <v>-1.229465939104557E-2</v>
      </c>
      <c r="P522" s="176">
        <f t="shared" si="45"/>
        <v>-3.8089172999999997E-2</v>
      </c>
    </row>
    <row r="523" spans="15:16">
      <c r="O523" s="176">
        <f t="shared" si="45"/>
        <v>-0.13960939273238182</v>
      </c>
      <c r="P523" s="176">
        <f t="shared" si="45"/>
        <v>-2.6161261999999998E-2</v>
      </c>
    </row>
    <row r="524" spans="15:16">
      <c r="O524" s="176">
        <f t="shared" si="45"/>
        <v>-5.3511334583163261E-2</v>
      </c>
      <c r="P524" s="176">
        <f t="shared" si="45"/>
        <v>-7.9266805999999995E-2</v>
      </c>
    </row>
    <row r="525" spans="15:16">
      <c r="O525" s="176">
        <f t="shared" si="45"/>
        <v>-2.6211006566882133E-2</v>
      </c>
      <c r="P525" s="176">
        <f t="shared" si="45"/>
        <v>-2.9376778000000003E-2</v>
      </c>
    </row>
    <row r="526" spans="15:16">
      <c r="O526" s="176">
        <f t="shared" si="45"/>
        <v>-1.2472245842218399E-2</v>
      </c>
      <c r="P526" s="176">
        <f t="shared" si="45"/>
        <v>-2.5316598000000003E-2</v>
      </c>
    </row>
    <row r="527" spans="15:16">
      <c r="O527" s="176">
        <f t="shared" si="45"/>
        <v>8.5441283881664276E-3</v>
      </c>
      <c r="P527" s="176">
        <f t="shared" si="45"/>
        <v>1.5919949999999999E-2</v>
      </c>
    </row>
    <row r="528" spans="15:16">
      <c r="O528" s="176">
        <f t="shared" si="45"/>
        <v>7.8997762873768806E-2</v>
      </c>
      <c r="P528" s="176">
        <f t="shared" si="45"/>
        <v>-9.3244190000000005E-2</v>
      </c>
    </row>
    <row r="529" spans="15:16">
      <c r="O529" s="176">
        <f t="shared" si="45"/>
        <v>1.3498764485120773E-2</v>
      </c>
      <c r="P529" s="176">
        <f t="shared" si="45"/>
        <v>-8.8162290000000004E-2</v>
      </c>
    </row>
    <row r="530" spans="15:16">
      <c r="O530" s="176">
        <f t="shared" si="45"/>
        <v>-9.0828537940979004E-3</v>
      </c>
      <c r="P530" s="176">
        <f t="shared" si="45"/>
        <v>-4.842229999999996E-3</v>
      </c>
    </row>
    <row r="531" spans="15:16">
      <c r="O531" s="176">
        <f t="shared" si="45"/>
        <v>-8.890286460518837E-2</v>
      </c>
      <c r="P531" s="176">
        <f t="shared" si="45"/>
        <v>-4.6809539999999997E-2</v>
      </c>
    </row>
    <row r="532" spans="15:16">
      <c r="O532" s="176">
        <f t="shared" si="45"/>
        <v>0.10528406128287315</v>
      </c>
      <c r="P532" s="176">
        <f t="shared" si="45"/>
        <v>-8.9000530000000015E-3</v>
      </c>
    </row>
    <row r="533" spans="15:16">
      <c r="O533" s="176">
        <f t="shared" si="45"/>
        <v>2.9269765131175518E-2</v>
      </c>
      <c r="P533" s="176">
        <f t="shared" si="45"/>
        <v>-4.5429820000000003E-2</v>
      </c>
    </row>
    <row r="534" spans="15:16">
      <c r="O534" s="176">
        <f t="shared" si="45"/>
        <v>-8.4235783666372299E-2</v>
      </c>
      <c r="P534" s="176">
        <f t="shared" si="45"/>
        <v>-2.3969243000000001E-2</v>
      </c>
    </row>
    <row r="535" spans="15:16">
      <c r="O535" s="176">
        <f t="shared" si="45"/>
        <v>-2.3972164839506149E-2</v>
      </c>
      <c r="P535" s="176">
        <f t="shared" si="45"/>
        <v>-5.0705676000000005E-2</v>
      </c>
    </row>
    <row r="536" spans="15:16">
      <c r="O536" s="176">
        <f t="shared" si="45"/>
        <v>-0.12564161606132984</v>
      </c>
      <c r="P536" s="176">
        <f t="shared" si="45"/>
        <v>-7.0821980000000007E-2</v>
      </c>
    </row>
    <row r="537" spans="15:16">
      <c r="O537" s="176">
        <f t="shared" si="45"/>
        <v>-3.5306829959154129E-2</v>
      </c>
      <c r="P537" s="176">
        <f t="shared" si="45"/>
        <v>-3.5814340000000005E-3</v>
      </c>
    </row>
    <row r="538" spans="15:16">
      <c r="O538" s="176">
        <f t="shared" si="45"/>
        <v>-4.6136971563100815E-2</v>
      </c>
      <c r="P538" s="176">
        <f t="shared" si="45"/>
        <v>2.6520800000000001E-2</v>
      </c>
    </row>
    <row r="539" spans="15:16">
      <c r="O539" s="176">
        <f t="shared" si="45"/>
        <v>2.1099202334880829E-2</v>
      </c>
      <c r="P539" s="176">
        <f t="shared" si="45"/>
        <v>-5.7043070000000001E-2</v>
      </c>
    </row>
    <row r="540" spans="15:16">
      <c r="O540" s="176">
        <f t="shared" si="45"/>
        <v>-5.7144945487380028E-2</v>
      </c>
      <c r="P540" s="176">
        <f t="shared" si="45"/>
        <v>3.5383969999999987E-2</v>
      </c>
    </row>
    <row r="541" spans="15:16">
      <c r="O541" s="176">
        <f t="shared" si="45"/>
        <v>-9.9306691437959671E-2</v>
      </c>
      <c r="P541" s="176">
        <f t="shared" si="45"/>
        <v>-0.11260061999999998</v>
      </c>
    </row>
    <row r="542" spans="15:16">
      <c r="O542" s="176">
        <f t="shared" si="45"/>
        <v>8.4020091220736504E-2</v>
      </c>
      <c r="P542" s="176">
        <f t="shared" si="45"/>
        <v>-0.13397682999999999</v>
      </c>
    </row>
    <row r="543" spans="15:16">
      <c r="O543" s="176">
        <f t="shared" si="45"/>
        <v>0.12533507868647575</v>
      </c>
      <c r="P543" s="176">
        <f t="shared" si="45"/>
        <v>6.6058710000000007E-2</v>
      </c>
    </row>
    <row r="544" spans="15:16">
      <c r="O544" s="176">
        <f t="shared" si="45"/>
        <v>-4.9881007522344589E-2</v>
      </c>
      <c r="P544" s="176">
        <f t="shared" si="45"/>
        <v>-9.8006999999999955E-4</v>
      </c>
    </row>
    <row r="545" spans="15:16">
      <c r="O545" s="176">
        <f t="shared" si="45"/>
        <v>0.1905103325843811</v>
      </c>
      <c r="P545" s="176">
        <f t="shared" si="45"/>
        <v>5.2258329999999999E-2</v>
      </c>
    </row>
    <row r="546" spans="15:16">
      <c r="O546" s="176">
        <f t="shared" si="45"/>
        <v>-8.8441343978047371E-2</v>
      </c>
      <c r="P546" s="176">
        <f t="shared" si="45"/>
        <v>-0.11962819999999999</v>
      </c>
    </row>
    <row r="547" spans="15:16">
      <c r="O547" s="176">
        <f t="shared" si="45"/>
        <v>-0.21698006242513657</v>
      </c>
      <c r="P547" s="176">
        <f t="shared" si="45"/>
        <v>-2.2579584E-2</v>
      </c>
    </row>
    <row r="548" spans="15:16">
      <c r="O548" s="176">
        <f t="shared" si="45"/>
        <v>-0.10918076895177364</v>
      </c>
      <c r="P548" s="176">
        <f t="shared" si="45"/>
        <v>-4.2866050000000003E-2</v>
      </c>
    </row>
    <row r="549" spans="15:16">
      <c r="O549" s="176">
        <f t="shared" si="45"/>
        <v>-8.5704062134027481E-2</v>
      </c>
      <c r="P549" s="176">
        <f t="shared" si="45"/>
        <v>-7.6441769999999992E-2</v>
      </c>
    </row>
    <row r="550" spans="15:16">
      <c r="O550" s="176">
        <f t="shared" si="45"/>
        <v>-1.3793377671390772E-2</v>
      </c>
      <c r="P550" s="176">
        <f t="shared" si="45"/>
        <v>-2.0120223999999999E-2</v>
      </c>
    </row>
    <row r="551" spans="15:16">
      <c r="O551" s="176">
        <f t="shared" si="45"/>
        <v>-0.12851931713521481</v>
      </c>
      <c r="P551" s="176">
        <f t="shared" si="45"/>
        <v>0.11315488000000001</v>
      </c>
    </row>
    <row r="552" spans="15:16">
      <c r="O552" s="176">
        <f t="shared" si="45"/>
        <v>-0.15475131012499332</v>
      </c>
      <c r="P552" s="176">
        <f t="shared" si="45"/>
        <v>-6.5469659999999999E-2</v>
      </c>
    </row>
    <row r="553" spans="15:16">
      <c r="O553" s="176">
        <f t="shared" si="45"/>
        <v>5.1078903488814831E-2</v>
      </c>
      <c r="P553" s="176">
        <f t="shared" si="45"/>
        <v>0.181505676</v>
      </c>
    </row>
    <row r="554" spans="15:16">
      <c r="O554" s="176">
        <f t="shared" si="45"/>
        <v>-2.3206226527690887E-2</v>
      </c>
      <c r="P554" s="176">
        <f t="shared" si="45"/>
        <v>-9.8672429999999992E-2</v>
      </c>
    </row>
    <row r="555" spans="15:16">
      <c r="O555" s="176" t="e">
        <f t="shared" si="45"/>
        <v>#VALUE!</v>
      </c>
      <c r="P555" s="176" t="e">
        <f t="shared" si="45"/>
        <v>#VALUE!</v>
      </c>
    </row>
    <row r="556" spans="15:16">
      <c r="O556" s="176" t="e">
        <f t="shared" si="45"/>
        <v>#VALUE!</v>
      </c>
      <c r="P556" s="176" t="e">
        <f t="shared" si="45"/>
        <v>#VALUE!</v>
      </c>
    </row>
    <row r="557" spans="15:16">
      <c r="O557" s="176" t="e">
        <f t="shared" si="45"/>
        <v>#VALUE!</v>
      </c>
      <c r="P557" s="176" t="e">
        <f t="shared" si="45"/>
        <v>#VALUE!</v>
      </c>
    </row>
    <row r="558" spans="15:16">
      <c r="O558" s="176" t="e">
        <f t="shared" si="45"/>
        <v>#VALUE!</v>
      </c>
      <c r="P558" s="176" t="e">
        <f t="shared" si="45"/>
        <v>#VALUE!</v>
      </c>
    </row>
    <row r="559" spans="15:16">
      <c r="O559" s="176" t="e">
        <f t="shared" si="45"/>
        <v>#VALUE!</v>
      </c>
      <c r="P559" s="176" t="e">
        <f t="shared" si="45"/>
        <v>#VALUE!</v>
      </c>
    </row>
    <row r="560" spans="15:16">
      <c r="O560" s="176" t="e">
        <f t="shared" si="45"/>
        <v>#VALUE!</v>
      </c>
      <c r="P560" s="176" t="e">
        <f t="shared" si="45"/>
        <v>#VALUE!</v>
      </c>
    </row>
    <row r="561" spans="15:16">
      <c r="O561" s="176" t="e">
        <f t="shared" si="45"/>
        <v>#VALUE!</v>
      </c>
      <c r="P561" s="176" t="e">
        <f t="shared" si="45"/>
        <v>#VALUE!</v>
      </c>
    </row>
    <row r="562" spans="15:16">
      <c r="O562" s="176" t="e">
        <f t="shared" si="45"/>
        <v>#VALUE!</v>
      </c>
      <c r="P562" s="176" t="e">
        <f t="shared" si="45"/>
        <v>#VALUE!</v>
      </c>
    </row>
    <row r="563" spans="15:16">
      <c r="O563" s="176" t="e">
        <f t="shared" si="45"/>
        <v>#VALUE!</v>
      </c>
      <c r="P563" s="176" t="e">
        <f t="shared" si="45"/>
        <v>#VALUE!</v>
      </c>
    </row>
    <row r="564" spans="15:16">
      <c r="O564" s="176" t="e">
        <f t="shared" ref="O564:P627" si="46">O427-O502</f>
        <v>#VALUE!</v>
      </c>
      <c r="P564" s="176" t="e">
        <f t="shared" si="46"/>
        <v>#VALUE!</v>
      </c>
    </row>
    <row r="565" spans="15:16">
      <c r="O565" s="176" t="e">
        <f t="shared" si="46"/>
        <v>#VALUE!</v>
      </c>
      <c r="P565" s="176" t="e">
        <f t="shared" si="46"/>
        <v>#VALUE!</v>
      </c>
    </row>
    <row r="566" spans="15:16">
      <c r="O566" s="176" t="e">
        <f t="shared" si="46"/>
        <v>#VALUE!</v>
      </c>
      <c r="P566" s="176" t="e">
        <f t="shared" si="46"/>
        <v>#VALUE!</v>
      </c>
    </row>
    <row r="567" spans="15:16">
      <c r="O567" s="176">
        <f t="shared" si="46"/>
        <v>0.21985523402690887</v>
      </c>
      <c r="P567" s="176">
        <f t="shared" si="46"/>
        <v>9.8656030000000006E-2</v>
      </c>
    </row>
    <row r="568" spans="15:16">
      <c r="O568" s="176" t="e">
        <f t="shared" si="46"/>
        <v>#VALUE!</v>
      </c>
      <c r="P568" s="176" t="e">
        <f t="shared" si="46"/>
        <v>#VALUE!</v>
      </c>
    </row>
    <row r="569" spans="15:16">
      <c r="O569" s="176" t="e">
        <f t="shared" si="46"/>
        <v>#VALUE!</v>
      </c>
      <c r="P569" s="176" t="e">
        <f t="shared" si="46"/>
        <v>#VALUE!</v>
      </c>
    </row>
    <row r="570" spans="15:16">
      <c r="O570" s="176" t="e">
        <f t="shared" si="46"/>
        <v>#VALUE!</v>
      </c>
      <c r="P570" s="176" t="e">
        <f t="shared" si="46"/>
        <v>#VALUE!</v>
      </c>
    </row>
    <row r="571" spans="15:16">
      <c r="O571" s="176" t="e">
        <f t="shared" si="46"/>
        <v>#VALUE!</v>
      </c>
      <c r="P571" s="176" t="e">
        <f t="shared" si="46"/>
        <v>#VALUE!</v>
      </c>
    </row>
    <row r="572" spans="15:16">
      <c r="O572" s="176" t="e">
        <f t="shared" si="46"/>
        <v>#VALUE!</v>
      </c>
      <c r="P572" s="176" t="e">
        <f t="shared" si="46"/>
        <v>#VALUE!</v>
      </c>
    </row>
    <row r="573" spans="15:16">
      <c r="O573" s="176" t="e">
        <f t="shared" si="46"/>
        <v>#VALUE!</v>
      </c>
      <c r="P573" s="176" t="e">
        <f t="shared" si="46"/>
        <v>#VALUE!</v>
      </c>
    </row>
    <row r="574" spans="15:16">
      <c r="O574" s="176" t="e">
        <f t="shared" si="46"/>
        <v>#VALUE!</v>
      </c>
      <c r="P574" s="176" t="e">
        <f t="shared" si="46"/>
        <v>#VALUE!</v>
      </c>
    </row>
    <row r="575" spans="15:16">
      <c r="O575" s="176" t="e">
        <f t="shared" si="46"/>
        <v>#VALUE!</v>
      </c>
      <c r="P575" s="176" t="e">
        <f t="shared" si="46"/>
        <v>#VALUE!</v>
      </c>
    </row>
    <row r="576" spans="15:16">
      <c r="O576" s="176" t="e">
        <f t="shared" si="46"/>
        <v>#VALUE!</v>
      </c>
      <c r="P576" s="176" t="e">
        <f t="shared" si="46"/>
        <v>#VALUE!</v>
      </c>
    </row>
    <row r="577" spans="15:16">
      <c r="O577" s="176" t="e">
        <f t="shared" si="46"/>
        <v>#VALUE!</v>
      </c>
      <c r="P577" s="176" t="e">
        <f t="shared" si="46"/>
        <v>#VALUE!</v>
      </c>
    </row>
    <row r="578" spans="15:16">
      <c r="O578" s="176" t="e">
        <f t="shared" si="46"/>
        <v>#VALUE!</v>
      </c>
      <c r="P578" s="176" t="e">
        <f t="shared" si="46"/>
        <v>#VALUE!</v>
      </c>
    </row>
    <row r="579" spans="15:16">
      <c r="O579" s="176" t="e">
        <f t="shared" si="46"/>
        <v>#VALUE!</v>
      </c>
      <c r="P579" s="176" t="e">
        <f t="shared" si="46"/>
        <v>#VALUE!</v>
      </c>
    </row>
    <row r="580" spans="15:16">
      <c r="O580" s="176">
        <f t="shared" si="46"/>
        <v>0.15079052373766899</v>
      </c>
      <c r="P580" s="176">
        <f t="shared" si="46"/>
        <v>-0.13890831000000001</v>
      </c>
    </row>
    <row r="581" spans="15:16">
      <c r="O581" s="176" t="e">
        <f t="shared" si="46"/>
        <v>#VALUE!</v>
      </c>
      <c r="P581" s="176" t="e">
        <f t="shared" si="46"/>
        <v>#VALUE!</v>
      </c>
    </row>
    <row r="582" spans="15:16">
      <c r="O582" s="176" t="e">
        <f t="shared" si="46"/>
        <v>#VALUE!</v>
      </c>
      <c r="P582" s="176" t="e">
        <f t="shared" si="46"/>
        <v>#VALUE!</v>
      </c>
    </row>
    <row r="583" spans="15:16">
      <c r="O583" s="176" t="e">
        <f t="shared" si="46"/>
        <v>#VALUE!</v>
      </c>
      <c r="P583" s="176" t="e">
        <f t="shared" si="46"/>
        <v>#VALUE!</v>
      </c>
    </row>
    <row r="584" spans="15:16">
      <c r="O584" s="176" t="e">
        <f t="shared" si="46"/>
        <v>#VALUE!</v>
      </c>
      <c r="P584" s="176" t="e">
        <f t="shared" si="46"/>
        <v>#VALUE!</v>
      </c>
    </row>
    <row r="585" spans="15:16">
      <c r="O585" s="176" t="e">
        <f t="shared" si="46"/>
        <v>#VALUE!</v>
      </c>
      <c r="P585" s="176" t="e">
        <f t="shared" si="46"/>
        <v>#VALUE!</v>
      </c>
    </row>
    <row r="586" spans="15:16">
      <c r="O586" s="176" t="e">
        <f t="shared" si="46"/>
        <v>#VALUE!</v>
      </c>
      <c r="P586" s="176" t="e">
        <f t="shared" si="46"/>
        <v>#VALUE!</v>
      </c>
    </row>
    <row r="587" spans="15:16">
      <c r="O587" s="176" t="e">
        <f t="shared" si="46"/>
        <v>#VALUE!</v>
      </c>
      <c r="P587" s="176" t="e">
        <f t="shared" si="46"/>
        <v>#VALUE!</v>
      </c>
    </row>
    <row r="588" spans="15:16">
      <c r="O588" s="176" t="e">
        <f t="shared" si="46"/>
        <v>#VALUE!</v>
      </c>
      <c r="P588" s="176" t="e">
        <f t="shared" si="46"/>
        <v>#VALUE!</v>
      </c>
    </row>
    <row r="589" spans="15:16">
      <c r="O589" s="176" t="e">
        <f t="shared" si="46"/>
        <v>#VALUE!</v>
      </c>
      <c r="P589" s="176" t="e">
        <f t="shared" si="46"/>
        <v>#VALUE!</v>
      </c>
    </row>
    <row r="590" spans="15:16">
      <c r="O590" s="176" t="e">
        <f t="shared" si="46"/>
        <v>#VALUE!</v>
      </c>
      <c r="P590" s="176" t="e">
        <f t="shared" si="46"/>
        <v>#VALUE!</v>
      </c>
    </row>
    <row r="591" spans="15:16">
      <c r="O591" s="176" t="e">
        <f t="shared" si="46"/>
        <v>#VALUE!</v>
      </c>
      <c r="P591" s="176" t="e">
        <f t="shared" si="46"/>
        <v>#VALUE!</v>
      </c>
    </row>
    <row r="592" spans="15:16">
      <c r="O592" s="176" t="e">
        <f t="shared" si="46"/>
        <v>#VALUE!</v>
      </c>
      <c r="P592" s="176" t="e">
        <f t="shared" si="46"/>
        <v>#VALUE!</v>
      </c>
    </row>
    <row r="593" spans="15:16">
      <c r="O593" s="176">
        <f t="shared" si="46"/>
        <v>0.16557429730892181</v>
      </c>
      <c r="P593" s="176">
        <f t="shared" si="46"/>
        <v>2.2261369999999996E-2</v>
      </c>
    </row>
    <row r="594" spans="15:16">
      <c r="O594" s="176">
        <f t="shared" si="46"/>
        <v>-0.13581834174692631</v>
      </c>
      <c r="P594" s="176">
        <f t="shared" si="46"/>
        <v>1.1599414400000002E-2</v>
      </c>
    </row>
    <row r="595" spans="15:16">
      <c r="O595" s="176">
        <f t="shared" si="46"/>
        <v>-2.4482701905071735E-2</v>
      </c>
      <c r="P595" s="176">
        <f t="shared" si="46"/>
        <v>0.125638585</v>
      </c>
    </row>
    <row r="596" spans="15:16">
      <c r="O596" s="176">
        <f t="shared" si="46"/>
        <v>7.4465559795498848E-2</v>
      </c>
      <c r="P596" s="176">
        <f t="shared" si="46"/>
        <v>4.5009126000000003E-2</v>
      </c>
    </row>
    <row r="597" spans="15:16">
      <c r="O597" s="176">
        <f t="shared" si="46"/>
        <v>2.4784071370959282E-2</v>
      </c>
      <c r="P597" s="176">
        <f t="shared" si="46"/>
        <v>7.4526009000000004E-2</v>
      </c>
    </row>
    <row r="598" spans="15:16">
      <c r="O598" s="176">
        <f t="shared" si="46"/>
        <v>0.22045834921300411</v>
      </c>
      <c r="P598" s="176">
        <f t="shared" si="46"/>
        <v>9.4057005999999999E-2</v>
      </c>
    </row>
    <row r="599" spans="15:16">
      <c r="O599" s="176">
        <f t="shared" si="46"/>
        <v>7.0045303553342819E-2</v>
      </c>
      <c r="P599" s="176">
        <f t="shared" si="46"/>
        <v>4.4002159999999998E-2</v>
      </c>
    </row>
    <row r="600" spans="15:16">
      <c r="O600" s="176">
        <f t="shared" si="46"/>
        <v>5.2252156659960747E-2</v>
      </c>
      <c r="P600" s="176">
        <f t="shared" si="46"/>
        <v>5.6314000000001752E-5</v>
      </c>
    </row>
    <row r="601" spans="15:16">
      <c r="O601" s="176">
        <f t="shared" si="46"/>
        <v>-3.6573383957147598E-2</v>
      </c>
      <c r="P601" s="176">
        <f t="shared" si="46"/>
        <v>7.9339764000000007E-2</v>
      </c>
    </row>
    <row r="602" spans="15:16">
      <c r="O602" s="176">
        <f t="shared" si="46"/>
        <v>7.4010254815220833E-2</v>
      </c>
      <c r="P602" s="176">
        <f t="shared" si="46"/>
        <v>-2.9717699999999986E-2</v>
      </c>
    </row>
    <row r="603" spans="15:16">
      <c r="O603" s="176">
        <f t="shared" si="46"/>
        <v>7.0308974012732506E-2</v>
      </c>
      <c r="P603" s="176">
        <f t="shared" si="46"/>
        <v>0.16529906</v>
      </c>
    </row>
    <row r="604" spans="15:16">
      <c r="O604" s="176">
        <f t="shared" si="46"/>
        <v>-0.11716477759182453</v>
      </c>
      <c r="P604" s="176">
        <f t="shared" si="46"/>
        <v>0.20337129999999998</v>
      </c>
    </row>
    <row r="605" spans="15:16">
      <c r="O605" s="176">
        <f t="shared" si="46"/>
        <v>-0.16607972979545593</v>
      </c>
      <c r="P605" s="176">
        <f t="shared" si="46"/>
        <v>-8.3393150000000013E-2</v>
      </c>
    </row>
    <row r="606" spans="15:16">
      <c r="O606" s="176">
        <f t="shared" si="46"/>
        <v>9.9171984940767288E-2</v>
      </c>
      <c r="P606" s="176">
        <f t="shared" si="46"/>
        <v>1.5157709999999998E-2</v>
      </c>
    </row>
    <row r="607" spans="15:16">
      <c r="O607" s="176">
        <f t="shared" si="46"/>
        <v>-0.28239809162914753</v>
      </c>
      <c r="P607" s="176">
        <f t="shared" si="46"/>
        <v>-4.5453245999999996E-2</v>
      </c>
    </row>
    <row r="608" spans="15:16">
      <c r="O608" s="176">
        <f t="shared" si="46"/>
        <v>7.9543272964656353E-2</v>
      </c>
      <c r="P608" s="176">
        <f t="shared" si="46"/>
        <v>0.155430445</v>
      </c>
    </row>
    <row r="609" spans="15:16">
      <c r="O609" s="176">
        <f t="shared" si="46"/>
        <v>0.2925132866948843</v>
      </c>
      <c r="P609" s="176">
        <f t="shared" si="46"/>
        <v>3.7245524000000002E-2</v>
      </c>
    </row>
    <row r="610" spans="15:16">
      <c r="O610" s="176">
        <f t="shared" si="46"/>
        <v>0.1438237801194191</v>
      </c>
      <c r="P610" s="176">
        <f t="shared" si="46"/>
        <v>8.4020233E-2</v>
      </c>
    </row>
    <row r="611" spans="15:16">
      <c r="O611" s="176">
        <f t="shared" si="46"/>
        <v>0.1613216046243906</v>
      </c>
      <c r="P611" s="176">
        <f t="shared" si="46"/>
        <v>0.12695496000000001</v>
      </c>
    </row>
    <row r="612" spans="15:16">
      <c r="O612" s="176">
        <f t="shared" si="46"/>
        <v>3.3134595025330782E-2</v>
      </c>
      <c r="P612" s="176">
        <f t="shared" si="46"/>
        <v>2.2127011999999998E-2</v>
      </c>
    </row>
    <row r="613" spans="15:16">
      <c r="O613" s="176">
        <f t="shared" si="46"/>
        <v>0.18863692507147789</v>
      </c>
      <c r="P613" s="176">
        <f t="shared" si="46"/>
        <v>-0.16345313</v>
      </c>
    </row>
    <row r="614" spans="15:16">
      <c r="O614" s="176">
        <f t="shared" si="46"/>
        <v>0.17707271687686443</v>
      </c>
      <c r="P614" s="176">
        <f t="shared" si="46"/>
        <v>0.10323594</v>
      </c>
    </row>
    <row r="615" spans="15:16">
      <c r="O615" s="176">
        <f t="shared" si="46"/>
        <v>-3.6208705045282841E-2</v>
      </c>
      <c r="P615" s="176">
        <f t="shared" si="46"/>
        <v>-0.24414213600000001</v>
      </c>
    </row>
    <row r="616" spans="15:16">
      <c r="O616" s="176">
        <f t="shared" si="46"/>
        <v>0.10151058994233608</v>
      </c>
      <c r="P616" s="176">
        <f t="shared" si="46"/>
        <v>0.19912036</v>
      </c>
    </row>
    <row r="617" spans="15:16">
      <c r="O617" s="176" t="e">
        <f t="shared" si="46"/>
        <v>#VALUE!</v>
      </c>
      <c r="P617" s="176" t="e">
        <f t="shared" si="46"/>
        <v>#VALUE!</v>
      </c>
    </row>
    <row r="618" spans="15:16">
      <c r="O618" s="176" t="e">
        <f t="shared" si="46"/>
        <v>#VALUE!</v>
      </c>
      <c r="P618" s="176" t="e">
        <f t="shared" si="46"/>
        <v>#VALUE!</v>
      </c>
    </row>
    <row r="619" spans="15:16">
      <c r="O619" s="176" t="e">
        <f t="shared" si="46"/>
        <v>#VALUE!</v>
      </c>
      <c r="P619" s="176" t="e">
        <f t="shared" si="46"/>
        <v>#VALUE!</v>
      </c>
    </row>
    <row r="620" spans="15:16">
      <c r="O620" s="176" t="e">
        <f t="shared" si="46"/>
        <v>#VALUE!</v>
      </c>
      <c r="P620" s="176" t="e">
        <f t="shared" si="46"/>
        <v>#VALUE!</v>
      </c>
    </row>
    <row r="621" spans="15:16">
      <c r="O621" s="176" t="e">
        <f t="shared" si="46"/>
        <v>#VALUE!</v>
      </c>
      <c r="P621" s="176" t="e">
        <f t="shared" si="46"/>
        <v>#VALUE!</v>
      </c>
    </row>
    <row r="622" spans="15:16">
      <c r="O622" s="176" t="e">
        <f t="shared" si="46"/>
        <v>#VALUE!</v>
      </c>
      <c r="P622" s="176" t="e">
        <f t="shared" si="46"/>
        <v>#VALUE!</v>
      </c>
    </row>
    <row r="623" spans="15:16">
      <c r="O623" s="176" t="e">
        <f t="shared" si="46"/>
        <v>#VALUE!</v>
      </c>
      <c r="P623" s="176" t="e">
        <f t="shared" si="46"/>
        <v>#VALUE!</v>
      </c>
    </row>
    <row r="624" spans="15:16">
      <c r="O624" s="176" t="e">
        <f t="shared" si="46"/>
        <v>#VALUE!</v>
      </c>
      <c r="P624" s="176" t="e">
        <f t="shared" si="46"/>
        <v>#VALUE!</v>
      </c>
    </row>
    <row r="625" spans="15:16">
      <c r="O625" s="176" t="e">
        <f t="shared" si="46"/>
        <v>#VALUE!</v>
      </c>
      <c r="P625" s="176" t="e">
        <f t="shared" si="46"/>
        <v>#VALUE!</v>
      </c>
    </row>
    <row r="626" spans="15:16">
      <c r="O626" s="176" t="e">
        <f t="shared" si="46"/>
        <v>#VALUE!</v>
      </c>
      <c r="P626" s="176" t="e">
        <f t="shared" si="46"/>
        <v>#VALUE!</v>
      </c>
    </row>
    <row r="627" spans="15:16">
      <c r="O627" s="176" t="e">
        <f t="shared" si="46"/>
        <v>#VALUE!</v>
      </c>
      <c r="P627" s="176" t="e">
        <f t="shared" si="46"/>
        <v>#VALUE!</v>
      </c>
    </row>
    <row r="628" spans="15:16">
      <c r="O628" s="176" t="e">
        <f t="shared" ref="O628:P691" si="47">O491-O566</f>
        <v>#VALUE!</v>
      </c>
      <c r="P628" s="176" t="e">
        <f t="shared" si="47"/>
        <v>#VALUE!</v>
      </c>
    </row>
    <row r="629" spans="15:16">
      <c r="O629" s="176">
        <f t="shared" si="47"/>
        <v>-0.25395104289054871</v>
      </c>
      <c r="P629" s="176">
        <f t="shared" si="47"/>
        <v>-8.8278840000000011E-2</v>
      </c>
    </row>
    <row r="630" spans="15:16">
      <c r="O630" s="176" t="e">
        <f t="shared" si="47"/>
        <v>#VALUE!</v>
      </c>
      <c r="P630" s="176" t="e">
        <f t="shared" si="47"/>
        <v>#VALUE!</v>
      </c>
    </row>
    <row r="631" spans="15:16">
      <c r="O631" s="176" t="e">
        <f t="shared" si="47"/>
        <v>#VALUE!</v>
      </c>
      <c r="P631" s="176" t="e">
        <f t="shared" si="47"/>
        <v>#VALUE!</v>
      </c>
    </row>
    <row r="632" spans="15:16">
      <c r="O632" s="176" t="e">
        <f t="shared" si="47"/>
        <v>#VALUE!</v>
      </c>
      <c r="P632" s="176" t="e">
        <f t="shared" si="47"/>
        <v>#VALUE!</v>
      </c>
    </row>
    <row r="633" spans="15:16">
      <c r="O633" s="176" t="e">
        <f t="shared" si="47"/>
        <v>#VALUE!</v>
      </c>
      <c r="P633" s="176" t="e">
        <f t="shared" si="47"/>
        <v>#VALUE!</v>
      </c>
    </row>
    <row r="634" spans="15:16">
      <c r="O634" s="176" t="e">
        <f t="shared" si="47"/>
        <v>#VALUE!</v>
      </c>
      <c r="P634" s="176" t="e">
        <f t="shared" si="47"/>
        <v>#VALUE!</v>
      </c>
    </row>
    <row r="635" spans="15:16">
      <c r="O635" s="176" t="e">
        <f t="shared" si="47"/>
        <v>#VALUE!</v>
      </c>
      <c r="P635" s="176" t="e">
        <f t="shared" si="47"/>
        <v>#VALUE!</v>
      </c>
    </row>
    <row r="636" spans="15:16">
      <c r="O636" s="176" t="e">
        <f t="shared" si="47"/>
        <v>#VALUE!</v>
      </c>
      <c r="P636" s="176" t="e">
        <f t="shared" si="47"/>
        <v>#VALUE!</v>
      </c>
    </row>
    <row r="637" spans="15:16">
      <c r="O637" s="176" t="e">
        <f t="shared" si="47"/>
        <v>#VALUE!</v>
      </c>
      <c r="P637" s="176" t="e">
        <f t="shared" si="47"/>
        <v>#VALUE!</v>
      </c>
    </row>
    <row r="638" spans="15:16">
      <c r="O638" s="176" t="e">
        <f t="shared" si="47"/>
        <v>#VALUE!</v>
      </c>
      <c r="P638" s="176" t="e">
        <f t="shared" si="47"/>
        <v>#VALUE!</v>
      </c>
    </row>
    <row r="639" spans="15:16">
      <c r="O639" s="176" t="e">
        <f t="shared" si="47"/>
        <v>#VALUE!</v>
      </c>
      <c r="P639" s="176" t="e">
        <f t="shared" si="47"/>
        <v>#VALUE!</v>
      </c>
    </row>
    <row r="640" spans="15:16">
      <c r="O640" s="176" t="e">
        <f t="shared" si="47"/>
        <v>#VALUE!</v>
      </c>
      <c r="P640" s="176" t="e">
        <f t="shared" si="47"/>
        <v>#VALUE!</v>
      </c>
    </row>
    <row r="641" spans="15:16">
      <c r="O641" s="176" t="e">
        <f t="shared" si="47"/>
        <v>#VALUE!</v>
      </c>
      <c r="P641" s="176" t="e">
        <f t="shared" si="47"/>
        <v>#VALUE!</v>
      </c>
    </row>
    <row r="642" spans="15:16">
      <c r="O642" s="176">
        <f t="shared" si="47"/>
        <v>-0.27924791350960732</v>
      </c>
      <c r="P642" s="176">
        <f t="shared" si="47"/>
        <v>0.11817033</v>
      </c>
    </row>
    <row r="643" spans="15:16">
      <c r="O643" s="176" t="e">
        <f t="shared" si="47"/>
        <v>#VALUE!</v>
      </c>
      <c r="P643" s="176" t="e">
        <f t="shared" si="47"/>
        <v>#VALUE!</v>
      </c>
    </row>
    <row r="644" spans="15:16">
      <c r="O644" s="176" t="e">
        <f t="shared" si="47"/>
        <v>#VALUE!</v>
      </c>
      <c r="P644" s="176" t="e">
        <f t="shared" si="47"/>
        <v>#VALUE!</v>
      </c>
    </row>
    <row r="645" spans="15:16">
      <c r="O645" s="176" t="e">
        <f t="shared" si="47"/>
        <v>#VALUE!</v>
      </c>
      <c r="P645" s="176" t="e">
        <f t="shared" si="47"/>
        <v>#VALUE!</v>
      </c>
    </row>
    <row r="646" spans="15:16">
      <c r="O646" s="176" t="e">
        <f t="shared" si="47"/>
        <v>#VALUE!</v>
      </c>
      <c r="P646" s="176" t="e">
        <f t="shared" si="47"/>
        <v>#VALUE!</v>
      </c>
    </row>
    <row r="647" spans="15:16">
      <c r="O647" s="176" t="e">
        <f t="shared" si="47"/>
        <v>#VALUE!</v>
      </c>
      <c r="P647" s="176" t="e">
        <f t="shared" si="47"/>
        <v>#VALUE!</v>
      </c>
    </row>
    <row r="648" spans="15:16">
      <c r="O648" s="176" t="e">
        <f t="shared" si="47"/>
        <v>#VALUE!</v>
      </c>
      <c r="P648" s="176" t="e">
        <f t="shared" si="47"/>
        <v>#VALUE!</v>
      </c>
    </row>
    <row r="649" spans="15:16">
      <c r="O649" s="176" t="e">
        <f t="shared" si="47"/>
        <v>#VALUE!</v>
      </c>
      <c r="P649" s="176" t="e">
        <f t="shared" si="47"/>
        <v>#VALUE!</v>
      </c>
    </row>
    <row r="650" spans="15:16">
      <c r="O650" s="176" t="e">
        <f t="shared" si="47"/>
        <v>#VALUE!</v>
      </c>
      <c r="P650" s="176" t="e">
        <f t="shared" si="47"/>
        <v>#VALUE!</v>
      </c>
    </row>
    <row r="651" spans="15:16">
      <c r="O651" s="176" t="e">
        <f t="shared" si="47"/>
        <v>#VALUE!</v>
      </c>
      <c r="P651" s="176" t="e">
        <f t="shared" si="47"/>
        <v>#VALUE!</v>
      </c>
    </row>
    <row r="652" spans="15:16">
      <c r="O652" s="176" t="e">
        <f t="shared" si="47"/>
        <v>#VALUE!</v>
      </c>
      <c r="P652" s="176" t="e">
        <f t="shared" si="47"/>
        <v>#VALUE!</v>
      </c>
    </row>
    <row r="653" spans="15:16">
      <c r="O653" s="176" t="e">
        <f t="shared" si="47"/>
        <v>#VALUE!</v>
      </c>
      <c r="P653" s="176" t="e">
        <f t="shared" si="47"/>
        <v>#VALUE!</v>
      </c>
    </row>
    <row r="654" spans="15:16">
      <c r="O654" s="176" t="e">
        <f t="shared" si="47"/>
        <v>#VALUE!</v>
      </c>
      <c r="P654" s="176" t="e">
        <f t="shared" si="47"/>
        <v>#VALUE!</v>
      </c>
    </row>
    <row r="655" spans="15:16">
      <c r="O655" s="176">
        <f t="shared" si="47"/>
        <v>-0.27930527552962303</v>
      </c>
      <c r="P655" s="176">
        <f t="shared" si="47"/>
        <v>5.9466870000000012E-2</v>
      </c>
    </row>
    <row r="656" spans="15:16">
      <c r="O656" s="176">
        <f t="shared" si="47"/>
        <v>0.18349060043692589</v>
      </c>
      <c r="P656" s="176">
        <f t="shared" si="47"/>
        <v>-1.4903168200000004E-2</v>
      </c>
    </row>
    <row r="657" spans="15:16">
      <c r="O657" s="176">
        <f t="shared" si="47"/>
        <v>-5.46311866492033E-3</v>
      </c>
      <c r="P657" s="176">
        <f t="shared" si="47"/>
        <v>-0.27642854</v>
      </c>
    </row>
    <row r="658" spans="15:16">
      <c r="O658" s="176">
        <f t="shared" si="47"/>
        <v>-4.622255265712738E-2</v>
      </c>
      <c r="P658" s="176">
        <f t="shared" si="47"/>
        <v>-7.7785589000000016E-2</v>
      </c>
    </row>
    <row r="659" spans="15:16">
      <c r="O659" s="176">
        <f t="shared" si="47"/>
        <v>-3.7078730762004852E-2</v>
      </c>
      <c r="P659" s="176">
        <f t="shared" si="47"/>
        <v>-0.11261518200000001</v>
      </c>
    </row>
    <row r="660" spans="15:16">
      <c r="O660" s="176">
        <f t="shared" si="47"/>
        <v>-0.36006774194538593</v>
      </c>
      <c r="P660" s="176">
        <f t="shared" si="47"/>
        <v>-0.12021826799999999</v>
      </c>
    </row>
    <row r="661" spans="15:16">
      <c r="O661" s="176">
        <f t="shared" si="47"/>
        <v>-0.12355663813650608</v>
      </c>
      <c r="P661" s="176">
        <f t="shared" si="47"/>
        <v>-0.12326896599999999</v>
      </c>
    </row>
    <row r="662" spans="15:16">
      <c r="O662" s="176">
        <f t="shared" si="47"/>
        <v>-7.846316322684288E-2</v>
      </c>
      <c r="P662" s="176">
        <f t="shared" si="47"/>
        <v>-2.9433092000000004E-2</v>
      </c>
    </row>
    <row r="663" spans="15:16">
      <c r="O663" s="176">
        <f t="shared" si="47"/>
        <v>2.4101138114929199E-2</v>
      </c>
      <c r="P663" s="176">
        <f t="shared" si="47"/>
        <v>-0.104656362</v>
      </c>
    </row>
    <row r="664" spans="15:16">
      <c r="O664" s="176">
        <f t="shared" si="47"/>
        <v>-6.5466126427054405E-2</v>
      </c>
      <c r="P664" s="176">
        <f t="shared" si="47"/>
        <v>4.5637649999999988E-2</v>
      </c>
    </row>
    <row r="665" spans="15:16">
      <c r="O665" s="176">
        <f t="shared" si="47"/>
        <v>8.6887888610363007E-3</v>
      </c>
      <c r="P665" s="176">
        <f t="shared" si="47"/>
        <v>-0.25854325</v>
      </c>
    </row>
    <row r="666" spans="15:16">
      <c r="O666" s="176">
        <f t="shared" si="47"/>
        <v>0.1306635420769453</v>
      </c>
      <c r="P666" s="176">
        <f t="shared" si="47"/>
        <v>-0.29153359000000001</v>
      </c>
    </row>
    <row r="667" spans="15:16">
      <c r="O667" s="176">
        <f t="shared" si="47"/>
        <v>0.15699687600135803</v>
      </c>
      <c r="P667" s="176">
        <f t="shared" si="47"/>
        <v>7.8550920000000024E-2</v>
      </c>
    </row>
    <row r="668" spans="15:16">
      <c r="O668" s="176">
        <f t="shared" si="47"/>
        <v>-0.18807484954595566</v>
      </c>
      <c r="P668" s="176">
        <f t="shared" si="47"/>
        <v>-6.1967249999999995E-2</v>
      </c>
    </row>
    <row r="669" spans="15:16">
      <c r="O669" s="176">
        <f t="shared" si="47"/>
        <v>0.38768215291202068</v>
      </c>
      <c r="P669" s="176">
        <f t="shared" si="47"/>
        <v>3.6553192999999998E-2</v>
      </c>
    </row>
    <row r="670" spans="15:16">
      <c r="O670" s="176">
        <f t="shared" si="47"/>
        <v>-5.0273507833480835E-2</v>
      </c>
      <c r="P670" s="176">
        <f t="shared" si="47"/>
        <v>-0.20086026500000001</v>
      </c>
    </row>
    <row r="671" spans="15:16">
      <c r="O671" s="176">
        <f t="shared" si="47"/>
        <v>-0.3767490703612566</v>
      </c>
      <c r="P671" s="176">
        <f t="shared" si="47"/>
        <v>-6.1214767000000003E-2</v>
      </c>
    </row>
    <row r="672" spans="15:16">
      <c r="O672" s="176">
        <f t="shared" si="47"/>
        <v>-0.16779594495892525</v>
      </c>
      <c r="P672" s="176">
        <f t="shared" si="47"/>
        <v>-0.134725909</v>
      </c>
    </row>
    <row r="673" spans="15:16">
      <c r="O673" s="176">
        <f t="shared" si="47"/>
        <v>-0.28696322068572044</v>
      </c>
      <c r="P673" s="176">
        <f t="shared" si="47"/>
        <v>-0.19777694000000001</v>
      </c>
    </row>
    <row r="674" spans="15:16">
      <c r="O674" s="176">
        <f t="shared" si="47"/>
        <v>-6.8441424984484911E-2</v>
      </c>
      <c r="P674" s="176">
        <f t="shared" si="47"/>
        <v>-2.5708445999999999E-2</v>
      </c>
    </row>
    <row r="675" spans="15:16">
      <c r="O675" s="176">
        <f t="shared" si="47"/>
        <v>-0.2347738966345787</v>
      </c>
      <c r="P675" s="176">
        <f t="shared" si="47"/>
        <v>0.18997393000000001</v>
      </c>
    </row>
    <row r="676" spans="15:16">
      <c r="O676" s="176">
        <f t="shared" si="47"/>
        <v>-0.1559735145419836</v>
      </c>
      <c r="P676" s="176">
        <f t="shared" si="47"/>
        <v>-0.16027901</v>
      </c>
    </row>
    <row r="677" spans="15:16">
      <c r="O677" s="176">
        <f t="shared" si="47"/>
        <v>-2.0936240442097187E-2</v>
      </c>
      <c r="P677" s="176">
        <f t="shared" si="47"/>
        <v>0.279526106</v>
      </c>
    </row>
    <row r="678" spans="15:16">
      <c r="O678" s="176">
        <f t="shared" si="47"/>
        <v>-0.20081728138029575</v>
      </c>
      <c r="P678" s="176">
        <f t="shared" si="47"/>
        <v>-0.31172097999999998</v>
      </c>
    </row>
    <row r="679" spans="15:16">
      <c r="O679" s="176" t="e">
        <f t="shared" si="47"/>
        <v>#VALUE!</v>
      </c>
      <c r="P679" s="176" t="e">
        <f t="shared" si="47"/>
        <v>#VALUE!</v>
      </c>
    </row>
    <row r="680" spans="15:16">
      <c r="O680" s="176" t="e">
        <f t="shared" si="47"/>
        <v>#VALUE!</v>
      </c>
      <c r="P680" s="176" t="e">
        <f t="shared" si="47"/>
        <v>#VALUE!</v>
      </c>
    </row>
    <row r="681" spans="15:16">
      <c r="O681" s="176" t="e">
        <f t="shared" si="47"/>
        <v>#VALUE!</v>
      </c>
      <c r="P681" s="176" t="e">
        <f t="shared" si="47"/>
        <v>#VALUE!</v>
      </c>
    </row>
    <row r="682" spans="15:16">
      <c r="O682" s="176" t="e">
        <f t="shared" si="47"/>
        <v>#VALUE!</v>
      </c>
      <c r="P682" s="176" t="e">
        <f t="shared" si="47"/>
        <v>#VALUE!</v>
      </c>
    </row>
    <row r="683" spans="15:16">
      <c r="O683" s="176" t="e">
        <f t="shared" si="47"/>
        <v>#VALUE!</v>
      </c>
      <c r="P683" s="176" t="e">
        <f t="shared" si="47"/>
        <v>#VALUE!</v>
      </c>
    </row>
    <row r="684" spans="15:16">
      <c r="O684" s="176" t="e">
        <f t="shared" si="47"/>
        <v>#VALUE!</v>
      </c>
      <c r="P684" s="176" t="e">
        <f t="shared" si="47"/>
        <v>#VALUE!</v>
      </c>
    </row>
    <row r="685" spans="15:16">
      <c r="O685" s="176" t="e">
        <f t="shared" si="47"/>
        <v>#VALUE!</v>
      </c>
      <c r="P685" s="176" t="e">
        <f t="shared" si="47"/>
        <v>#VALUE!</v>
      </c>
    </row>
    <row r="686" spans="15:16">
      <c r="O686" s="176" t="e">
        <f t="shared" si="47"/>
        <v>#VALUE!</v>
      </c>
      <c r="P686" s="176" t="e">
        <f t="shared" si="47"/>
        <v>#VALUE!</v>
      </c>
    </row>
    <row r="687" spans="15:16">
      <c r="O687" s="176" t="e">
        <f t="shared" si="47"/>
        <v>#VALUE!</v>
      </c>
      <c r="P687" s="176" t="e">
        <f t="shared" si="47"/>
        <v>#VALUE!</v>
      </c>
    </row>
    <row r="688" spans="15:16">
      <c r="O688" s="176" t="e">
        <f t="shared" si="47"/>
        <v>#VALUE!</v>
      </c>
      <c r="P688" s="176" t="e">
        <f t="shared" si="47"/>
        <v>#VALUE!</v>
      </c>
    </row>
    <row r="689" spans="15:16">
      <c r="O689" s="176" t="e">
        <f t="shared" si="47"/>
        <v>#VALUE!</v>
      </c>
      <c r="P689" s="176" t="e">
        <f t="shared" si="47"/>
        <v>#VALUE!</v>
      </c>
    </row>
    <row r="690" spans="15:16">
      <c r="O690" s="176" t="e">
        <f t="shared" si="47"/>
        <v>#VALUE!</v>
      </c>
      <c r="P690" s="176" t="e">
        <f t="shared" si="47"/>
        <v>#VALUE!</v>
      </c>
    </row>
    <row r="691" spans="15:16">
      <c r="O691" s="176">
        <f t="shared" si="47"/>
        <v>0.23074481636285782</v>
      </c>
      <c r="P691" s="176">
        <f t="shared" si="47"/>
        <v>-1.039358999999998E-2</v>
      </c>
    </row>
    <row r="692" spans="15:16">
      <c r="O692" s="176" t="e">
        <f t="shared" ref="O692:P748" si="48">O555-O630</f>
        <v>#VALUE!</v>
      </c>
      <c r="P692" s="176" t="e">
        <f t="shared" si="48"/>
        <v>#VALUE!</v>
      </c>
    </row>
    <row r="693" spans="15:16">
      <c r="O693" s="176" t="e">
        <f t="shared" si="48"/>
        <v>#VALUE!</v>
      </c>
      <c r="P693" s="176" t="e">
        <f t="shared" si="48"/>
        <v>#VALUE!</v>
      </c>
    </row>
    <row r="694" spans="15:16">
      <c r="O694" s="176" t="e">
        <f t="shared" si="48"/>
        <v>#VALUE!</v>
      </c>
      <c r="P694" s="176" t="e">
        <f t="shared" si="48"/>
        <v>#VALUE!</v>
      </c>
    </row>
    <row r="695" spans="15:16">
      <c r="O695" s="176" t="e">
        <f t="shared" si="48"/>
        <v>#VALUE!</v>
      </c>
      <c r="P695" s="176" t="e">
        <f t="shared" si="48"/>
        <v>#VALUE!</v>
      </c>
    </row>
    <row r="696" spans="15:16">
      <c r="O696" s="176" t="e">
        <f t="shared" si="48"/>
        <v>#VALUE!</v>
      </c>
      <c r="P696" s="176" t="e">
        <f t="shared" si="48"/>
        <v>#VALUE!</v>
      </c>
    </row>
    <row r="697" spans="15:16">
      <c r="O697" s="176" t="e">
        <f t="shared" si="48"/>
        <v>#VALUE!</v>
      </c>
      <c r="P697" s="176" t="e">
        <f t="shared" si="48"/>
        <v>#VALUE!</v>
      </c>
    </row>
    <row r="698" spans="15:16">
      <c r="O698" s="176" t="e">
        <f t="shared" si="48"/>
        <v>#VALUE!</v>
      </c>
      <c r="P698" s="176" t="e">
        <f t="shared" si="48"/>
        <v>#VALUE!</v>
      </c>
    </row>
    <row r="699" spans="15:16">
      <c r="O699" s="176" t="e">
        <f t="shared" si="48"/>
        <v>#VALUE!</v>
      </c>
      <c r="P699" s="176" t="e">
        <f t="shared" si="48"/>
        <v>#VALUE!</v>
      </c>
    </row>
    <row r="700" spans="15:16">
      <c r="O700" s="176" t="e">
        <f t="shared" si="48"/>
        <v>#VALUE!</v>
      </c>
      <c r="P700" s="176" t="e">
        <f t="shared" si="48"/>
        <v>#VALUE!</v>
      </c>
    </row>
    <row r="701" spans="15:16">
      <c r="O701" s="176" t="e">
        <f t="shared" si="48"/>
        <v>#VALUE!</v>
      </c>
      <c r="P701" s="176" t="e">
        <f t="shared" si="48"/>
        <v>#VALUE!</v>
      </c>
    </row>
    <row r="702" spans="15:16">
      <c r="O702" s="176" t="e">
        <f t="shared" si="48"/>
        <v>#VALUE!</v>
      </c>
      <c r="P702" s="176" t="e">
        <f t="shared" si="48"/>
        <v>#VALUE!</v>
      </c>
    </row>
    <row r="703" spans="15:16">
      <c r="O703" s="176" t="e">
        <f t="shared" si="48"/>
        <v>#VALUE!</v>
      </c>
      <c r="P703" s="176" t="e">
        <f t="shared" si="48"/>
        <v>#VALUE!</v>
      </c>
    </row>
    <row r="704" spans="15:16">
      <c r="O704" s="176">
        <f t="shared" si="48"/>
        <v>0.49910314753651619</v>
      </c>
      <c r="P704" s="176">
        <f t="shared" si="48"/>
        <v>-1.9514299999999998E-2</v>
      </c>
    </row>
    <row r="705" spans="15:16">
      <c r="O705" s="176" t="e">
        <f t="shared" si="48"/>
        <v>#VALUE!</v>
      </c>
      <c r="P705" s="176" t="e">
        <f t="shared" si="48"/>
        <v>#VALUE!</v>
      </c>
    </row>
    <row r="706" spans="15:16">
      <c r="O706" s="176" t="e">
        <f t="shared" si="48"/>
        <v>#VALUE!</v>
      </c>
      <c r="P706" s="176" t="e">
        <f t="shared" si="48"/>
        <v>#VALUE!</v>
      </c>
    </row>
    <row r="707" spans="15:16">
      <c r="O707" s="176" t="e">
        <f t="shared" si="48"/>
        <v>#VALUE!</v>
      </c>
      <c r="P707" s="176" t="e">
        <f t="shared" si="48"/>
        <v>#VALUE!</v>
      </c>
    </row>
    <row r="708" spans="15:16">
      <c r="O708" s="176" t="e">
        <f t="shared" si="48"/>
        <v>#VALUE!</v>
      </c>
      <c r="P708" s="176" t="e">
        <f t="shared" si="48"/>
        <v>#VALUE!</v>
      </c>
    </row>
    <row r="709" spans="15:16">
      <c r="O709" s="176" t="e">
        <f t="shared" si="48"/>
        <v>#VALUE!</v>
      </c>
      <c r="P709" s="176" t="e">
        <f t="shared" si="48"/>
        <v>#VALUE!</v>
      </c>
    </row>
    <row r="710" spans="15:16">
      <c r="O710" s="176" t="e">
        <f t="shared" si="48"/>
        <v>#VALUE!</v>
      </c>
      <c r="P710" s="176" t="e">
        <f t="shared" si="48"/>
        <v>#VALUE!</v>
      </c>
    </row>
    <row r="711" spans="15:16">
      <c r="O711" s="176" t="e">
        <f t="shared" si="48"/>
        <v>#VALUE!</v>
      </c>
      <c r="P711" s="176" t="e">
        <f t="shared" si="48"/>
        <v>#VALUE!</v>
      </c>
    </row>
    <row r="712" spans="15:16">
      <c r="O712" s="176" t="e">
        <f t="shared" si="48"/>
        <v>#VALUE!</v>
      </c>
      <c r="P712" s="176" t="e">
        <f t="shared" si="48"/>
        <v>#VALUE!</v>
      </c>
    </row>
    <row r="713" spans="15:16">
      <c r="O713" s="176" t="e">
        <f t="shared" si="48"/>
        <v>#VALUE!</v>
      </c>
      <c r="P713" s="176" t="e">
        <f t="shared" si="48"/>
        <v>#VALUE!</v>
      </c>
    </row>
    <row r="714" spans="15:16">
      <c r="O714" s="176" t="e">
        <f t="shared" si="48"/>
        <v>#VALUE!</v>
      </c>
      <c r="P714" s="176" t="e">
        <f t="shared" si="48"/>
        <v>#VALUE!</v>
      </c>
    </row>
    <row r="715" spans="15:16">
      <c r="O715" s="176" t="e">
        <f t="shared" si="48"/>
        <v>#VALUE!</v>
      </c>
      <c r="P715" s="176" t="e">
        <f t="shared" si="48"/>
        <v>#VALUE!</v>
      </c>
    </row>
    <row r="716" spans="15:16">
      <c r="O716" s="176" t="e">
        <f t="shared" si="48"/>
        <v>#VALUE!</v>
      </c>
      <c r="P716" s="176" t="e">
        <f t="shared" si="48"/>
        <v>#VALUE!</v>
      </c>
    </row>
    <row r="717" spans="15:16">
      <c r="O717" s="176">
        <f t="shared" si="48"/>
        <v>0.43009579926729202</v>
      </c>
      <c r="P717" s="176">
        <f t="shared" si="48"/>
        <v>-0.19837518000000001</v>
      </c>
    </row>
    <row r="718" spans="15:16">
      <c r="O718" s="176" t="e">
        <f t="shared" si="48"/>
        <v>#VALUE!</v>
      </c>
      <c r="P718" s="176" t="e">
        <f t="shared" si="48"/>
        <v>#VALUE!</v>
      </c>
    </row>
    <row r="719" spans="15:16">
      <c r="O719" s="176" t="e">
        <f t="shared" si="48"/>
        <v>#VALUE!</v>
      </c>
      <c r="P719" s="176" t="e">
        <f t="shared" si="48"/>
        <v>#VALUE!</v>
      </c>
    </row>
    <row r="720" spans="15:16">
      <c r="O720" s="176" t="e">
        <f t="shared" si="48"/>
        <v>#VALUE!</v>
      </c>
      <c r="P720" s="176" t="e">
        <f t="shared" si="48"/>
        <v>#VALUE!</v>
      </c>
    </row>
    <row r="721" spans="15:16">
      <c r="O721" s="176" t="e">
        <f t="shared" si="48"/>
        <v>#VALUE!</v>
      </c>
      <c r="P721" s="176" t="e">
        <f t="shared" si="48"/>
        <v>#VALUE!</v>
      </c>
    </row>
    <row r="722" spans="15:16">
      <c r="O722" s="176" t="e">
        <f t="shared" si="48"/>
        <v>#VALUE!</v>
      </c>
      <c r="P722" s="176" t="e">
        <f t="shared" si="48"/>
        <v>#VALUE!</v>
      </c>
    </row>
    <row r="723" spans="15:16">
      <c r="O723" s="176" t="e">
        <f t="shared" si="48"/>
        <v>#VALUE!</v>
      </c>
      <c r="P723" s="176" t="e">
        <f t="shared" si="48"/>
        <v>#VALUE!</v>
      </c>
    </row>
    <row r="724" spans="15:16">
      <c r="O724" s="176" t="e">
        <f t="shared" si="48"/>
        <v>#VALUE!</v>
      </c>
      <c r="P724" s="176" t="e">
        <f t="shared" si="48"/>
        <v>#VALUE!</v>
      </c>
    </row>
    <row r="725" spans="15:16">
      <c r="O725" s="176" t="e">
        <f t="shared" si="48"/>
        <v>#VALUE!</v>
      </c>
      <c r="P725" s="176" t="e">
        <f t="shared" si="48"/>
        <v>#VALUE!</v>
      </c>
    </row>
    <row r="726" spans="15:16">
      <c r="O726" s="176" t="e">
        <f t="shared" si="48"/>
        <v>#VALUE!</v>
      </c>
      <c r="P726" s="176" t="e">
        <f t="shared" si="48"/>
        <v>#VALUE!</v>
      </c>
    </row>
    <row r="727" spans="15:16">
      <c r="O727" s="176" t="e">
        <f t="shared" si="48"/>
        <v>#VALUE!</v>
      </c>
      <c r="P727" s="176" t="e">
        <f t="shared" si="48"/>
        <v>#VALUE!</v>
      </c>
    </row>
    <row r="728" spans="15:16">
      <c r="O728" s="176" t="e">
        <f t="shared" si="48"/>
        <v>#VALUE!</v>
      </c>
      <c r="P728" s="176" t="e">
        <f t="shared" si="48"/>
        <v>#VALUE!</v>
      </c>
    </row>
    <row r="729" spans="15:16">
      <c r="O729" s="176" t="e">
        <f t="shared" si="48"/>
        <v>#VALUE!</v>
      </c>
      <c r="P729" s="176" t="e">
        <f t="shared" si="48"/>
        <v>#VALUE!</v>
      </c>
    </row>
    <row r="730" spans="15:16">
      <c r="O730" s="176">
        <f t="shared" si="48"/>
        <v>0.35364914685487747</v>
      </c>
      <c r="P730" s="176">
        <f t="shared" si="48"/>
        <v>8.422861999999999E-2</v>
      </c>
    </row>
    <row r="731" spans="15:16">
      <c r="O731" s="176">
        <f t="shared" si="48"/>
        <v>-0.52350049465894699</v>
      </c>
      <c r="P731" s="176">
        <f t="shared" si="48"/>
        <v>-2.4953778599999997E-2</v>
      </c>
    </row>
    <row r="732" spans="15:16">
      <c r="O732" s="176">
        <f t="shared" si="48"/>
        <v>2.57908059284091E-2</v>
      </c>
      <c r="P732" s="176">
        <f t="shared" si="48"/>
        <v>0.32649885000000001</v>
      </c>
    </row>
    <row r="733" spans="15:16">
      <c r="O733" s="176">
        <f t="shared" si="48"/>
        <v>0.45121463015675545</v>
      </c>
      <c r="P733" s="176">
        <f t="shared" si="48"/>
        <v>0.10622389300000001</v>
      </c>
    </row>
    <row r="734" spans="15:16">
      <c r="O734" s="176">
        <f t="shared" si="48"/>
        <v>0.19258001632988453</v>
      </c>
      <c r="P734" s="176">
        <f t="shared" si="48"/>
        <v>0.20925191800000001</v>
      </c>
    </row>
    <row r="735" spans="15:16">
      <c r="O735" s="176">
        <f t="shared" si="48"/>
        <v>0.50742156989872456</v>
      </c>
      <c r="P735" s="176">
        <f t="shared" si="48"/>
        <v>0.29183394600000001</v>
      </c>
    </row>
    <row r="736" spans="15:16">
      <c r="O736" s="176">
        <f t="shared" si="48"/>
        <v>0.13848672853782773</v>
      </c>
      <c r="P736" s="176">
        <f t="shared" si="48"/>
        <v>6.9710605999999994E-2</v>
      </c>
    </row>
    <row r="737" spans="15:16">
      <c r="O737" s="176">
        <f t="shared" si="48"/>
        <v>0.28702605329453945</v>
      </c>
      <c r="P737" s="176">
        <f t="shared" si="48"/>
        <v>-0.18991761600000001</v>
      </c>
    </row>
    <row r="738" spans="15:16">
      <c r="O738" s="176">
        <f t="shared" si="48"/>
        <v>0.11940013058483601</v>
      </c>
      <c r="P738" s="176">
        <f t="shared" si="48"/>
        <v>0.23961877400000001</v>
      </c>
    </row>
    <row r="739" spans="15:16">
      <c r="O739" s="176">
        <f t="shared" si="48"/>
        <v>9.494649525731802E-2</v>
      </c>
      <c r="P739" s="176">
        <f t="shared" si="48"/>
        <v>-0.30924380600000001</v>
      </c>
    </row>
    <row r="740" spans="15:16">
      <c r="O740" s="176">
        <f t="shared" si="48"/>
        <v>0.27112625539302826</v>
      </c>
      <c r="P740" s="176">
        <f t="shared" si="48"/>
        <v>0.47702003999999998</v>
      </c>
    </row>
    <row r="741" spans="15:16">
      <c r="O741" s="176" t="e">
        <f t="shared" si="48"/>
        <v>#VALUE!</v>
      </c>
      <c r="P741" s="176" t="e">
        <f t="shared" si="48"/>
        <v>#VALUE!</v>
      </c>
    </row>
    <row r="742" spans="15:16">
      <c r="O742" s="176" t="e">
        <f t="shared" si="48"/>
        <v>#VALUE!</v>
      </c>
      <c r="P742" s="176" t="e">
        <f t="shared" si="48"/>
        <v>#VALUE!</v>
      </c>
    </row>
    <row r="743" spans="15:16">
      <c r="O743" s="176" t="e">
        <f t="shared" si="48"/>
        <v>#VALUE!</v>
      </c>
      <c r="P743" s="176" t="e">
        <f t="shared" si="48"/>
        <v>#VALUE!</v>
      </c>
    </row>
    <row r="744" spans="15:16">
      <c r="O744" s="176" t="e">
        <f t="shared" si="48"/>
        <v>#VALUE!</v>
      </c>
      <c r="P744" s="176" t="e">
        <f t="shared" si="48"/>
        <v>#VALUE!</v>
      </c>
    </row>
    <row r="745" spans="15:16">
      <c r="O745" s="176" t="e">
        <f t="shared" si="48"/>
        <v>#VALUE!</v>
      </c>
      <c r="P745" s="176" t="e">
        <f t="shared" si="48"/>
        <v>#VALUE!</v>
      </c>
    </row>
    <row r="746" spans="15:16">
      <c r="O746" s="176" t="e">
        <f t="shared" si="48"/>
        <v>#VALUE!</v>
      </c>
      <c r="P746" s="176" t="e">
        <f t="shared" si="48"/>
        <v>#VALUE!</v>
      </c>
    </row>
    <row r="747" spans="15:16">
      <c r="O747" s="176" t="e">
        <f t="shared" si="48"/>
        <v>#VALUE!</v>
      </c>
      <c r="P747" s="176" t="e">
        <f t="shared" si="48"/>
        <v>#VALUE!</v>
      </c>
    </row>
    <row r="748" spans="15:16">
      <c r="O748" s="176" t="e">
        <f t="shared" si="48"/>
        <v>#VALUE!</v>
      </c>
      <c r="P748" s="176" t="e">
        <f t="shared" si="48"/>
        <v>#VALUE!</v>
      </c>
    </row>
  </sheetData>
  <autoFilter ref="C1:M1" xr:uid="{00000000-0009-0000-0000-000010000000}"/>
  <mergeCells count="1">
    <mergeCell ref="Z11:AC11"/>
  </mergeCells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D4FA-AFBB-4079-BBA0-76A5AB1360F8}">
  <sheetPr codeName="Sheet20"/>
  <dimension ref="A1:N15"/>
  <sheetViews>
    <sheetView workbookViewId="0">
      <selection activeCell="N27" sqref="N27"/>
    </sheetView>
  </sheetViews>
  <sheetFormatPr baseColWidth="10" defaultColWidth="8.83203125" defaultRowHeight="15"/>
  <cols>
    <col min="1" max="1" width="26.5" customWidth="1"/>
    <col min="4" max="4" width="5.83203125" customWidth="1"/>
    <col min="14" max="14" width="19.5" customWidth="1"/>
  </cols>
  <sheetData>
    <row r="1" spans="1:14" ht="16" thickBot="1">
      <c r="A1" t="s">
        <v>235</v>
      </c>
      <c r="B1" s="41">
        <v>0.04</v>
      </c>
    </row>
    <row r="2" spans="1:14" ht="16" thickBot="1">
      <c r="A2" t="s">
        <v>413</v>
      </c>
      <c r="B2" s="42">
        <v>5.0000000000000001E-3</v>
      </c>
      <c r="F2" s="398" t="s">
        <v>235</v>
      </c>
      <c r="G2" s="399"/>
      <c r="H2" s="399"/>
      <c r="I2" s="399"/>
      <c r="J2" s="399"/>
      <c r="K2" s="400"/>
    </row>
    <row r="3" spans="1:14" ht="16" thickBot="1">
      <c r="A3" s="31" t="s">
        <v>197</v>
      </c>
      <c r="B3" s="334">
        <v>2429.7060000000001</v>
      </c>
      <c r="C3" s="31" t="s">
        <v>93</v>
      </c>
      <c r="D3" s="31"/>
      <c r="E3" s="45">
        <f ca="1">'DCF Analysis'!D22</f>
        <v>153.40967312505799</v>
      </c>
      <c r="F3" s="33">
        <v>0.02</v>
      </c>
      <c r="G3" s="33">
        <v>2.2499999999999999E-2</v>
      </c>
      <c r="H3" s="33">
        <v>0.03</v>
      </c>
      <c r="I3" s="33">
        <v>3.2500000000000001E-2</v>
      </c>
      <c r="J3" s="33">
        <v>0.04</v>
      </c>
      <c r="K3" s="33">
        <v>4.2500000000000003E-2</v>
      </c>
    </row>
    <row r="4" spans="1:14">
      <c r="D4" s="38"/>
      <c r="E4" s="43">
        <v>0</v>
      </c>
      <c r="F4" s="108"/>
      <c r="G4" s="108"/>
      <c r="H4" s="108"/>
      <c r="I4" s="108"/>
      <c r="J4" s="108"/>
      <c r="K4" s="108"/>
    </row>
    <row r="5" spans="1:14">
      <c r="D5" s="39"/>
      <c r="E5" s="43">
        <v>2.5000000000000001E-3</v>
      </c>
      <c r="F5" s="108"/>
      <c r="G5" s="108"/>
      <c r="H5" s="108"/>
      <c r="I5" s="108"/>
      <c r="J5" s="108"/>
      <c r="K5" s="108"/>
    </row>
    <row r="6" spans="1:14">
      <c r="D6" s="39"/>
      <c r="E6" s="43">
        <v>5.0000000000000001E-3</v>
      </c>
      <c r="F6" s="108"/>
      <c r="G6" s="108"/>
      <c r="H6" s="108"/>
      <c r="I6" s="108"/>
      <c r="J6" s="108"/>
      <c r="K6" s="108"/>
    </row>
    <row r="7" spans="1:14">
      <c r="D7" s="39"/>
      <c r="E7" s="43">
        <v>7.4999999999999997E-3</v>
      </c>
      <c r="F7" s="108"/>
      <c r="G7" s="108"/>
      <c r="H7" s="108"/>
      <c r="I7" s="108"/>
      <c r="J7" s="108"/>
      <c r="K7" s="108"/>
      <c r="L7" s="44"/>
      <c r="M7" s="44"/>
    </row>
    <row r="8" spans="1:14">
      <c r="A8" t="s">
        <v>93</v>
      </c>
      <c r="D8" s="39"/>
      <c r="E8" s="43">
        <v>0.01</v>
      </c>
      <c r="F8" s="108"/>
      <c r="G8" s="108"/>
      <c r="H8" s="108"/>
      <c r="I8" s="108"/>
      <c r="J8" s="108"/>
      <c r="K8" s="108"/>
      <c r="M8" s="37"/>
    </row>
    <row r="9" spans="1:14">
      <c r="D9" s="39"/>
      <c r="E9" s="43">
        <f>0.01+0.0025</f>
        <v>1.2500000000000001E-2</v>
      </c>
      <c r="F9" s="108"/>
      <c r="G9" s="108"/>
      <c r="H9" s="108"/>
      <c r="I9" s="108"/>
      <c r="J9" s="108"/>
      <c r="K9" s="108"/>
    </row>
    <row r="10" spans="1:14">
      <c r="D10" s="39"/>
      <c r="E10" s="43">
        <f>0.01+0.005</f>
        <v>1.4999999999999999E-2</v>
      </c>
      <c r="F10" s="108"/>
      <c r="G10" s="108"/>
      <c r="H10" s="108"/>
      <c r="I10" s="108"/>
      <c r="J10" s="108"/>
      <c r="K10" s="108"/>
    </row>
    <row r="11" spans="1:14" ht="16" thickBot="1">
      <c r="D11" s="40"/>
      <c r="E11" s="43">
        <v>1.7500000000000002E-2</v>
      </c>
      <c r="F11" s="108"/>
      <c r="G11" s="108"/>
      <c r="H11" s="108"/>
      <c r="I11" s="108"/>
      <c r="J11" s="108"/>
      <c r="K11" s="108"/>
    </row>
    <row r="12" spans="1:14" ht="16" thickBot="1">
      <c r="E12" s="418" t="s">
        <v>414</v>
      </c>
      <c r="F12" s="419"/>
      <c r="G12" s="419"/>
      <c r="H12" s="419"/>
      <c r="I12" s="419"/>
      <c r="J12" s="419"/>
      <c r="K12" s="419"/>
      <c r="L12" s="419"/>
      <c r="M12" s="419"/>
      <c r="N12" s="420"/>
    </row>
    <row r="13" spans="1:14" ht="16" thickBot="1">
      <c r="E13" s="207" t="s">
        <v>415</v>
      </c>
      <c r="F13" s="208"/>
      <c r="G13" s="208"/>
      <c r="H13" s="208"/>
      <c r="I13" s="208"/>
      <c r="J13" s="208"/>
      <c r="K13" s="208"/>
      <c r="L13" s="208"/>
      <c r="M13" s="206"/>
      <c r="N13" s="206"/>
    </row>
    <row r="14" spans="1:14" ht="16" thickBot="1">
      <c r="E14" s="418" t="s">
        <v>416</v>
      </c>
      <c r="F14" s="419"/>
      <c r="G14" s="419"/>
      <c r="H14" s="419"/>
      <c r="I14" s="419"/>
      <c r="J14" s="419"/>
      <c r="K14" s="419"/>
      <c r="L14" s="419"/>
      <c r="M14" s="419"/>
      <c r="N14" s="420"/>
    </row>
    <row r="15" spans="1:14" ht="16" thickBot="1">
      <c r="E15" s="209"/>
      <c r="F15" s="210"/>
      <c r="G15" s="210"/>
      <c r="H15" s="210"/>
      <c r="I15" s="210"/>
      <c r="J15" s="210"/>
      <c r="K15" s="210"/>
      <c r="L15" s="210"/>
      <c r="M15" s="210"/>
      <c r="N15" s="211"/>
    </row>
  </sheetData>
  <mergeCells count="3">
    <mergeCell ref="F2:K2"/>
    <mergeCell ref="E14:N14"/>
    <mergeCell ref="E12:N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8</vt:i4>
      </vt:variant>
    </vt:vector>
  </HeadingPairs>
  <TitlesOfParts>
    <vt:vector size="30" baseType="lpstr">
      <vt:lpstr>Input_Sheet</vt:lpstr>
      <vt:lpstr>Historicals --&gt;</vt:lpstr>
      <vt:lpstr>Income Statement</vt:lpstr>
      <vt:lpstr>Balance Sheet</vt:lpstr>
      <vt:lpstr>Forecasts --&gt;</vt:lpstr>
      <vt:lpstr>IS Hist Forecast</vt:lpstr>
      <vt:lpstr>BAL Hist Forecast</vt:lpstr>
      <vt:lpstr>CF Statement Forecast</vt:lpstr>
      <vt:lpstr>Valuations --&gt;</vt:lpstr>
      <vt:lpstr>DCF Analysis</vt:lpstr>
      <vt:lpstr>Support --&gt;</vt:lpstr>
      <vt:lpstr>Supporting Schedules</vt:lpstr>
      <vt:lpstr>Comparable_Analysis_Football--&gt;</vt:lpstr>
      <vt:lpstr>Football Field</vt:lpstr>
      <vt:lpstr>Multiple Valuation</vt:lpstr>
      <vt:lpstr>WACC_Growth_Sensitivity--&gt;</vt:lpstr>
      <vt:lpstr>WACC and Growth</vt:lpstr>
      <vt:lpstr>MV Debt and Weighted YTM (Rd)</vt:lpstr>
      <vt:lpstr>Debt details</vt:lpstr>
      <vt:lpstr>Required return equity, (Re)</vt:lpstr>
      <vt:lpstr>Beta computation</vt:lpstr>
      <vt:lpstr>WACC_growth_HARDCODE</vt:lpstr>
      <vt:lpstr>DCF</vt:lpstr>
      <vt:lpstr>'Debt details'!Extract</vt:lpstr>
      <vt:lpstr>'BAL Hist Forecast'!Print_Area</vt:lpstr>
      <vt:lpstr>'CF Statement Forecast'!Print_Area</vt:lpstr>
      <vt:lpstr>'DCF Analysis'!Print_Area</vt:lpstr>
      <vt:lpstr>'IS Hist Forecast'!Print_Area</vt:lpstr>
      <vt:lpstr>'Multiple Valuation'!Print_Area</vt:lpstr>
      <vt:lpstr>'WACC and Growth'!Print_Area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Jacqueline Garner</dc:creator>
  <cp:keywords/>
  <dc:description/>
  <cp:lastModifiedBy>Margaret Catherman</cp:lastModifiedBy>
  <cp:revision/>
  <dcterms:created xsi:type="dcterms:W3CDTF">2017-10-01T14:33:04Z</dcterms:created>
  <dcterms:modified xsi:type="dcterms:W3CDTF">2024-03-16T16:00:00Z</dcterms:modified>
  <cp:category/>
  <cp:contentStatus/>
</cp:coreProperties>
</file>