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yb\Documents\Design\Imperial\ADSD\SVM\report\data\"/>
    </mc:Choice>
  </mc:AlternateContent>
  <bookViews>
    <workbookView xWindow="0" yWindow="0" windowWidth="15510" windowHeight="74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1" l="1"/>
  <c r="V16" i="1"/>
  <c r="V17" i="1"/>
  <c r="V18" i="1"/>
  <c r="V19" i="1"/>
  <c r="V20" i="1"/>
  <c r="V21" i="1"/>
  <c r="V22" i="1"/>
  <c r="V23" i="1"/>
  <c r="V24" i="1"/>
  <c r="V25" i="1"/>
  <c r="V26" i="1"/>
  <c r="V27" i="1"/>
  <c r="Y19" i="1"/>
  <c r="Z19" i="1"/>
  <c r="AA19" i="1"/>
  <c r="AB19" i="1"/>
  <c r="AC19" i="1"/>
  <c r="Y20" i="1"/>
  <c r="Z20" i="1"/>
  <c r="AA20" i="1"/>
  <c r="AB20" i="1"/>
  <c r="AC20" i="1"/>
  <c r="Y21" i="1"/>
  <c r="Z21" i="1"/>
  <c r="AA21" i="1"/>
  <c r="AB21" i="1"/>
  <c r="AC21" i="1"/>
  <c r="Y22" i="1"/>
  <c r="Z22" i="1"/>
  <c r="AA22" i="1"/>
  <c r="AB22" i="1"/>
  <c r="AC22" i="1"/>
  <c r="Y23" i="1"/>
  <c r="Z23" i="1"/>
  <c r="AA23" i="1"/>
  <c r="AB23" i="1"/>
  <c r="AC23" i="1"/>
  <c r="Y24" i="1"/>
  <c r="Z24" i="1"/>
  <c r="AA24" i="1"/>
  <c r="AB24" i="1"/>
  <c r="AC24" i="1"/>
  <c r="Y25" i="1"/>
  <c r="Z25" i="1"/>
  <c r="AA25" i="1"/>
  <c r="AB25" i="1"/>
  <c r="AC25" i="1"/>
  <c r="Y26" i="1"/>
  <c r="Z26" i="1"/>
  <c r="AA26" i="1"/>
  <c r="AB26" i="1"/>
  <c r="AC26" i="1"/>
  <c r="Y27" i="1"/>
  <c r="Z27" i="1"/>
  <c r="AA27" i="1"/>
  <c r="AB27" i="1"/>
  <c r="AC27" i="1"/>
  <c r="T19" i="1"/>
  <c r="T20" i="1"/>
  <c r="T21" i="1"/>
  <c r="T22" i="1"/>
  <c r="T23" i="1"/>
  <c r="T24" i="1"/>
  <c r="T25" i="1"/>
  <c r="T26" i="1"/>
  <c r="T27" i="1"/>
  <c r="T18" i="1"/>
  <c r="AC18" i="1"/>
  <c r="Z18" i="1"/>
  <c r="Y18" i="1"/>
  <c r="AA18" i="1"/>
  <c r="AB18" i="1"/>
  <c r="T17" i="1"/>
  <c r="R27" i="1"/>
  <c r="R18" i="1"/>
  <c r="R19" i="1"/>
  <c r="R20" i="1"/>
  <c r="R21" i="1"/>
  <c r="R22" i="1"/>
  <c r="R23" i="1"/>
  <c r="R24" i="1"/>
  <c r="R25" i="1"/>
  <c r="R26" i="1"/>
  <c r="R17" i="1"/>
  <c r="R16" i="1"/>
  <c r="R15" i="1"/>
  <c r="M17" i="1"/>
  <c r="L17" i="1"/>
  <c r="G15" i="1" l="1"/>
  <c r="G14" i="1"/>
  <c r="X2" i="1"/>
  <c r="X11" i="1"/>
  <c r="X12" i="1"/>
  <c r="K2" i="1"/>
  <c r="L2" i="1" s="1"/>
  <c r="M2" i="1" s="1"/>
  <c r="K11" i="1"/>
  <c r="K12" i="1"/>
  <c r="AB2" i="1"/>
  <c r="AH2" i="1" s="1"/>
  <c r="AB11" i="1"/>
  <c r="AH11" i="1" s="1"/>
  <c r="AI11" i="1" s="1"/>
  <c r="AB12" i="1"/>
  <c r="AH12" i="1" s="1"/>
  <c r="O2" i="1"/>
  <c r="O11" i="1"/>
  <c r="U11" i="1" s="1"/>
  <c r="O12" i="1"/>
  <c r="U12" i="1" s="1"/>
  <c r="V12" i="1" s="1"/>
  <c r="AA15" i="1"/>
  <c r="N15" i="1"/>
  <c r="N14" i="1"/>
  <c r="N16" i="1" s="1"/>
  <c r="AJ2" i="1"/>
  <c r="AK2" i="1"/>
  <c r="AL2" i="1"/>
  <c r="AM2" i="1"/>
  <c r="AJ12" i="1"/>
  <c r="AK12" i="1"/>
  <c r="AL12" i="1"/>
  <c r="AM12" i="1"/>
  <c r="AJ11" i="1"/>
  <c r="AK11" i="1"/>
  <c r="AL11" i="1"/>
  <c r="AM11" i="1"/>
  <c r="AJ10" i="1"/>
  <c r="AK10" i="1"/>
  <c r="AL10" i="1"/>
  <c r="AM10" i="1"/>
  <c r="AJ9" i="1"/>
  <c r="AK9" i="1"/>
  <c r="AL9" i="1"/>
  <c r="AM9" i="1"/>
  <c r="AJ8" i="1"/>
  <c r="AK8" i="1"/>
  <c r="AL8" i="1"/>
  <c r="AM8" i="1"/>
  <c r="AJ7" i="1"/>
  <c r="AK7" i="1"/>
  <c r="AL7" i="1"/>
  <c r="AM7" i="1"/>
  <c r="AJ6" i="1"/>
  <c r="AK6" i="1"/>
  <c r="AL6" i="1"/>
  <c r="AM6" i="1"/>
  <c r="AM3" i="1"/>
  <c r="AM4" i="1"/>
  <c r="AM5" i="1"/>
  <c r="AJ5" i="1"/>
  <c r="AK5" i="1"/>
  <c r="AL5" i="1"/>
  <c r="AJ4" i="1"/>
  <c r="AK4" i="1"/>
  <c r="AL4" i="1"/>
  <c r="AL3" i="1"/>
  <c r="AK3" i="1"/>
  <c r="AJ3" i="1"/>
  <c r="AG4" i="1" l="1"/>
  <c r="M18" i="1"/>
  <c r="T16" i="1" s="1"/>
  <c r="L18" i="1"/>
  <c r="T15" i="1" s="1"/>
  <c r="K3" i="1"/>
  <c r="L3" i="1" s="1"/>
  <c r="M3" i="1" s="1"/>
  <c r="K7" i="1"/>
  <c r="L7" i="1" s="1"/>
  <c r="M7" i="1" s="1"/>
  <c r="O5" i="1"/>
  <c r="P5" i="1" s="1"/>
  <c r="O9" i="1"/>
  <c r="P9" i="1" s="1"/>
  <c r="K10" i="1"/>
  <c r="L10" i="1" s="1"/>
  <c r="M10" i="1" s="1"/>
  <c r="K4" i="1"/>
  <c r="L4" i="1" s="1"/>
  <c r="M4" i="1" s="1"/>
  <c r="K8" i="1"/>
  <c r="L8" i="1" s="1"/>
  <c r="M8" i="1" s="1"/>
  <c r="O6" i="1"/>
  <c r="P6" i="1" s="1"/>
  <c r="O10" i="1"/>
  <c r="P10" i="1" s="1"/>
  <c r="O4" i="1"/>
  <c r="U4" i="1" s="1"/>
  <c r="V4" i="1" s="1"/>
  <c r="O8" i="1"/>
  <c r="U8" i="1" s="1"/>
  <c r="V8" i="1" s="1"/>
  <c r="K5" i="1"/>
  <c r="L5" i="1" s="1"/>
  <c r="M5" i="1" s="1"/>
  <c r="K9" i="1"/>
  <c r="L9" i="1" s="1"/>
  <c r="M9" i="1" s="1"/>
  <c r="O3" i="1"/>
  <c r="U3" i="1" s="1"/>
  <c r="V3" i="1" s="1"/>
  <c r="O7" i="1"/>
  <c r="U7" i="1" s="1"/>
  <c r="V7" i="1" s="1"/>
  <c r="K6" i="1"/>
  <c r="L6" i="1" s="1"/>
  <c r="M6" i="1" s="1"/>
  <c r="R10" i="1"/>
  <c r="R2" i="1"/>
  <c r="AE12" i="1"/>
  <c r="AE4" i="1"/>
  <c r="AG3" i="1"/>
  <c r="V11" i="1"/>
  <c r="AI2" i="1"/>
  <c r="Y12" i="1"/>
  <c r="Z12" i="1" s="1"/>
  <c r="R9" i="1"/>
  <c r="R5" i="1"/>
  <c r="T12" i="1"/>
  <c r="T8" i="1"/>
  <c r="T4" i="1"/>
  <c r="AE11" i="1"/>
  <c r="AE7" i="1"/>
  <c r="AE3" i="1"/>
  <c r="AG10" i="1"/>
  <c r="AG6" i="1"/>
  <c r="AG2" i="1"/>
  <c r="R6" i="1"/>
  <c r="T9" i="1"/>
  <c r="T5" i="1"/>
  <c r="AE8" i="1"/>
  <c r="AG11" i="1"/>
  <c r="AG7" i="1"/>
  <c r="AA16" i="1"/>
  <c r="P2" i="1"/>
  <c r="L12" i="1"/>
  <c r="M12" i="1" s="1"/>
  <c r="Y11" i="1"/>
  <c r="Z11" i="1" s="1"/>
  <c r="R12" i="1"/>
  <c r="R8" i="1"/>
  <c r="R4" i="1"/>
  <c r="T11" i="1"/>
  <c r="T7" i="1"/>
  <c r="T3" i="1"/>
  <c r="AE10" i="1"/>
  <c r="AE6" i="1"/>
  <c r="AE2" i="1"/>
  <c r="AG9" i="1"/>
  <c r="AG5" i="1"/>
  <c r="AI12" i="1"/>
  <c r="L11" i="1"/>
  <c r="M11" i="1" s="1"/>
  <c r="Y2" i="1"/>
  <c r="Z2" i="1" s="1"/>
  <c r="R11" i="1"/>
  <c r="R7" i="1"/>
  <c r="R3" i="1"/>
  <c r="T10" i="1"/>
  <c r="T6" i="1"/>
  <c r="T2" i="1"/>
  <c r="AE9" i="1"/>
  <c r="AE5" i="1"/>
  <c r="AG12" i="1"/>
  <c r="AG8" i="1"/>
  <c r="AC12" i="1"/>
  <c r="AC11" i="1"/>
  <c r="AC2" i="1"/>
  <c r="U10" i="1"/>
  <c r="V10" i="1" s="1"/>
  <c r="U2" i="1"/>
  <c r="V2" i="1" s="1"/>
  <c r="P7" i="1"/>
  <c r="P4" i="1"/>
  <c r="P12" i="1"/>
  <c r="P11" i="1"/>
  <c r="P3" i="1"/>
  <c r="U5" i="1" l="1"/>
  <c r="V5" i="1" s="1"/>
  <c r="P8" i="1"/>
  <c r="U9" i="1"/>
  <c r="V9" i="1" s="1"/>
  <c r="U6" i="1"/>
  <c r="V6" i="1" s="1"/>
  <c r="X6" i="1"/>
  <c r="Y6" i="1" s="1"/>
  <c r="Z6" i="1" s="1"/>
  <c r="X10" i="1"/>
  <c r="Y10" i="1" s="1"/>
  <c r="Z10" i="1" s="1"/>
  <c r="AB4" i="1"/>
  <c r="AB8" i="1"/>
  <c r="X5" i="1"/>
  <c r="Y5" i="1" s="1"/>
  <c r="Z5" i="1" s="1"/>
  <c r="X3" i="1"/>
  <c r="Y3" i="1" s="1"/>
  <c r="Z3" i="1" s="1"/>
  <c r="X7" i="1"/>
  <c r="Y7" i="1" s="1"/>
  <c r="Z7" i="1" s="1"/>
  <c r="AB5" i="1"/>
  <c r="AB9" i="1"/>
  <c r="AB3" i="1"/>
  <c r="X4" i="1"/>
  <c r="Y4" i="1" s="1"/>
  <c r="Z4" i="1" s="1"/>
  <c r="X8" i="1"/>
  <c r="Y8" i="1" s="1"/>
  <c r="Z8" i="1" s="1"/>
  <c r="AB6" i="1"/>
  <c r="AB10" i="1"/>
  <c r="X9" i="1"/>
  <c r="Y9" i="1" s="1"/>
  <c r="Z9" i="1" s="1"/>
  <c r="AB7" i="1"/>
  <c r="AH10" i="1" l="1"/>
  <c r="AI10" i="1" s="1"/>
  <c r="AC10" i="1"/>
  <c r="AH4" i="1"/>
  <c r="AI4" i="1" s="1"/>
  <c r="AC4" i="1"/>
  <c r="AH3" i="1"/>
  <c r="AI3" i="1" s="1"/>
  <c r="AC3" i="1"/>
  <c r="AH6" i="1"/>
  <c r="AI6" i="1" s="1"/>
  <c r="AC6" i="1"/>
  <c r="AH9" i="1"/>
  <c r="AI9" i="1" s="1"/>
  <c r="AC9" i="1"/>
  <c r="AH7" i="1"/>
  <c r="AI7" i="1" s="1"/>
  <c r="AC7" i="1"/>
  <c r="AH5" i="1"/>
  <c r="AI5" i="1" s="1"/>
  <c r="AC5" i="1"/>
  <c r="AH8" i="1"/>
  <c r="AI8" i="1" s="1"/>
  <c r="AC8" i="1"/>
</calcChain>
</file>

<file path=xl/sharedStrings.xml><?xml version="1.0" encoding="utf-8"?>
<sst xmlns="http://schemas.openxmlformats.org/spreadsheetml/2006/main" count="58" uniqueCount="58">
  <si>
    <t>Unroll</t>
  </si>
  <si>
    <t>Timing</t>
  </si>
  <si>
    <t>Latency</t>
  </si>
  <si>
    <t>Interval</t>
  </si>
  <si>
    <t>Iteration</t>
  </si>
  <si>
    <t>BRAM</t>
  </si>
  <si>
    <t>DSP</t>
  </si>
  <si>
    <t>FF</t>
  </si>
  <si>
    <t>LUT</t>
  </si>
  <si>
    <t>BRAM %</t>
  </si>
  <si>
    <t>DSP %</t>
  </si>
  <si>
    <t>FF %</t>
  </si>
  <si>
    <t>LUT %</t>
  </si>
  <si>
    <t>polling</t>
  </si>
  <si>
    <t>interrupt</t>
  </si>
  <si>
    <t>pData</t>
  </si>
  <si>
    <t>pStart</t>
  </si>
  <si>
    <t>pResult</t>
  </si>
  <si>
    <t>iData</t>
  </si>
  <si>
    <t>iStart</t>
  </si>
  <si>
    <t>iResult</t>
  </si>
  <si>
    <t>unopt</t>
  </si>
  <si>
    <t>pDataC</t>
  </si>
  <si>
    <t>iDataC</t>
  </si>
  <si>
    <t>pollingC</t>
  </si>
  <si>
    <t>interruptC</t>
  </si>
  <si>
    <t>pTotalC</t>
  </si>
  <si>
    <t>iTotalC</t>
  </si>
  <si>
    <t>old</t>
  </si>
  <si>
    <t>new</t>
  </si>
  <si>
    <t>diff</t>
  </si>
  <si>
    <t>fcpu</t>
  </si>
  <si>
    <t>fclk</t>
  </si>
  <si>
    <t>pollingCF</t>
  </si>
  <si>
    <t>pDataCF</t>
  </si>
  <si>
    <t>pStartF</t>
  </si>
  <si>
    <t>pResultF</t>
  </si>
  <si>
    <t>pTotalCF</t>
  </si>
  <si>
    <t>interruptCF</t>
  </si>
  <si>
    <t>iDataCF</t>
  </si>
  <si>
    <t>iStartF</t>
  </si>
  <si>
    <t>iResultF</t>
  </si>
  <si>
    <t>iTotalCF</t>
  </si>
  <si>
    <t>Column1</t>
  </si>
  <si>
    <t>pollingT</t>
  </si>
  <si>
    <t>interruptT</t>
  </si>
  <si>
    <t>double</t>
  </si>
  <si>
    <t>fixed</t>
  </si>
  <si>
    <t>Column2</t>
  </si>
  <si>
    <t>Column4</t>
  </si>
  <si>
    <t>Type</t>
  </si>
  <si>
    <t>end</t>
  </si>
  <si>
    <t>Time</t>
  </si>
  <si>
    <t>Throughput</t>
  </si>
  <si>
    <t>tData</t>
  </si>
  <si>
    <t>tStart</t>
  </si>
  <si>
    <t>tResult</t>
  </si>
  <si>
    <t>1126587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</si>
</sst>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2"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00E+00"/>
    </dxf>
    <dxf>
      <numFmt numFmtId="1" formatCode="0"/>
    </dxf>
    <dxf>
      <numFmt numFmtId="1" formatCode="0"/>
    </dxf>
    <dxf>
      <numFmt numFmtId="1" formatCode="0"/>
    </dxf>
    <dxf>
      <numFmt numFmtId="166" formatCode="0.000E+00"/>
    </dxf>
    <dxf>
      <numFmt numFmtId="1" formatCode="0"/>
    </dxf>
    <dxf>
      <numFmt numFmtId="1" formatCode="0"/>
    </dxf>
    <dxf>
      <numFmt numFmtId="166" formatCode="0.000E+00"/>
    </dxf>
    <dxf>
      <numFmt numFmtId="166" formatCode="0.000E+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pollingCF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Sheet1!$L$2:$L$12</c:f>
              <c:numCache>
                <c:formatCode>0</c:formatCode>
                <c:ptCount val="11"/>
                <c:pt idx="0">
                  <c:v>136270931.55000001</c:v>
                </c:pt>
                <c:pt idx="1">
                  <c:v>1342794.9500000002</c:v>
                </c:pt>
                <c:pt idx="2">
                  <c:v>818233.7</c:v>
                </c:pt>
                <c:pt idx="3">
                  <c:v>631620.80000000005</c:v>
                </c:pt>
                <c:pt idx="4">
                  <c:v>546913.1</c:v>
                </c:pt>
                <c:pt idx="5">
                  <c:v>495704.89999999997</c:v>
                </c:pt>
                <c:pt idx="6">
                  <c:v>461659.25</c:v>
                </c:pt>
                <c:pt idx="7">
                  <c:v>444319.25</c:v>
                </c:pt>
                <c:pt idx="8">
                  <c:v>427586.89999999997</c:v>
                </c:pt>
                <c:pt idx="9">
                  <c:v>404942.4</c:v>
                </c:pt>
                <c:pt idx="10">
                  <c:v>397657.50000000006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2-44BF-A4ED-2FFE4B5E97C0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interruptCF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Sheet1!$Y$2:$Y$12</c:f>
              <c:numCache>
                <c:formatCode>0</c:formatCode>
                <c:ptCount val="11"/>
                <c:pt idx="0">
                  <c:v>136302019.80000001</c:v>
                </c:pt>
                <c:pt idx="1">
                  <c:v>1367113.75</c:v>
                </c:pt>
                <c:pt idx="2">
                  <c:v>841941.40000000014</c:v>
                </c:pt>
                <c:pt idx="3">
                  <c:v>666875.65000000014</c:v>
                </c:pt>
                <c:pt idx="4">
                  <c:v>580938.85000000009</c:v>
                </c:pt>
                <c:pt idx="5">
                  <c:v>527703.55000000005</c:v>
                </c:pt>
                <c:pt idx="6">
                  <c:v>493147.00000000012</c:v>
                </c:pt>
                <c:pt idx="7">
                  <c:v>468309.4</c:v>
                </c:pt>
                <c:pt idx="8">
                  <c:v>450912.85000000009</c:v>
                </c:pt>
                <c:pt idx="9">
                  <c:v>436073.55</c:v>
                </c:pt>
                <c:pt idx="10">
                  <c:v>424043.10000000003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2-44BF-A4ED-2FFE4B5E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416799"/>
        <c:axId val="1046530959"/>
      </c:lineChart>
      <c:lineChart>
        <c:grouping val="standard"/>
        <c:varyColors val="0"/>
        <c:ser>
          <c:idx val="2"/>
          <c:order val="2"/>
          <c:tx>
            <c:strRef>
              <c:f>Sheet1!$AJ$1</c:f>
              <c:strCache>
                <c:ptCount val="1"/>
                <c:pt idx="0">
                  <c:v>BRAM %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Sheet1!$AJ$2:$AJ$12</c:f>
              <c:numCache>
                <c:formatCode>0.00%</c:formatCode>
                <c:ptCount val="11"/>
                <c:pt idx="0">
                  <c:v>0.12857142857142856</c:v>
                </c:pt>
                <c:pt idx="1">
                  <c:v>0.11071428571428571</c:v>
                </c:pt>
                <c:pt idx="2">
                  <c:v>0.11428571428571428</c:v>
                </c:pt>
                <c:pt idx="3">
                  <c:v>9.6428571428571433E-2</c:v>
                </c:pt>
                <c:pt idx="4">
                  <c:v>0.12857142857142856</c:v>
                </c:pt>
                <c:pt idx="5">
                  <c:v>0.16071428571428573</c:v>
                </c:pt>
                <c:pt idx="6">
                  <c:v>0.19285714285714287</c:v>
                </c:pt>
                <c:pt idx="7">
                  <c:v>0.22500000000000001</c:v>
                </c:pt>
                <c:pt idx="8">
                  <c:v>0.25714285714285712</c:v>
                </c:pt>
                <c:pt idx="9">
                  <c:v>0.28928571428571431</c:v>
                </c:pt>
                <c:pt idx="10">
                  <c:v>0.32142857142857145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2-44BF-A4ED-2FFE4B5E97C0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DSP %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Sheet1!$AK$2:$AK$12</c:f>
              <c:numCache>
                <c:formatCode>0.00%</c:formatCode>
                <c:ptCount val="11"/>
                <c:pt idx="0">
                  <c:v>2.7272727272727271E-2</c:v>
                </c:pt>
                <c:pt idx="1">
                  <c:v>9.5454545454545459E-2</c:v>
                </c:pt>
                <c:pt idx="2">
                  <c:v>0.19090909090909092</c:v>
                </c:pt>
                <c:pt idx="3">
                  <c:v>0.28636363636363638</c:v>
                </c:pt>
                <c:pt idx="4">
                  <c:v>0.38181818181818183</c:v>
                </c:pt>
                <c:pt idx="5">
                  <c:v>0.47727272727272729</c:v>
                </c:pt>
                <c:pt idx="6">
                  <c:v>0.57272727272727275</c:v>
                </c:pt>
                <c:pt idx="7">
                  <c:v>0.66818181818181821</c:v>
                </c:pt>
                <c:pt idx="8">
                  <c:v>0.76363636363636367</c:v>
                </c:pt>
                <c:pt idx="9">
                  <c:v>0.85909090909090913</c:v>
                </c:pt>
                <c:pt idx="10">
                  <c:v>0.95454545454545459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2-44BF-A4ED-2FFE4B5E97C0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FF %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Sheet1!$AL$2:$AL$12</c:f>
              <c:numCache>
                <c:formatCode>0.00%</c:formatCode>
                <c:ptCount val="11"/>
                <c:pt idx="0">
                  <c:v>1.349624060150376E-2</c:v>
                </c:pt>
                <c:pt idx="1">
                  <c:v>3.5178571428571427E-2</c:v>
                </c:pt>
                <c:pt idx="2">
                  <c:v>6.4238721804511276E-2</c:v>
                </c:pt>
                <c:pt idx="3">
                  <c:v>9.3383458646616541E-2</c:v>
                </c:pt>
                <c:pt idx="4">
                  <c:v>0.12574248120300752</c:v>
                </c:pt>
                <c:pt idx="5">
                  <c:v>0.15158834586466166</c:v>
                </c:pt>
                <c:pt idx="6">
                  <c:v>0.1806484962406015</c:v>
                </c:pt>
                <c:pt idx="7">
                  <c:v>0.20970864661654134</c:v>
                </c:pt>
                <c:pt idx="8">
                  <c:v>0.24149436090225565</c:v>
                </c:pt>
                <c:pt idx="9">
                  <c:v>0.27133458646616543</c:v>
                </c:pt>
                <c:pt idx="10">
                  <c:v>0.29704887218045112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2-44BF-A4ED-2FFE4B5E97C0}"/>
            </c:ext>
          </c:extLst>
        </c:ser>
        <c:ser>
          <c:idx val="5"/>
          <c:order val="5"/>
          <c:tx>
            <c:strRef>
              <c:f>Sheet1!$AM$1</c:f>
              <c:strCache>
                <c:ptCount val="1"/>
                <c:pt idx="0">
                  <c:v>LUT %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Sheet1!$AM$2:$AM$12</c:f>
              <c:numCache>
                <c:formatCode>0.00%</c:formatCode>
                <c:ptCount val="11"/>
                <c:pt idx="0">
                  <c:v>7.6804511278195486E-2</c:v>
                </c:pt>
                <c:pt idx="1">
                  <c:v>0.06</c:v>
                </c:pt>
                <c:pt idx="2">
                  <c:v>0.10783834586466165</c:v>
                </c:pt>
                <c:pt idx="3">
                  <c:v>0.15672932330827069</c:v>
                </c:pt>
                <c:pt idx="4">
                  <c:v>0.20332706766917294</c:v>
                </c:pt>
                <c:pt idx="5">
                  <c:v>0.25022556390977446</c:v>
                </c:pt>
                <c:pt idx="6">
                  <c:v>0.29738721804511276</c:v>
                </c:pt>
                <c:pt idx="7">
                  <c:v>0.34496240601503758</c:v>
                </c:pt>
                <c:pt idx="8">
                  <c:v>0.39317669172932329</c:v>
                </c:pt>
                <c:pt idx="9">
                  <c:v>0.43964285714285717</c:v>
                </c:pt>
                <c:pt idx="10">
                  <c:v>0.48719924812030074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62-44BF-A4ED-2FFE4B5E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461855"/>
        <c:axId val="940693023"/>
      </c:lineChart>
      <c:catAx>
        <c:axId val="94241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unroll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6530959"/>
        <c:crosses val="autoZero"/>
        <c:auto val="1"/>
        <c:lblAlgn val="ctr"/>
        <c:lblOffset val="100"/>
        <c:noMultiLvlLbl val="0"/>
      </c:catAx>
      <c:valAx>
        <c:axId val="1046530959"/>
        <c:scaling>
          <c:orientation val="minMax"/>
          <c:max val="1500000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Clock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2416799"/>
        <c:crosses val="autoZero"/>
        <c:crossBetween val="between"/>
      </c:valAx>
      <c:valAx>
        <c:axId val="940693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Resource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0461855"/>
        <c:crosses val="max"/>
        <c:crossBetween val="between"/>
      </c:valAx>
      <c:catAx>
        <c:axId val="1050461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693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Sheet1!$C$1</c:f>
              <c:strCache>
                <c:ptCount val="1"/>
                <c:pt idx="0">
                  <c:v>Latency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164877</c:v>
                </c:pt>
                <c:pt idx="1">
                  <c:v>1094</c:v>
                </c:pt>
                <c:pt idx="2">
                  <c:v>569</c:v>
                </c:pt>
                <c:pt idx="3">
                  <c:v>394</c:v>
                </c:pt>
                <c:pt idx="4">
                  <c:v>308</c:v>
                </c:pt>
                <c:pt idx="5">
                  <c:v>255</c:v>
                </c:pt>
                <c:pt idx="6">
                  <c:v>220</c:v>
                </c:pt>
                <c:pt idx="7">
                  <c:v>195</c:v>
                </c:pt>
                <c:pt idx="8">
                  <c:v>178</c:v>
                </c:pt>
                <c:pt idx="9">
                  <c:v>162</c:v>
                </c:pt>
                <c:pt idx="1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D5-4F89-BB41-64130AA7DF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2416799"/>
        <c:axId val="1046530959"/>
      </c:lineChart>
      <c:lineChart>
        <c:grouping val="standard"/>
        <c:varyColors val="0"/>
        <c:ser>
          <c:idx val="2"/>
          <c:order val="1"/>
          <c:tx>
            <c:strRef>
              <c:f>Sheet1!$AJ$1</c:f>
              <c:strCache>
                <c:ptCount val="1"/>
                <c:pt idx="0">
                  <c:v>BRAM %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Sheet1!$AJ$2:$AJ$12</c:f>
              <c:numCache>
                <c:formatCode>0.00%</c:formatCode>
                <c:ptCount val="11"/>
                <c:pt idx="0">
                  <c:v>0.12857142857142856</c:v>
                </c:pt>
                <c:pt idx="1">
                  <c:v>0.11071428571428571</c:v>
                </c:pt>
                <c:pt idx="2">
                  <c:v>0.11428571428571428</c:v>
                </c:pt>
                <c:pt idx="3">
                  <c:v>9.6428571428571433E-2</c:v>
                </c:pt>
                <c:pt idx="4">
                  <c:v>0.12857142857142856</c:v>
                </c:pt>
                <c:pt idx="5">
                  <c:v>0.16071428571428573</c:v>
                </c:pt>
                <c:pt idx="6">
                  <c:v>0.19285714285714287</c:v>
                </c:pt>
                <c:pt idx="7">
                  <c:v>0.22500000000000001</c:v>
                </c:pt>
                <c:pt idx="8">
                  <c:v>0.25714285714285712</c:v>
                </c:pt>
                <c:pt idx="9">
                  <c:v>0.28928571428571431</c:v>
                </c:pt>
                <c:pt idx="10">
                  <c:v>0.32142857142857145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5-4F89-BB41-64130AA7DF6D}"/>
            </c:ext>
          </c:extLst>
        </c:ser>
        <c:ser>
          <c:idx val="3"/>
          <c:order val="2"/>
          <c:tx>
            <c:strRef>
              <c:f>Sheet1!$AK$1</c:f>
              <c:strCache>
                <c:ptCount val="1"/>
                <c:pt idx="0">
                  <c:v>DSP %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Sheet1!$AK$2:$AK$12</c:f>
              <c:numCache>
                <c:formatCode>0.00%</c:formatCode>
                <c:ptCount val="11"/>
                <c:pt idx="0">
                  <c:v>2.7272727272727271E-2</c:v>
                </c:pt>
                <c:pt idx="1">
                  <c:v>9.5454545454545459E-2</c:v>
                </c:pt>
                <c:pt idx="2">
                  <c:v>0.19090909090909092</c:v>
                </c:pt>
                <c:pt idx="3">
                  <c:v>0.28636363636363638</c:v>
                </c:pt>
                <c:pt idx="4">
                  <c:v>0.38181818181818183</c:v>
                </c:pt>
                <c:pt idx="5">
                  <c:v>0.47727272727272729</c:v>
                </c:pt>
                <c:pt idx="6">
                  <c:v>0.57272727272727275</c:v>
                </c:pt>
                <c:pt idx="7">
                  <c:v>0.66818181818181821</c:v>
                </c:pt>
                <c:pt idx="8">
                  <c:v>0.76363636363636367</c:v>
                </c:pt>
                <c:pt idx="9">
                  <c:v>0.85909090909090913</c:v>
                </c:pt>
                <c:pt idx="10">
                  <c:v>0.95454545454545459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D5-4F89-BB41-64130AA7DF6D}"/>
            </c:ext>
          </c:extLst>
        </c:ser>
        <c:ser>
          <c:idx val="4"/>
          <c:order val="3"/>
          <c:tx>
            <c:strRef>
              <c:f>Sheet1!$AL$1</c:f>
              <c:strCache>
                <c:ptCount val="1"/>
                <c:pt idx="0">
                  <c:v>FF %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Sheet1!$AL$2:$AL$12</c:f>
              <c:numCache>
                <c:formatCode>0.00%</c:formatCode>
                <c:ptCount val="11"/>
                <c:pt idx="0">
                  <c:v>1.349624060150376E-2</c:v>
                </c:pt>
                <c:pt idx="1">
                  <c:v>3.5178571428571427E-2</c:v>
                </c:pt>
                <c:pt idx="2">
                  <c:v>6.4238721804511276E-2</c:v>
                </c:pt>
                <c:pt idx="3">
                  <c:v>9.3383458646616541E-2</c:v>
                </c:pt>
                <c:pt idx="4">
                  <c:v>0.12574248120300752</c:v>
                </c:pt>
                <c:pt idx="5">
                  <c:v>0.15158834586466166</c:v>
                </c:pt>
                <c:pt idx="6">
                  <c:v>0.1806484962406015</c:v>
                </c:pt>
                <c:pt idx="7">
                  <c:v>0.20970864661654134</c:v>
                </c:pt>
                <c:pt idx="8">
                  <c:v>0.24149436090225565</c:v>
                </c:pt>
                <c:pt idx="9">
                  <c:v>0.27133458646616543</c:v>
                </c:pt>
                <c:pt idx="10">
                  <c:v>0.29704887218045112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D5-4F89-BB41-64130AA7DF6D}"/>
            </c:ext>
          </c:extLst>
        </c:ser>
        <c:ser>
          <c:idx val="5"/>
          <c:order val="4"/>
          <c:tx>
            <c:strRef>
              <c:f>Sheet1!$AM$1</c:f>
              <c:strCache>
                <c:ptCount val="1"/>
                <c:pt idx="0">
                  <c:v>LUT %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Sheet1!$AM$2:$AM$12</c:f>
              <c:numCache>
                <c:formatCode>0.00%</c:formatCode>
                <c:ptCount val="11"/>
                <c:pt idx="0">
                  <c:v>7.6804511278195486E-2</c:v>
                </c:pt>
                <c:pt idx="1">
                  <c:v>0.06</c:v>
                </c:pt>
                <c:pt idx="2">
                  <c:v>0.10783834586466165</c:v>
                </c:pt>
                <c:pt idx="3">
                  <c:v>0.15672932330827069</c:v>
                </c:pt>
                <c:pt idx="4">
                  <c:v>0.20332706766917294</c:v>
                </c:pt>
                <c:pt idx="5">
                  <c:v>0.25022556390977446</c:v>
                </c:pt>
                <c:pt idx="6">
                  <c:v>0.29738721804511276</c:v>
                </c:pt>
                <c:pt idx="7">
                  <c:v>0.34496240601503758</c:v>
                </c:pt>
                <c:pt idx="8">
                  <c:v>0.39317669172932329</c:v>
                </c:pt>
                <c:pt idx="9">
                  <c:v>0.43964285714285717</c:v>
                </c:pt>
                <c:pt idx="10">
                  <c:v>0.48719924812030074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D5-4F89-BB41-64130AA7DF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0486111"/>
        <c:axId val="1048411839"/>
      </c:lineChart>
      <c:catAx>
        <c:axId val="94241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unroll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6530959"/>
        <c:crosses val="autoZero"/>
        <c:auto val="1"/>
        <c:lblAlgn val="ctr"/>
        <c:lblOffset val="100"/>
        <c:noMultiLvlLbl val="0"/>
      </c:catAx>
      <c:valAx>
        <c:axId val="1046530959"/>
        <c:scaling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Latency (cycles)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2416799"/>
        <c:crosses val="autoZero"/>
        <c:crossBetween val="between"/>
      </c:valAx>
      <c:valAx>
        <c:axId val="1048411839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Resource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0486111"/>
        <c:crosses val="max"/>
        <c:crossBetween val="between"/>
        <c:majorUnit val="0.1"/>
      </c:valAx>
      <c:catAx>
        <c:axId val="1050486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8411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5985336217466717E-2"/>
          <c:y val="3.6133694670280035E-3"/>
          <c:w val="0.84188103153342153"/>
          <c:h val="7.6936090819972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Sheet1!$R$15:$R$27</c:f>
              <c:strCache>
                <c:ptCount val="13"/>
                <c:pt idx="0">
                  <c:v>double</c:v>
                </c:pt>
                <c:pt idx="1">
                  <c:v>fixed</c:v>
                </c:pt>
                <c:pt idx="2">
                  <c:v>unopt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strCache>
            </c:strRef>
          </c:cat>
          <c:val>
            <c:numRef>
              <c:f>Sheet1!$S$15:$S$27</c:f>
            </c:numRef>
          </c:val>
          <c:smooth val="0"/>
          <c:extLst>
            <c:ext xmlns:c16="http://schemas.microsoft.com/office/drawing/2014/chart" uri="{C3380CC4-5D6E-409C-BE32-E72D297353CC}">
              <c16:uniqueId val="{00000000-9A20-4CA5-BE1B-0DB52D9A21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Sheet1!$R$15:$R$27</c:f>
              <c:strCache>
                <c:ptCount val="13"/>
                <c:pt idx="0">
                  <c:v>double</c:v>
                </c:pt>
                <c:pt idx="1">
                  <c:v>fixed</c:v>
                </c:pt>
                <c:pt idx="2">
                  <c:v>unopt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strCache>
            </c:strRef>
          </c:cat>
          <c:val>
            <c:numRef>
              <c:f>Sheet1!$T$15:$T$27</c:f>
              <c:numCache>
                <c:formatCode>0.000E+00</c:formatCode>
                <c:ptCount val="13"/>
                <c:pt idx="0">
                  <c:v>0.6762387445000001</c:v>
                </c:pt>
                <c:pt idx="1">
                  <c:v>0.30107733000000003</c:v>
                </c:pt>
                <c:pt idx="2">
                  <c:v>1.3624277415000001</c:v>
                </c:pt>
                <c:pt idx="3">
                  <c:v>13.142808500000001</c:v>
                </c:pt>
                <c:pt idx="4">
                  <c:v>7.8995390000000008</c:v>
                </c:pt>
                <c:pt idx="5">
                  <c:v>6.0317180000000006</c:v>
                </c:pt>
                <c:pt idx="6">
                  <c:v>5.1845224999999999</c:v>
                </c:pt>
                <c:pt idx="7">
                  <c:v>4.6715554999999993</c:v>
                </c:pt>
                <c:pt idx="8">
                  <c:v>4.3301284999999998</c:v>
                </c:pt>
                <c:pt idx="9">
                  <c:v>4.1598469999999992</c:v>
                </c:pt>
                <c:pt idx="10">
                  <c:v>3.9916774999999998</c:v>
                </c:pt>
                <c:pt idx="11">
                  <c:v>3.7683300000000002</c:v>
                </c:pt>
                <c:pt idx="12">
                  <c:v>3.6956040000000003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0-4CA5-BE1B-0DB52D9A2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443024"/>
        <c:axId val="579473968"/>
      </c:lineChart>
      <c:catAx>
        <c:axId val="5784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73968"/>
        <c:crosses val="autoZero"/>
        <c:auto val="1"/>
        <c:lblAlgn val="ctr"/>
        <c:lblOffset val="100"/>
        <c:noMultiLvlLbl val="0"/>
      </c:catAx>
      <c:valAx>
        <c:axId val="579473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4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Throughput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Sheet1!$R$18:$R$27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Sheet1!$V$18:$V$27</c:f>
              <c:numCache>
                <c:formatCode>0.00</c:formatCode>
                <c:ptCount val="10"/>
                <c:pt idx="0">
                  <c:v>152.17447625444743</c:v>
                </c:pt>
                <c:pt idx="1">
                  <c:v>253.17933109767543</c:v>
                </c:pt>
                <c:pt idx="2">
                  <c:v>331.58048834511158</c:v>
                </c:pt>
                <c:pt idx="3">
                  <c:v>385.76358767851815</c:v>
                </c:pt>
                <c:pt idx="4">
                  <c:v>428.12292393829</c:v>
                </c:pt>
                <c:pt idx="5">
                  <c:v>461.88005737012196</c:v>
                </c:pt>
                <c:pt idx="6">
                  <c:v>480.78691355715739</c:v>
                </c:pt>
                <c:pt idx="7">
                  <c:v>501.04248151309821</c:v>
                </c:pt>
                <c:pt idx="8">
                  <c:v>530.73908070683831</c:v>
                </c:pt>
                <c:pt idx="9">
                  <c:v>541.18352507465625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1-4972-981F-CEC5FFFC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03792"/>
        <c:axId val="634499280"/>
      </c:scatterChart>
      <c:scatterChart>
        <c:scatterStyle val="lineMarker"/>
        <c:varyColors val="0"/>
        <c:ser>
          <c:idx val="1"/>
          <c:order val="1"/>
          <c:tx>
            <c:strRef>
              <c:f>Sheet1!$AJ$1</c:f>
              <c:strCache>
                <c:ptCount val="1"/>
                <c:pt idx="0">
                  <c:v>BRAM %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Sheet1!$AJ$3:$AJ$12</c:f>
              <c:numCache>
                <c:formatCode>0.00%</c:formatCode>
                <c:ptCount val="10"/>
                <c:pt idx="0">
                  <c:v>0.11071428571428571</c:v>
                </c:pt>
                <c:pt idx="1">
                  <c:v>0.11428571428571428</c:v>
                </c:pt>
                <c:pt idx="2">
                  <c:v>9.6428571428571433E-2</c:v>
                </c:pt>
                <c:pt idx="3">
                  <c:v>0.12857142857142856</c:v>
                </c:pt>
                <c:pt idx="4">
                  <c:v>0.16071428571428573</c:v>
                </c:pt>
                <c:pt idx="5">
                  <c:v>0.19285714285714287</c:v>
                </c:pt>
                <c:pt idx="6">
                  <c:v>0.22500000000000001</c:v>
                </c:pt>
                <c:pt idx="7">
                  <c:v>0.25714285714285712</c:v>
                </c:pt>
                <c:pt idx="8">
                  <c:v>0.28928571428571431</c:v>
                </c:pt>
                <c:pt idx="9">
                  <c:v>0.32142857142857145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71-4972-981F-CEC5FFFCB5A3}"/>
            </c:ext>
          </c:extLst>
        </c:ser>
        <c:ser>
          <c:idx val="2"/>
          <c:order val="2"/>
          <c:tx>
            <c:strRef>
              <c:f>Sheet1!$AK$1</c:f>
              <c:strCache>
                <c:ptCount val="1"/>
                <c:pt idx="0">
                  <c:v>DSP %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Sheet1!$AK$3:$AK$12</c:f>
              <c:numCache>
                <c:formatCode>0.00%</c:formatCode>
                <c:ptCount val="10"/>
                <c:pt idx="0">
                  <c:v>9.5454545454545459E-2</c:v>
                </c:pt>
                <c:pt idx="1">
                  <c:v>0.19090909090909092</c:v>
                </c:pt>
                <c:pt idx="2">
                  <c:v>0.28636363636363638</c:v>
                </c:pt>
                <c:pt idx="3">
                  <c:v>0.38181818181818183</c:v>
                </c:pt>
                <c:pt idx="4">
                  <c:v>0.47727272727272729</c:v>
                </c:pt>
                <c:pt idx="5">
                  <c:v>0.57272727272727275</c:v>
                </c:pt>
                <c:pt idx="6">
                  <c:v>0.66818181818181821</c:v>
                </c:pt>
                <c:pt idx="7">
                  <c:v>0.76363636363636367</c:v>
                </c:pt>
                <c:pt idx="8">
                  <c:v>0.85909090909090913</c:v>
                </c:pt>
                <c:pt idx="9">
                  <c:v>0.95454545454545459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71-4972-981F-CEC5FFFCB5A3}"/>
            </c:ext>
          </c:extLst>
        </c:ser>
        <c:ser>
          <c:idx val="3"/>
          <c:order val="3"/>
          <c:tx>
            <c:strRef>
              <c:f>Sheet1!$AL$1</c:f>
              <c:strCache>
                <c:ptCount val="1"/>
                <c:pt idx="0">
                  <c:v>FF %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Sheet1!$AL$3:$AL$12</c:f>
              <c:numCache>
                <c:formatCode>0.00%</c:formatCode>
                <c:ptCount val="10"/>
                <c:pt idx="0">
                  <c:v>3.5178571428571427E-2</c:v>
                </c:pt>
                <c:pt idx="1">
                  <c:v>6.4238721804511276E-2</c:v>
                </c:pt>
                <c:pt idx="2">
                  <c:v>9.3383458646616541E-2</c:v>
                </c:pt>
                <c:pt idx="3">
                  <c:v>0.12574248120300752</c:v>
                </c:pt>
                <c:pt idx="4">
                  <c:v>0.15158834586466166</c:v>
                </c:pt>
                <c:pt idx="5">
                  <c:v>0.1806484962406015</c:v>
                </c:pt>
                <c:pt idx="6">
                  <c:v>0.20970864661654134</c:v>
                </c:pt>
                <c:pt idx="7">
                  <c:v>0.24149436090225565</c:v>
                </c:pt>
                <c:pt idx="8">
                  <c:v>0.27133458646616543</c:v>
                </c:pt>
                <c:pt idx="9">
                  <c:v>0.29704887218045112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71-4972-981F-CEC5FFFCB5A3}"/>
            </c:ext>
          </c:extLst>
        </c:ser>
        <c:ser>
          <c:idx val="4"/>
          <c:order val="4"/>
          <c:tx>
            <c:strRef>
              <c:f>Sheet1!$AM$1</c:f>
              <c:strCache>
                <c:ptCount val="1"/>
                <c:pt idx="0">
                  <c:v>LUT %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Sheet1!$AM$3:$AM$12</c:f>
              <c:numCache>
                <c:formatCode>0.00%</c:formatCode>
                <c:ptCount val="10"/>
                <c:pt idx="0">
                  <c:v>0.06</c:v>
                </c:pt>
                <c:pt idx="1">
                  <c:v>0.10783834586466165</c:v>
                </c:pt>
                <c:pt idx="2">
                  <c:v>0.15672932330827069</c:v>
                </c:pt>
                <c:pt idx="3">
                  <c:v>0.20332706766917294</c:v>
                </c:pt>
                <c:pt idx="4">
                  <c:v>0.25022556390977446</c:v>
                </c:pt>
                <c:pt idx="5">
                  <c:v>0.29738721804511276</c:v>
                </c:pt>
                <c:pt idx="6">
                  <c:v>0.34496240601503758</c:v>
                </c:pt>
                <c:pt idx="7">
                  <c:v>0.39317669172932329</c:v>
                </c:pt>
                <c:pt idx="8">
                  <c:v>0.43964285714285717</c:v>
                </c:pt>
                <c:pt idx="9">
                  <c:v>0.48719924812030074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71-4972-981F-CEC5FFFC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94480"/>
        <c:axId val="634594048"/>
      </c:scatterChart>
      <c:valAx>
        <c:axId val="63040379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unroll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99280"/>
        <c:crosses val="autoZero"/>
        <c:crossBetween val="midCat"/>
        <c:majorUnit val="1"/>
      </c:valAx>
      <c:valAx>
        <c:axId val="63449928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Throughput (k vectors /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0403792"/>
        <c:crosses val="autoZero"/>
        <c:crossBetween val="midCat"/>
      </c:valAx>
      <c:valAx>
        <c:axId val="63459404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Resource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594480"/>
        <c:crosses val="max"/>
        <c:crossBetween val="midCat"/>
      </c:valAx>
      <c:valAx>
        <c:axId val="63459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4594048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Sheet1!$Y$14</c:f>
              <c:strCache>
                <c:ptCount val="1"/>
                <c:pt idx="0">
                  <c:v>tData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Sheet1!$R$15:$R$27</c15:sqref>
                  </c15:fullRef>
                </c:ext>
              </c:extLst>
              <c:f>Sheet1!$R$18:$R$27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Sheet1!$Y$15:$Y$27</c15:sqref>
                  </c15:fullRef>
                </c:ext>
              </c:extLst>
              <c:f>Sheet1!$Y$18:$Y$27</c:f>
              <c:numCache>
                <c:formatCode>0</c:formatCode>
                <c:ptCount val="10"/>
                <c:pt idx="0" formatCode="0.000E+00">
                  <c:v>1.6451210000000001</c:v>
                </c:pt>
                <c:pt idx="1" formatCode="0.000E+00">
                  <c:v>1.6441805000000003</c:v>
                </c:pt>
                <c:pt idx="2" formatCode="0.000E+00">
                  <c:v>1.6447400000000001</c:v>
                </c:pt>
                <c:pt idx="3" formatCode="0.000E+00">
                  <c:v>1.6450835000000001</c:v>
                </c:pt>
                <c:pt idx="4" formatCode="0.000E+00">
                  <c:v>1.6452665</c:v>
                </c:pt>
                <c:pt idx="5" formatCode="0.000E+00">
                  <c:v>1.6442419999999998</c:v>
                </c:pt>
                <c:pt idx="6" formatCode="0.000E+00">
                  <c:v>1.6441325</c:v>
                </c:pt>
                <c:pt idx="7" formatCode="0.000E+00">
                  <c:v>1.6453100000000001</c:v>
                </c:pt>
                <c:pt idx="8" formatCode="0.000E+00">
                  <c:v>1.6442640000000004</c:v>
                </c:pt>
                <c:pt idx="9" formatCode="0.000E+00">
                  <c:v>1.6456589999999998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E-4AE5-AA30-D569EA8AEF2F}"/>
            </c:ext>
          </c:extLst>
        </c:ser>
        <c:ser>
          <c:idx val="1"/>
          <c:order val="1"/>
          <c:tx>
            <c:strRef>
              <c:f>Sheet1!$Z$14</c:f>
              <c:strCache>
                <c:ptCount val="1"/>
                <c:pt idx="0">
                  <c:v>tStart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Sheet1!$R$15:$R$27</c15:sqref>
                  </c15:fullRef>
                </c:ext>
              </c:extLst>
              <c:f>Sheet1!$R$18:$R$27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Sheet1!$Z$15:$Z$27</c15:sqref>
                  </c15:fullRef>
                </c:ext>
              </c:extLst>
              <c:f>Sheet1!$Z$18:$Z$27</c:f>
              <c:numCache>
                <c:formatCode>0.000E+00</c:formatCode>
                <c:ptCount val="10"/>
                <c:pt idx="0">
                  <c:v>0.40040249999999999</c:v>
                </c:pt>
                <c:pt idx="1">
                  <c:v>0.40118250000000011</c:v>
                </c:pt>
                <c:pt idx="2">
                  <c:v>0.40066200000000002</c:v>
                </c:pt>
                <c:pt idx="3">
                  <c:v>0.40116000000000002</c:v>
                </c:pt>
                <c:pt idx="4">
                  <c:v>0.40041450000000006</c:v>
                </c:pt>
                <c:pt idx="5">
                  <c:v>0.40090050000000005</c:v>
                </c:pt>
                <c:pt idx="6">
                  <c:v>0.40116450000000003</c:v>
                </c:pt>
                <c:pt idx="7">
                  <c:v>0.40083000000000002</c:v>
                </c:pt>
                <c:pt idx="8">
                  <c:v>0.40022249999999998</c:v>
                </c:pt>
                <c:pt idx="9">
                  <c:v>0.39971550000000006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E-4AE5-AA30-D569EA8AEF2F}"/>
            </c:ext>
          </c:extLst>
        </c:ser>
        <c:ser>
          <c:idx val="4"/>
          <c:order val="4"/>
          <c:tx>
            <c:strRef>
              <c:f>Sheet1!$AC$14</c:f>
              <c:strCache>
                <c:ptCount val="1"/>
                <c:pt idx="0">
                  <c:v>tResult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Sheet1!$R$15:$R$27</c15:sqref>
                  </c15:fullRef>
                </c:ext>
              </c:extLst>
              <c:f>Sheet1!$R$18:$R$27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Sheet1!$AC$15:$AC$27</c15:sqref>
                  </c15:fullRef>
                </c:ext>
              </c:extLst>
              <c:f>Sheet1!$AC$18:$AC$27</c:f>
              <c:numCache>
                <c:formatCode>0</c:formatCode>
                <c:ptCount val="10"/>
                <c:pt idx="0" formatCode="0.000E+00">
                  <c:v>11.097284999999999</c:v>
                </c:pt>
                <c:pt idx="1" formatCode="0.000E+00">
                  <c:v>5.8541759999999998</c:v>
                </c:pt>
                <c:pt idx="2" formatCode="0.000E+00">
                  <c:v>3.986316</c:v>
                </c:pt>
                <c:pt idx="3" formatCode="0.000E+00">
                  <c:v>3.1382790000000003</c:v>
                </c:pt>
                <c:pt idx="4" formatCode="0.000E+00">
                  <c:v>2.6258745000000001</c:v>
                </c:pt>
                <c:pt idx="5" formatCode="0.000E+00">
                  <c:v>2.284986</c:v>
                </c:pt>
                <c:pt idx="6" formatCode="0.000E+00">
                  <c:v>2.1145500000000004</c:v>
                </c:pt>
                <c:pt idx="7" formatCode="0.000E+00">
                  <c:v>1.9455375000000004</c:v>
                </c:pt>
                <c:pt idx="8" formatCode="0.000E+00">
                  <c:v>1.7238435000000001</c:v>
                </c:pt>
                <c:pt idx="9" formatCode="0.000E+00">
                  <c:v>1.6502295000000002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0E-4AE5-AA30-D569EA8AE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3788000"/>
        <c:axId val="478665792"/>
      </c:barChart>
      <c:barChart>
        <c:barDir val="col"/>
        <c:grouping val="clustered"/>
        <c:varyColors val="0"/>
        <c:ser>
          <c:idx val="2"/>
          <c:order val="2"/>
          <c:tx>
            <c:strRef>
              <c:f>Sheet1!$AA$14</c:f>
              <c:strCache>
                <c:ptCount val="1"/>
                <c:pt idx="0">
                  <c:v>1126587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Sheet1!$R$15:$R$27</c15:sqref>
                  </c15:fullRef>
                </c:ext>
              </c:extLst>
              <c:f>Sheet1!$R$18:$R$27</c:f>
              <c:strCache>
                <c:ptCount val="10"/>
                <c:pt idx="0">
                  <c:v>double</c:v>
                </c:pt>
                <c:pt idx="1">
                  <c:v>fixed</c:v>
                </c:pt>
                <c:pt idx="2">
                  <c:v>unopt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Sheet1!$AA$15:$AA$27</c15:sqref>
                  </c15:fullRef>
                </c:ext>
              </c:extLst>
              <c:f>Sheet1!$AA$18:$AA$27</c:f>
            </c:numRef>
          </c:val>
          <c:extLst>
            <c:ext xmlns:c16="http://schemas.microsoft.com/office/drawing/2014/chart" uri="{C3380CC4-5D6E-409C-BE32-E72D297353CC}">
              <c16:uniqueId val="{00000002-470E-4AE5-AA30-D569EA8AEF2F}"/>
            </c:ext>
          </c:extLst>
        </c:ser>
        <c:ser>
          <c:idx val="3"/>
          <c:order val="3"/>
          <c:tx>
            <c:strRef>
              <c:f>Sheet1!$AB$14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Sheet1!$R$15:$R$27</c15:sqref>
                  </c15:fullRef>
                </c:ext>
              </c:extLst>
              <c:f>Sheet1!$R$18:$R$27</c:f>
              <c:strCache>
                <c:ptCount val="10"/>
                <c:pt idx="0">
                  <c:v>double</c:v>
                </c:pt>
                <c:pt idx="1">
                  <c:v>fixed</c:v>
                </c:pt>
                <c:pt idx="2">
                  <c:v>unopt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Sheet1!$AB$15:$AB$27</c15:sqref>
                  </c15:fullRef>
                </c:ext>
              </c:extLst>
              <c:f>Sheet1!$AB$18:$AB$27</c:f>
            </c:numRef>
          </c:val>
          <c:extLst>
            <c:ext xmlns:c16="http://schemas.microsoft.com/office/drawing/2014/chart" uri="{C3380CC4-5D6E-409C-BE32-E72D297353CC}">
              <c16:uniqueId val="{00000003-470E-4AE5-AA30-D569EA8AE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788000"/>
        <c:axId val="478665792"/>
      </c:barChart>
      <c:lineChart>
        <c:grouping val="standard"/>
        <c:varyColors val="0"/>
        <c:ser>
          <c:idx val="5"/>
          <c:order val="5"/>
          <c:tx>
            <c:strRef>
              <c:f>Sheet1!$T$14</c:f>
              <c:strCache>
                <c:ptCount val="1"/>
                <c:pt idx="0">
                  <c:v>Time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Sheet1!$T$15:$T$27</c15:sqref>
                  </c15:fullRef>
                </c:ext>
              </c:extLst>
              <c:f>Sheet1!$T$18:$T$27</c:f>
              <c:numCache>
                <c:formatCode>0.000E+00</c:formatCode>
                <c:ptCount val="10"/>
                <c:pt idx="0">
                  <c:v>13.142808500000001</c:v>
                </c:pt>
                <c:pt idx="1">
                  <c:v>7.8995390000000008</c:v>
                </c:pt>
                <c:pt idx="2">
                  <c:v>6.0317180000000006</c:v>
                </c:pt>
                <c:pt idx="3">
                  <c:v>5.1845224999999999</c:v>
                </c:pt>
                <c:pt idx="4">
                  <c:v>4.6715554999999993</c:v>
                </c:pt>
                <c:pt idx="5">
                  <c:v>4.3301284999999998</c:v>
                </c:pt>
                <c:pt idx="6">
                  <c:v>4.1598469999999992</c:v>
                </c:pt>
                <c:pt idx="7">
                  <c:v>3.9916774999999998</c:v>
                </c:pt>
                <c:pt idx="8">
                  <c:v>3.7683300000000002</c:v>
                </c:pt>
                <c:pt idx="9">
                  <c:v>3.6956040000000003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0E-4AE5-AA30-D569EA8AE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88000"/>
        <c:axId val="478665792"/>
      </c:lineChart>
      <c:catAx>
        <c:axId val="4737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unroll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8665792"/>
        <c:crosses val="autoZero"/>
        <c:auto val="1"/>
        <c:lblAlgn val="ctr"/>
        <c:lblOffset val="100"/>
        <c:noMultiLvlLbl val="0"/>
      </c:catAx>
      <c:valAx>
        <c:axId val="4786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37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200025</xdr:colOff>
      <xdr:row>19</xdr:row>
      <xdr:rowOff>114300</xdr:rowOff>
    </xdr:from>
    <xdr:to>
      <xdr:col>49</xdr:col>
      <xdr:colOff>104775</xdr:colOff>
      <xdr:row>38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FC01D-532C-4A51-9FD5-E3BBE2A75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247651</xdr:colOff>
      <xdr:row>1</xdr:row>
      <xdr:rowOff>152400</xdr:rowOff>
    </xdr:from>
    <xdr:to>
      <xdr:col>48</xdr:col>
      <xdr:colOff>371475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A274E2-1C14-4921-9152-DFF8989F6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242887</xdr:colOff>
      <xdr:row>39</xdr:row>
      <xdr:rowOff>76200</xdr:rowOff>
    </xdr:from>
    <xdr:to>
      <xdr:col>47</xdr:col>
      <xdr:colOff>33337</xdr:colOff>
      <xdr:row>53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CAC187-1FFD-4B19-9A86-3B7EB55DE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161924</xdr:colOff>
      <xdr:row>28</xdr:row>
      <xdr:rowOff>95250</xdr:rowOff>
    </xdr:from>
    <xdr:to>
      <xdr:col>25</xdr:col>
      <xdr:colOff>257175</xdr:colOff>
      <xdr:row>42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894C42-41DD-47CF-856C-417375D87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447676</xdr:colOff>
      <xdr:row>28</xdr:row>
      <xdr:rowOff>76200</xdr:rowOff>
    </xdr:from>
    <xdr:to>
      <xdr:col>37</xdr:col>
      <xdr:colOff>47625</xdr:colOff>
      <xdr:row>42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EF61A7-46DA-438B-A02F-97FC45206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M12" totalsRowShown="0">
  <autoFilter ref="A1:AM12"/>
  <tableColumns count="39">
    <tableColumn id="1" name="Unroll"/>
    <tableColumn id="2" name="Timing"/>
    <tableColumn id="3" name="Latency"/>
    <tableColumn id="4" name="Interval"/>
    <tableColumn id="5" name="Iteration"/>
    <tableColumn id="6" name="BRAM"/>
    <tableColumn id="7" name="DSP"/>
    <tableColumn id="8" name="FF"/>
    <tableColumn id="9" name="LUT"/>
    <tableColumn id="14" name="polling" dataDxfId="41"/>
    <tableColumn id="24" name="pollingC" dataDxfId="40">
      <calculatedColumnFormula>IF(Table1[[#This Row],[pData]]&gt;1100000,Table1[[#This Row],[polling]]-$N$16,Table1[[#This Row],[polling]])</calculatedColumnFormula>
    </tableColumn>
    <tableColumn id="28" name="pollingCF" dataDxfId="39">
      <calculatedColumnFormula>Table1[[#This Row],[pollingC]]/$G$14*$G$15</calculatedColumnFormula>
    </tableColumn>
    <tableColumn id="39" name="pollingT" dataDxfId="13">
      <calculatedColumnFormula>Table1[[#This Row],[pollingCF]]*(1/$G$15)</calculatedColumnFormula>
    </tableColumn>
    <tableColumn id="17" name="pData" dataDxfId="38"/>
    <tableColumn id="22" name="pDataC" dataDxfId="37">
      <calculatedColumnFormula>IF(Table1[[#This Row],[pData]]&gt;1100000,Table1[[#This Row],[pData]]-$N$16,Table1[[#This Row],[pData]])</calculatedColumnFormula>
    </tableColumn>
    <tableColumn id="29" name="pDataCF" dataDxfId="36">
      <calculatedColumnFormula>Table1[[#This Row],[pDataC]]/$G$14*$G$15</calculatedColumnFormula>
    </tableColumn>
    <tableColumn id="16" name="pStart" dataDxfId="35"/>
    <tableColumn id="30" name="pStartF" dataDxfId="34">
      <calculatedColumnFormula>Table1[[#This Row],[pStart]]/$G$14*$G$15</calculatedColumnFormula>
    </tableColumn>
    <tableColumn id="15" name="pResult" dataDxfId="33"/>
    <tableColumn id="31" name="pResultF" dataDxfId="32">
      <calculatedColumnFormula>Table1[[#This Row],[pResult]]/$G$14*$G$15</calculatedColumnFormula>
    </tableColumn>
    <tableColumn id="26" name="pTotalC" dataDxfId="31">
      <calculatedColumnFormula>SUM(Table1[[#This Row],[pDataC]],Table1[[#This Row],[pStart]],Table1[[#This Row],[pResult]])</calculatedColumnFormula>
    </tableColumn>
    <tableColumn id="32" name="pTotalCF" dataDxfId="30">
      <calculatedColumnFormula>Table1[[#This Row],[pTotalC]]/$G$14*$G$15</calculatedColumnFormula>
    </tableColumn>
    <tableColumn id="18" name="interrupt" dataDxfId="29"/>
    <tableColumn id="25" name="interruptC" dataDxfId="28">
      <calculatedColumnFormula>IF(Table1[[#This Row],[iData]]&gt;1100000,Table1[[#This Row],[interrupt]]-$AA$16,Table1[[#This Row],[interrupt]])</calculatedColumnFormula>
    </tableColumn>
    <tableColumn id="33" name="interruptCF" dataDxfId="27">
      <calculatedColumnFormula>Table1[[#This Row],[interruptC]]/$G$14*$G$15</calculatedColumnFormula>
    </tableColumn>
    <tableColumn id="40" name="interruptT" dataDxfId="12">
      <calculatedColumnFormula>Table1[[#This Row],[interruptCF]]*(1/$G$15)</calculatedColumnFormula>
    </tableColumn>
    <tableColumn id="21" name="iData" dataDxfId="26"/>
    <tableColumn id="23" name="iDataC" dataDxfId="25">
      <calculatedColumnFormula>IF(Table1[[#This Row],[iData]]&gt;1100000,Table1[[#This Row],[iData]]-$AA$16,Table1[[#This Row],[iData]])</calculatedColumnFormula>
    </tableColumn>
    <tableColumn id="34" name="iDataCF" dataDxfId="24">
      <calculatedColumnFormula>Table1[[#This Row],[iDataC]]/$G$14*$G$15</calculatedColumnFormula>
    </tableColumn>
    <tableColumn id="20" name="iStart" dataDxfId="23"/>
    <tableColumn id="35" name="iStartF" dataDxfId="22">
      <calculatedColumnFormula>Table1[[#This Row],[iStart]]/$G$14*$G$15</calculatedColumnFormula>
    </tableColumn>
    <tableColumn id="19" name="iResult" dataDxfId="21"/>
    <tableColumn id="36" name="iResultF" dataDxfId="20">
      <calculatedColumnFormula>Table1[[#This Row],[iResult]]/$G$14*$G$15</calculatedColumnFormula>
    </tableColumn>
    <tableColumn id="27" name="iTotalC" dataDxfId="19">
      <calculatedColumnFormula>SUM(Table1[[#This Row],[iDataC]],Table1[[#This Row],[iStart]],Table1[[#This Row],[iResult]])</calculatedColumnFormula>
    </tableColumn>
    <tableColumn id="37" name="iTotalCF" dataDxfId="18">
      <calculatedColumnFormula>Table1[[#This Row],[iTotalC]]/$G$14*$G$15</calculatedColumnFormula>
    </tableColumn>
    <tableColumn id="10" name="BRAM %" dataDxfId="17">
      <calculatedColumnFormula>Table1[BRAM]/280</calculatedColumnFormula>
    </tableColumn>
    <tableColumn id="11" name="DSP %" dataDxfId="16">
      <calculatedColumnFormula>Table1[DSP]/220</calculatedColumnFormula>
    </tableColumn>
    <tableColumn id="12" name="FF %" dataDxfId="15">
      <calculatedColumnFormula>Table1[FF]/106400</calculatedColumnFormula>
    </tableColumn>
    <tableColumn id="13" name="LUT %" dataDxfId="14">
      <calculatedColumnFormula>Table1[LUT]/53200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R14:V27" totalsRowShown="0" headerRowDxfId="7">
  <autoFilter ref="R14:V27"/>
  <tableColumns count="5">
    <tableColumn id="1" name="Type" dataDxfId="11"/>
    <tableColumn id="2" name="Column2" dataDxfId="10"/>
    <tableColumn id="3" name="Time" dataDxfId="9"/>
    <tableColumn id="4" name="Column4" dataDxfId="8"/>
    <tableColumn id="5" name="Throughput" dataDxfId="0">
      <calculatedColumnFormula>2000/T15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Y14:AC27" totalsRowShown="0" headerRowDxfId="1">
  <autoFilter ref="Y14:AC27"/>
  <tableColumns count="5">
    <tableColumn id="1" name="tData" dataDxfId="6"/>
    <tableColumn id="2" name="tStart" dataDxfId="5"/>
    <tableColumn id="3" name="1126587" dataDxfId="4"/>
    <tableColumn id="4" name="Column1" dataDxfId="3"/>
    <tableColumn id="5" name="tResult" dataDxfId="2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abSelected="1" zoomScaleNormal="100" workbookViewId="0">
      <pane xSplit="1" ySplit="1" topLeftCell="L22" activePane="bottomRight" state="frozen"/>
      <selection pane="topRight" activeCell="B1" sqref="B1"/>
      <selection pane="bottomLeft" activeCell="A2" sqref="A2"/>
      <selection pane="bottomRight" activeCell="AC45" sqref="AC45"/>
    </sheetView>
  </sheetViews>
  <sheetFormatPr defaultRowHeight="15" x14ac:dyDescent="0.25"/>
  <cols>
    <col min="1" max="1" width="8.85546875" bestFit="1" customWidth="1"/>
    <col min="2" max="2" width="9.28515625" bestFit="1" customWidth="1"/>
    <col min="3" max="3" width="10" bestFit="1" customWidth="1"/>
    <col min="4" max="4" width="10.140625" hidden="1" customWidth="1"/>
    <col min="5" max="5" width="11" bestFit="1" customWidth="1"/>
    <col min="6" max="6" width="8.7109375" customWidth="1"/>
    <col min="7" max="7" width="8.5703125" customWidth="1"/>
    <col min="8" max="8" width="6" customWidth="1"/>
    <col min="9" max="9" width="6.5703125" customWidth="1"/>
    <col min="10" max="10" width="10" style="2" hidden="1" customWidth="1"/>
    <col min="11" max="11" width="10.5703125" style="2" hidden="1" customWidth="1"/>
    <col min="12" max="12" width="12" style="2" bestFit="1" customWidth="1"/>
    <col min="13" max="13" width="10.42578125" style="5" bestFit="1" customWidth="1"/>
    <col min="14" max="14" width="8.42578125" style="2" hidden="1" customWidth="1"/>
    <col min="15" max="15" width="9.5703125" style="2" hidden="1" customWidth="1"/>
    <col min="16" max="16" width="10.5703125" style="2" bestFit="1" customWidth="1"/>
    <col min="17" max="17" width="8.5703125" style="2" hidden="1" customWidth="1"/>
    <col min="18" max="18" width="11" style="2" customWidth="1"/>
    <col min="19" max="19" width="10" style="2" hidden="1" customWidth="1"/>
    <col min="20" max="20" width="11" style="2" bestFit="1" customWidth="1"/>
    <col min="21" max="21" width="10" style="2" hidden="1" customWidth="1"/>
    <col min="22" max="22" width="13.5703125" style="2" bestFit="1" customWidth="1"/>
    <col min="23" max="23" width="11.28515625" style="2" hidden="1" customWidth="1"/>
    <col min="24" max="24" width="12.42578125" style="2" hidden="1" customWidth="1"/>
    <col min="25" max="25" width="13.42578125" style="2" bestFit="1" customWidth="1"/>
    <col min="26" max="26" width="12.28515625" style="5" bestFit="1" customWidth="1"/>
    <col min="27" max="27" width="8" style="2" hidden="1" customWidth="1"/>
    <col min="28" max="28" width="9" style="2" hidden="1" customWidth="1"/>
    <col min="29" max="29" width="10" style="2" bestFit="1" customWidth="1"/>
    <col min="30" max="30" width="8" style="2" hidden="1" customWidth="1"/>
    <col min="31" max="31" width="9" style="2" bestFit="1" customWidth="1"/>
    <col min="32" max="32" width="10" style="2" hidden="1" customWidth="1"/>
    <col min="33" max="33" width="10.42578125" style="2" bestFit="1" customWidth="1"/>
    <col min="34" max="34" width="10" style="2" hidden="1" customWidth="1"/>
    <col min="35" max="35" width="10.42578125" style="2" bestFit="1" customWidth="1"/>
    <col min="36" max="36" width="10.7109375" bestFit="1" customWidth="1"/>
    <col min="37" max="37" width="8.7109375" bestFit="1" customWidth="1"/>
    <col min="38" max="38" width="7.28515625" bestFit="1" customWidth="1"/>
    <col min="39" max="39" width="8.5703125" bestFit="1" customWidth="1"/>
    <col min="40" max="40" width="6.7109375" customWidth="1"/>
    <col min="41" max="41" width="10.7109375" customWidth="1"/>
    <col min="42" max="42" width="8.570312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13</v>
      </c>
      <c r="K1" s="2" t="s">
        <v>24</v>
      </c>
      <c r="L1" s="2" t="s">
        <v>33</v>
      </c>
      <c r="M1" s="5" t="s">
        <v>44</v>
      </c>
      <c r="N1" s="2" t="s">
        <v>15</v>
      </c>
      <c r="O1" s="2" t="s">
        <v>22</v>
      </c>
      <c r="P1" s="2" t="s">
        <v>34</v>
      </c>
      <c r="Q1" s="2" t="s">
        <v>16</v>
      </c>
      <c r="R1" s="2" t="s">
        <v>35</v>
      </c>
      <c r="S1" s="2" t="s">
        <v>17</v>
      </c>
      <c r="T1" s="2" t="s">
        <v>36</v>
      </c>
      <c r="U1" s="2" t="s">
        <v>26</v>
      </c>
      <c r="V1" s="2" t="s">
        <v>37</v>
      </c>
      <c r="W1" s="2" t="s">
        <v>14</v>
      </c>
      <c r="X1" s="2" t="s">
        <v>25</v>
      </c>
      <c r="Y1" s="2" t="s">
        <v>38</v>
      </c>
      <c r="Z1" s="5" t="s">
        <v>45</v>
      </c>
      <c r="AA1" s="2" t="s">
        <v>18</v>
      </c>
      <c r="AB1" s="2" t="s">
        <v>23</v>
      </c>
      <c r="AC1" s="2" t="s">
        <v>39</v>
      </c>
      <c r="AD1" s="2" t="s">
        <v>19</v>
      </c>
      <c r="AE1" s="2" t="s">
        <v>40</v>
      </c>
      <c r="AF1" s="2" t="s">
        <v>20</v>
      </c>
      <c r="AG1" s="2" t="s">
        <v>41</v>
      </c>
      <c r="AH1" s="2" t="s">
        <v>27</v>
      </c>
      <c r="AI1" s="2" t="s">
        <v>42</v>
      </c>
      <c r="AJ1" t="s">
        <v>9</v>
      </c>
      <c r="AK1" t="s">
        <v>10</v>
      </c>
      <c r="AL1" t="s">
        <v>11</v>
      </c>
      <c r="AM1" t="s">
        <v>12</v>
      </c>
      <c r="AY1" t="s">
        <v>51</v>
      </c>
    </row>
    <row r="2" spans="1:51" x14ac:dyDescent="0.25">
      <c r="A2" t="s">
        <v>21</v>
      </c>
      <c r="B2">
        <v>8.77</v>
      </c>
      <c r="C2">
        <v>164877</v>
      </c>
      <c r="D2">
        <v>164878</v>
      </c>
      <c r="E2">
        <v>159</v>
      </c>
      <c r="F2">
        <v>36</v>
      </c>
      <c r="G2">
        <v>6</v>
      </c>
      <c r="H2">
        <v>1436</v>
      </c>
      <c r="I2">
        <v>4086</v>
      </c>
      <c r="J2" s="2">
        <v>908472877</v>
      </c>
      <c r="K2" s="2">
        <f>IF(Table1[[#This Row],[pData]]&gt;1100000,Table1[[#This Row],[polling]]-$N$16,Table1[[#This Row],[polling]])</f>
        <v>908472877</v>
      </c>
      <c r="L2" s="2">
        <f>Table1[[#This Row],[pollingC]]/$G$14*$G$15</f>
        <v>136270931.55000001</v>
      </c>
      <c r="M2" s="5">
        <f>Table1[[#This Row],[pollingCF]]*(1/$G$15)</f>
        <v>1.3627093155000001</v>
      </c>
      <c r="N2" s="2">
        <v>1096237</v>
      </c>
      <c r="O2" s="2">
        <f>IF(Table1[[#This Row],[pData]]&gt;1100000,Table1[[#This Row],[pData]]-$N$16,Table1[[#This Row],[pData]])</f>
        <v>1096237</v>
      </c>
      <c r="P2" s="2">
        <f>Table1[[#This Row],[pDataC]]/$G$14*$G$15</f>
        <v>164435.55000000002</v>
      </c>
      <c r="Q2" s="2">
        <v>266638</v>
      </c>
      <c r="R2" s="2">
        <f>Table1[[#This Row],[pStart]]/$G$14*$G$15</f>
        <v>39995.700000000004</v>
      </c>
      <c r="S2" s="2">
        <v>906922286</v>
      </c>
      <c r="T2" s="2">
        <f>Table1[[#This Row],[pResult]]/$G$14*$G$15</f>
        <v>136038342.90000001</v>
      </c>
      <c r="U2" s="2">
        <f>SUM(Table1[[#This Row],[pDataC]],Table1[[#This Row],[pStart]],Table1[[#This Row],[pResult]])</f>
        <v>908285161</v>
      </c>
      <c r="V2" s="2">
        <f>Table1[[#This Row],[pTotalC]]/$G$14*$G$15</f>
        <v>136242774.15000001</v>
      </c>
      <c r="W2" s="2">
        <v>908680132</v>
      </c>
      <c r="X2" s="2">
        <f>IF(Table1[[#This Row],[iData]]&gt;1100000,Table1[[#This Row],[interrupt]]-$AA$16,Table1[[#This Row],[interrupt]])</f>
        <v>908680132</v>
      </c>
      <c r="Y2" s="2">
        <f>Table1[[#This Row],[interruptC]]/$G$14*$G$15</f>
        <v>136302019.80000001</v>
      </c>
      <c r="Z2" s="5">
        <f>Table1[[#This Row],[interruptCF]]*(1/$G$15)</f>
        <v>1.3630201980000001</v>
      </c>
      <c r="AA2" s="2">
        <v>1089686</v>
      </c>
      <c r="AB2" s="2">
        <f>IF(Table1[[#This Row],[iData]]&gt;1100000,Table1[[#This Row],[iData]]-$AA$16,Table1[[#This Row],[iData]])</f>
        <v>1089686</v>
      </c>
      <c r="AC2" s="2">
        <f>Table1[[#This Row],[iDataC]]/$G$14*$G$15</f>
        <v>163452.9</v>
      </c>
      <c r="AD2" s="2">
        <v>266862</v>
      </c>
      <c r="AE2" s="2">
        <f>Table1[[#This Row],[iStart]]/$G$14*$G$15</f>
        <v>40029.300000000003</v>
      </c>
      <c r="AF2" s="2">
        <v>907138514</v>
      </c>
      <c r="AG2" s="2">
        <f>Table1[[#This Row],[iResult]]/$G$14*$G$15</f>
        <v>136070777.10000002</v>
      </c>
      <c r="AH2" s="2">
        <f>SUM(Table1[[#This Row],[iDataC]],Table1[[#This Row],[iStart]],Table1[[#This Row],[iResult]])</f>
        <v>908495062</v>
      </c>
      <c r="AI2" s="2">
        <f>Table1[[#This Row],[iTotalC]]/$G$14*$G$15</f>
        <v>136274259.30000001</v>
      </c>
      <c r="AJ2" s="1">
        <f>Table1[BRAM]/280</f>
        <v>0.12857142857142856</v>
      </c>
      <c r="AK2" s="1">
        <f>Table1[DSP]/220</f>
        <v>2.7272727272727271E-2</v>
      </c>
      <c r="AL2" s="1">
        <f>Table1[FF]/106400</f>
        <v>1.349624060150376E-2</v>
      </c>
      <c r="AM2" s="1">
        <f>Table1[LUT]/53200</f>
        <v>7.6804511278195486E-2</v>
      </c>
    </row>
    <row r="3" spans="1:51" x14ac:dyDescent="0.25">
      <c r="A3">
        <v>1</v>
      </c>
      <c r="B3">
        <v>8.34</v>
      </c>
      <c r="C3">
        <v>1094</v>
      </c>
      <c r="D3">
        <v>1095</v>
      </c>
      <c r="E3">
        <v>44</v>
      </c>
      <c r="F3">
        <v>31</v>
      </c>
      <c r="G3">
        <v>21</v>
      </c>
      <c r="H3">
        <v>3743</v>
      </c>
      <c r="I3">
        <v>3192</v>
      </c>
      <c r="J3" s="2">
        <v>8975414</v>
      </c>
      <c r="K3" s="2">
        <f>IF(Table1[[#This Row],[pData]]&gt;1100000,Table1[[#This Row],[polling]]-$N$16,Table1[[#This Row],[polling]])</f>
        <v>8951966.333333334</v>
      </c>
      <c r="L3" s="2">
        <f>Table1[[#This Row],[pollingC]]/$G$14*$G$15</f>
        <v>1342794.9500000002</v>
      </c>
      <c r="M3" s="5">
        <f>Table1[[#This Row],[pollingCF]]*(1/$G$15)</f>
        <v>1.3427949500000003E-2</v>
      </c>
      <c r="N3" s="2">
        <v>1120195</v>
      </c>
      <c r="O3" s="2">
        <f>IF(Table1[[#This Row],[pData]]&gt;1100000,Table1[[#This Row],[pData]]-$N$16,Table1[[#This Row],[pData]])</f>
        <v>1096747.3333333333</v>
      </c>
      <c r="P3" s="2">
        <f>Table1[[#This Row],[pDataC]]/$G$14*$G$15</f>
        <v>164512.1</v>
      </c>
      <c r="Q3" s="2">
        <v>266935</v>
      </c>
      <c r="R3" s="2">
        <f>Table1[[#This Row],[pStart]]/$G$14*$G$15</f>
        <v>40040.25</v>
      </c>
      <c r="S3" s="2">
        <v>7398190</v>
      </c>
      <c r="T3" s="2">
        <f>Table1[[#This Row],[pResult]]/$G$14*$G$15</f>
        <v>1109728.5</v>
      </c>
      <c r="U3" s="2">
        <f>SUM(Table1[[#This Row],[pDataC]],Table1[[#This Row],[pStart]],Table1[[#This Row],[pResult]])</f>
        <v>8761872.333333334</v>
      </c>
      <c r="V3" s="2">
        <f>Table1[[#This Row],[pTotalC]]/$G$14*$G$15</f>
        <v>1314280.8500000001</v>
      </c>
      <c r="W3" s="2">
        <v>9150869</v>
      </c>
      <c r="X3" s="2">
        <f>IF(Table1[[#This Row],[iData]]&gt;1100000,Table1[[#This Row],[interrupt]]-$AA$16,Table1[[#This Row],[interrupt]])</f>
        <v>9114091.666666666</v>
      </c>
      <c r="Y3" s="2">
        <f>Table1[[#This Row],[interruptC]]/$G$14*$G$15</f>
        <v>1367113.75</v>
      </c>
      <c r="Z3" s="5">
        <f>Table1[[#This Row],[interruptCF]]*(1/$G$15)</f>
        <v>1.36711375E-2</v>
      </c>
      <c r="AA3" s="2">
        <v>1127105</v>
      </c>
      <c r="AB3" s="2">
        <f>IF(Table1[[#This Row],[iData]]&gt;1100000,Table1[[#This Row],[iData]]-$AA$16,Table1[[#This Row],[iData]])</f>
        <v>1090327.6666666667</v>
      </c>
      <c r="AC3" s="2">
        <f>Table1[[#This Row],[iDataC]]/$G$14*$G$15</f>
        <v>163549.15000000002</v>
      </c>
      <c r="AD3" s="2">
        <v>262349</v>
      </c>
      <c r="AE3" s="2">
        <f>Table1[[#This Row],[iStart]]/$G$14*$G$15</f>
        <v>39352.35</v>
      </c>
      <c r="AF3" s="2">
        <v>7580168</v>
      </c>
      <c r="AG3" s="2">
        <f>Table1[[#This Row],[iResult]]/$G$14*$G$15</f>
        <v>1137025.2000000002</v>
      </c>
      <c r="AH3" s="2">
        <f>SUM(Table1[[#This Row],[iDataC]],Table1[[#This Row],[iStart]],Table1[[#This Row],[iResult]])</f>
        <v>8932844.666666666</v>
      </c>
      <c r="AI3" s="2">
        <f>Table1[[#This Row],[iTotalC]]/$G$14*$G$15</f>
        <v>1339926.7</v>
      </c>
      <c r="AJ3" s="1">
        <f>Table1[BRAM]/280</f>
        <v>0.11071428571428571</v>
      </c>
      <c r="AK3" s="1">
        <f>Table1[DSP]/220</f>
        <v>9.5454545454545459E-2</v>
      </c>
      <c r="AL3" s="1">
        <f>Table1[FF]/106400</f>
        <v>3.5178571428571427E-2</v>
      </c>
      <c r="AM3" s="1">
        <f>Table1[LUT]/53200</f>
        <v>0.06</v>
      </c>
    </row>
    <row r="4" spans="1:51" x14ac:dyDescent="0.25">
      <c r="A4">
        <v>2</v>
      </c>
      <c r="B4">
        <v>8.34</v>
      </c>
      <c r="C4">
        <v>569</v>
      </c>
      <c r="D4">
        <v>570</v>
      </c>
      <c r="E4">
        <v>44</v>
      </c>
      <c r="F4">
        <v>32</v>
      </c>
      <c r="G4">
        <v>42</v>
      </c>
      <c r="H4">
        <v>6835</v>
      </c>
      <c r="I4">
        <v>5737</v>
      </c>
      <c r="J4" s="2">
        <v>5478339</v>
      </c>
      <c r="K4" s="2">
        <f>IF(Table1[[#This Row],[pData]]&gt;1100000,Table1[[#This Row],[polling]]-$N$16,Table1[[#This Row],[polling]])</f>
        <v>5454891.333333333</v>
      </c>
      <c r="L4" s="2">
        <f>Table1[[#This Row],[pollingC]]/$G$14*$G$15</f>
        <v>818233.7</v>
      </c>
      <c r="M4" s="5">
        <f>Table1[[#This Row],[pollingCF]]*(1/$G$15)</f>
        <v>8.1823369999999996E-3</v>
      </c>
      <c r="N4" s="2">
        <v>1119568</v>
      </c>
      <c r="O4" s="2">
        <f>IF(Table1[[#This Row],[pData]]&gt;1100000,Table1[[#This Row],[pData]]-$N$16,Table1[[#This Row],[pData]])</f>
        <v>1096120.3333333333</v>
      </c>
      <c r="P4" s="2">
        <f>Table1[[#This Row],[pDataC]]/$G$14*$G$15</f>
        <v>164418.05000000002</v>
      </c>
      <c r="Q4" s="2">
        <v>267455</v>
      </c>
      <c r="R4" s="2">
        <f>Table1[[#This Row],[pStart]]/$G$14*$G$15</f>
        <v>40118.250000000007</v>
      </c>
      <c r="S4" s="2">
        <v>3902784</v>
      </c>
      <c r="T4" s="2">
        <f>Table1[[#This Row],[pResult]]/$G$14*$G$15</f>
        <v>585417.6</v>
      </c>
      <c r="U4" s="2">
        <f>SUM(Table1[[#This Row],[pDataC]],Table1[[#This Row],[pStart]],Table1[[#This Row],[pResult]])</f>
        <v>5266359.333333333</v>
      </c>
      <c r="V4" s="2">
        <f>Table1[[#This Row],[pTotalC]]/$G$14*$G$15</f>
        <v>789953.9</v>
      </c>
      <c r="W4" s="2">
        <v>5649720</v>
      </c>
      <c r="X4" s="2">
        <f>IF(Table1[[#This Row],[iData]]&gt;1100000,Table1[[#This Row],[interrupt]]-$AA$16,Table1[[#This Row],[interrupt]])</f>
        <v>5612942.666666667</v>
      </c>
      <c r="Y4" s="2">
        <f>Table1[[#This Row],[interruptC]]/$G$14*$G$15</f>
        <v>841941.40000000014</v>
      </c>
      <c r="Z4" s="5">
        <f>Table1[[#This Row],[interruptCF]]*(1/$G$15)</f>
        <v>8.4194140000000018E-3</v>
      </c>
      <c r="AA4" s="2">
        <v>1126676</v>
      </c>
      <c r="AB4" s="2">
        <f>IF(Table1[[#This Row],[iData]]&gt;1100000,Table1[[#This Row],[iData]]-$AA$16,Table1[[#This Row],[iData]])</f>
        <v>1089898.6666666667</v>
      </c>
      <c r="AC4" s="2">
        <f>Table1[[#This Row],[iDataC]]/$G$14*$G$15</f>
        <v>163484.80000000002</v>
      </c>
      <c r="AD4" s="2">
        <v>262946</v>
      </c>
      <c r="AE4" s="2">
        <f>Table1[[#This Row],[iStart]]/$G$14*$G$15</f>
        <v>39441.9</v>
      </c>
      <c r="AF4" s="2">
        <v>4079444</v>
      </c>
      <c r="AG4" s="2">
        <f>Table1[[#This Row],[iResult]]/$G$14*$G$15</f>
        <v>611916.60000000009</v>
      </c>
      <c r="AH4" s="2">
        <f>SUM(Table1[[#This Row],[iDataC]],Table1[[#This Row],[iStart]],Table1[[#This Row],[iResult]])</f>
        <v>5432288.666666667</v>
      </c>
      <c r="AI4" s="2">
        <f>Table1[[#This Row],[iTotalC]]/$G$14*$G$15</f>
        <v>814843.30000000016</v>
      </c>
      <c r="AJ4" s="1">
        <f>Table1[BRAM]/280</f>
        <v>0.11428571428571428</v>
      </c>
      <c r="AK4" s="1">
        <f>Table1[DSP]/220</f>
        <v>0.19090909090909092</v>
      </c>
      <c r="AL4" s="1">
        <f>Table1[FF]/106400</f>
        <v>6.4238721804511276E-2</v>
      </c>
      <c r="AM4" s="1">
        <f>Table1[LUT]/53200</f>
        <v>0.10783834586466165</v>
      </c>
    </row>
    <row r="5" spans="1:51" x14ac:dyDescent="0.25">
      <c r="A5">
        <v>3</v>
      </c>
      <c r="B5">
        <v>8.34</v>
      </c>
      <c r="C5">
        <v>394</v>
      </c>
      <c r="D5">
        <v>395</v>
      </c>
      <c r="E5">
        <v>44</v>
      </c>
      <c r="F5">
        <v>27</v>
      </c>
      <c r="G5">
        <v>63</v>
      </c>
      <c r="H5">
        <v>9936</v>
      </c>
      <c r="I5">
        <v>8338</v>
      </c>
      <c r="J5" s="2">
        <v>4234253</v>
      </c>
      <c r="K5" s="2">
        <f>IF(Table1[[#This Row],[pData]]&gt;1100000,Table1[[#This Row],[polling]]-$N$16,Table1[[#This Row],[polling]])</f>
        <v>4210805.333333333</v>
      </c>
      <c r="L5" s="2">
        <f>Table1[[#This Row],[pollingC]]/$G$14*$G$15</f>
        <v>631620.80000000005</v>
      </c>
      <c r="M5" s="5">
        <f>Table1[[#This Row],[pollingCF]]*(1/$G$15)</f>
        <v>6.3162080000000002E-3</v>
      </c>
      <c r="N5" s="2">
        <v>1119941</v>
      </c>
      <c r="O5" s="2">
        <f>IF(Table1[[#This Row],[pData]]&gt;1100000,Table1[[#This Row],[pData]]-$N$16,Table1[[#This Row],[pData]])</f>
        <v>1096493.3333333333</v>
      </c>
      <c r="P5" s="2">
        <f>Table1[[#This Row],[pDataC]]/$G$14*$G$15</f>
        <v>164474</v>
      </c>
      <c r="Q5" s="2">
        <v>267108</v>
      </c>
      <c r="R5" s="2">
        <f>Table1[[#This Row],[pStart]]/$G$14*$G$15</f>
        <v>40066.200000000004</v>
      </c>
      <c r="S5" s="2">
        <v>2657544</v>
      </c>
      <c r="T5" s="2">
        <f>Table1[[#This Row],[pResult]]/$G$14*$G$15</f>
        <v>398631.60000000003</v>
      </c>
      <c r="U5" s="2">
        <f>SUM(Table1[[#This Row],[pDataC]],Table1[[#This Row],[pStart]],Table1[[#This Row],[pResult]])</f>
        <v>4021145.333333333</v>
      </c>
      <c r="V5" s="2">
        <f>Table1[[#This Row],[pTotalC]]/$G$14*$G$15</f>
        <v>603171.80000000005</v>
      </c>
      <c r="W5" s="2">
        <v>4482615</v>
      </c>
      <c r="X5" s="2">
        <f>IF(Table1[[#This Row],[iData]]&gt;1100000,Table1[[#This Row],[interrupt]]-$AA$16,Table1[[#This Row],[interrupt]])</f>
        <v>4445837.666666667</v>
      </c>
      <c r="Y5" s="2">
        <f>Table1[[#This Row],[interruptC]]/$G$14*$G$15</f>
        <v>666875.65000000014</v>
      </c>
      <c r="Z5" s="5">
        <f>Table1[[#This Row],[interruptCF]]*(1/$G$15)</f>
        <v>6.6687565000000011E-3</v>
      </c>
      <c r="AA5" s="2">
        <v>1125826</v>
      </c>
      <c r="AB5" s="2">
        <f>IF(Table1[[#This Row],[iData]]&gt;1100000,Table1[[#This Row],[iData]]-$AA$16,Table1[[#This Row],[iData]])</f>
        <v>1089048.6666666667</v>
      </c>
      <c r="AC5" s="2">
        <f>Table1[[#This Row],[iDataC]]/$G$14*$G$15</f>
        <v>163357.30000000002</v>
      </c>
      <c r="AD5" s="2">
        <v>262582</v>
      </c>
      <c r="AE5" s="2">
        <f>Table1[[#This Row],[iStart]]/$G$14*$G$15</f>
        <v>39387.300000000003</v>
      </c>
      <c r="AF5" s="2">
        <v>2911886</v>
      </c>
      <c r="AG5" s="2">
        <f>Table1[[#This Row],[iResult]]/$G$14*$G$15</f>
        <v>436782.9</v>
      </c>
      <c r="AH5" s="2">
        <f>SUM(Table1[[#This Row],[iDataC]],Table1[[#This Row],[iStart]],Table1[[#This Row],[iResult]])</f>
        <v>4263516.666666667</v>
      </c>
      <c r="AI5" s="2">
        <f>Table1[[#This Row],[iTotalC]]/$G$14*$G$15</f>
        <v>639527.50000000012</v>
      </c>
      <c r="AJ5" s="1">
        <f>Table1[BRAM]/280</f>
        <v>9.6428571428571433E-2</v>
      </c>
      <c r="AK5" s="1">
        <f>Table1[DSP]/220</f>
        <v>0.28636363636363638</v>
      </c>
      <c r="AL5" s="1">
        <f>Table1[FF]/106400</f>
        <v>9.3383458646616541E-2</v>
      </c>
      <c r="AM5" s="1">
        <f>Table1[LUT]/53200</f>
        <v>0.15672932330827069</v>
      </c>
    </row>
    <row r="6" spans="1:51" x14ac:dyDescent="0.25">
      <c r="A6">
        <v>4</v>
      </c>
      <c r="B6">
        <v>8.75</v>
      </c>
      <c r="C6">
        <v>308</v>
      </c>
      <c r="D6">
        <v>309</v>
      </c>
      <c r="E6">
        <v>45</v>
      </c>
      <c r="F6">
        <v>36</v>
      </c>
      <c r="G6">
        <v>84</v>
      </c>
      <c r="H6">
        <v>13379</v>
      </c>
      <c r="I6">
        <v>10817</v>
      </c>
      <c r="J6" s="2">
        <v>3669535</v>
      </c>
      <c r="K6" s="2">
        <f>IF(Table1[[#This Row],[pData]]&gt;1100000,Table1[[#This Row],[polling]]-$N$16,Table1[[#This Row],[polling]])</f>
        <v>3646087.333333333</v>
      </c>
      <c r="L6" s="2">
        <f>Table1[[#This Row],[pollingC]]/$G$14*$G$15</f>
        <v>546913.1</v>
      </c>
      <c r="M6" s="5">
        <f>Table1[[#This Row],[pollingCF]]*(1/$G$15)</f>
        <v>5.4691309999999995E-3</v>
      </c>
      <c r="N6" s="2">
        <v>1120170</v>
      </c>
      <c r="O6" s="2">
        <f>IF(Table1[[#This Row],[pData]]&gt;1100000,Table1[[#This Row],[pData]]-$N$16,Table1[[#This Row],[pData]])</f>
        <v>1096722.3333333333</v>
      </c>
      <c r="P6" s="2">
        <f>Table1[[#This Row],[pDataC]]/$G$14*$G$15</f>
        <v>164508.35</v>
      </c>
      <c r="Q6" s="2">
        <v>267440</v>
      </c>
      <c r="R6" s="2">
        <f>Table1[[#This Row],[pStart]]/$G$14*$G$15</f>
        <v>40116</v>
      </c>
      <c r="S6" s="2">
        <v>2092186</v>
      </c>
      <c r="T6" s="2">
        <f>Table1[[#This Row],[pResult]]/$G$14*$G$15</f>
        <v>313827.90000000002</v>
      </c>
      <c r="U6" s="2">
        <f>SUM(Table1[[#This Row],[pDataC]],Table1[[#This Row],[pStart]],Table1[[#This Row],[pResult]])</f>
        <v>3456348.333333333</v>
      </c>
      <c r="V6" s="2">
        <f>Table1[[#This Row],[pTotalC]]/$G$14*$G$15</f>
        <v>518452.25</v>
      </c>
      <c r="W6" s="2">
        <v>3909703</v>
      </c>
      <c r="X6" s="2">
        <f>IF(Table1[[#This Row],[iData]]&gt;1100000,Table1[[#This Row],[interrupt]]-$AA$16,Table1[[#This Row],[interrupt]])</f>
        <v>3872925.666666667</v>
      </c>
      <c r="Y6" s="2">
        <f>Table1[[#This Row],[interruptC]]/$G$14*$G$15</f>
        <v>580938.85000000009</v>
      </c>
      <c r="Z6" s="5">
        <f>Table1[[#This Row],[interruptCF]]*(1/$G$15)</f>
        <v>5.809388500000001E-3</v>
      </c>
      <c r="AA6" s="2">
        <v>1126660</v>
      </c>
      <c r="AB6" s="2">
        <f>IF(Table1[[#This Row],[iData]]&gt;1100000,Table1[[#This Row],[iData]]-$AA$16,Table1[[#This Row],[iData]])</f>
        <v>1089882.6666666667</v>
      </c>
      <c r="AC6" s="2">
        <f>Table1[[#This Row],[iDataC]]/$G$14*$G$15</f>
        <v>163482.40000000002</v>
      </c>
      <c r="AD6" s="2">
        <v>263415</v>
      </c>
      <c r="AE6" s="2">
        <f>Table1[[#This Row],[iStart]]/$G$14*$G$15</f>
        <v>39512.250000000007</v>
      </c>
      <c r="AF6" s="2">
        <v>2337573</v>
      </c>
      <c r="AG6" s="2">
        <f>Table1[[#This Row],[iResult]]/$G$14*$G$15</f>
        <v>350635.95</v>
      </c>
      <c r="AH6" s="2">
        <f>SUM(Table1[[#This Row],[iDataC]],Table1[[#This Row],[iStart]],Table1[[#This Row],[iResult]])</f>
        <v>3690870.666666667</v>
      </c>
      <c r="AI6" s="2">
        <f>Table1[[#This Row],[iTotalC]]/$G$14*$G$15</f>
        <v>553630.60000000009</v>
      </c>
      <c r="AJ6" s="1">
        <f>Table1[BRAM]/280</f>
        <v>0.12857142857142856</v>
      </c>
      <c r="AK6" s="1">
        <f>Table1[DSP]/220</f>
        <v>0.38181818181818183</v>
      </c>
      <c r="AL6" s="1">
        <f>Table1[FF]/106400</f>
        <v>0.12574248120300752</v>
      </c>
      <c r="AM6" s="1">
        <f>Table1[LUT]/53200</f>
        <v>0.20332706766917294</v>
      </c>
    </row>
    <row r="7" spans="1:51" x14ac:dyDescent="0.25">
      <c r="A7">
        <v>5</v>
      </c>
      <c r="B7">
        <v>8.34</v>
      </c>
      <c r="C7">
        <v>255</v>
      </c>
      <c r="D7">
        <v>256</v>
      </c>
      <c r="E7">
        <v>44</v>
      </c>
      <c r="F7">
        <v>45</v>
      </c>
      <c r="G7">
        <v>105</v>
      </c>
      <c r="H7">
        <v>16129</v>
      </c>
      <c r="I7">
        <v>13312</v>
      </c>
      <c r="J7" s="2">
        <v>3328147</v>
      </c>
      <c r="K7" s="2">
        <f>IF(Table1[[#This Row],[pData]]&gt;1100000,Table1[[#This Row],[polling]]-$N$16,Table1[[#This Row],[polling]])</f>
        <v>3304699.333333333</v>
      </c>
      <c r="L7" s="2">
        <f>Table1[[#This Row],[pollingC]]/$G$14*$G$15</f>
        <v>495704.89999999997</v>
      </c>
      <c r="M7" s="5">
        <f>Table1[[#This Row],[pollingCF]]*(1/$G$15)</f>
        <v>4.9570489999999998E-3</v>
      </c>
      <c r="N7" s="2">
        <v>1120292</v>
      </c>
      <c r="O7" s="2">
        <f>IF(Table1[[#This Row],[pData]]&gt;1100000,Table1[[#This Row],[pData]]-$N$16,Table1[[#This Row],[pData]])</f>
        <v>1096844.3333333333</v>
      </c>
      <c r="P7" s="2">
        <f>Table1[[#This Row],[pDataC]]/$G$14*$G$15</f>
        <v>164526.65</v>
      </c>
      <c r="Q7" s="2">
        <v>266943</v>
      </c>
      <c r="R7" s="2">
        <f>Table1[[#This Row],[pStart]]/$G$14*$G$15</f>
        <v>40041.450000000004</v>
      </c>
      <c r="S7" s="2">
        <v>1750583</v>
      </c>
      <c r="T7" s="2">
        <f>Table1[[#This Row],[pResult]]/$G$14*$G$15</f>
        <v>262587.45</v>
      </c>
      <c r="U7" s="2">
        <f>SUM(Table1[[#This Row],[pDataC]],Table1[[#This Row],[pStart]],Table1[[#This Row],[pResult]])</f>
        <v>3114370.333333333</v>
      </c>
      <c r="V7" s="2">
        <f>Table1[[#This Row],[pTotalC]]/$G$14*$G$15</f>
        <v>467155.55</v>
      </c>
      <c r="W7" s="2">
        <v>3554801</v>
      </c>
      <c r="X7" s="2">
        <f>IF(Table1[[#This Row],[iData]]&gt;1100000,Table1[[#This Row],[interrupt]]-$AA$16,Table1[[#This Row],[interrupt]])</f>
        <v>3518023.666666667</v>
      </c>
      <c r="Y7" s="2">
        <f>Table1[[#This Row],[interruptC]]/$G$14*$G$15</f>
        <v>527703.55000000005</v>
      </c>
      <c r="Z7" s="5">
        <f>Table1[[#This Row],[interruptCF]]*(1/$G$15)</f>
        <v>5.2770355000000008E-3</v>
      </c>
      <c r="AA7" s="2">
        <v>1125638</v>
      </c>
      <c r="AB7" s="2">
        <f>IF(Table1[[#This Row],[iData]]&gt;1100000,Table1[[#This Row],[iData]]-$AA$16,Table1[[#This Row],[iData]])</f>
        <v>1088860.6666666667</v>
      </c>
      <c r="AC7" s="2">
        <f>Table1[[#This Row],[iDataC]]/$G$14*$G$15</f>
        <v>163329.10000000003</v>
      </c>
      <c r="AD7" s="2">
        <v>262360</v>
      </c>
      <c r="AE7" s="2">
        <f>Table1[[#This Row],[iStart]]/$G$14*$G$15</f>
        <v>39354</v>
      </c>
      <c r="AF7" s="2">
        <v>1986187</v>
      </c>
      <c r="AG7" s="2">
        <f>Table1[[#This Row],[iResult]]/$G$14*$G$15</f>
        <v>297928.05</v>
      </c>
      <c r="AH7" s="2">
        <f>SUM(Table1[[#This Row],[iDataC]],Table1[[#This Row],[iStart]],Table1[[#This Row],[iResult]])</f>
        <v>3337407.666666667</v>
      </c>
      <c r="AI7" s="2">
        <f>Table1[[#This Row],[iTotalC]]/$G$14*$G$15</f>
        <v>500611.15000000014</v>
      </c>
      <c r="AJ7" s="1">
        <f>Table1[BRAM]/280</f>
        <v>0.16071428571428573</v>
      </c>
      <c r="AK7" s="1">
        <f>Table1[DSP]/220</f>
        <v>0.47727272727272729</v>
      </c>
      <c r="AL7" s="1">
        <f>Table1[FF]/106400</f>
        <v>0.15158834586466166</v>
      </c>
      <c r="AM7" s="1">
        <f>Table1[LUT]/53200</f>
        <v>0.25022556390977446</v>
      </c>
    </row>
    <row r="8" spans="1:51" x14ac:dyDescent="0.25">
      <c r="A8">
        <v>6</v>
      </c>
      <c r="B8">
        <v>8.34</v>
      </c>
      <c r="C8">
        <v>220</v>
      </c>
      <c r="D8">
        <v>221</v>
      </c>
      <c r="E8">
        <v>44</v>
      </c>
      <c r="F8">
        <v>54</v>
      </c>
      <c r="G8">
        <v>126</v>
      </c>
      <c r="H8">
        <v>19221</v>
      </c>
      <c r="I8">
        <v>15821</v>
      </c>
      <c r="J8" s="2">
        <v>3101176</v>
      </c>
      <c r="K8" s="2">
        <f>IF(Table1[[#This Row],[pData]]&gt;1100000,Table1[[#This Row],[polling]]-$N$16,Table1[[#This Row],[polling]])</f>
        <v>3077728.333333333</v>
      </c>
      <c r="L8" s="2">
        <f>Table1[[#This Row],[pollingC]]/$G$14*$G$15</f>
        <v>461659.25</v>
      </c>
      <c r="M8" s="5">
        <f>Table1[[#This Row],[pollingCF]]*(1/$G$15)</f>
        <v>4.6165924999999998E-3</v>
      </c>
      <c r="N8" s="2">
        <v>1119609</v>
      </c>
      <c r="O8" s="2">
        <f>IF(Table1[[#This Row],[pData]]&gt;1100000,Table1[[#This Row],[pData]]-$N$16,Table1[[#This Row],[pData]])</f>
        <v>1096161.3333333333</v>
      </c>
      <c r="P8" s="2">
        <f>Table1[[#This Row],[pDataC]]/$G$14*$G$15</f>
        <v>164424.19999999998</v>
      </c>
      <c r="Q8" s="2">
        <v>267267</v>
      </c>
      <c r="R8" s="2">
        <f>Table1[[#This Row],[pStart]]/$G$14*$G$15</f>
        <v>40090.050000000003</v>
      </c>
      <c r="S8" s="2">
        <v>1523324</v>
      </c>
      <c r="T8" s="2">
        <f>Table1[[#This Row],[pResult]]/$G$14*$G$15</f>
        <v>228498.6</v>
      </c>
      <c r="U8" s="2">
        <f>SUM(Table1[[#This Row],[pDataC]],Table1[[#This Row],[pStart]],Table1[[#This Row],[pResult]])</f>
        <v>2886752.333333333</v>
      </c>
      <c r="V8" s="2">
        <f>Table1[[#This Row],[pTotalC]]/$G$14*$G$15</f>
        <v>433012.85</v>
      </c>
      <c r="W8" s="2">
        <v>3324424</v>
      </c>
      <c r="X8" s="2">
        <f>IF(Table1[[#This Row],[iData]]&gt;1100000,Table1[[#This Row],[interrupt]]-$AA$16,Table1[[#This Row],[interrupt]])</f>
        <v>3287646.666666667</v>
      </c>
      <c r="Y8" s="2">
        <f>Table1[[#This Row],[interruptC]]/$G$14*$G$15</f>
        <v>493147.00000000012</v>
      </c>
      <c r="Z8" s="5">
        <f>Table1[[#This Row],[interruptCF]]*(1/$G$15)</f>
        <v>4.9314700000000012E-3</v>
      </c>
      <c r="AA8" s="2">
        <v>1126315</v>
      </c>
      <c r="AB8" s="2">
        <f>IF(Table1[[#This Row],[iData]]&gt;1100000,Table1[[#This Row],[iData]]-$AA$16,Table1[[#This Row],[iData]])</f>
        <v>1089537.6666666667</v>
      </c>
      <c r="AC8" s="2">
        <f>Table1[[#This Row],[iDataC]]/$G$14*$G$15</f>
        <v>163430.65000000002</v>
      </c>
      <c r="AD8" s="2">
        <v>261956</v>
      </c>
      <c r="AE8" s="2">
        <f>Table1[[#This Row],[iStart]]/$G$14*$G$15</f>
        <v>39293.4</v>
      </c>
      <c r="AF8" s="2">
        <v>1753696</v>
      </c>
      <c r="AG8" s="2">
        <f>Table1[[#This Row],[iResult]]/$G$14*$G$15</f>
        <v>263054.40000000002</v>
      </c>
      <c r="AH8" s="2">
        <f>SUM(Table1[[#This Row],[iDataC]],Table1[[#This Row],[iStart]],Table1[[#This Row],[iResult]])</f>
        <v>3105189.666666667</v>
      </c>
      <c r="AI8" s="2">
        <f>Table1[[#This Row],[iTotalC]]/$G$14*$G$15</f>
        <v>465778.45000000007</v>
      </c>
      <c r="AJ8" s="1">
        <f>Table1[BRAM]/280</f>
        <v>0.19285714285714287</v>
      </c>
      <c r="AK8" s="1">
        <f>Table1[DSP]/220</f>
        <v>0.57272727272727275</v>
      </c>
      <c r="AL8" s="1">
        <f>Table1[FF]/106400</f>
        <v>0.1806484962406015</v>
      </c>
      <c r="AM8" s="1">
        <f>Table1[LUT]/53200</f>
        <v>0.29738721804511276</v>
      </c>
    </row>
    <row r="9" spans="1:51" x14ac:dyDescent="0.25">
      <c r="A9">
        <v>7</v>
      </c>
      <c r="B9">
        <v>8.34</v>
      </c>
      <c r="C9">
        <v>195</v>
      </c>
      <c r="D9">
        <v>196</v>
      </c>
      <c r="E9">
        <v>44</v>
      </c>
      <c r="F9">
        <v>63</v>
      </c>
      <c r="G9">
        <v>147</v>
      </c>
      <c r="H9">
        <v>22313</v>
      </c>
      <c r="I9">
        <v>18352</v>
      </c>
      <c r="J9" s="2">
        <v>2985576</v>
      </c>
      <c r="K9" s="2">
        <f>IF(Table1[[#This Row],[pData]]&gt;1100000,Table1[[#This Row],[polling]]-$N$16,Table1[[#This Row],[polling]])</f>
        <v>2962128.333333333</v>
      </c>
      <c r="L9" s="2">
        <f>Table1[[#This Row],[pollingC]]/$G$14*$G$15</f>
        <v>444319.25</v>
      </c>
      <c r="M9" s="5">
        <f>Table1[[#This Row],[pollingCF]]*(1/$G$15)</f>
        <v>4.4431925000000001E-3</v>
      </c>
      <c r="N9" s="2">
        <v>1119536</v>
      </c>
      <c r="O9" s="2">
        <f>IF(Table1[[#This Row],[pData]]&gt;1100000,Table1[[#This Row],[pData]]-$N$16,Table1[[#This Row],[pData]])</f>
        <v>1096088.3333333333</v>
      </c>
      <c r="P9" s="2">
        <f>Table1[[#This Row],[pDataC]]/$G$14*$G$15</f>
        <v>164413.25</v>
      </c>
      <c r="Q9" s="2">
        <v>267443</v>
      </c>
      <c r="R9" s="2">
        <f>Table1[[#This Row],[pStart]]/$G$14*$G$15</f>
        <v>40116.450000000004</v>
      </c>
      <c r="S9" s="2">
        <v>1409700</v>
      </c>
      <c r="T9" s="2">
        <f>Table1[[#This Row],[pResult]]/$G$14*$G$15</f>
        <v>211455.00000000003</v>
      </c>
      <c r="U9" s="2">
        <f>SUM(Table1[[#This Row],[pDataC]],Table1[[#This Row],[pStart]],Table1[[#This Row],[pResult]])</f>
        <v>2773231.333333333</v>
      </c>
      <c r="V9" s="2">
        <f>Table1[[#This Row],[pTotalC]]/$G$14*$G$15</f>
        <v>415984.69999999995</v>
      </c>
      <c r="W9" s="2">
        <v>3158840</v>
      </c>
      <c r="X9" s="2">
        <f>IF(Table1[[#This Row],[iData]]&gt;1100000,Table1[[#This Row],[interrupt]]-$AA$16,Table1[[#This Row],[interrupt]])</f>
        <v>3122062.666666667</v>
      </c>
      <c r="Y9" s="2">
        <f>Table1[[#This Row],[interruptC]]/$G$14*$G$15</f>
        <v>468309.4</v>
      </c>
      <c r="Z9" s="5">
        <f>Table1[[#This Row],[interruptCF]]*(1/$G$15)</f>
        <v>4.6830940000000005E-3</v>
      </c>
      <c r="AA9" s="2">
        <v>1128502</v>
      </c>
      <c r="AB9" s="2">
        <f>IF(Table1[[#This Row],[iData]]&gt;1100000,Table1[[#This Row],[iData]]-$AA$16,Table1[[#This Row],[iData]])</f>
        <v>1091724.6666666667</v>
      </c>
      <c r="AC9" s="2">
        <f>Table1[[#This Row],[iDataC]]/$G$14*$G$15</f>
        <v>163758.70000000001</v>
      </c>
      <c r="AD9" s="2">
        <v>262199</v>
      </c>
      <c r="AE9" s="2">
        <f>Table1[[#This Row],[iStart]]/$G$14*$G$15</f>
        <v>39329.850000000006</v>
      </c>
      <c r="AF9" s="2">
        <v>1585595</v>
      </c>
      <c r="AG9" s="2">
        <f>Table1[[#This Row],[iResult]]/$G$14*$G$15</f>
        <v>237839.25000000003</v>
      </c>
      <c r="AH9" s="2">
        <f>SUM(Table1[[#This Row],[iDataC]],Table1[[#This Row],[iStart]],Table1[[#This Row],[iResult]])</f>
        <v>2939518.666666667</v>
      </c>
      <c r="AI9" s="2">
        <f>Table1[[#This Row],[iTotalC]]/$G$14*$G$15</f>
        <v>440927.8000000001</v>
      </c>
      <c r="AJ9" s="1">
        <f>Table1[BRAM]/280</f>
        <v>0.22500000000000001</v>
      </c>
      <c r="AK9" s="1">
        <f>Table1[DSP]/220</f>
        <v>0.66818181818181821</v>
      </c>
      <c r="AL9" s="1">
        <f>Table1[FF]/106400</f>
        <v>0.20970864661654134</v>
      </c>
      <c r="AM9" s="1">
        <f>Table1[LUT]/53200</f>
        <v>0.34496240601503758</v>
      </c>
    </row>
    <row r="10" spans="1:51" x14ac:dyDescent="0.25">
      <c r="A10">
        <v>8</v>
      </c>
      <c r="B10">
        <v>8.75</v>
      </c>
      <c r="C10">
        <v>178</v>
      </c>
      <c r="D10">
        <v>179</v>
      </c>
      <c r="E10">
        <v>45</v>
      </c>
      <c r="F10">
        <v>72</v>
      </c>
      <c r="G10">
        <v>168</v>
      </c>
      <c r="H10">
        <v>25695</v>
      </c>
      <c r="I10">
        <v>20917</v>
      </c>
      <c r="J10" s="2">
        <v>2874027</v>
      </c>
      <c r="K10" s="2">
        <f>IF(Table1[[#This Row],[pData]]&gt;1100000,Table1[[#This Row],[polling]]-$N$16,Table1[[#This Row],[polling]])</f>
        <v>2850579.333333333</v>
      </c>
      <c r="L10" s="2">
        <f>Table1[[#This Row],[pollingC]]/$G$14*$G$15</f>
        <v>427586.89999999997</v>
      </c>
      <c r="M10" s="5">
        <f>Table1[[#This Row],[pollingCF]]*(1/$G$15)</f>
        <v>4.2758689999999999E-3</v>
      </c>
      <c r="N10" s="2">
        <v>1120321</v>
      </c>
      <c r="O10" s="2">
        <f>IF(Table1[[#This Row],[pData]]&gt;1100000,Table1[[#This Row],[pData]]-$N$16,Table1[[#This Row],[pData]])</f>
        <v>1096873.3333333333</v>
      </c>
      <c r="P10" s="2">
        <f>Table1[[#This Row],[pDataC]]/$G$14*$G$15</f>
        <v>164531</v>
      </c>
      <c r="Q10" s="2">
        <v>267220</v>
      </c>
      <c r="R10" s="2">
        <f>Table1[[#This Row],[pStart]]/$G$14*$G$15</f>
        <v>40083</v>
      </c>
      <c r="S10" s="2">
        <v>1297025</v>
      </c>
      <c r="T10" s="2">
        <f>Table1[[#This Row],[pResult]]/$G$14*$G$15</f>
        <v>194553.75000000003</v>
      </c>
      <c r="U10" s="2">
        <f>SUM(Table1[[#This Row],[pDataC]],Table1[[#This Row],[pStart]],Table1[[#This Row],[pResult]])</f>
        <v>2661118.333333333</v>
      </c>
      <c r="V10" s="2">
        <f>Table1[[#This Row],[pTotalC]]/$G$14*$G$15</f>
        <v>399167.74999999994</v>
      </c>
      <c r="W10" s="2">
        <v>3042863</v>
      </c>
      <c r="X10" s="2">
        <f>IF(Table1[[#This Row],[iData]]&gt;1100000,Table1[[#This Row],[interrupt]]-$AA$16,Table1[[#This Row],[interrupt]])</f>
        <v>3006085.666666667</v>
      </c>
      <c r="Y10" s="2">
        <f>Table1[[#This Row],[interruptC]]/$G$14*$G$15</f>
        <v>450912.85000000009</v>
      </c>
      <c r="Z10" s="5">
        <f>Table1[[#This Row],[interruptCF]]*(1/$G$15)</f>
        <v>4.5091285000000009E-3</v>
      </c>
      <c r="AA10" s="2">
        <v>1125972</v>
      </c>
      <c r="AB10" s="2">
        <f>IF(Table1[[#This Row],[iData]]&gt;1100000,Table1[[#This Row],[iData]]-$AA$16,Table1[[#This Row],[iData]])</f>
        <v>1089194.6666666667</v>
      </c>
      <c r="AC10" s="2">
        <f>Table1[[#This Row],[iDataC]]/$G$14*$G$15</f>
        <v>163379.20000000001</v>
      </c>
      <c r="AD10" s="2">
        <v>262579</v>
      </c>
      <c r="AE10" s="2">
        <f>Table1[[#This Row],[iStart]]/$G$14*$G$15</f>
        <v>39386.850000000006</v>
      </c>
      <c r="AF10" s="2">
        <v>1471984</v>
      </c>
      <c r="AG10" s="2">
        <f>Table1[[#This Row],[iResult]]/$G$14*$G$15</f>
        <v>220797.6</v>
      </c>
      <c r="AH10" s="2">
        <f>SUM(Table1[[#This Row],[iDataC]],Table1[[#This Row],[iStart]],Table1[[#This Row],[iResult]])</f>
        <v>2823757.666666667</v>
      </c>
      <c r="AI10" s="2">
        <f>Table1[[#This Row],[iTotalC]]/$G$14*$G$15</f>
        <v>423563.65000000008</v>
      </c>
      <c r="AJ10" s="1">
        <f>Table1[BRAM]/280</f>
        <v>0.25714285714285712</v>
      </c>
      <c r="AK10" s="1">
        <f>Table1[DSP]/220</f>
        <v>0.76363636363636367</v>
      </c>
      <c r="AL10" s="1">
        <f>Table1[FF]/106400</f>
        <v>0.24149436090225565</v>
      </c>
      <c r="AM10" s="1">
        <f>Table1[LUT]/53200</f>
        <v>0.39317669172932329</v>
      </c>
    </row>
    <row r="11" spans="1:51" x14ac:dyDescent="0.25">
      <c r="A11">
        <v>9</v>
      </c>
      <c r="B11">
        <v>8.75</v>
      </c>
      <c r="C11">
        <v>162</v>
      </c>
      <c r="D11">
        <v>163</v>
      </c>
      <c r="E11">
        <v>44</v>
      </c>
      <c r="F11">
        <v>81</v>
      </c>
      <c r="G11">
        <v>189</v>
      </c>
      <c r="H11">
        <v>28870</v>
      </c>
      <c r="I11">
        <v>23389</v>
      </c>
      <c r="J11" s="2">
        <v>2699616</v>
      </c>
      <c r="K11" s="2">
        <f>IF(Table1[[#This Row],[pData]]&gt;1100000,Table1[[#This Row],[polling]]-$N$16,Table1[[#This Row],[polling]])</f>
        <v>2699616</v>
      </c>
      <c r="L11" s="2">
        <f>Table1[[#This Row],[pollingC]]/$G$14*$G$15</f>
        <v>404942.4</v>
      </c>
      <c r="M11" s="5">
        <f>Table1[[#This Row],[pollingCF]]*(1/$G$15)</f>
        <v>4.0494240000000003E-3</v>
      </c>
      <c r="N11" s="2">
        <v>1096176</v>
      </c>
      <c r="O11" s="2">
        <f>IF(Table1[[#This Row],[pData]]&gt;1100000,Table1[[#This Row],[pData]]-$N$16,Table1[[#This Row],[pData]])</f>
        <v>1096176</v>
      </c>
      <c r="P11" s="2">
        <f>Table1[[#This Row],[pDataC]]/$G$14*$G$15</f>
        <v>164426.40000000002</v>
      </c>
      <c r="Q11" s="2">
        <v>266815</v>
      </c>
      <c r="R11" s="2">
        <f>Table1[[#This Row],[pStart]]/$G$14*$G$15</f>
        <v>40022.25</v>
      </c>
      <c r="S11" s="2">
        <v>1149229</v>
      </c>
      <c r="T11" s="2">
        <f>Table1[[#This Row],[pResult]]/$G$14*$G$15</f>
        <v>172384.35</v>
      </c>
      <c r="U11" s="2">
        <f>SUM(Table1[[#This Row],[pDataC]],Table1[[#This Row],[pStart]],Table1[[#This Row],[pResult]])</f>
        <v>2512220</v>
      </c>
      <c r="V11" s="2">
        <f>Table1[[#This Row],[pTotalC]]/$G$14*$G$15</f>
        <v>376833</v>
      </c>
      <c r="W11" s="2">
        <v>2907157</v>
      </c>
      <c r="X11" s="2">
        <f>IF(Table1[[#This Row],[iData]]&gt;1100000,Table1[[#This Row],[interrupt]]-$AA$16,Table1[[#This Row],[interrupt]])</f>
        <v>2907157</v>
      </c>
      <c r="Y11" s="2">
        <f>Table1[[#This Row],[interruptC]]/$G$14*$G$15</f>
        <v>436073.55</v>
      </c>
      <c r="Z11" s="5">
        <f>Table1[[#This Row],[interruptCF]]*(1/$G$15)</f>
        <v>4.3607354999999999E-3</v>
      </c>
      <c r="AA11" s="2">
        <v>1089955</v>
      </c>
      <c r="AB11" s="2">
        <f>IF(Table1[[#This Row],[iData]]&gt;1100000,Table1[[#This Row],[iData]]-$AA$16,Table1[[#This Row],[iData]])</f>
        <v>1089955</v>
      </c>
      <c r="AC11" s="2">
        <f>Table1[[#This Row],[iDataC]]/$G$14*$G$15</f>
        <v>163493.25</v>
      </c>
      <c r="AD11" s="2">
        <v>267180</v>
      </c>
      <c r="AE11" s="2">
        <f>Table1[[#This Row],[iStart]]/$G$14*$G$15</f>
        <v>40077</v>
      </c>
      <c r="AF11" s="2">
        <v>1366796</v>
      </c>
      <c r="AG11" s="2">
        <f>Table1[[#This Row],[iResult]]/$G$14*$G$15</f>
        <v>205019.4</v>
      </c>
      <c r="AH11" s="2">
        <f>SUM(Table1[[#This Row],[iDataC]],Table1[[#This Row],[iStart]],Table1[[#This Row],[iResult]])</f>
        <v>2723931</v>
      </c>
      <c r="AI11" s="2">
        <f>Table1[[#This Row],[iTotalC]]/$G$14*$G$15</f>
        <v>408589.65</v>
      </c>
      <c r="AJ11" s="1">
        <f>Table1[BRAM]/280</f>
        <v>0.28928571428571431</v>
      </c>
      <c r="AK11" s="1">
        <f>Table1[DSP]/220</f>
        <v>0.85909090909090913</v>
      </c>
      <c r="AL11" s="1">
        <f>Table1[FF]/106400</f>
        <v>0.27133458646616543</v>
      </c>
      <c r="AM11" s="1">
        <f>Table1[LUT]/53200</f>
        <v>0.43964285714285717</v>
      </c>
    </row>
    <row r="12" spans="1:51" x14ac:dyDescent="0.25">
      <c r="A12">
        <v>10</v>
      </c>
      <c r="B12">
        <v>8.34</v>
      </c>
      <c r="C12">
        <v>150</v>
      </c>
      <c r="D12">
        <v>151</v>
      </c>
      <c r="E12">
        <v>44</v>
      </c>
      <c r="F12">
        <v>90</v>
      </c>
      <c r="G12">
        <v>210</v>
      </c>
      <c r="H12">
        <v>31606</v>
      </c>
      <c r="I12">
        <v>25919</v>
      </c>
      <c r="J12" s="2">
        <v>2651050</v>
      </c>
      <c r="K12" s="2">
        <f>IF(Table1[[#This Row],[pData]]&gt;1100000,Table1[[#This Row],[polling]]-$N$16,Table1[[#This Row],[polling]])</f>
        <v>2651050</v>
      </c>
      <c r="L12" s="2">
        <f>Table1[[#This Row],[pollingC]]/$G$14*$G$15</f>
        <v>397657.50000000006</v>
      </c>
      <c r="M12" s="5">
        <f>Table1[[#This Row],[pollingCF]]*(1/$G$15)</f>
        <v>3.9765750000000004E-3</v>
      </c>
      <c r="N12" s="2">
        <v>1097106</v>
      </c>
      <c r="O12" s="2">
        <f>IF(Table1[[#This Row],[pData]]&gt;1100000,Table1[[#This Row],[pData]]-$N$16,Table1[[#This Row],[pData]])</f>
        <v>1097106</v>
      </c>
      <c r="P12" s="2">
        <f>Table1[[#This Row],[pDataC]]/$G$14*$G$15</f>
        <v>164565.9</v>
      </c>
      <c r="Q12" s="2">
        <v>266477</v>
      </c>
      <c r="R12" s="2">
        <f>Table1[[#This Row],[pStart]]/$G$14*$G$15</f>
        <v>39971.550000000003</v>
      </c>
      <c r="S12" s="2">
        <v>1100153</v>
      </c>
      <c r="T12" s="2">
        <f>Table1[[#This Row],[pResult]]/$G$14*$G$15</f>
        <v>165022.95000000001</v>
      </c>
      <c r="U12" s="2">
        <f>SUM(Table1[[#This Row],[pDataC]],Table1[[#This Row],[pStart]],Table1[[#This Row],[pResult]])</f>
        <v>2463736</v>
      </c>
      <c r="V12" s="2">
        <f>Table1[[#This Row],[pTotalC]]/$G$14*$G$15</f>
        <v>369560.4</v>
      </c>
      <c r="W12" s="2">
        <v>2826954</v>
      </c>
      <c r="X12" s="2">
        <f>IF(Table1[[#This Row],[iData]]&gt;1100000,Table1[[#This Row],[interrupt]]-$AA$16,Table1[[#This Row],[interrupt]])</f>
        <v>2826954</v>
      </c>
      <c r="Y12" s="2">
        <f>Table1[[#This Row],[interruptC]]/$G$14*$G$15</f>
        <v>424043.10000000003</v>
      </c>
      <c r="Z12" s="5">
        <f>Table1[[#This Row],[interruptCF]]*(1/$G$15)</f>
        <v>4.2404310000000002E-3</v>
      </c>
      <c r="AA12" s="2">
        <v>1089788</v>
      </c>
      <c r="AB12" s="2">
        <f>IF(Table1[[#This Row],[iData]]&gt;1100000,Table1[[#This Row],[iData]]-$AA$16,Table1[[#This Row],[iData]])</f>
        <v>1089788</v>
      </c>
      <c r="AC12" s="2">
        <f>Table1[[#This Row],[iDataC]]/$G$14*$G$15</f>
        <v>163468.20000000001</v>
      </c>
      <c r="AD12" s="2">
        <v>267248</v>
      </c>
      <c r="AE12" s="2">
        <f>Table1[[#This Row],[iStart]]/$G$14*$G$15</f>
        <v>40087.200000000004</v>
      </c>
      <c r="AF12" s="2">
        <v>1287373</v>
      </c>
      <c r="AG12" s="2">
        <f>Table1[[#This Row],[iResult]]/$G$14*$G$15</f>
        <v>193105.95</v>
      </c>
      <c r="AH12" s="2">
        <f>SUM(Table1[[#This Row],[iDataC]],Table1[[#This Row],[iStart]],Table1[[#This Row],[iResult]])</f>
        <v>2644409</v>
      </c>
      <c r="AI12" s="2">
        <f>Table1[[#This Row],[iTotalC]]/$G$14*$G$15</f>
        <v>396661.35000000003</v>
      </c>
      <c r="AJ12" s="1">
        <f>Table1[BRAM]/280</f>
        <v>0.32142857142857145</v>
      </c>
      <c r="AK12" s="1">
        <f>Table1[DSP]/220</f>
        <v>0.95454545454545459</v>
      </c>
      <c r="AL12" s="1">
        <f>Table1[FF]/106400</f>
        <v>0.29704887218045112</v>
      </c>
      <c r="AM12" s="1">
        <f>Table1[LUT]/53200</f>
        <v>0.48719924812030074</v>
      </c>
    </row>
    <row r="14" spans="1:51" x14ac:dyDescent="0.25">
      <c r="F14" t="s">
        <v>31</v>
      </c>
      <c r="G14" s="3">
        <f>2/3*1000*1000*1000</f>
        <v>666666666.66666663</v>
      </c>
      <c r="K14" s="2" t="s">
        <v>28</v>
      </c>
      <c r="L14" s="7">
        <v>450799520</v>
      </c>
      <c r="M14" s="7">
        <v>200720148</v>
      </c>
      <c r="N14" s="2">
        <f>AVERAGE(N3:N10)</f>
        <v>1119954</v>
      </c>
      <c r="R14" s="2" t="s">
        <v>50</v>
      </c>
      <c r="S14" s="2" t="s">
        <v>48</v>
      </c>
      <c r="T14" s="5" t="s">
        <v>52</v>
      </c>
      <c r="U14" s="2" t="s">
        <v>49</v>
      </c>
      <c r="V14" s="6" t="s">
        <v>53</v>
      </c>
      <c r="Y14" s="2" t="s">
        <v>54</v>
      </c>
      <c r="Z14" s="5" t="s">
        <v>55</v>
      </c>
      <c r="AA14" s="2" t="s">
        <v>57</v>
      </c>
      <c r="AB14" s="2" t="s">
        <v>43</v>
      </c>
      <c r="AC14" s="2" t="s">
        <v>56</v>
      </c>
    </row>
    <row r="15" spans="1:51" x14ac:dyDescent="0.25">
      <c r="F15" t="s">
        <v>32</v>
      </c>
      <c r="G15" s="3">
        <f>100*1000*1000</f>
        <v>100000000</v>
      </c>
      <c r="K15" s="2" t="s">
        <v>29</v>
      </c>
      <c r="L15" s="7">
        <v>450858720</v>
      </c>
      <c r="M15" s="7">
        <v>200724161</v>
      </c>
      <c r="N15" s="2">
        <f>AVERAGE(N2,N11,N12)</f>
        <v>1096506.3333333333</v>
      </c>
      <c r="R15" s="2" t="str">
        <f>L19</f>
        <v>double</v>
      </c>
      <c r="T15" s="5">
        <f>L18</f>
        <v>0.6762387445000001</v>
      </c>
      <c r="V15" s="6">
        <f t="shared" ref="V15:V27" si="0">2000/T15</f>
        <v>2957.5353619804309</v>
      </c>
      <c r="AA15" s="2">
        <f>AVERAGE(AA2,AA11,AA12)</f>
        <v>1089809.6666666667</v>
      </c>
    </row>
    <row r="16" spans="1:51" x14ac:dyDescent="0.25">
      <c r="K16" s="2" t="s">
        <v>30</v>
      </c>
      <c r="L16" s="7">
        <v>450819249</v>
      </c>
      <c r="M16" s="7">
        <v>200710351</v>
      </c>
      <c r="N16" s="2">
        <f>N14-N15</f>
        <v>23447.666666666744</v>
      </c>
      <c r="R16" s="2" t="str">
        <f>M19</f>
        <v>fixed</v>
      </c>
      <c r="T16" s="5">
        <f>M18</f>
        <v>0.30107733000000003</v>
      </c>
      <c r="V16" s="6">
        <f t="shared" si="0"/>
        <v>6642.8116656939919</v>
      </c>
      <c r="AA16" s="2">
        <f>AA14-AA15</f>
        <v>36777.333333333256</v>
      </c>
    </row>
    <row r="17" spans="12:29" x14ac:dyDescent="0.25">
      <c r="L17" s="7">
        <f>AVERAGE(L14:L16)</f>
        <v>450825829.66666669</v>
      </c>
      <c r="M17" s="7">
        <f>AVERAGE(M14:M16)</f>
        <v>200718220</v>
      </c>
      <c r="R17" s="2" t="str">
        <f>A2</f>
        <v>unopt</v>
      </c>
      <c r="T17" s="5">
        <f>V2*(1/$G$15)</f>
        <v>1.3624277415000001</v>
      </c>
      <c r="V17" s="6">
        <f t="shared" si="0"/>
        <v>1467.9677601089127</v>
      </c>
    </row>
    <row r="18" spans="12:29" x14ac:dyDescent="0.25">
      <c r="L18" s="4">
        <f>L17/G14</f>
        <v>0.6762387445000001</v>
      </c>
      <c r="M18" s="4">
        <f>M17/G14</f>
        <v>0.30107733000000003</v>
      </c>
      <c r="R18" s="2">
        <f>A3</f>
        <v>1</v>
      </c>
      <c r="T18" s="5">
        <f>V3*(1/$G$15)*1000</f>
        <v>13.142808500000001</v>
      </c>
      <c r="V18" s="6">
        <f t="shared" si="0"/>
        <v>152.17447625444743</v>
      </c>
      <c r="Y18" s="5">
        <f>P3/$G$15*1000</f>
        <v>1.6451210000000001</v>
      </c>
      <c r="Z18" s="5">
        <f>R3/$G$15*1000</f>
        <v>0.40040249999999999</v>
      </c>
      <c r="AA18" s="5">
        <f t="shared" ref="Z18:AC18" si="1">R3/$G$15</f>
        <v>4.0040250000000001E-4</v>
      </c>
      <c r="AB18" s="5">
        <f t="shared" si="1"/>
        <v>7.3981900000000003E-2</v>
      </c>
      <c r="AC18" s="5">
        <f>T3/$G$15*1000</f>
        <v>11.097284999999999</v>
      </c>
    </row>
    <row r="19" spans="12:29" x14ac:dyDescent="0.25">
      <c r="L19" s="2" t="s">
        <v>46</v>
      </c>
      <c r="M19" s="5" t="s">
        <v>47</v>
      </c>
      <c r="R19" s="2">
        <f>A4</f>
        <v>2</v>
      </c>
      <c r="T19" s="5">
        <f t="shared" ref="T19:T27" si="2">V4*(1/$G$15)*1000</f>
        <v>7.8995390000000008</v>
      </c>
      <c r="V19" s="6">
        <f t="shared" si="0"/>
        <v>253.17933109767543</v>
      </c>
      <c r="Y19" s="5">
        <f t="shared" ref="Y19:Y27" si="3">P4/$G$15*1000</f>
        <v>1.6441805000000003</v>
      </c>
      <c r="Z19" s="5">
        <f t="shared" ref="Z19:Z27" si="4">R4/$G$15*1000</f>
        <v>0.40118250000000011</v>
      </c>
      <c r="AA19" s="5">
        <f t="shared" ref="AA19:AA27" si="5">R4/$G$15</f>
        <v>4.011825000000001E-4</v>
      </c>
      <c r="AB19" s="5">
        <f t="shared" ref="AB19:AB27" si="6">S4/$G$15</f>
        <v>3.9027840000000001E-2</v>
      </c>
      <c r="AC19" s="5">
        <f t="shared" ref="AC19:AC27" si="7">T4/$G$15*1000</f>
        <v>5.8541759999999998</v>
      </c>
    </row>
    <row r="20" spans="12:29" x14ac:dyDescent="0.25">
      <c r="R20" s="2">
        <f>A5</f>
        <v>3</v>
      </c>
      <c r="T20" s="5">
        <f t="shared" si="2"/>
        <v>6.0317180000000006</v>
      </c>
      <c r="V20" s="6">
        <f t="shared" si="0"/>
        <v>331.58048834511158</v>
      </c>
      <c r="Y20" s="5">
        <f t="shared" si="3"/>
        <v>1.6447400000000001</v>
      </c>
      <c r="Z20" s="5">
        <f t="shared" si="4"/>
        <v>0.40066200000000002</v>
      </c>
      <c r="AA20" s="5">
        <f t="shared" si="5"/>
        <v>4.0066200000000003E-4</v>
      </c>
      <c r="AB20" s="5">
        <f t="shared" si="6"/>
        <v>2.6575439999999999E-2</v>
      </c>
      <c r="AC20" s="5">
        <f t="shared" si="7"/>
        <v>3.986316</v>
      </c>
    </row>
    <row r="21" spans="12:29" x14ac:dyDescent="0.25">
      <c r="R21" s="2">
        <f>A6</f>
        <v>4</v>
      </c>
      <c r="T21" s="5">
        <f t="shared" si="2"/>
        <v>5.1845224999999999</v>
      </c>
      <c r="V21" s="6">
        <f t="shared" si="0"/>
        <v>385.76358767851815</v>
      </c>
      <c r="Y21" s="5">
        <f t="shared" si="3"/>
        <v>1.6450835000000001</v>
      </c>
      <c r="Z21" s="5">
        <f t="shared" si="4"/>
        <v>0.40116000000000002</v>
      </c>
      <c r="AA21" s="5">
        <f t="shared" si="5"/>
        <v>4.0116000000000001E-4</v>
      </c>
      <c r="AB21" s="5">
        <f t="shared" si="6"/>
        <v>2.092186E-2</v>
      </c>
      <c r="AC21" s="5">
        <f t="shared" si="7"/>
        <v>3.1382790000000003</v>
      </c>
    </row>
    <row r="22" spans="12:29" x14ac:dyDescent="0.25">
      <c r="R22" s="2">
        <f>A7</f>
        <v>5</v>
      </c>
      <c r="T22" s="5">
        <f t="shared" si="2"/>
        <v>4.6715554999999993</v>
      </c>
      <c r="V22" s="6">
        <f t="shared" si="0"/>
        <v>428.12292393829</v>
      </c>
      <c r="Y22" s="5">
        <f t="shared" si="3"/>
        <v>1.6452665</v>
      </c>
      <c r="Z22" s="5">
        <f t="shared" si="4"/>
        <v>0.40041450000000006</v>
      </c>
      <c r="AA22" s="5">
        <f t="shared" si="5"/>
        <v>4.0041450000000004E-4</v>
      </c>
      <c r="AB22" s="5">
        <f t="shared" si="6"/>
        <v>1.750583E-2</v>
      </c>
      <c r="AC22" s="5">
        <f t="shared" si="7"/>
        <v>2.6258745000000001</v>
      </c>
    </row>
    <row r="23" spans="12:29" x14ac:dyDescent="0.25">
      <c r="R23" s="2">
        <f>A8</f>
        <v>6</v>
      </c>
      <c r="T23" s="5">
        <f t="shared" si="2"/>
        <v>4.3301284999999998</v>
      </c>
      <c r="V23" s="6">
        <f t="shared" si="0"/>
        <v>461.88005737012196</v>
      </c>
      <c r="Y23" s="5">
        <f t="shared" si="3"/>
        <v>1.6442419999999998</v>
      </c>
      <c r="Z23" s="5">
        <f t="shared" si="4"/>
        <v>0.40090050000000005</v>
      </c>
      <c r="AA23" s="5">
        <f t="shared" si="5"/>
        <v>4.0090050000000005E-4</v>
      </c>
      <c r="AB23" s="5">
        <f t="shared" si="6"/>
        <v>1.523324E-2</v>
      </c>
      <c r="AC23" s="5">
        <f t="shared" si="7"/>
        <v>2.284986</v>
      </c>
    </row>
    <row r="24" spans="12:29" x14ac:dyDescent="0.25">
      <c r="R24" s="2">
        <f>A9</f>
        <v>7</v>
      </c>
      <c r="T24" s="5">
        <f t="shared" si="2"/>
        <v>4.1598469999999992</v>
      </c>
      <c r="V24" s="6">
        <f t="shared" si="0"/>
        <v>480.78691355715739</v>
      </c>
      <c r="Y24" s="5">
        <f t="shared" si="3"/>
        <v>1.6441325</v>
      </c>
      <c r="Z24" s="5">
        <f t="shared" si="4"/>
        <v>0.40116450000000003</v>
      </c>
      <c r="AA24" s="5">
        <f t="shared" si="5"/>
        <v>4.0116450000000003E-4</v>
      </c>
      <c r="AB24" s="5">
        <f t="shared" si="6"/>
        <v>1.4097E-2</v>
      </c>
      <c r="AC24" s="5">
        <f t="shared" si="7"/>
        <v>2.1145500000000004</v>
      </c>
    </row>
    <row r="25" spans="12:29" x14ac:dyDescent="0.25">
      <c r="R25" s="2">
        <f>A10</f>
        <v>8</v>
      </c>
      <c r="T25" s="5">
        <f t="shared" si="2"/>
        <v>3.9916774999999998</v>
      </c>
      <c r="V25" s="6">
        <f t="shared" si="0"/>
        <v>501.04248151309821</v>
      </c>
      <c r="Y25" s="5">
        <f t="shared" si="3"/>
        <v>1.6453100000000001</v>
      </c>
      <c r="Z25" s="5">
        <f t="shared" si="4"/>
        <v>0.40083000000000002</v>
      </c>
      <c r="AA25" s="5">
        <f t="shared" si="5"/>
        <v>4.0083000000000002E-4</v>
      </c>
      <c r="AB25" s="5">
        <f t="shared" si="6"/>
        <v>1.2970249999999999E-2</v>
      </c>
      <c r="AC25" s="5">
        <f t="shared" si="7"/>
        <v>1.9455375000000004</v>
      </c>
    </row>
    <row r="26" spans="12:29" x14ac:dyDescent="0.25">
      <c r="R26" s="2">
        <f>A11</f>
        <v>9</v>
      </c>
      <c r="T26" s="5">
        <f t="shared" si="2"/>
        <v>3.7683300000000002</v>
      </c>
      <c r="V26" s="6">
        <f t="shared" si="0"/>
        <v>530.73908070683831</v>
      </c>
      <c r="Y26" s="5">
        <f t="shared" si="3"/>
        <v>1.6442640000000004</v>
      </c>
      <c r="Z26" s="5">
        <f t="shared" si="4"/>
        <v>0.40022249999999998</v>
      </c>
      <c r="AA26" s="5">
        <f t="shared" si="5"/>
        <v>4.002225E-4</v>
      </c>
      <c r="AB26" s="5">
        <f t="shared" si="6"/>
        <v>1.149229E-2</v>
      </c>
      <c r="AC26" s="5">
        <f t="shared" si="7"/>
        <v>1.7238435000000001</v>
      </c>
    </row>
    <row r="27" spans="12:29" x14ac:dyDescent="0.25">
      <c r="R27" s="2">
        <f>A12</f>
        <v>10</v>
      </c>
      <c r="T27" s="5">
        <f t="shared" si="2"/>
        <v>3.6956040000000003</v>
      </c>
      <c r="V27" s="6">
        <f t="shared" si="0"/>
        <v>541.18352507465625</v>
      </c>
      <c r="Y27" s="5">
        <f t="shared" si="3"/>
        <v>1.6456589999999998</v>
      </c>
      <c r="Z27" s="5">
        <f t="shared" si="4"/>
        <v>0.39971550000000006</v>
      </c>
      <c r="AA27" s="5">
        <f t="shared" si="5"/>
        <v>3.9971550000000004E-4</v>
      </c>
      <c r="AB27" s="5">
        <f t="shared" si="6"/>
        <v>1.1001530000000001E-2</v>
      </c>
      <c r="AC27" s="5">
        <f t="shared" si="7"/>
        <v>1.6502295000000002</v>
      </c>
    </row>
  </sheetData>
  <pageMargins left="0.7" right="0.7" top="0.75" bottom="0.75" header="0.3" footer="0.3"/>
  <pageSetup paperSize="9" scale="95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cp:lastPrinted>2017-03-17T14:39:31Z</cp:lastPrinted>
  <dcterms:created xsi:type="dcterms:W3CDTF">2017-03-16T23:01:12Z</dcterms:created>
  <dcterms:modified xsi:type="dcterms:W3CDTF">2017-03-17T14:40:11Z</dcterms:modified>
</cp:coreProperties>
</file>