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iyb\Documents\Design\Imperial\ADSD\SVM\report\data\"/>
    </mc:Choice>
  </mc:AlternateContent>
  <bookViews>
    <workbookView xWindow="0" yWindow="0" windowWidth="15510" windowHeight="74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4" i="1"/>
  <c r="AE4" i="1" s="1"/>
  <c r="W2" i="1"/>
  <c r="W11" i="1"/>
  <c r="W12" i="1"/>
  <c r="K2" i="1"/>
  <c r="L2" i="1" s="1"/>
  <c r="K11" i="1"/>
  <c r="K12" i="1"/>
  <c r="Z2" i="1"/>
  <c r="AF2" i="1" s="1"/>
  <c r="Z11" i="1"/>
  <c r="AF11" i="1" s="1"/>
  <c r="AG11" i="1" s="1"/>
  <c r="Z12" i="1"/>
  <c r="AF12" i="1" s="1"/>
  <c r="N2" i="1"/>
  <c r="N11" i="1"/>
  <c r="T11" i="1" s="1"/>
  <c r="N12" i="1"/>
  <c r="T12" i="1" s="1"/>
  <c r="U12" i="1" s="1"/>
  <c r="Y15" i="1"/>
  <c r="Y14" i="1"/>
  <c r="M15" i="1"/>
  <c r="M14" i="1"/>
  <c r="M16" i="1" s="1"/>
  <c r="AH2" i="1"/>
  <c r="AI2" i="1"/>
  <c r="AJ2" i="1"/>
  <c r="AK2" i="1"/>
  <c r="AH12" i="1"/>
  <c r="AI12" i="1"/>
  <c r="AJ12" i="1"/>
  <c r="AK12" i="1"/>
  <c r="AH11" i="1"/>
  <c r="AI11" i="1"/>
  <c r="AJ11" i="1"/>
  <c r="AK11" i="1"/>
  <c r="AH10" i="1"/>
  <c r="AI10" i="1"/>
  <c r="AJ10" i="1"/>
  <c r="AK10" i="1"/>
  <c r="AH9" i="1"/>
  <c r="AI9" i="1"/>
  <c r="AJ9" i="1"/>
  <c r="AK9" i="1"/>
  <c r="AH8" i="1"/>
  <c r="AI8" i="1"/>
  <c r="AJ8" i="1"/>
  <c r="AK8" i="1"/>
  <c r="AH7" i="1"/>
  <c r="AI7" i="1"/>
  <c r="AJ7" i="1"/>
  <c r="AK7" i="1"/>
  <c r="AH6" i="1"/>
  <c r="AI6" i="1"/>
  <c r="AJ6" i="1"/>
  <c r="AK6" i="1"/>
  <c r="AK3" i="1"/>
  <c r="AK4" i="1"/>
  <c r="AK5" i="1"/>
  <c r="AH5" i="1"/>
  <c r="AI5" i="1"/>
  <c r="AJ5" i="1"/>
  <c r="AH4" i="1"/>
  <c r="AI4" i="1"/>
  <c r="AJ4" i="1"/>
  <c r="AJ3" i="1"/>
  <c r="AI3" i="1"/>
  <c r="AH3" i="1"/>
  <c r="K3" i="1" l="1"/>
  <c r="L3" i="1" s="1"/>
  <c r="K7" i="1"/>
  <c r="L7" i="1" s="1"/>
  <c r="N5" i="1"/>
  <c r="O5" i="1" s="1"/>
  <c r="N9" i="1"/>
  <c r="O9" i="1" s="1"/>
  <c r="K10" i="1"/>
  <c r="L10" i="1" s="1"/>
  <c r="K4" i="1"/>
  <c r="L4" i="1" s="1"/>
  <c r="K8" i="1"/>
  <c r="L8" i="1" s="1"/>
  <c r="N6" i="1"/>
  <c r="O6" i="1" s="1"/>
  <c r="N10" i="1"/>
  <c r="O10" i="1" s="1"/>
  <c r="N4" i="1"/>
  <c r="T4" i="1" s="1"/>
  <c r="U4" i="1" s="1"/>
  <c r="N8" i="1"/>
  <c r="T8" i="1" s="1"/>
  <c r="U8" i="1" s="1"/>
  <c r="K5" i="1"/>
  <c r="L5" i="1" s="1"/>
  <c r="K9" i="1"/>
  <c r="L9" i="1" s="1"/>
  <c r="N3" i="1"/>
  <c r="T3" i="1" s="1"/>
  <c r="U3" i="1" s="1"/>
  <c r="N7" i="1"/>
  <c r="T7" i="1" s="1"/>
  <c r="U7" i="1" s="1"/>
  <c r="K6" i="1"/>
  <c r="L6" i="1" s="1"/>
  <c r="Q10" i="1"/>
  <c r="Q2" i="1"/>
  <c r="AC12" i="1"/>
  <c r="AC4" i="1"/>
  <c r="AE3" i="1"/>
  <c r="U11" i="1"/>
  <c r="AG2" i="1"/>
  <c r="X12" i="1"/>
  <c r="Q9" i="1"/>
  <c r="Q5" i="1"/>
  <c r="S12" i="1"/>
  <c r="S8" i="1"/>
  <c r="S4" i="1"/>
  <c r="AC11" i="1"/>
  <c r="AC7" i="1"/>
  <c r="AC3" i="1"/>
  <c r="AE10" i="1"/>
  <c r="AE6" i="1"/>
  <c r="AE2" i="1"/>
  <c r="Q6" i="1"/>
  <c r="S9" i="1"/>
  <c r="S5" i="1"/>
  <c r="AC8" i="1"/>
  <c r="AE11" i="1"/>
  <c r="AE7" i="1"/>
  <c r="Y16" i="1"/>
  <c r="O2" i="1"/>
  <c r="L12" i="1"/>
  <c r="X11" i="1"/>
  <c r="Q12" i="1"/>
  <c r="Q8" i="1"/>
  <c r="Q4" i="1"/>
  <c r="S11" i="1"/>
  <c r="S7" i="1"/>
  <c r="S3" i="1"/>
  <c r="AC10" i="1"/>
  <c r="AC6" i="1"/>
  <c r="AC2" i="1"/>
  <c r="AE9" i="1"/>
  <c r="AE5" i="1"/>
  <c r="AG12" i="1"/>
  <c r="L11" i="1"/>
  <c r="X2" i="1"/>
  <c r="Q11" i="1"/>
  <c r="Q7" i="1"/>
  <c r="Q3" i="1"/>
  <c r="S10" i="1"/>
  <c r="S6" i="1"/>
  <c r="S2" i="1"/>
  <c r="AC9" i="1"/>
  <c r="AC5" i="1"/>
  <c r="AE12" i="1"/>
  <c r="AE8" i="1"/>
  <c r="AA12" i="1"/>
  <c r="AA11" i="1"/>
  <c r="AA2" i="1"/>
  <c r="T10" i="1"/>
  <c r="U10" i="1" s="1"/>
  <c r="T2" i="1"/>
  <c r="U2" i="1" s="1"/>
  <c r="O7" i="1"/>
  <c r="O4" i="1"/>
  <c r="O12" i="1"/>
  <c r="O11" i="1"/>
  <c r="O3" i="1"/>
  <c r="T5" i="1" l="1"/>
  <c r="U5" i="1" s="1"/>
  <c r="O8" i="1"/>
  <c r="T9" i="1"/>
  <c r="U9" i="1" s="1"/>
  <c r="T6" i="1"/>
  <c r="U6" i="1" s="1"/>
  <c r="W6" i="1"/>
  <c r="X6" i="1" s="1"/>
  <c r="W10" i="1"/>
  <c r="X10" i="1" s="1"/>
  <c r="Z4" i="1"/>
  <c r="Z8" i="1"/>
  <c r="W5" i="1"/>
  <c r="X5" i="1" s="1"/>
  <c r="W3" i="1"/>
  <c r="X3" i="1" s="1"/>
  <c r="W7" i="1"/>
  <c r="X7" i="1" s="1"/>
  <c r="Z5" i="1"/>
  <c r="Z9" i="1"/>
  <c r="Z3" i="1"/>
  <c r="W4" i="1"/>
  <c r="X4" i="1" s="1"/>
  <c r="W8" i="1"/>
  <c r="X8" i="1" s="1"/>
  <c r="Z6" i="1"/>
  <c r="Z10" i="1"/>
  <c r="W9" i="1"/>
  <c r="X9" i="1" s="1"/>
  <c r="Z7" i="1"/>
  <c r="AF10" i="1" l="1"/>
  <c r="AG10" i="1" s="1"/>
  <c r="AA10" i="1"/>
  <c r="AF4" i="1"/>
  <c r="AG4" i="1" s="1"/>
  <c r="AA4" i="1"/>
  <c r="AF3" i="1"/>
  <c r="AG3" i="1" s="1"/>
  <c r="AA3" i="1"/>
  <c r="AF6" i="1"/>
  <c r="AG6" i="1" s="1"/>
  <c r="AA6" i="1"/>
  <c r="AF9" i="1"/>
  <c r="AG9" i="1" s="1"/>
  <c r="AA9" i="1"/>
  <c r="AF7" i="1"/>
  <c r="AG7" i="1" s="1"/>
  <c r="AA7" i="1"/>
  <c r="AF5" i="1"/>
  <c r="AG5" i="1" s="1"/>
  <c r="AA5" i="1"/>
  <c r="AF8" i="1"/>
  <c r="AG8" i="1" s="1"/>
  <c r="AA8" i="1"/>
</calcChain>
</file>

<file path=xl/sharedStrings.xml><?xml version="1.0" encoding="utf-8"?>
<sst xmlns="http://schemas.openxmlformats.org/spreadsheetml/2006/main" count="43" uniqueCount="43">
  <si>
    <t>Unroll</t>
  </si>
  <si>
    <t>Timing</t>
  </si>
  <si>
    <t>Latency</t>
  </si>
  <si>
    <t>Interval</t>
  </si>
  <si>
    <t>Iteration</t>
  </si>
  <si>
    <t>BRAM</t>
  </si>
  <si>
    <t>DSP</t>
  </si>
  <si>
    <t>FF</t>
  </si>
  <si>
    <t>LUT</t>
  </si>
  <si>
    <t>BRAM %</t>
  </si>
  <si>
    <t>DSP %</t>
  </si>
  <si>
    <t>FF %</t>
  </si>
  <si>
    <t>LUT %</t>
  </si>
  <si>
    <t>polling</t>
  </si>
  <si>
    <t>interrupt</t>
  </si>
  <si>
    <t>pData</t>
  </si>
  <si>
    <t>pStart</t>
  </si>
  <si>
    <t>pResult</t>
  </si>
  <si>
    <t>iData</t>
  </si>
  <si>
    <t>iStart</t>
  </si>
  <si>
    <t>iResult</t>
  </si>
  <si>
    <t>unopt</t>
  </si>
  <si>
    <t>pDataC</t>
  </si>
  <si>
    <t>iDataC</t>
  </si>
  <si>
    <t>pollingC</t>
  </si>
  <si>
    <t>interruptC</t>
  </si>
  <si>
    <t>pTotalC</t>
  </si>
  <si>
    <t>iTotalC</t>
  </si>
  <si>
    <t>old</t>
  </si>
  <si>
    <t>new</t>
  </si>
  <si>
    <t>diff</t>
  </si>
  <si>
    <t>fcpu</t>
  </si>
  <si>
    <t>fclk</t>
  </si>
  <si>
    <t>pollingCF</t>
  </si>
  <si>
    <t>pDataCF</t>
  </si>
  <si>
    <t>pStartF</t>
  </si>
  <si>
    <t>pResultF</t>
  </si>
  <si>
    <t>pTotalCF</t>
  </si>
  <si>
    <t>interruptCF</t>
  </si>
  <si>
    <t>iDataCF</t>
  </si>
  <si>
    <t>iStartF</t>
  </si>
  <si>
    <t>iResultF</t>
  </si>
  <si>
    <t>iTotalCF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</si>
</sst>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28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pollingCF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Sheet1!$L$2:$L$12</c:f>
              <c:numCache>
                <c:formatCode>0</c:formatCode>
                <c:ptCount val="11"/>
                <c:pt idx="0">
                  <c:v>136270931.55000001</c:v>
                </c:pt>
                <c:pt idx="1">
                  <c:v>1342794.9500000002</c:v>
                </c:pt>
                <c:pt idx="2">
                  <c:v>818233.7</c:v>
                </c:pt>
                <c:pt idx="3">
                  <c:v>631620.80000000005</c:v>
                </c:pt>
                <c:pt idx="4">
                  <c:v>546913.1</c:v>
                </c:pt>
                <c:pt idx="5">
                  <c:v>495704.89999999997</c:v>
                </c:pt>
                <c:pt idx="6">
                  <c:v>461659.25</c:v>
                </c:pt>
                <c:pt idx="7">
                  <c:v>444319.25</c:v>
                </c:pt>
                <c:pt idx="8">
                  <c:v>427586.89999999997</c:v>
                </c:pt>
                <c:pt idx="9">
                  <c:v>404942.4</c:v>
                </c:pt>
                <c:pt idx="10">
                  <c:v>397657.50000000006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2-44BF-A4ED-2FFE4B5E97C0}"/>
            </c:ext>
          </c:extLst>
        </c:ser>
        <c:ser>
          <c:idx val="1"/>
          <c:order val="1"/>
          <c:tx>
            <c:strRef>
              <c:f>Sheet1!$X$1</c:f>
              <c:strCache>
                <c:ptCount val="1"/>
                <c:pt idx="0">
                  <c:v>interruptCF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Sheet1!$X$2:$X$12</c:f>
              <c:numCache>
                <c:formatCode>0</c:formatCode>
                <c:ptCount val="11"/>
                <c:pt idx="0">
                  <c:v>136302019.80000001</c:v>
                </c:pt>
                <c:pt idx="1">
                  <c:v>1367113.7874999999</c:v>
                </c:pt>
                <c:pt idx="2">
                  <c:v>841941.43750000012</c:v>
                </c:pt>
                <c:pt idx="3">
                  <c:v>666875.68750000012</c:v>
                </c:pt>
                <c:pt idx="4">
                  <c:v>580938.88750000007</c:v>
                </c:pt>
                <c:pt idx="5">
                  <c:v>527703.58750000002</c:v>
                </c:pt>
                <c:pt idx="6">
                  <c:v>493147.03750000009</c:v>
                </c:pt>
                <c:pt idx="7">
                  <c:v>468309.43750000012</c:v>
                </c:pt>
                <c:pt idx="8">
                  <c:v>450912.88750000007</c:v>
                </c:pt>
                <c:pt idx="9">
                  <c:v>436073.55</c:v>
                </c:pt>
                <c:pt idx="10">
                  <c:v>424043.10000000003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2-44BF-A4ED-2FFE4B5E9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416799"/>
        <c:axId val="1046530959"/>
      </c:lineChart>
      <c:lineChart>
        <c:grouping val="standard"/>
        <c:varyColors val="0"/>
        <c:ser>
          <c:idx val="2"/>
          <c:order val="2"/>
          <c:tx>
            <c:strRef>
              <c:f>Sheet1!$AH$1</c:f>
              <c:strCache>
                <c:ptCount val="1"/>
                <c:pt idx="0">
                  <c:v>BRAM %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Sheet1!$AH$2:$AH$12</c:f>
              <c:numCache>
                <c:formatCode>0.00%</c:formatCode>
                <c:ptCount val="11"/>
                <c:pt idx="0">
                  <c:v>0.12857142857142856</c:v>
                </c:pt>
                <c:pt idx="1">
                  <c:v>0.11071428571428571</c:v>
                </c:pt>
                <c:pt idx="2">
                  <c:v>0.11428571428571428</c:v>
                </c:pt>
                <c:pt idx="3">
                  <c:v>9.6428571428571433E-2</c:v>
                </c:pt>
                <c:pt idx="4">
                  <c:v>0.12857142857142856</c:v>
                </c:pt>
                <c:pt idx="5">
                  <c:v>0.16071428571428573</c:v>
                </c:pt>
                <c:pt idx="6">
                  <c:v>0.19285714285714287</c:v>
                </c:pt>
                <c:pt idx="7">
                  <c:v>0.22500000000000001</c:v>
                </c:pt>
                <c:pt idx="8">
                  <c:v>0.25714285714285712</c:v>
                </c:pt>
                <c:pt idx="9">
                  <c:v>0.28928571428571431</c:v>
                </c:pt>
                <c:pt idx="10">
                  <c:v>0.32142857142857145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2-44BF-A4ED-2FFE4B5E97C0}"/>
            </c:ext>
          </c:extLst>
        </c:ser>
        <c:ser>
          <c:idx val="3"/>
          <c:order val="3"/>
          <c:tx>
            <c:strRef>
              <c:f>Sheet1!$AI$1</c:f>
              <c:strCache>
                <c:ptCount val="1"/>
                <c:pt idx="0">
                  <c:v>DSP %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Sheet1!$AI$2:$AI$12</c:f>
              <c:numCache>
                <c:formatCode>0.00%</c:formatCode>
                <c:ptCount val="11"/>
                <c:pt idx="0">
                  <c:v>2.7272727272727271E-2</c:v>
                </c:pt>
                <c:pt idx="1">
                  <c:v>9.5454545454545459E-2</c:v>
                </c:pt>
                <c:pt idx="2">
                  <c:v>0.19090909090909092</c:v>
                </c:pt>
                <c:pt idx="3">
                  <c:v>0.28636363636363638</c:v>
                </c:pt>
                <c:pt idx="4">
                  <c:v>0.38181818181818183</c:v>
                </c:pt>
                <c:pt idx="5">
                  <c:v>0.47727272727272729</c:v>
                </c:pt>
                <c:pt idx="6">
                  <c:v>0.57272727272727275</c:v>
                </c:pt>
                <c:pt idx="7">
                  <c:v>0.66818181818181821</c:v>
                </c:pt>
                <c:pt idx="8">
                  <c:v>0.76363636363636367</c:v>
                </c:pt>
                <c:pt idx="9">
                  <c:v>0.85909090909090913</c:v>
                </c:pt>
                <c:pt idx="10">
                  <c:v>0.95454545454545459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62-44BF-A4ED-2FFE4B5E97C0}"/>
            </c:ext>
          </c:extLst>
        </c:ser>
        <c:ser>
          <c:idx val="4"/>
          <c:order val="4"/>
          <c:tx>
            <c:strRef>
              <c:f>Sheet1!$AJ$1</c:f>
              <c:strCache>
                <c:ptCount val="1"/>
                <c:pt idx="0">
                  <c:v>FF %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Sheet1!$AJ$2:$AJ$12</c:f>
              <c:numCache>
                <c:formatCode>0.00%</c:formatCode>
                <c:ptCount val="11"/>
                <c:pt idx="0">
                  <c:v>1.349624060150376E-2</c:v>
                </c:pt>
                <c:pt idx="1">
                  <c:v>3.5178571428571427E-2</c:v>
                </c:pt>
                <c:pt idx="2">
                  <c:v>6.4238721804511276E-2</c:v>
                </c:pt>
                <c:pt idx="3">
                  <c:v>9.3383458646616541E-2</c:v>
                </c:pt>
                <c:pt idx="4">
                  <c:v>0.12574248120300752</c:v>
                </c:pt>
                <c:pt idx="5">
                  <c:v>0.15158834586466166</c:v>
                </c:pt>
                <c:pt idx="6">
                  <c:v>0.1806484962406015</c:v>
                </c:pt>
                <c:pt idx="7">
                  <c:v>0.20970864661654134</c:v>
                </c:pt>
                <c:pt idx="8">
                  <c:v>0.24149436090225565</c:v>
                </c:pt>
                <c:pt idx="9">
                  <c:v>0.27133458646616543</c:v>
                </c:pt>
                <c:pt idx="10">
                  <c:v>0.29704887218045112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62-44BF-A4ED-2FFE4B5E97C0}"/>
            </c:ext>
          </c:extLst>
        </c:ser>
        <c:ser>
          <c:idx val="5"/>
          <c:order val="5"/>
          <c:tx>
            <c:strRef>
              <c:f>Sheet1!$AK$1</c:f>
              <c:strCache>
                <c:ptCount val="1"/>
                <c:pt idx="0">
                  <c:v>LUT %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Sheet1!$AK$2:$AK$12</c:f>
              <c:numCache>
                <c:formatCode>0.00%</c:formatCode>
                <c:ptCount val="11"/>
                <c:pt idx="0">
                  <c:v>7.6804511278195486E-2</c:v>
                </c:pt>
                <c:pt idx="1">
                  <c:v>0.06</c:v>
                </c:pt>
                <c:pt idx="2">
                  <c:v>0.10783834586466165</c:v>
                </c:pt>
                <c:pt idx="3">
                  <c:v>0.15672932330827069</c:v>
                </c:pt>
                <c:pt idx="4">
                  <c:v>0.20332706766917294</c:v>
                </c:pt>
                <c:pt idx="5">
                  <c:v>0.25022556390977446</c:v>
                </c:pt>
                <c:pt idx="6">
                  <c:v>0.29738721804511276</c:v>
                </c:pt>
                <c:pt idx="7">
                  <c:v>0.34496240601503758</c:v>
                </c:pt>
                <c:pt idx="8">
                  <c:v>0.39317669172932329</c:v>
                </c:pt>
                <c:pt idx="9">
                  <c:v>0.43964285714285717</c:v>
                </c:pt>
                <c:pt idx="10">
                  <c:v>0.48719924812030074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62-44BF-A4ED-2FFE4B5E9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461855"/>
        <c:axId val="940693023"/>
      </c:lineChart>
      <c:catAx>
        <c:axId val="94241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unroll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6530959"/>
        <c:crosses val="autoZero"/>
        <c:auto val="1"/>
        <c:lblAlgn val="ctr"/>
        <c:lblOffset val="100"/>
        <c:noMultiLvlLbl val="0"/>
      </c:catAx>
      <c:valAx>
        <c:axId val="1046530959"/>
        <c:scaling>
          <c:orientation val="minMax"/>
          <c:max val="1500000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Clock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2416799"/>
        <c:crosses val="autoZero"/>
        <c:crossBetween val="between"/>
      </c:valAx>
      <c:valAx>
        <c:axId val="9406930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Resource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0461855"/>
        <c:crosses val="max"/>
        <c:crossBetween val="between"/>
      </c:valAx>
      <c:catAx>
        <c:axId val="1050461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0693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Sheet1!$C$1</c:f>
              <c:strCache>
                <c:ptCount val="1"/>
                <c:pt idx="0">
                  <c:v>Latency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164877</c:v>
                </c:pt>
                <c:pt idx="1">
                  <c:v>1094</c:v>
                </c:pt>
                <c:pt idx="2">
                  <c:v>569</c:v>
                </c:pt>
                <c:pt idx="3">
                  <c:v>394</c:v>
                </c:pt>
                <c:pt idx="4">
                  <c:v>308</c:v>
                </c:pt>
                <c:pt idx="5">
                  <c:v>255</c:v>
                </c:pt>
                <c:pt idx="6">
                  <c:v>220</c:v>
                </c:pt>
                <c:pt idx="7">
                  <c:v>195</c:v>
                </c:pt>
                <c:pt idx="8">
                  <c:v>178</c:v>
                </c:pt>
                <c:pt idx="9">
                  <c:v>162</c:v>
                </c:pt>
                <c:pt idx="1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D5-4F89-BB41-64130AA7D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416799"/>
        <c:axId val="1046530959"/>
      </c:lineChart>
      <c:lineChart>
        <c:grouping val="standard"/>
        <c:varyColors val="0"/>
        <c:ser>
          <c:idx val="2"/>
          <c:order val="1"/>
          <c:tx>
            <c:strRef>
              <c:f>Sheet1!$AH$1</c:f>
              <c:strCache>
                <c:ptCount val="1"/>
                <c:pt idx="0">
                  <c:v>BRAM %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Sheet1!$AH$2:$AH$12</c:f>
              <c:numCache>
                <c:formatCode>0.00%</c:formatCode>
                <c:ptCount val="11"/>
                <c:pt idx="0">
                  <c:v>0.12857142857142856</c:v>
                </c:pt>
                <c:pt idx="1">
                  <c:v>0.11071428571428571</c:v>
                </c:pt>
                <c:pt idx="2">
                  <c:v>0.11428571428571428</c:v>
                </c:pt>
                <c:pt idx="3">
                  <c:v>9.6428571428571433E-2</c:v>
                </c:pt>
                <c:pt idx="4">
                  <c:v>0.12857142857142856</c:v>
                </c:pt>
                <c:pt idx="5">
                  <c:v>0.16071428571428573</c:v>
                </c:pt>
                <c:pt idx="6">
                  <c:v>0.19285714285714287</c:v>
                </c:pt>
                <c:pt idx="7">
                  <c:v>0.22500000000000001</c:v>
                </c:pt>
                <c:pt idx="8">
                  <c:v>0.25714285714285712</c:v>
                </c:pt>
                <c:pt idx="9">
                  <c:v>0.28928571428571431</c:v>
                </c:pt>
                <c:pt idx="10">
                  <c:v>0.32142857142857145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5-4F89-BB41-64130AA7DF6D}"/>
            </c:ext>
          </c:extLst>
        </c:ser>
        <c:ser>
          <c:idx val="3"/>
          <c:order val="2"/>
          <c:tx>
            <c:strRef>
              <c:f>Sheet1!$AI$1</c:f>
              <c:strCache>
                <c:ptCount val="1"/>
                <c:pt idx="0">
                  <c:v>DSP %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Sheet1!$AI$2:$AI$12</c:f>
              <c:numCache>
                <c:formatCode>0.00%</c:formatCode>
                <c:ptCount val="11"/>
                <c:pt idx="0">
                  <c:v>2.7272727272727271E-2</c:v>
                </c:pt>
                <c:pt idx="1">
                  <c:v>9.5454545454545459E-2</c:v>
                </c:pt>
                <c:pt idx="2">
                  <c:v>0.19090909090909092</c:v>
                </c:pt>
                <c:pt idx="3">
                  <c:v>0.28636363636363638</c:v>
                </c:pt>
                <c:pt idx="4">
                  <c:v>0.38181818181818183</c:v>
                </c:pt>
                <c:pt idx="5">
                  <c:v>0.47727272727272729</c:v>
                </c:pt>
                <c:pt idx="6">
                  <c:v>0.57272727272727275</c:v>
                </c:pt>
                <c:pt idx="7">
                  <c:v>0.66818181818181821</c:v>
                </c:pt>
                <c:pt idx="8">
                  <c:v>0.76363636363636367</c:v>
                </c:pt>
                <c:pt idx="9">
                  <c:v>0.85909090909090913</c:v>
                </c:pt>
                <c:pt idx="10">
                  <c:v>0.95454545454545459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D5-4F89-BB41-64130AA7DF6D}"/>
            </c:ext>
          </c:extLst>
        </c:ser>
        <c:ser>
          <c:idx val="4"/>
          <c:order val="3"/>
          <c:tx>
            <c:strRef>
              <c:f>Sheet1!$AJ$1</c:f>
              <c:strCache>
                <c:ptCount val="1"/>
                <c:pt idx="0">
                  <c:v>FF %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Sheet1!$AJ$2:$AJ$12</c:f>
              <c:numCache>
                <c:formatCode>0.00%</c:formatCode>
                <c:ptCount val="11"/>
                <c:pt idx="0">
                  <c:v>1.349624060150376E-2</c:v>
                </c:pt>
                <c:pt idx="1">
                  <c:v>3.5178571428571427E-2</c:v>
                </c:pt>
                <c:pt idx="2">
                  <c:v>6.4238721804511276E-2</c:v>
                </c:pt>
                <c:pt idx="3">
                  <c:v>9.3383458646616541E-2</c:v>
                </c:pt>
                <c:pt idx="4">
                  <c:v>0.12574248120300752</c:v>
                </c:pt>
                <c:pt idx="5">
                  <c:v>0.15158834586466166</c:v>
                </c:pt>
                <c:pt idx="6">
                  <c:v>0.1806484962406015</c:v>
                </c:pt>
                <c:pt idx="7">
                  <c:v>0.20970864661654134</c:v>
                </c:pt>
                <c:pt idx="8">
                  <c:v>0.24149436090225565</c:v>
                </c:pt>
                <c:pt idx="9">
                  <c:v>0.27133458646616543</c:v>
                </c:pt>
                <c:pt idx="10">
                  <c:v>0.29704887218045112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D5-4F89-BB41-64130AA7DF6D}"/>
            </c:ext>
          </c:extLst>
        </c:ser>
        <c:ser>
          <c:idx val="5"/>
          <c:order val="4"/>
          <c:tx>
            <c:strRef>
              <c:f>Sheet1!$AK$1</c:f>
              <c:strCache>
                <c:ptCount val="1"/>
                <c:pt idx="0">
                  <c:v>LUT %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Sheet1!$AK$2:$AK$12</c:f>
              <c:numCache>
                <c:formatCode>0.00%</c:formatCode>
                <c:ptCount val="11"/>
                <c:pt idx="0">
                  <c:v>7.6804511278195486E-2</c:v>
                </c:pt>
                <c:pt idx="1">
                  <c:v>0.06</c:v>
                </c:pt>
                <c:pt idx="2">
                  <c:v>0.10783834586466165</c:v>
                </c:pt>
                <c:pt idx="3">
                  <c:v>0.15672932330827069</c:v>
                </c:pt>
                <c:pt idx="4">
                  <c:v>0.20332706766917294</c:v>
                </c:pt>
                <c:pt idx="5">
                  <c:v>0.25022556390977446</c:v>
                </c:pt>
                <c:pt idx="6">
                  <c:v>0.29738721804511276</c:v>
                </c:pt>
                <c:pt idx="7">
                  <c:v>0.34496240601503758</c:v>
                </c:pt>
                <c:pt idx="8">
                  <c:v>0.39317669172932329</c:v>
                </c:pt>
                <c:pt idx="9">
                  <c:v>0.43964285714285717</c:v>
                </c:pt>
                <c:pt idx="10">
                  <c:v>0.48719924812030074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D5-4F89-BB41-64130AA7D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486111"/>
        <c:axId val="1048411839"/>
      </c:lineChart>
      <c:catAx>
        <c:axId val="94241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unroll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6530959"/>
        <c:crosses val="autoZero"/>
        <c:auto val="1"/>
        <c:lblAlgn val="ctr"/>
        <c:lblOffset val="100"/>
        <c:noMultiLvlLbl val="0"/>
      </c:catAx>
      <c:valAx>
        <c:axId val="1046530959"/>
        <c:scaling>
          <c:orientation val="minMax"/>
          <c:max val="12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Latency (cycles)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2416799"/>
        <c:crosses val="autoZero"/>
        <c:crossBetween val="between"/>
      </c:valAx>
      <c:valAx>
        <c:axId val="1048411839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Resource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0486111"/>
        <c:crosses val="max"/>
        <c:crossBetween val="between"/>
        <c:majorUnit val="0.1"/>
      </c:valAx>
      <c:catAx>
        <c:axId val="1050486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8411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5985336217466717E-2"/>
          <c:y val="3.6133694670280035E-3"/>
          <c:w val="0.84188103153342153"/>
          <c:h val="7.6936090819972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485773</xdr:colOff>
      <xdr:row>16</xdr:row>
      <xdr:rowOff>28574</xdr:rowOff>
    </xdr:from>
    <xdr:to>
      <xdr:col>26</xdr:col>
      <xdr:colOff>533400</xdr:colOff>
      <xdr:row>34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FC01D-532C-4A51-9FD5-E3BBE2A75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95251</xdr:colOff>
      <xdr:row>16</xdr:row>
      <xdr:rowOff>66675</xdr:rowOff>
    </xdr:from>
    <xdr:to>
      <xdr:col>39</xdr:col>
      <xdr:colOff>104775</xdr:colOff>
      <xdr:row>32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A274E2-1C14-4921-9152-DFF8989F6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K12" totalsRowShown="0">
  <autoFilter ref="A1:AK12"/>
  <tableColumns count="37">
    <tableColumn id="1" name="Unroll"/>
    <tableColumn id="2" name="Timing"/>
    <tableColumn id="3" name="Latency"/>
    <tableColumn id="4" name="Interval"/>
    <tableColumn id="5" name="Iteration"/>
    <tableColumn id="6" name="BRAM"/>
    <tableColumn id="7" name="DSP"/>
    <tableColumn id="8" name="FF"/>
    <tableColumn id="9" name="LUT"/>
    <tableColumn id="14" name="polling" dataDxfId="27"/>
    <tableColumn id="24" name="pollingC" dataDxfId="26">
      <calculatedColumnFormula>IF(Table1[[#This Row],[pData]]&gt;1100000,Table1[[#This Row],[polling]]-$M$16,Table1[[#This Row],[polling]])</calculatedColumnFormula>
    </tableColumn>
    <tableColumn id="28" name="pollingCF" dataDxfId="25">
      <calculatedColumnFormula>Table1[[#This Row],[pollingC]]/$G$14*$G$15</calculatedColumnFormula>
    </tableColumn>
    <tableColumn id="17" name="pData" dataDxfId="24"/>
    <tableColumn id="22" name="pDataC" dataDxfId="23">
      <calculatedColumnFormula>IF(Table1[[#This Row],[pData]]&gt;1100000,Table1[[#This Row],[pData]]-$M$16,Table1[[#This Row],[pData]])</calculatedColumnFormula>
    </tableColumn>
    <tableColumn id="29" name="pDataCF" dataDxfId="22">
      <calculatedColumnFormula>Table1[[#This Row],[pDataC]]/$G$14*$G$15</calculatedColumnFormula>
    </tableColumn>
    <tableColumn id="16" name="pStart" dataDxfId="21"/>
    <tableColumn id="30" name="pStartF" dataDxfId="20">
      <calculatedColumnFormula>Table1[[#This Row],[pStart]]/$G$14*$G$15</calculatedColumnFormula>
    </tableColumn>
    <tableColumn id="15" name="pResult" dataDxfId="19"/>
    <tableColumn id="31" name="pResultF" dataDxfId="18">
      <calculatedColumnFormula>Table1[[#This Row],[pResult]]/$G$14*$G$15</calculatedColumnFormula>
    </tableColumn>
    <tableColumn id="26" name="pTotalC" dataDxfId="17">
      <calculatedColumnFormula>SUM(Table1[[#This Row],[pDataC]],Table1[[#This Row],[pStart]],Table1[[#This Row],[pResult]])</calculatedColumnFormula>
    </tableColumn>
    <tableColumn id="32" name="pTotalCF" dataDxfId="16">
      <calculatedColumnFormula>Table1[[#This Row],[pTotalC]]/$G$14*$G$15</calculatedColumnFormula>
    </tableColumn>
    <tableColumn id="18" name="interrupt" dataDxfId="15"/>
    <tableColumn id="25" name="interruptC" dataDxfId="14">
      <calculatedColumnFormula>IF(Table1[[#This Row],[iData]]&gt;1100000,Table1[[#This Row],[interrupt]]-$Y$16,Table1[[#This Row],[interrupt]])</calculatedColumnFormula>
    </tableColumn>
    <tableColumn id="33" name="interruptCF" dataDxfId="13">
      <calculatedColumnFormula>Table1[[#This Row],[interruptC]]/$G$14*$G$15</calculatedColumnFormula>
    </tableColumn>
    <tableColumn id="21" name="iData" dataDxfId="12"/>
    <tableColumn id="23" name="iDataC" dataDxfId="11">
      <calculatedColumnFormula>IF(Table1[[#This Row],[iData]]&gt;1100000,Table1[[#This Row],[iData]]-$Y$16,Table1[[#This Row],[iData]])</calculatedColumnFormula>
    </tableColumn>
    <tableColumn id="34" name="iDataCF" dataDxfId="10">
      <calculatedColumnFormula>Table1[[#This Row],[iDataC]]/$G$14*$G$15</calculatedColumnFormula>
    </tableColumn>
    <tableColumn id="20" name="iStart" dataDxfId="9"/>
    <tableColumn id="35" name="iStartF" dataDxfId="8">
      <calculatedColumnFormula>Table1[[#This Row],[iStart]]/$G$14*$G$15</calculatedColumnFormula>
    </tableColumn>
    <tableColumn id="19" name="iResult" dataDxfId="7"/>
    <tableColumn id="36" name="iResultF" dataDxfId="6">
      <calculatedColumnFormula>Table1[[#This Row],[iResult]]/$G$14*$G$15</calculatedColumnFormula>
    </tableColumn>
    <tableColumn id="27" name="iTotalC" dataDxfId="5">
      <calculatedColumnFormula>SUM(Table1[[#This Row],[iDataC]],Table1[[#This Row],[iStart]],Table1[[#This Row],[iResult]])</calculatedColumnFormula>
    </tableColumn>
    <tableColumn id="37" name="iTotalCF" dataDxfId="4">
      <calculatedColumnFormula>Table1[[#This Row],[iTotalC]]/$G$14*$G$15</calculatedColumnFormula>
    </tableColumn>
    <tableColumn id="10" name="BRAM %" dataDxfId="3">
      <calculatedColumnFormula>Table1[BRAM]/280</calculatedColumnFormula>
    </tableColumn>
    <tableColumn id="11" name="DSP %" dataDxfId="2">
      <calculatedColumnFormula>Table1[DSP]/220</calculatedColumnFormula>
    </tableColumn>
    <tableColumn id="12" name="FF %" dataDxfId="1">
      <calculatedColumnFormula>Table1[FF]/106400</calculatedColumnFormula>
    </tableColumn>
    <tableColumn id="13" name="LUT %" dataDxfId="0">
      <calculatedColumnFormula>Table1[LUT]/53200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8.85546875" bestFit="1" customWidth="1"/>
    <col min="2" max="2" width="9.28515625" bestFit="1" customWidth="1"/>
    <col min="3" max="3" width="10" bestFit="1" customWidth="1"/>
    <col min="4" max="4" width="10.140625" hidden="1" customWidth="1"/>
    <col min="5" max="5" width="11" bestFit="1" customWidth="1"/>
    <col min="6" max="6" width="8.7109375" hidden="1" customWidth="1"/>
    <col min="7" max="7" width="8.5703125" hidden="1" customWidth="1"/>
    <col min="8" max="8" width="6" hidden="1" customWidth="1"/>
    <col min="9" max="9" width="6.5703125" hidden="1" customWidth="1"/>
    <col min="10" max="10" width="10" style="2" hidden="1" customWidth="1"/>
    <col min="11" max="11" width="10.5703125" style="2" hidden="1" customWidth="1"/>
    <col min="12" max="12" width="11.5703125" style="2" bestFit="1" customWidth="1"/>
    <col min="13" max="13" width="8.42578125" style="2" hidden="1" customWidth="1"/>
    <col min="14" max="14" width="9.5703125" style="2" hidden="1" customWidth="1"/>
    <col min="15" max="15" width="10.5703125" style="2" bestFit="1" customWidth="1"/>
    <col min="16" max="16" width="8.5703125" style="2" hidden="1" customWidth="1"/>
    <col min="17" max="17" width="9.5703125" style="2" bestFit="1" customWidth="1"/>
    <col min="18" max="18" width="10" style="2" hidden="1" customWidth="1"/>
    <col min="19" max="19" width="11" style="2" bestFit="1" customWidth="1"/>
    <col min="20" max="20" width="10" style="2" hidden="1" customWidth="1"/>
    <col min="21" max="21" width="11" style="2" bestFit="1" customWidth="1"/>
    <col min="22" max="22" width="11.28515625" style="2" hidden="1" customWidth="1"/>
    <col min="23" max="23" width="12.42578125" style="2" hidden="1" customWidth="1"/>
    <col min="24" max="24" width="13.42578125" style="2" bestFit="1" customWidth="1"/>
    <col min="25" max="25" width="8" style="2" hidden="1" customWidth="1"/>
    <col min="26" max="26" width="9" style="2" hidden="1" customWidth="1"/>
    <col min="27" max="27" width="10" style="2" bestFit="1" customWidth="1"/>
    <col min="28" max="28" width="8" style="2" hidden="1" customWidth="1"/>
    <col min="29" max="29" width="9" style="2" bestFit="1" customWidth="1"/>
    <col min="30" max="30" width="10" style="2" hidden="1" customWidth="1"/>
    <col min="31" max="31" width="10.42578125" style="2" bestFit="1" customWidth="1"/>
    <col min="32" max="32" width="10" style="2" hidden="1" customWidth="1"/>
    <col min="33" max="33" width="10.42578125" style="2" bestFit="1" customWidth="1"/>
    <col min="34" max="34" width="10.7109375" bestFit="1" customWidth="1"/>
    <col min="35" max="35" width="8.7109375" bestFit="1" customWidth="1"/>
    <col min="36" max="36" width="7.28515625" bestFit="1" customWidth="1"/>
    <col min="37" max="37" width="8.5703125" bestFit="1" customWidth="1"/>
    <col min="38" max="38" width="6.7109375" customWidth="1"/>
    <col min="39" max="39" width="10.7109375" customWidth="1"/>
    <col min="40" max="40" width="8.570312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13</v>
      </c>
      <c r="K1" s="2" t="s">
        <v>24</v>
      </c>
      <c r="L1" s="2" t="s">
        <v>33</v>
      </c>
      <c r="M1" s="2" t="s">
        <v>15</v>
      </c>
      <c r="N1" s="2" t="s">
        <v>22</v>
      </c>
      <c r="O1" s="2" t="s">
        <v>34</v>
      </c>
      <c r="P1" s="2" t="s">
        <v>16</v>
      </c>
      <c r="Q1" s="2" t="s">
        <v>35</v>
      </c>
      <c r="R1" s="2" t="s">
        <v>17</v>
      </c>
      <c r="S1" s="2" t="s">
        <v>36</v>
      </c>
      <c r="T1" s="2" t="s">
        <v>26</v>
      </c>
      <c r="U1" s="2" t="s">
        <v>37</v>
      </c>
      <c r="V1" s="2" t="s">
        <v>14</v>
      </c>
      <c r="W1" s="2" t="s">
        <v>25</v>
      </c>
      <c r="X1" s="2" t="s">
        <v>38</v>
      </c>
      <c r="Y1" s="2" t="s">
        <v>18</v>
      </c>
      <c r="Z1" s="2" t="s">
        <v>23</v>
      </c>
      <c r="AA1" s="2" t="s">
        <v>39</v>
      </c>
      <c r="AB1" s="2" t="s">
        <v>19</v>
      </c>
      <c r="AC1" s="2" t="s">
        <v>40</v>
      </c>
      <c r="AD1" s="2" t="s">
        <v>20</v>
      </c>
      <c r="AE1" s="2" t="s">
        <v>41</v>
      </c>
      <c r="AF1" s="2" t="s">
        <v>27</v>
      </c>
      <c r="AG1" s="2" t="s">
        <v>42</v>
      </c>
      <c r="AH1" t="s">
        <v>9</v>
      </c>
      <c r="AI1" t="s">
        <v>10</v>
      </c>
      <c r="AJ1" t="s">
        <v>11</v>
      </c>
      <c r="AK1" t="s">
        <v>12</v>
      </c>
    </row>
    <row r="2" spans="1:37" x14ac:dyDescent="0.25">
      <c r="A2" t="s">
        <v>21</v>
      </c>
      <c r="B2">
        <v>8.77</v>
      </c>
      <c r="C2">
        <v>164877</v>
      </c>
      <c r="D2">
        <v>164878</v>
      </c>
      <c r="E2">
        <v>159</v>
      </c>
      <c r="F2">
        <v>36</v>
      </c>
      <c r="G2">
        <v>6</v>
      </c>
      <c r="H2">
        <v>1436</v>
      </c>
      <c r="I2">
        <v>4086</v>
      </c>
      <c r="J2" s="2">
        <v>908472877</v>
      </c>
      <c r="K2" s="2">
        <f>IF(Table1[[#This Row],[pData]]&gt;1100000,Table1[[#This Row],[polling]]-$M$16,Table1[[#This Row],[polling]])</f>
        <v>908472877</v>
      </c>
      <c r="L2" s="2">
        <f>Table1[[#This Row],[pollingC]]/$G$14*$G$15</f>
        <v>136270931.55000001</v>
      </c>
      <c r="M2" s="2">
        <v>1096237</v>
      </c>
      <c r="N2" s="2">
        <f>IF(Table1[[#This Row],[pData]]&gt;1100000,Table1[[#This Row],[pData]]-$M$16,Table1[[#This Row],[pData]])</f>
        <v>1096237</v>
      </c>
      <c r="O2" s="2">
        <f>Table1[[#This Row],[pDataC]]/$G$14*$G$15</f>
        <v>164435.55000000002</v>
      </c>
      <c r="P2" s="2">
        <v>266638</v>
      </c>
      <c r="Q2" s="2">
        <f>Table1[[#This Row],[pStart]]/$G$14*$G$15</f>
        <v>39995.700000000004</v>
      </c>
      <c r="R2" s="2">
        <v>906922286</v>
      </c>
      <c r="S2" s="2">
        <f>Table1[[#This Row],[pResult]]/$G$14*$G$15</f>
        <v>136038342.90000001</v>
      </c>
      <c r="T2" s="2">
        <f>SUM(Table1[[#This Row],[pDataC]],Table1[[#This Row],[pStart]],Table1[[#This Row],[pResult]])</f>
        <v>908285161</v>
      </c>
      <c r="U2" s="2">
        <f>Table1[[#This Row],[pTotalC]]/$G$14*$G$15</f>
        <v>136242774.15000001</v>
      </c>
      <c r="V2" s="2">
        <v>908680132</v>
      </c>
      <c r="W2" s="2">
        <f>IF(Table1[[#This Row],[iData]]&gt;1100000,Table1[[#This Row],[interrupt]]-$Y$16,Table1[[#This Row],[interrupt]])</f>
        <v>908680132</v>
      </c>
      <c r="X2" s="2">
        <f>Table1[[#This Row],[interruptC]]/$G$14*$G$15</f>
        <v>136302019.80000001</v>
      </c>
      <c r="Y2" s="2">
        <v>1089686</v>
      </c>
      <c r="Z2" s="2">
        <f>IF(Table1[[#This Row],[iData]]&gt;1100000,Table1[[#This Row],[iData]]-$Y$16,Table1[[#This Row],[iData]])</f>
        <v>1089686</v>
      </c>
      <c r="AA2" s="2">
        <f>Table1[[#This Row],[iDataC]]/$G$14*$G$15</f>
        <v>163452.9</v>
      </c>
      <c r="AB2" s="2">
        <v>266862</v>
      </c>
      <c r="AC2" s="2">
        <f>Table1[[#This Row],[iStart]]/$G$14*$G$15</f>
        <v>40029.300000000003</v>
      </c>
      <c r="AD2" s="2">
        <v>907138514</v>
      </c>
      <c r="AE2" s="2">
        <f>Table1[[#This Row],[iResult]]/$G$14*$G$15</f>
        <v>136070777.10000002</v>
      </c>
      <c r="AF2" s="2">
        <f>SUM(Table1[[#This Row],[iDataC]],Table1[[#This Row],[iStart]],Table1[[#This Row],[iResult]])</f>
        <v>908495062</v>
      </c>
      <c r="AG2" s="2">
        <f>Table1[[#This Row],[iTotalC]]/$G$14*$G$15</f>
        <v>136274259.30000001</v>
      </c>
      <c r="AH2" s="1">
        <f>Table1[BRAM]/280</f>
        <v>0.12857142857142856</v>
      </c>
      <c r="AI2" s="1">
        <f>Table1[DSP]/220</f>
        <v>2.7272727272727271E-2</v>
      </c>
      <c r="AJ2" s="1">
        <f>Table1[FF]/106400</f>
        <v>1.349624060150376E-2</v>
      </c>
      <c r="AK2" s="1">
        <f>Table1[LUT]/53200</f>
        <v>7.6804511278195486E-2</v>
      </c>
    </row>
    <row r="3" spans="1:37" x14ac:dyDescent="0.25">
      <c r="A3">
        <v>1</v>
      </c>
      <c r="B3">
        <v>8.34</v>
      </c>
      <c r="C3">
        <v>1094</v>
      </c>
      <c r="D3">
        <v>1095</v>
      </c>
      <c r="E3">
        <v>44</v>
      </c>
      <c r="F3">
        <v>31</v>
      </c>
      <c r="G3">
        <v>21</v>
      </c>
      <c r="H3">
        <v>3743</v>
      </c>
      <c r="I3">
        <v>3192</v>
      </c>
      <c r="J3" s="2">
        <v>8975414</v>
      </c>
      <c r="K3" s="2">
        <f>IF(Table1[[#This Row],[pData]]&gt;1100000,Table1[[#This Row],[polling]]-$M$16,Table1[[#This Row],[polling]])</f>
        <v>8951966.333333334</v>
      </c>
      <c r="L3" s="2">
        <f>Table1[[#This Row],[pollingC]]/$G$14*$G$15</f>
        <v>1342794.9500000002</v>
      </c>
      <c r="M3" s="2">
        <v>1120195</v>
      </c>
      <c r="N3" s="2">
        <f>IF(Table1[[#This Row],[pData]]&gt;1100000,Table1[[#This Row],[pData]]-$M$16,Table1[[#This Row],[pData]])</f>
        <v>1096747.3333333333</v>
      </c>
      <c r="O3" s="2">
        <f>Table1[[#This Row],[pDataC]]/$G$14*$G$15</f>
        <v>164512.1</v>
      </c>
      <c r="P3" s="2">
        <v>266935</v>
      </c>
      <c r="Q3" s="2">
        <f>Table1[[#This Row],[pStart]]/$G$14*$G$15</f>
        <v>40040.25</v>
      </c>
      <c r="R3" s="2">
        <v>7398190</v>
      </c>
      <c r="S3" s="2">
        <f>Table1[[#This Row],[pResult]]/$G$14*$G$15</f>
        <v>1109728.5</v>
      </c>
      <c r="T3" s="2">
        <f>SUM(Table1[[#This Row],[pDataC]],Table1[[#This Row],[pStart]],Table1[[#This Row],[pResult]])</f>
        <v>8761872.333333334</v>
      </c>
      <c r="U3" s="2">
        <f>Table1[[#This Row],[pTotalC]]/$G$14*$G$15</f>
        <v>1314280.8500000001</v>
      </c>
      <c r="V3" s="2">
        <v>9150869</v>
      </c>
      <c r="W3" s="2">
        <f>IF(Table1[[#This Row],[iData]]&gt;1100000,Table1[[#This Row],[interrupt]]-$Y$16,Table1[[#This Row],[interrupt]])</f>
        <v>9114091.916666666</v>
      </c>
      <c r="X3" s="2">
        <f>Table1[[#This Row],[interruptC]]/$G$14*$G$15</f>
        <v>1367113.7874999999</v>
      </c>
      <c r="Y3" s="2">
        <v>1127105</v>
      </c>
      <c r="Z3" s="2">
        <f>IF(Table1[[#This Row],[iData]]&gt;1100000,Table1[[#This Row],[iData]]-$Y$16,Table1[[#This Row],[iData]])</f>
        <v>1090327.9166666667</v>
      </c>
      <c r="AA3" s="2">
        <f>Table1[[#This Row],[iDataC]]/$G$14*$G$15</f>
        <v>163549.18750000003</v>
      </c>
      <c r="AB3" s="2">
        <v>262349</v>
      </c>
      <c r="AC3" s="2">
        <f>Table1[[#This Row],[iStart]]/$G$14*$G$15</f>
        <v>39352.35</v>
      </c>
      <c r="AD3" s="2">
        <v>7580168</v>
      </c>
      <c r="AE3" s="2">
        <f>Table1[[#This Row],[iResult]]/$G$14*$G$15</f>
        <v>1137025.2000000002</v>
      </c>
      <c r="AF3" s="2">
        <f>SUM(Table1[[#This Row],[iDataC]],Table1[[#This Row],[iStart]],Table1[[#This Row],[iResult]])</f>
        <v>8932844.916666666</v>
      </c>
      <c r="AG3" s="2">
        <f>Table1[[#This Row],[iTotalC]]/$G$14*$G$15</f>
        <v>1339926.7374999998</v>
      </c>
      <c r="AH3" s="1">
        <f>Table1[BRAM]/280</f>
        <v>0.11071428571428571</v>
      </c>
      <c r="AI3" s="1">
        <f>Table1[DSP]/220</f>
        <v>9.5454545454545459E-2</v>
      </c>
      <c r="AJ3" s="1">
        <f>Table1[FF]/106400</f>
        <v>3.5178571428571427E-2</v>
      </c>
      <c r="AK3" s="1">
        <f>Table1[LUT]/53200</f>
        <v>0.06</v>
      </c>
    </row>
    <row r="4" spans="1:37" x14ac:dyDescent="0.25">
      <c r="A4">
        <v>2</v>
      </c>
      <c r="B4">
        <v>8.34</v>
      </c>
      <c r="C4">
        <v>569</v>
      </c>
      <c r="D4">
        <v>570</v>
      </c>
      <c r="E4">
        <v>44</v>
      </c>
      <c r="F4">
        <v>32</v>
      </c>
      <c r="G4">
        <v>42</v>
      </c>
      <c r="H4">
        <v>6835</v>
      </c>
      <c r="I4">
        <v>5737</v>
      </c>
      <c r="J4" s="2">
        <v>5478339</v>
      </c>
      <c r="K4" s="2">
        <f>IF(Table1[[#This Row],[pData]]&gt;1100000,Table1[[#This Row],[polling]]-$M$16,Table1[[#This Row],[polling]])</f>
        <v>5454891.333333333</v>
      </c>
      <c r="L4" s="2">
        <f>Table1[[#This Row],[pollingC]]/$G$14*$G$15</f>
        <v>818233.7</v>
      </c>
      <c r="M4" s="2">
        <v>1119568</v>
      </c>
      <c r="N4" s="2">
        <f>IF(Table1[[#This Row],[pData]]&gt;1100000,Table1[[#This Row],[pData]]-$M$16,Table1[[#This Row],[pData]])</f>
        <v>1096120.3333333333</v>
      </c>
      <c r="O4" s="2">
        <f>Table1[[#This Row],[pDataC]]/$G$14*$G$15</f>
        <v>164418.05000000002</v>
      </c>
      <c r="P4" s="2">
        <v>267455</v>
      </c>
      <c r="Q4" s="2">
        <f>Table1[[#This Row],[pStart]]/$G$14*$G$15</f>
        <v>40118.250000000007</v>
      </c>
      <c r="R4" s="2">
        <v>3902784</v>
      </c>
      <c r="S4" s="2">
        <f>Table1[[#This Row],[pResult]]/$G$14*$G$15</f>
        <v>585417.6</v>
      </c>
      <c r="T4" s="2">
        <f>SUM(Table1[[#This Row],[pDataC]],Table1[[#This Row],[pStart]],Table1[[#This Row],[pResult]])</f>
        <v>5266359.333333333</v>
      </c>
      <c r="U4" s="2">
        <f>Table1[[#This Row],[pTotalC]]/$G$14*$G$15</f>
        <v>789953.9</v>
      </c>
      <c r="V4" s="2">
        <v>5649720</v>
      </c>
      <c r="W4" s="2">
        <f>IF(Table1[[#This Row],[iData]]&gt;1100000,Table1[[#This Row],[interrupt]]-$Y$16,Table1[[#This Row],[interrupt]])</f>
        <v>5612942.916666667</v>
      </c>
      <c r="X4" s="2">
        <f>Table1[[#This Row],[interruptC]]/$G$14*$G$15</f>
        <v>841941.43750000012</v>
      </c>
      <c r="Y4" s="2">
        <v>1126676</v>
      </c>
      <c r="Z4" s="2">
        <f>IF(Table1[[#This Row],[iData]]&gt;1100000,Table1[[#This Row],[iData]]-$Y$16,Table1[[#This Row],[iData]])</f>
        <v>1089898.9166666667</v>
      </c>
      <c r="AA4" s="2">
        <f>Table1[[#This Row],[iDataC]]/$G$14*$G$15</f>
        <v>163484.83750000002</v>
      </c>
      <c r="AB4" s="2">
        <v>262946</v>
      </c>
      <c r="AC4" s="2">
        <f>Table1[[#This Row],[iStart]]/$G$14*$G$15</f>
        <v>39441.9</v>
      </c>
      <c r="AD4" s="2">
        <v>4079444</v>
      </c>
      <c r="AE4" s="2">
        <f>Table1[[#This Row],[iResult]]/$G$14*$G$15</f>
        <v>611916.60000000009</v>
      </c>
      <c r="AF4" s="2">
        <f>SUM(Table1[[#This Row],[iDataC]],Table1[[#This Row],[iStart]],Table1[[#This Row],[iResult]])</f>
        <v>5432288.916666667</v>
      </c>
      <c r="AG4" s="2">
        <f>Table1[[#This Row],[iTotalC]]/$G$14*$G$15</f>
        <v>814843.33750000014</v>
      </c>
      <c r="AH4" s="1">
        <f>Table1[BRAM]/280</f>
        <v>0.11428571428571428</v>
      </c>
      <c r="AI4" s="1">
        <f>Table1[DSP]/220</f>
        <v>0.19090909090909092</v>
      </c>
      <c r="AJ4" s="1">
        <f>Table1[FF]/106400</f>
        <v>6.4238721804511276E-2</v>
      </c>
      <c r="AK4" s="1">
        <f>Table1[LUT]/53200</f>
        <v>0.10783834586466165</v>
      </c>
    </row>
    <row r="5" spans="1:37" x14ac:dyDescent="0.25">
      <c r="A5">
        <v>3</v>
      </c>
      <c r="B5">
        <v>8.34</v>
      </c>
      <c r="C5">
        <v>394</v>
      </c>
      <c r="D5">
        <v>395</v>
      </c>
      <c r="E5">
        <v>44</v>
      </c>
      <c r="F5">
        <v>27</v>
      </c>
      <c r="G5">
        <v>63</v>
      </c>
      <c r="H5">
        <v>9936</v>
      </c>
      <c r="I5">
        <v>8338</v>
      </c>
      <c r="J5" s="2">
        <v>4234253</v>
      </c>
      <c r="K5" s="2">
        <f>IF(Table1[[#This Row],[pData]]&gt;1100000,Table1[[#This Row],[polling]]-$M$16,Table1[[#This Row],[polling]])</f>
        <v>4210805.333333333</v>
      </c>
      <c r="L5" s="2">
        <f>Table1[[#This Row],[pollingC]]/$G$14*$G$15</f>
        <v>631620.80000000005</v>
      </c>
      <c r="M5" s="2">
        <v>1119941</v>
      </c>
      <c r="N5" s="2">
        <f>IF(Table1[[#This Row],[pData]]&gt;1100000,Table1[[#This Row],[pData]]-$M$16,Table1[[#This Row],[pData]])</f>
        <v>1096493.3333333333</v>
      </c>
      <c r="O5" s="2">
        <f>Table1[[#This Row],[pDataC]]/$G$14*$G$15</f>
        <v>164474</v>
      </c>
      <c r="P5" s="2">
        <v>267108</v>
      </c>
      <c r="Q5" s="2">
        <f>Table1[[#This Row],[pStart]]/$G$14*$G$15</f>
        <v>40066.200000000004</v>
      </c>
      <c r="R5" s="2">
        <v>2657544</v>
      </c>
      <c r="S5" s="2">
        <f>Table1[[#This Row],[pResult]]/$G$14*$G$15</f>
        <v>398631.60000000003</v>
      </c>
      <c r="T5" s="2">
        <f>SUM(Table1[[#This Row],[pDataC]],Table1[[#This Row],[pStart]],Table1[[#This Row],[pResult]])</f>
        <v>4021145.333333333</v>
      </c>
      <c r="U5" s="2">
        <f>Table1[[#This Row],[pTotalC]]/$G$14*$G$15</f>
        <v>603171.80000000005</v>
      </c>
      <c r="V5" s="2">
        <v>4482615</v>
      </c>
      <c r="W5" s="2">
        <f>IF(Table1[[#This Row],[iData]]&gt;1100000,Table1[[#This Row],[interrupt]]-$Y$16,Table1[[#This Row],[interrupt]])</f>
        <v>4445837.916666667</v>
      </c>
      <c r="X5" s="2">
        <f>Table1[[#This Row],[interruptC]]/$G$14*$G$15</f>
        <v>666875.68750000012</v>
      </c>
      <c r="Y5" s="2">
        <v>1125826</v>
      </c>
      <c r="Z5" s="2">
        <f>IF(Table1[[#This Row],[iData]]&gt;1100000,Table1[[#This Row],[iData]]-$Y$16,Table1[[#This Row],[iData]])</f>
        <v>1089048.9166666667</v>
      </c>
      <c r="AA5" s="2">
        <f>Table1[[#This Row],[iDataC]]/$G$14*$G$15</f>
        <v>163357.33750000002</v>
      </c>
      <c r="AB5" s="2">
        <v>262582</v>
      </c>
      <c r="AC5" s="2">
        <f>Table1[[#This Row],[iStart]]/$G$14*$G$15</f>
        <v>39387.300000000003</v>
      </c>
      <c r="AD5" s="2">
        <v>2911886</v>
      </c>
      <c r="AE5" s="2">
        <f>Table1[[#This Row],[iResult]]/$G$14*$G$15</f>
        <v>436782.9</v>
      </c>
      <c r="AF5" s="2">
        <f>SUM(Table1[[#This Row],[iDataC]],Table1[[#This Row],[iStart]],Table1[[#This Row],[iResult]])</f>
        <v>4263516.916666667</v>
      </c>
      <c r="AG5" s="2">
        <f>Table1[[#This Row],[iTotalC]]/$G$14*$G$15</f>
        <v>639527.53750000009</v>
      </c>
      <c r="AH5" s="1">
        <f>Table1[BRAM]/280</f>
        <v>9.6428571428571433E-2</v>
      </c>
      <c r="AI5" s="1">
        <f>Table1[DSP]/220</f>
        <v>0.28636363636363638</v>
      </c>
      <c r="AJ5" s="1">
        <f>Table1[FF]/106400</f>
        <v>9.3383458646616541E-2</v>
      </c>
      <c r="AK5" s="1">
        <f>Table1[LUT]/53200</f>
        <v>0.15672932330827069</v>
      </c>
    </row>
    <row r="6" spans="1:37" x14ac:dyDescent="0.25">
      <c r="A6">
        <v>4</v>
      </c>
      <c r="B6">
        <v>8.75</v>
      </c>
      <c r="C6">
        <v>308</v>
      </c>
      <c r="D6">
        <v>309</v>
      </c>
      <c r="E6">
        <v>45</v>
      </c>
      <c r="F6">
        <v>36</v>
      </c>
      <c r="G6">
        <v>84</v>
      </c>
      <c r="H6">
        <v>13379</v>
      </c>
      <c r="I6">
        <v>10817</v>
      </c>
      <c r="J6" s="2">
        <v>3669535</v>
      </c>
      <c r="K6" s="2">
        <f>IF(Table1[[#This Row],[pData]]&gt;1100000,Table1[[#This Row],[polling]]-$M$16,Table1[[#This Row],[polling]])</f>
        <v>3646087.333333333</v>
      </c>
      <c r="L6" s="2">
        <f>Table1[[#This Row],[pollingC]]/$G$14*$G$15</f>
        <v>546913.1</v>
      </c>
      <c r="M6" s="2">
        <v>1120170</v>
      </c>
      <c r="N6" s="2">
        <f>IF(Table1[[#This Row],[pData]]&gt;1100000,Table1[[#This Row],[pData]]-$M$16,Table1[[#This Row],[pData]])</f>
        <v>1096722.3333333333</v>
      </c>
      <c r="O6" s="2">
        <f>Table1[[#This Row],[pDataC]]/$G$14*$G$15</f>
        <v>164508.35</v>
      </c>
      <c r="P6" s="2">
        <v>267440</v>
      </c>
      <c r="Q6" s="2">
        <f>Table1[[#This Row],[pStart]]/$G$14*$G$15</f>
        <v>40116</v>
      </c>
      <c r="R6" s="2">
        <v>2092186</v>
      </c>
      <c r="S6" s="2">
        <f>Table1[[#This Row],[pResult]]/$G$14*$G$15</f>
        <v>313827.90000000002</v>
      </c>
      <c r="T6" s="2">
        <f>SUM(Table1[[#This Row],[pDataC]],Table1[[#This Row],[pStart]],Table1[[#This Row],[pResult]])</f>
        <v>3456348.333333333</v>
      </c>
      <c r="U6" s="2">
        <f>Table1[[#This Row],[pTotalC]]/$G$14*$G$15</f>
        <v>518452.25</v>
      </c>
      <c r="V6" s="2">
        <v>3909703</v>
      </c>
      <c r="W6" s="2">
        <f>IF(Table1[[#This Row],[iData]]&gt;1100000,Table1[[#This Row],[interrupt]]-$Y$16,Table1[[#This Row],[interrupt]])</f>
        <v>3872925.916666667</v>
      </c>
      <c r="X6" s="2">
        <f>Table1[[#This Row],[interruptC]]/$G$14*$G$15</f>
        <v>580938.88750000007</v>
      </c>
      <c r="Y6" s="2">
        <v>1126660</v>
      </c>
      <c r="Z6" s="2">
        <f>IF(Table1[[#This Row],[iData]]&gt;1100000,Table1[[#This Row],[iData]]-$Y$16,Table1[[#This Row],[iData]])</f>
        <v>1089882.9166666667</v>
      </c>
      <c r="AA6" s="2">
        <f>Table1[[#This Row],[iDataC]]/$G$14*$G$15</f>
        <v>163482.43750000003</v>
      </c>
      <c r="AB6" s="2">
        <v>263415</v>
      </c>
      <c r="AC6" s="2">
        <f>Table1[[#This Row],[iStart]]/$G$14*$G$15</f>
        <v>39512.250000000007</v>
      </c>
      <c r="AD6" s="2">
        <v>2337573</v>
      </c>
      <c r="AE6" s="2">
        <f>Table1[[#This Row],[iResult]]/$G$14*$G$15</f>
        <v>350635.95</v>
      </c>
      <c r="AF6" s="2">
        <f>SUM(Table1[[#This Row],[iDataC]],Table1[[#This Row],[iStart]],Table1[[#This Row],[iResult]])</f>
        <v>3690870.916666667</v>
      </c>
      <c r="AG6" s="2">
        <f>Table1[[#This Row],[iTotalC]]/$G$14*$G$15</f>
        <v>553630.63750000007</v>
      </c>
      <c r="AH6" s="1">
        <f>Table1[BRAM]/280</f>
        <v>0.12857142857142856</v>
      </c>
      <c r="AI6" s="1">
        <f>Table1[DSP]/220</f>
        <v>0.38181818181818183</v>
      </c>
      <c r="AJ6" s="1">
        <f>Table1[FF]/106400</f>
        <v>0.12574248120300752</v>
      </c>
      <c r="AK6" s="1">
        <f>Table1[LUT]/53200</f>
        <v>0.20332706766917294</v>
      </c>
    </row>
    <row r="7" spans="1:37" x14ac:dyDescent="0.25">
      <c r="A7">
        <v>5</v>
      </c>
      <c r="B7">
        <v>8.34</v>
      </c>
      <c r="C7">
        <v>255</v>
      </c>
      <c r="D7">
        <v>256</v>
      </c>
      <c r="E7">
        <v>44</v>
      </c>
      <c r="F7">
        <v>45</v>
      </c>
      <c r="G7">
        <v>105</v>
      </c>
      <c r="H7">
        <v>16129</v>
      </c>
      <c r="I7">
        <v>13312</v>
      </c>
      <c r="J7" s="2">
        <v>3328147</v>
      </c>
      <c r="K7" s="2">
        <f>IF(Table1[[#This Row],[pData]]&gt;1100000,Table1[[#This Row],[polling]]-$M$16,Table1[[#This Row],[polling]])</f>
        <v>3304699.333333333</v>
      </c>
      <c r="L7" s="2">
        <f>Table1[[#This Row],[pollingC]]/$G$14*$G$15</f>
        <v>495704.89999999997</v>
      </c>
      <c r="M7" s="2">
        <v>1120292</v>
      </c>
      <c r="N7" s="2">
        <f>IF(Table1[[#This Row],[pData]]&gt;1100000,Table1[[#This Row],[pData]]-$M$16,Table1[[#This Row],[pData]])</f>
        <v>1096844.3333333333</v>
      </c>
      <c r="O7" s="2">
        <f>Table1[[#This Row],[pDataC]]/$G$14*$G$15</f>
        <v>164526.65</v>
      </c>
      <c r="P7" s="2">
        <v>266943</v>
      </c>
      <c r="Q7" s="2">
        <f>Table1[[#This Row],[pStart]]/$G$14*$G$15</f>
        <v>40041.450000000004</v>
      </c>
      <c r="R7" s="2">
        <v>1750583</v>
      </c>
      <c r="S7" s="2">
        <f>Table1[[#This Row],[pResult]]/$G$14*$G$15</f>
        <v>262587.45</v>
      </c>
      <c r="T7" s="2">
        <f>SUM(Table1[[#This Row],[pDataC]],Table1[[#This Row],[pStart]],Table1[[#This Row],[pResult]])</f>
        <v>3114370.333333333</v>
      </c>
      <c r="U7" s="2">
        <f>Table1[[#This Row],[pTotalC]]/$G$14*$G$15</f>
        <v>467155.55</v>
      </c>
      <c r="V7" s="2">
        <v>3554801</v>
      </c>
      <c r="W7" s="2">
        <f>IF(Table1[[#This Row],[iData]]&gt;1100000,Table1[[#This Row],[interrupt]]-$Y$16,Table1[[#This Row],[interrupt]])</f>
        <v>3518023.916666667</v>
      </c>
      <c r="X7" s="2">
        <f>Table1[[#This Row],[interruptC]]/$G$14*$G$15</f>
        <v>527703.58750000002</v>
      </c>
      <c r="Y7" s="2">
        <v>1125638</v>
      </c>
      <c r="Z7" s="2">
        <f>IF(Table1[[#This Row],[iData]]&gt;1100000,Table1[[#This Row],[iData]]-$Y$16,Table1[[#This Row],[iData]])</f>
        <v>1088860.9166666667</v>
      </c>
      <c r="AA7" s="2">
        <f>Table1[[#This Row],[iDataC]]/$G$14*$G$15</f>
        <v>163329.13750000004</v>
      </c>
      <c r="AB7" s="2">
        <v>262360</v>
      </c>
      <c r="AC7" s="2">
        <f>Table1[[#This Row],[iStart]]/$G$14*$G$15</f>
        <v>39354</v>
      </c>
      <c r="AD7" s="2">
        <v>1986187</v>
      </c>
      <c r="AE7" s="2">
        <f>Table1[[#This Row],[iResult]]/$G$14*$G$15</f>
        <v>297928.05</v>
      </c>
      <c r="AF7" s="2">
        <f>SUM(Table1[[#This Row],[iDataC]],Table1[[#This Row],[iStart]],Table1[[#This Row],[iResult]])</f>
        <v>3337407.916666667</v>
      </c>
      <c r="AG7" s="2">
        <f>Table1[[#This Row],[iTotalC]]/$G$14*$G$15</f>
        <v>500611.18750000012</v>
      </c>
      <c r="AH7" s="1">
        <f>Table1[BRAM]/280</f>
        <v>0.16071428571428573</v>
      </c>
      <c r="AI7" s="1">
        <f>Table1[DSP]/220</f>
        <v>0.47727272727272729</v>
      </c>
      <c r="AJ7" s="1">
        <f>Table1[FF]/106400</f>
        <v>0.15158834586466166</v>
      </c>
      <c r="AK7" s="1">
        <f>Table1[LUT]/53200</f>
        <v>0.25022556390977446</v>
      </c>
    </row>
    <row r="8" spans="1:37" x14ac:dyDescent="0.25">
      <c r="A8">
        <v>6</v>
      </c>
      <c r="B8">
        <v>8.34</v>
      </c>
      <c r="C8">
        <v>220</v>
      </c>
      <c r="D8">
        <v>221</v>
      </c>
      <c r="E8">
        <v>44</v>
      </c>
      <c r="F8">
        <v>54</v>
      </c>
      <c r="G8">
        <v>126</v>
      </c>
      <c r="H8">
        <v>19221</v>
      </c>
      <c r="I8">
        <v>15821</v>
      </c>
      <c r="J8" s="2">
        <v>3101176</v>
      </c>
      <c r="K8" s="2">
        <f>IF(Table1[[#This Row],[pData]]&gt;1100000,Table1[[#This Row],[polling]]-$M$16,Table1[[#This Row],[polling]])</f>
        <v>3077728.333333333</v>
      </c>
      <c r="L8" s="2">
        <f>Table1[[#This Row],[pollingC]]/$G$14*$G$15</f>
        <v>461659.25</v>
      </c>
      <c r="M8" s="2">
        <v>1119609</v>
      </c>
      <c r="N8" s="2">
        <f>IF(Table1[[#This Row],[pData]]&gt;1100000,Table1[[#This Row],[pData]]-$M$16,Table1[[#This Row],[pData]])</f>
        <v>1096161.3333333333</v>
      </c>
      <c r="O8" s="2">
        <f>Table1[[#This Row],[pDataC]]/$G$14*$G$15</f>
        <v>164424.19999999998</v>
      </c>
      <c r="P8" s="2">
        <v>267267</v>
      </c>
      <c r="Q8" s="2">
        <f>Table1[[#This Row],[pStart]]/$G$14*$G$15</f>
        <v>40090.050000000003</v>
      </c>
      <c r="R8" s="2">
        <v>1523324</v>
      </c>
      <c r="S8" s="2">
        <f>Table1[[#This Row],[pResult]]/$G$14*$G$15</f>
        <v>228498.6</v>
      </c>
      <c r="T8" s="2">
        <f>SUM(Table1[[#This Row],[pDataC]],Table1[[#This Row],[pStart]],Table1[[#This Row],[pResult]])</f>
        <v>2886752.333333333</v>
      </c>
      <c r="U8" s="2">
        <f>Table1[[#This Row],[pTotalC]]/$G$14*$G$15</f>
        <v>433012.85</v>
      </c>
      <c r="V8" s="2">
        <v>3324424</v>
      </c>
      <c r="W8" s="2">
        <f>IF(Table1[[#This Row],[iData]]&gt;1100000,Table1[[#This Row],[interrupt]]-$Y$16,Table1[[#This Row],[interrupt]])</f>
        <v>3287646.916666667</v>
      </c>
      <c r="X8" s="2">
        <f>Table1[[#This Row],[interruptC]]/$G$14*$G$15</f>
        <v>493147.03750000009</v>
      </c>
      <c r="Y8" s="2">
        <v>1126315</v>
      </c>
      <c r="Z8" s="2">
        <f>IF(Table1[[#This Row],[iData]]&gt;1100000,Table1[[#This Row],[iData]]-$Y$16,Table1[[#This Row],[iData]])</f>
        <v>1089537.9166666667</v>
      </c>
      <c r="AA8" s="2">
        <f>Table1[[#This Row],[iDataC]]/$G$14*$G$15</f>
        <v>163430.68750000003</v>
      </c>
      <c r="AB8" s="2">
        <v>261956</v>
      </c>
      <c r="AC8" s="2">
        <f>Table1[[#This Row],[iStart]]/$G$14*$G$15</f>
        <v>39293.4</v>
      </c>
      <c r="AD8" s="2">
        <v>1753696</v>
      </c>
      <c r="AE8" s="2">
        <f>Table1[[#This Row],[iResult]]/$G$14*$G$15</f>
        <v>263054.40000000002</v>
      </c>
      <c r="AF8" s="2">
        <f>SUM(Table1[[#This Row],[iDataC]],Table1[[#This Row],[iStart]],Table1[[#This Row],[iResult]])</f>
        <v>3105189.916666667</v>
      </c>
      <c r="AG8" s="2">
        <f>Table1[[#This Row],[iTotalC]]/$G$14*$G$15</f>
        <v>465778.4875000001</v>
      </c>
      <c r="AH8" s="1">
        <f>Table1[BRAM]/280</f>
        <v>0.19285714285714287</v>
      </c>
      <c r="AI8" s="1">
        <f>Table1[DSP]/220</f>
        <v>0.57272727272727275</v>
      </c>
      <c r="AJ8" s="1">
        <f>Table1[FF]/106400</f>
        <v>0.1806484962406015</v>
      </c>
      <c r="AK8" s="1">
        <f>Table1[LUT]/53200</f>
        <v>0.29738721804511276</v>
      </c>
    </row>
    <row r="9" spans="1:37" x14ac:dyDescent="0.25">
      <c r="A9">
        <v>7</v>
      </c>
      <c r="B9">
        <v>8.34</v>
      </c>
      <c r="C9">
        <v>195</v>
      </c>
      <c r="D9">
        <v>196</v>
      </c>
      <c r="E9">
        <v>44</v>
      </c>
      <c r="F9">
        <v>63</v>
      </c>
      <c r="G9">
        <v>147</v>
      </c>
      <c r="H9">
        <v>22313</v>
      </c>
      <c r="I9">
        <v>18352</v>
      </c>
      <c r="J9" s="2">
        <v>2985576</v>
      </c>
      <c r="K9" s="2">
        <f>IF(Table1[[#This Row],[pData]]&gt;1100000,Table1[[#This Row],[polling]]-$M$16,Table1[[#This Row],[polling]])</f>
        <v>2962128.333333333</v>
      </c>
      <c r="L9" s="2">
        <f>Table1[[#This Row],[pollingC]]/$G$14*$G$15</f>
        <v>444319.25</v>
      </c>
      <c r="M9" s="2">
        <v>1119536</v>
      </c>
      <c r="N9" s="2">
        <f>IF(Table1[[#This Row],[pData]]&gt;1100000,Table1[[#This Row],[pData]]-$M$16,Table1[[#This Row],[pData]])</f>
        <v>1096088.3333333333</v>
      </c>
      <c r="O9" s="2">
        <f>Table1[[#This Row],[pDataC]]/$G$14*$G$15</f>
        <v>164413.25</v>
      </c>
      <c r="P9" s="2">
        <v>267443</v>
      </c>
      <c r="Q9" s="2">
        <f>Table1[[#This Row],[pStart]]/$G$14*$G$15</f>
        <v>40116.450000000004</v>
      </c>
      <c r="R9" s="2">
        <v>1409700</v>
      </c>
      <c r="S9" s="2">
        <f>Table1[[#This Row],[pResult]]/$G$14*$G$15</f>
        <v>211455.00000000003</v>
      </c>
      <c r="T9" s="2">
        <f>SUM(Table1[[#This Row],[pDataC]],Table1[[#This Row],[pStart]],Table1[[#This Row],[pResult]])</f>
        <v>2773231.333333333</v>
      </c>
      <c r="U9" s="2">
        <f>Table1[[#This Row],[pTotalC]]/$G$14*$G$15</f>
        <v>415984.69999999995</v>
      </c>
      <c r="V9" s="2">
        <v>3158840</v>
      </c>
      <c r="W9" s="2">
        <f>IF(Table1[[#This Row],[iData]]&gt;1100000,Table1[[#This Row],[interrupt]]-$Y$16,Table1[[#This Row],[interrupt]])</f>
        <v>3122062.916666667</v>
      </c>
      <c r="X9" s="2">
        <f>Table1[[#This Row],[interruptC]]/$G$14*$G$15</f>
        <v>468309.43750000012</v>
      </c>
      <c r="Y9" s="2">
        <v>1128502</v>
      </c>
      <c r="Z9" s="2">
        <f>IF(Table1[[#This Row],[iData]]&gt;1100000,Table1[[#This Row],[iData]]-$Y$16,Table1[[#This Row],[iData]])</f>
        <v>1091724.9166666667</v>
      </c>
      <c r="AA9" s="2">
        <f>Table1[[#This Row],[iDataC]]/$G$14*$G$15</f>
        <v>163758.73750000002</v>
      </c>
      <c r="AB9" s="2">
        <v>262199</v>
      </c>
      <c r="AC9" s="2">
        <f>Table1[[#This Row],[iStart]]/$G$14*$G$15</f>
        <v>39329.850000000006</v>
      </c>
      <c r="AD9" s="2">
        <v>1585595</v>
      </c>
      <c r="AE9" s="2">
        <f>Table1[[#This Row],[iResult]]/$G$14*$G$15</f>
        <v>237839.25000000003</v>
      </c>
      <c r="AF9" s="2">
        <f>SUM(Table1[[#This Row],[iDataC]],Table1[[#This Row],[iStart]],Table1[[#This Row],[iResult]])</f>
        <v>2939518.916666667</v>
      </c>
      <c r="AG9" s="2">
        <f>Table1[[#This Row],[iTotalC]]/$G$14*$G$15</f>
        <v>440927.83750000008</v>
      </c>
      <c r="AH9" s="1">
        <f>Table1[BRAM]/280</f>
        <v>0.22500000000000001</v>
      </c>
      <c r="AI9" s="1">
        <f>Table1[DSP]/220</f>
        <v>0.66818181818181821</v>
      </c>
      <c r="AJ9" s="1">
        <f>Table1[FF]/106400</f>
        <v>0.20970864661654134</v>
      </c>
      <c r="AK9" s="1">
        <f>Table1[LUT]/53200</f>
        <v>0.34496240601503758</v>
      </c>
    </row>
    <row r="10" spans="1:37" x14ac:dyDescent="0.25">
      <c r="A10">
        <v>8</v>
      </c>
      <c r="B10">
        <v>8.75</v>
      </c>
      <c r="C10">
        <v>178</v>
      </c>
      <c r="D10">
        <v>179</v>
      </c>
      <c r="E10">
        <v>45</v>
      </c>
      <c r="F10">
        <v>72</v>
      </c>
      <c r="G10">
        <v>168</v>
      </c>
      <c r="H10">
        <v>25695</v>
      </c>
      <c r="I10">
        <v>20917</v>
      </c>
      <c r="J10" s="2">
        <v>2874027</v>
      </c>
      <c r="K10" s="2">
        <f>IF(Table1[[#This Row],[pData]]&gt;1100000,Table1[[#This Row],[polling]]-$M$16,Table1[[#This Row],[polling]])</f>
        <v>2850579.333333333</v>
      </c>
      <c r="L10" s="2">
        <f>Table1[[#This Row],[pollingC]]/$G$14*$G$15</f>
        <v>427586.89999999997</v>
      </c>
      <c r="M10" s="2">
        <v>1120321</v>
      </c>
      <c r="N10" s="2">
        <f>IF(Table1[[#This Row],[pData]]&gt;1100000,Table1[[#This Row],[pData]]-$M$16,Table1[[#This Row],[pData]])</f>
        <v>1096873.3333333333</v>
      </c>
      <c r="O10" s="2">
        <f>Table1[[#This Row],[pDataC]]/$G$14*$G$15</f>
        <v>164531</v>
      </c>
      <c r="P10" s="2">
        <v>267220</v>
      </c>
      <c r="Q10" s="2">
        <f>Table1[[#This Row],[pStart]]/$G$14*$G$15</f>
        <v>40083</v>
      </c>
      <c r="R10" s="2">
        <v>1297025</v>
      </c>
      <c r="S10" s="2">
        <f>Table1[[#This Row],[pResult]]/$G$14*$G$15</f>
        <v>194553.75000000003</v>
      </c>
      <c r="T10" s="2">
        <f>SUM(Table1[[#This Row],[pDataC]],Table1[[#This Row],[pStart]],Table1[[#This Row],[pResult]])</f>
        <v>2661118.333333333</v>
      </c>
      <c r="U10" s="2">
        <f>Table1[[#This Row],[pTotalC]]/$G$14*$G$15</f>
        <v>399167.74999999994</v>
      </c>
      <c r="V10" s="2">
        <v>3042863</v>
      </c>
      <c r="W10" s="2">
        <f>IF(Table1[[#This Row],[iData]]&gt;1100000,Table1[[#This Row],[interrupt]]-$Y$16,Table1[[#This Row],[interrupt]])</f>
        <v>3006085.916666667</v>
      </c>
      <c r="X10" s="2">
        <f>Table1[[#This Row],[interruptC]]/$G$14*$G$15</f>
        <v>450912.88750000007</v>
      </c>
      <c r="Y10" s="2">
        <v>1125972</v>
      </c>
      <c r="Z10" s="2">
        <f>IF(Table1[[#This Row],[iData]]&gt;1100000,Table1[[#This Row],[iData]]-$Y$16,Table1[[#This Row],[iData]])</f>
        <v>1089194.9166666667</v>
      </c>
      <c r="AA10" s="2">
        <f>Table1[[#This Row],[iDataC]]/$G$14*$G$15</f>
        <v>163379.23750000002</v>
      </c>
      <c r="AB10" s="2">
        <v>262579</v>
      </c>
      <c r="AC10" s="2">
        <f>Table1[[#This Row],[iStart]]/$G$14*$G$15</f>
        <v>39386.850000000006</v>
      </c>
      <c r="AD10" s="2">
        <v>1471984</v>
      </c>
      <c r="AE10" s="2">
        <f>Table1[[#This Row],[iResult]]/$G$14*$G$15</f>
        <v>220797.6</v>
      </c>
      <c r="AF10" s="2">
        <f>SUM(Table1[[#This Row],[iDataC]],Table1[[#This Row],[iStart]],Table1[[#This Row],[iResult]])</f>
        <v>2823757.916666667</v>
      </c>
      <c r="AG10" s="2">
        <f>Table1[[#This Row],[iTotalC]]/$G$14*$G$15</f>
        <v>423563.68750000006</v>
      </c>
      <c r="AH10" s="1">
        <f>Table1[BRAM]/280</f>
        <v>0.25714285714285712</v>
      </c>
      <c r="AI10" s="1">
        <f>Table1[DSP]/220</f>
        <v>0.76363636363636367</v>
      </c>
      <c r="AJ10" s="1">
        <f>Table1[FF]/106400</f>
        <v>0.24149436090225565</v>
      </c>
      <c r="AK10" s="1">
        <f>Table1[LUT]/53200</f>
        <v>0.39317669172932329</v>
      </c>
    </row>
    <row r="11" spans="1:37" x14ac:dyDescent="0.25">
      <c r="A11">
        <v>9</v>
      </c>
      <c r="B11">
        <v>8.75</v>
      </c>
      <c r="C11">
        <v>162</v>
      </c>
      <c r="D11">
        <v>163</v>
      </c>
      <c r="E11">
        <v>44</v>
      </c>
      <c r="F11">
        <v>81</v>
      </c>
      <c r="G11">
        <v>189</v>
      </c>
      <c r="H11">
        <v>28870</v>
      </c>
      <c r="I11">
        <v>23389</v>
      </c>
      <c r="J11" s="2">
        <v>2699616</v>
      </c>
      <c r="K11" s="2">
        <f>IF(Table1[[#This Row],[pData]]&gt;1100000,Table1[[#This Row],[polling]]-$M$16,Table1[[#This Row],[polling]])</f>
        <v>2699616</v>
      </c>
      <c r="L11" s="2">
        <f>Table1[[#This Row],[pollingC]]/$G$14*$G$15</f>
        <v>404942.4</v>
      </c>
      <c r="M11" s="2">
        <v>1096176</v>
      </c>
      <c r="N11" s="2">
        <f>IF(Table1[[#This Row],[pData]]&gt;1100000,Table1[[#This Row],[pData]]-$M$16,Table1[[#This Row],[pData]])</f>
        <v>1096176</v>
      </c>
      <c r="O11" s="2">
        <f>Table1[[#This Row],[pDataC]]/$G$14*$G$15</f>
        <v>164426.40000000002</v>
      </c>
      <c r="P11" s="2">
        <v>266815</v>
      </c>
      <c r="Q11" s="2">
        <f>Table1[[#This Row],[pStart]]/$G$14*$G$15</f>
        <v>40022.25</v>
      </c>
      <c r="R11" s="2">
        <v>1149229</v>
      </c>
      <c r="S11" s="2">
        <f>Table1[[#This Row],[pResult]]/$G$14*$G$15</f>
        <v>172384.35</v>
      </c>
      <c r="T11" s="2">
        <f>SUM(Table1[[#This Row],[pDataC]],Table1[[#This Row],[pStart]],Table1[[#This Row],[pResult]])</f>
        <v>2512220</v>
      </c>
      <c r="U11" s="2">
        <f>Table1[[#This Row],[pTotalC]]/$G$14*$G$15</f>
        <v>376833</v>
      </c>
      <c r="V11" s="2">
        <v>2907157</v>
      </c>
      <c r="W11" s="2">
        <f>IF(Table1[[#This Row],[iData]]&gt;1100000,Table1[[#This Row],[interrupt]]-$Y$16,Table1[[#This Row],[interrupt]])</f>
        <v>2907157</v>
      </c>
      <c r="X11" s="2">
        <f>Table1[[#This Row],[interruptC]]/$G$14*$G$15</f>
        <v>436073.55</v>
      </c>
      <c r="Y11" s="2">
        <v>1089955</v>
      </c>
      <c r="Z11" s="2">
        <f>IF(Table1[[#This Row],[iData]]&gt;1100000,Table1[[#This Row],[iData]]-$Y$16,Table1[[#This Row],[iData]])</f>
        <v>1089955</v>
      </c>
      <c r="AA11" s="2">
        <f>Table1[[#This Row],[iDataC]]/$G$14*$G$15</f>
        <v>163493.25</v>
      </c>
      <c r="AB11" s="2">
        <v>267180</v>
      </c>
      <c r="AC11" s="2">
        <f>Table1[[#This Row],[iStart]]/$G$14*$G$15</f>
        <v>40077</v>
      </c>
      <c r="AD11" s="2">
        <v>1366796</v>
      </c>
      <c r="AE11" s="2">
        <f>Table1[[#This Row],[iResult]]/$G$14*$G$15</f>
        <v>205019.4</v>
      </c>
      <c r="AF11" s="2">
        <f>SUM(Table1[[#This Row],[iDataC]],Table1[[#This Row],[iStart]],Table1[[#This Row],[iResult]])</f>
        <v>2723931</v>
      </c>
      <c r="AG11" s="2">
        <f>Table1[[#This Row],[iTotalC]]/$G$14*$G$15</f>
        <v>408589.65</v>
      </c>
      <c r="AH11" s="1">
        <f>Table1[BRAM]/280</f>
        <v>0.28928571428571431</v>
      </c>
      <c r="AI11" s="1">
        <f>Table1[DSP]/220</f>
        <v>0.85909090909090913</v>
      </c>
      <c r="AJ11" s="1">
        <f>Table1[FF]/106400</f>
        <v>0.27133458646616543</v>
      </c>
      <c r="AK11" s="1">
        <f>Table1[LUT]/53200</f>
        <v>0.43964285714285717</v>
      </c>
    </row>
    <row r="12" spans="1:37" x14ac:dyDescent="0.25">
      <c r="A12">
        <v>10</v>
      </c>
      <c r="B12">
        <v>8.34</v>
      </c>
      <c r="C12">
        <v>150</v>
      </c>
      <c r="D12">
        <v>151</v>
      </c>
      <c r="E12">
        <v>44</v>
      </c>
      <c r="F12">
        <v>90</v>
      </c>
      <c r="G12">
        <v>210</v>
      </c>
      <c r="H12">
        <v>31606</v>
      </c>
      <c r="I12">
        <v>25919</v>
      </c>
      <c r="J12" s="2">
        <v>2651050</v>
      </c>
      <c r="K12" s="2">
        <f>IF(Table1[[#This Row],[pData]]&gt;1100000,Table1[[#This Row],[polling]]-$M$16,Table1[[#This Row],[polling]])</f>
        <v>2651050</v>
      </c>
      <c r="L12" s="2">
        <f>Table1[[#This Row],[pollingC]]/$G$14*$G$15</f>
        <v>397657.50000000006</v>
      </c>
      <c r="M12" s="2">
        <v>1097106</v>
      </c>
      <c r="N12" s="2">
        <f>IF(Table1[[#This Row],[pData]]&gt;1100000,Table1[[#This Row],[pData]]-$M$16,Table1[[#This Row],[pData]])</f>
        <v>1097106</v>
      </c>
      <c r="O12" s="2">
        <f>Table1[[#This Row],[pDataC]]/$G$14*$G$15</f>
        <v>164565.9</v>
      </c>
      <c r="P12" s="2">
        <v>266477</v>
      </c>
      <c r="Q12" s="2">
        <f>Table1[[#This Row],[pStart]]/$G$14*$G$15</f>
        <v>39971.550000000003</v>
      </c>
      <c r="R12" s="2">
        <v>1100153</v>
      </c>
      <c r="S12" s="2">
        <f>Table1[[#This Row],[pResult]]/$G$14*$G$15</f>
        <v>165022.95000000001</v>
      </c>
      <c r="T12" s="2">
        <f>SUM(Table1[[#This Row],[pDataC]],Table1[[#This Row],[pStart]],Table1[[#This Row],[pResult]])</f>
        <v>2463736</v>
      </c>
      <c r="U12" s="2">
        <f>Table1[[#This Row],[pTotalC]]/$G$14*$G$15</f>
        <v>369560.4</v>
      </c>
      <c r="V12" s="2">
        <v>2826954</v>
      </c>
      <c r="W12" s="2">
        <f>IF(Table1[[#This Row],[iData]]&gt;1100000,Table1[[#This Row],[interrupt]]-$Y$16,Table1[[#This Row],[interrupt]])</f>
        <v>2826954</v>
      </c>
      <c r="X12" s="2">
        <f>Table1[[#This Row],[interruptC]]/$G$14*$G$15</f>
        <v>424043.10000000003</v>
      </c>
      <c r="Y12" s="2">
        <v>1089788</v>
      </c>
      <c r="Z12" s="2">
        <f>IF(Table1[[#This Row],[iData]]&gt;1100000,Table1[[#This Row],[iData]]-$Y$16,Table1[[#This Row],[iData]])</f>
        <v>1089788</v>
      </c>
      <c r="AA12" s="2">
        <f>Table1[[#This Row],[iDataC]]/$G$14*$G$15</f>
        <v>163468.20000000001</v>
      </c>
      <c r="AB12" s="2">
        <v>267248</v>
      </c>
      <c r="AC12" s="2">
        <f>Table1[[#This Row],[iStart]]/$G$14*$G$15</f>
        <v>40087.200000000004</v>
      </c>
      <c r="AD12" s="2">
        <v>1287373</v>
      </c>
      <c r="AE12" s="2">
        <f>Table1[[#This Row],[iResult]]/$G$14*$G$15</f>
        <v>193105.95</v>
      </c>
      <c r="AF12" s="2">
        <f>SUM(Table1[[#This Row],[iDataC]],Table1[[#This Row],[iStart]],Table1[[#This Row],[iResult]])</f>
        <v>2644409</v>
      </c>
      <c r="AG12" s="2">
        <f>Table1[[#This Row],[iTotalC]]/$G$14*$G$15</f>
        <v>396661.35000000003</v>
      </c>
      <c r="AH12" s="1">
        <f>Table1[BRAM]/280</f>
        <v>0.32142857142857145</v>
      </c>
      <c r="AI12" s="1">
        <f>Table1[DSP]/220</f>
        <v>0.95454545454545459</v>
      </c>
      <c r="AJ12" s="1">
        <f>Table1[FF]/106400</f>
        <v>0.29704887218045112</v>
      </c>
      <c r="AK12" s="1">
        <f>Table1[LUT]/53200</f>
        <v>0.48719924812030074</v>
      </c>
    </row>
    <row r="14" spans="1:37" x14ac:dyDescent="0.25">
      <c r="F14" t="s">
        <v>31</v>
      </c>
      <c r="G14" s="3">
        <f>2/3*1000*1000*1000</f>
        <v>666666666.66666663</v>
      </c>
      <c r="K14" s="2" t="s">
        <v>28</v>
      </c>
      <c r="M14" s="2">
        <f>AVERAGE(M3:M10)</f>
        <v>1119954</v>
      </c>
      <c r="Y14" s="2">
        <f>AVERAGE(Y3:Y10)</f>
        <v>1126586.75</v>
      </c>
    </row>
    <row r="15" spans="1:37" x14ac:dyDescent="0.25">
      <c r="F15" t="s">
        <v>32</v>
      </c>
      <c r="G15" s="3">
        <f>100*1000*1000</f>
        <v>100000000</v>
      </c>
      <c r="K15" s="2" t="s">
        <v>29</v>
      </c>
      <c r="M15" s="2">
        <f>AVERAGE(M2,M11,M12)</f>
        <v>1096506.3333333333</v>
      </c>
      <c r="Y15" s="2">
        <f>AVERAGE(Y2,Y11,Y12)</f>
        <v>1089809.6666666667</v>
      </c>
    </row>
    <row r="16" spans="1:37" x14ac:dyDescent="0.25">
      <c r="K16" s="2" t="s">
        <v>30</v>
      </c>
      <c r="M16" s="2">
        <f>M14-M15</f>
        <v>23447.666666666744</v>
      </c>
      <c r="Y16" s="2">
        <f>Y14-Y15</f>
        <v>36777.083333333256</v>
      </c>
    </row>
  </sheetData>
  <pageMargins left="0.7" right="0.7" top="0.75" bottom="0.75" header="0.3" footer="0.3"/>
  <pageSetup paperSize="9" scale="95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cp:lastPrinted>2017-03-17T03:44:36Z</cp:lastPrinted>
  <dcterms:created xsi:type="dcterms:W3CDTF">2017-03-16T23:01:12Z</dcterms:created>
  <dcterms:modified xsi:type="dcterms:W3CDTF">2017-03-17T04:54:50Z</dcterms:modified>
</cp:coreProperties>
</file>