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UC\DEM_Doutorado\LAMMPS\Validation_Sliding_Rolling\"/>
    </mc:Choice>
  </mc:AlternateContent>
  <bookViews>
    <workbookView xWindow="0" yWindow="0" windowWidth="20490" windowHeight="7155" activeTab="3"/>
  </bookViews>
  <sheets>
    <sheet name="Hooke" sheetId="1" r:id="rId1"/>
    <sheet name="Hertz" sheetId="4" r:id="rId2"/>
    <sheet name="Analytical" sheetId="3" r:id="rId3"/>
    <sheet name="Comparison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 s="1"/>
  <c r="J6" i="3"/>
  <c r="P4" i="3" l="1"/>
  <c r="P3" i="3"/>
  <c r="N8" i="4"/>
  <c r="C5" i="3"/>
  <c r="F5" i="3" s="1"/>
  <c r="D7" i="3"/>
  <c r="G7" i="3" s="1"/>
  <c r="N7" i="4"/>
  <c r="D10" i="3"/>
  <c r="G10" i="3" s="1"/>
  <c r="D6" i="3"/>
  <c r="G6" i="3" s="1"/>
  <c r="N7" i="1"/>
  <c r="D13" i="3"/>
  <c r="G13" i="3" s="1"/>
  <c r="D9" i="3"/>
  <c r="G9" i="3" s="1"/>
  <c r="D5" i="3"/>
  <c r="G5" i="3" s="1"/>
  <c r="N4" i="1"/>
  <c r="D7" i="1" s="1"/>
  <c r="N4" i="4"/>
  <c r="D11" i="3"/>
  <c r="G11" i="3" s="1"/>
  <c r="N8" i="1"/>
  <c r="N3" i="1"/>
  <c r="F4" i="1" s="1"/>
  <c r="N3" i="4"/>
  <c r="D7" i="4" s="1"/>
  <c r="E7" i="4" s="1"/>
  <c r="D12" i="3"/>
  <c r="G12" i="3" s="1"/>
  <c r="D8" i="3"/>
  <c r="G8" i="3" s="1"/>
  <c r="D4" i="3"/>
  <c r="G4" i="3" s="1"/>
  <c r="D13" i="1"/>
  <c r="E13" i="1" s="1"/>
  <c r="D8" i="1"/>
  <c r="E8" i="1" s="1"/>
  <c r="F5" i="1"/>
  <c r="G5" i="1" s="1"/>
  <c r="C11" i="3"/>
  <c r="F11" i="3" s="1"/>
  <c r="C8" i="3"/>
  <c r="F8" i="3" s="1"/>
  <c r="C4" i="3"/>
  <c r="F4" i="3" s="1"/>
  <c r="C10" i="3"/>
  <c r="F10" i="3" s="1"/>
  <c r="C7" i="3"/>
  <c r="F7" i="3" s="1"/>
  <c r="C13" i="3"/>
  <c r="F13" i="3" s="1"/>
  <c r="C9" i="3"/>
  <c r="F9" i="3" s="1"/>
  <c r="C6" i="3"/>
  <c r="F6" i="3" s="1"/>
  <c r="C12" i="3"/>
  <c r="F12" i="3" s="1"/>
  <c r="F9" i="1" l="1"/>
  <c r="G9" i="1" s="1"/>
  <c r="G4" i="1"/>
  <c r="E7" i="1"/>
  <c r="F12" i="1"/>
  <c r="G12" i="1" s="1"/>
  <c r="F13" i="1"/>
  <c r="G13" i="1" s="1"/>
  <c r="D12" i="1"/>
  <c r="E12" i="1" s="1"/>
  <c r="D6" i="1"/>
  <c r="E6" i="1" s="1"/>
  <c r="F8" i="1"/>
  <c r="G8" i="1" s="1"/>
  <c r="F10" i="1"/>
  <c r="G10" i="1" s="1"/>
  <c r="F7" i="1"/>
  <c r="G7" i="1" s="1"/>
  <c r="D5" i="1"/>
  <c r="E5" i="1" s="1"/>
  <c r="D10" i="1"/>
  <c r="E10" i="1" s="1"/>
  <c r="F11" i="1"/>
  <c r="G11" i="1" s="1"/>
  <c r="F6" i="1"/>
  <c r="G6" i="1" s="1"/>
  <c r="D11" i="1"/>
  <c r="E11" i="1" s="1"/>
  <c r="D9" i="1"/>
  <c r="E9" i="1" s="1"/>
  <c r="D4" i="1"/>
  <c r="E4" i="1" s="1"/>
  <c r="F11" i="4"/>
  <c r="G11" i="4" s="1"/>
  <c r="F8" i="4"/>
  <c r="G8" i="4" s="1"/>
  <c r="D9" i="4"/>
  <c r="E9" i="4" s="1"/>
  <c r="D4" i="4"/>
  <c r="E4" i="4" s="1"/>
  <c r="F13" i="4"/>
  <c r="G13" i="4" s="1"/>
  <c r="F9" i="4"/>
  <c r="G9" i="4" s="1"/>
  <c r="F5" i="4"/>
  <c r="G5" i="4" s="1"/>
  <c r="D6" i="4"/>
  <c r="E6" i="4" s="1"/>
  <c r="D11" i="4"/>
  <c r="E11" i="4" s="1"/>
  <c r="F12" i="4"/>
  <c r="G12" i="4" s="1"/>
  <c r="F6" i="4"/>
  <c r="G6" i="4" s="1"/>
  <c r="D5" i="4"/>
  <c r="E5" i="4" s="1"/>
  <c r="D10" i="4"/>
  <c r="E10" i="4" s="1"/>
  <c r="F10" i="4"/>
  <c r="G10" i="4" s="1"/>
  <c r="F7" i="4"/>
  <c r="G7" i="4" s="1"/>
  <c r="D13" i="4"/>
  <c r="E13" i="4" s="1"/>
  <c r="F4" i="4"/>
  <c r="G4" i="4" s="1"/>
  <c r="D12" i="4"/>
  <c r="E12" i="4" s="1"/>
  <c r="D8" i="4"/>
  <c r="E8" i="4" s="1"/>
</calcChain>
</file>

<file path=xl/sharedStrings.xml><?xml version="1.0" encoding="utf-8"?>
<sst xmlns="http://schemas.openxmlformats.org/spreadsheetml/2006/main" count="84" uniqueCount="34">
  <si>
    <t>phi = 0</t>
  </si>
  <si>
    <t>phi = 5</t>
  </si>
  <si>
    <t>phi = 10</t>
  </si>
  <si>
    <t>phi = 15</t>
  </si>
  <si>
    <t>phi = 16</t>
  </si>
  <si>
    <t>phi = 18</t>
  </si>
  <si>
    <t>phi = 20</t>
  </si>
  <si>
    <t>phi = 30</t>
  </si>
  <si>
    <t>phi = 60</t>
  </si>
  <si>
    <t>phi = 80</t>
  </si>
  <si>
    <t>Analytical</t>
  </si>
  <si>
    <t>Normal force</t>
  </si>
  <si>
    <t>Tangential force</t>
  </si>
  <si>
    <t>LAMMPS - Hertz</t>
  </si>
  <si>
    <t>LAMMPS - Hooke</t>
  </si>
  <si>
    <t>m =</t>
  </si>
  <si>
    <t xml:space="preserve">g = </t>
  </si>
  <si>
    <t xml:space="preserve">theta = </t>
  </si>
  <si>
    <t>Data</t>
  </si>
  <si>
    <t>Density =</t>
  </si>
  <si>
    <t>Radius =</t>
  </si>
  <si>
    <t>Output from LAMMPS</t>
  </si>
  <si>
    <t>Normal force = Gravity force in the direction of the normal force minus the equilibrated force (LAMMPS output)</t>
  </si>
  <si>
    <t>Tangential force = Gravity force in the direction of the tangential force minus the equilibrated force (LAMMPS output)</t>
  </si>
  <si>
    <t xml:space="preserve">Gravity in the direction of normal force (m.g.sen(theta)) = </t>
  </si>
  <si>
    <t xml:space="preserve">Gravity in the direction of tangential force (m.g.cos(theta)) = </t>
  </si>
  <si>
    <t>Normalized normal force</t>
  </si>
  <si>
    <t>Normalized tangential force</t>
  </si>
  <si>
    <t>Normalized by m.g =</t>
  </si>
  <si>
    <t>Normalized by m.g.cos(theta) =</t>
  </si>
  <si>
    <t>phi</t>
  </si>
  <si>
    <t>mu critic =</t>
  </si>
  <si>
    <t>critical phi =</t>
  </si>
  <si>
    <t>phi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</si>
</sst>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Hooke!$D$2</c:f>
              <c:strCache>
                <c:ptCount val="1"/>
                <c:pt idx="0">
                  <c:v>LAMMPS - Hooke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Hooke!$C$4:$C$13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30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Hooke!$E$4:$E$13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Hertz!$D$2</c:f>
              <c:strCache>
                <c:ptCount val="1"/>
                <c:pt idx="0">
                  <c:v>LAMMPS - Hertz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Hertz!$C$4:$C$13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30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Hertz!$E$4:$E$13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Analytical!$C$2</c:f>
              <c:strCache>
                <c:ptCount val="1"/>
                <c:pt idx="0">
                  <c:v>Analytical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30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Analytical!$F$4:$F$13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08512"/>
        <c:axId val="356708120"/>
      </c:scatterChart>
      <c:valAx>
        <c:axId val="3567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Friction</a:t>
                </a:r>
                <a:r>
                  <a:rPr lang="pt-BR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angle</a:t>
                </a:r>
                <a:endParaRPr lang="pt-BR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6708120"/>
        <c:crosses val="autoZero"/>
        <c:crossBetween val="midCat"/>
      </c:valAx>
      <c:valAx>
        <c:axId val="3567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normal</a:t>
                </a:r>
                <a:r>
                  <a:rPr lang="pt-BR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force</a:t>
                </a:r>
                <a:endParaRPr lang="pt-BR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6708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Hooke!$D$2</c:f>
              <c:strCache>
                <c:ptCount val="1"/>
                <c:pt idx="0">
                  <c:v>LAMMPS - Hooke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Hooke!$C$4:$C$13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30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Hooke!$G$4:$G$13</c:f>
              <c:numCache>
                <c:formatCode>0.00000</c:formatCode>
                <c:ptCount val="10"/>
                <c:pt idx="0">
                  <c:v>0</c:v>
                </c:pt>
                <c:pt idx="1">
                  <c:v>6.1868144036339515E-2</c:v>
                </c:pt>
                <c:pt idx="2">
                  <c:v>0.12469459838122884</c:v>
                </c:pt>
                <c:pt idx="3">
                  <c:v>0.18946790218289983</c:v>
                </c:pt>
                <c:pt idx="4">
                  <c:v>0.20204130492461425</c:v>
                </c:pt>
                <c:pt idx="5">
                  <c:v>0.20202102524277282</c:v>
                </c:pt>
                <c:pt idx="6">
                  <c:v>0.20202102524277282</c:v>
                </c:pt>
                <c:pt idx="7">
                  <c:v>0.20202102524277282</c:v>
                </c:pt>
                <c:pt idx="8">
                  <c:v>0.20202102524277282</c:v>
                </c:pt>
                <c:pt idx="9">
                  <c:v>0.20202102524277282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Hertz!$D$2</c:f>
              <c:strCache>
                <c:ptCount val="1"/>
                <c:pt idx="0">
                  <c:v>LAMMPS - Hertz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Hertz!$C$4:$C$13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30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Hertz!$G$4:$G$13</c:f>
              <c:numCache>
                <c:formatCode>0.00000</c:formatCode>
                <c:ptCount val="10"/>
                <c:pt idx="0">
                  <c:v>0</c:v>
                </c:pt>
                <c:pt idx="1">
                  <c:v>6.1868144036339515E-2</c:v>
                </c:pt>
                <c:pt idx="2">
                  <c:v>0.12467431869938742</c:v>
                </c:pt>
                <c:pt idx="3">
                  <c:v>0.18946790218289983</c:v>
                </c:pt>
                <c:pt idx="4">
                  <c:v>0.20200074556093131</c:v>
                </c:pt>
                <c:pt idx="5">
                  <c:v>0.20202102524277282</c:v>
                </c:pt>
                <c:pt idx="6">
                  <c:v>0.20204130492461425</c:v>
                </c:pt>
                <c:pt idx="7">
                  <c:v>0.20204130492461425</c:v>
                </c:pt>
                <c:pt idx="8">
                  <c:v>0.20204130492461425</c:v>
                </c:pt>
                <c:pt idx="9">
                  <c:v>0.20204130492461425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Analytical!$C$2</c:f>
              <c:strCache>
                <c:ptCount val="1"/>
                <c:pt idx="0">
                  <c:v>Analytical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Analytical!$B$4:$B$13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30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Analytical!$G$4:$G$13</c:f>
              <c:numCache>
                <c:formatCode>General</c:formatCode>
                <c:ptCount val="10"/>
                <c:pt idx="0">
                  <c:v>0</c:v>
                </c:pt>
                <c:pt idx="1">
                  <c:v>6.1863827256129024E-2</c:v>
                </c:pt>
                <c:pt idx="2">
                  <c:v>0.12468200376510513</c:v>
                </c:pt>
                <c:pt idx="3">
                  <c:v>0.18946869098150598</c:v>
                </c:pt>
                <c:pt idx="4">
                  <c:v>0.20203050891044214</c:v>
                </c:pt>
                <c:pt idx="5">
                  <c:v>0.20203050891044214</c:v>
                </c:pt>
                <c:pt idx="6">
                  <c:v>0.20203050891044214</c:v>
                </c:pt>
                <c:pt idx="7">
                  <c:v>0.20203050891044214</c:v>
                </c:pt>
                <c:pt idx="8">
                  <c:v>0.20203050891044214</c:v>
                </c:pt>
                <c:pt idx="9">
                  <c:v>0.20203050891044214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6744"/>
        <c:axId val="433238904"/>
      </c:scatterChart>
      <c:valAx>
        <c:axId val="43324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Friction</a:t>
                </a:r>
                <a:r>
                  <a:rPr lang="pt-BR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angle</a:t>
                </a:r>
                <a:endParaRPr lang="pt-BR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3238904"/>
        <c:crosses val="autoZero"/>
        <c:crossBetween val="midCat"/>
      </c:valAx>
      <c:valAx>
        <c:axId val="4332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tangential</a:t>
                </a:r>
                <a:r>
                  <a:rPr lang="pt-BR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force</a:t>
                </a:r>
                <a:endParaRPr lang="pt-BR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3246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138111</xdr:rowOff>
    </xdr:from>
    <xdr:to>
      <xdr:col>12</xdr:col>
      <xdr:colOff>428625</xdr:colOff>
      <xdr:row>24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142875</xdr:rowOff>
    </xdr:from>
    <xdr:to>
      <xdr:col>25</xdr:col>
      <xdr:colOff>314326</xdr:colOff>
      <xdr:row>24</xdr:row>
      <xdr:rowOff>114301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>
      <selection activeCell="M6" sqref="M6"/>
    </sheetView>
  </sheetViews>
  <sheetFormatPr defaultRowHeight="15" x14ac:dyDescent="0.25"/>
  <cols>
    <col min="1" max="1" width="2" customWidth="1"/>
    <col min="2" max="2" width="5.28515625" bestFit="1" customWidth="1"/>
    <col min="3" max="3" width="3" bestFit="1" customWidth="1"/>
    <col min="4" max="4" width="12.5703125" bestFit="1" customWidth="1"/>
    <col min="5" max="5" width="15.42578125" customWidth="1"/>
    <col min="6" max="6" width="15.42578125" bestFit="1" customWidth="1"/>
    <col min="7" max="7" width="15.140625" bestFit="1" customWidth="1"/>
    <col min="8" max="8" width="1.85546875" customWidth="1"/>
    <col min="9" max="9" width="7.7109375" bestFit="1" customWidth="1"/>
    <col min="10" max="10" width="12.5703125" bestFit="1" customWidth="1"/>
    <col min="11" max="11" width="15.42578125" bestFit="1" customWidth="1"/>
    <col min="12" max="12" width="2.28515625" customWidth="1"/>
    <col min="13" max="13" width="35.28515625" customWidth="1"/>
  </cols>
  <sheetData>
    <row r="1" spans="2:14" ht="8.25" customHeight="1" x14ac:dyDescent="0.25"/>
    <row r="2" spans="2:14" x14ac:dyDescent="0.25">
      <c r="D2" s="11" t="s">
        <v>14</v>
      </c>
      <c r="E2" s="11"/>
      <c r="F2" s="11"/>
      <c r="G2" s="11"/>
      <c r="I2" s="11" t="s">
        <v>21</v>
      </c>
      <c r="J2" s="11"/>
      <c r="K2" s="11"/>
    </row>
    <row r="3" spans="2:14" ht="30" x14ac:dyDescent="0.25">
      <c r="D3" s="2" t="s">
        <v>11</v>
      </c>
      <c r="E3" s="5" t="s">
        <v>26</v>
      </c>
      <c r="F3" s="2" t="s">
        <v>12</v>
      </c>
      <c r="G3" s="5" t="s">
        <v>27</v>
      </c>
      <c r="I3" s="2"/>
      <c r="J3" s="4" t="s">
        <v>11</v>
      </c>
      <c r="K3" s="4" t="s">
        <v>12</v>
      </c>
      <c r="M3" s="5" t="s">
        <v>24</v>
      </c>
      <c r="N3" s="8">
        <f>Analytical!$J$6*Analytical!$J$7*SIN(RADIANS(Analytical!$J$8))</f>
        <v>34.867745298666868</v>
      </c>
    </row>
    <row r="4" spans="2:14" ht="30" x14ac:dyDescent="0.25">
      <c r="B4" s="3" t="s">
        <v>33</v>
      </c>
      <c r="C4" s="3">
        <v>0</v>
      </c>
      <c r="D4" s="9">
        <f>$N$4-J4</f>
        <v>34.867745298666868</v>
      </c>
      <c r="E4" s="1">
        <f>D4/$N$7</f>
        <v>1</v>
      </c>
      <c r="F4" s="9">
        <f>IF($N$3-K4&lt;0,0,$N$3-K4)</f>
        <v>0</v>
      </c>
      <c r="G4" s="9">
        <f>F4/$N$8</f>
        <v>0</v>
      </c>
      <c r="I4" s="3" t="s">
        <v>0</v>
      </c>
      <c r="J4" s="1">
        <v>0</v>
      </c>
      <c r="K4" s="8">
        <v>34.867750000000001</v>
      </c>
      <c r="M4" s="5" t="s">
        <v>25</v>
      </c>
      <c r="N4" s="8">
        <f>Analytical!$J$6*Analytical!$J$7*COS(RADIANS(Analytical!$J$8))</f>
        <v>34.867745298666868</v>
      </c>
    </row>
    <row r="5" spans="2:14" x14ac:dyDescent="0.25">
      <c r="B5" s="3" t="s">
        <v>33</v>
      </c>
      <c r="C5" s="3">
        <v>5</v>
      </c>
      <c r="D5" s="9">
        <f t="shared" ref="D5:D13" si="0">$N$4-J5</f>
        <v>34.867745298666868</v>
      </c>
      <c r="E5" s="1">
        <f t="shared" ref="E5:E13" si="1">D5/$N$7</f>
        <v>1</v>
      </c>
      <c r="F5" s="9">
        <f t="shared" ref="F5:F13" si="2">$N$3-K5</f>
        <v>3.0507452986668682</v>
      </c>
      <c r="G5" s="9">
        <f t="shared" ref="G5:G13" si="3">F5/$N$8</f>
        <v>6.1868144036339515E-2</v>
      </c>
      <c r="I5" s="3" t="s">
        <v>1</v>
      </c>
      <c r="J5" s="1">
        <v>0</v>
      </c>
      <c r="K5" s="8">
        <v>31.817</v>
      </c>
      <c r="N5" s="10"/>
    </row>
    <row r="6" spans="2:14" x14ac:dyDescent="0.25">
      <c r="B6" s="3" t="s">
        <v>33</v>
      </c>
      <c r="C6" s="3">
        <v>10</v>
      </c>
      <c r="D6" s="9">
        <f t="shared" si="0"/>
        <v>34.867745298666868</v>
      </c>
      <c r="E6" s="1">
        <f t="shared" si="1"/>
        <v>1</v>
      </c>
      <c r="F6" s="9">
        <f t="shared" si="2"/>
        <v>6.1487452986668671</v>
      </c>
      <c r="G6" s="9">
        <f t="shared" si="3"/>
        <v>0.12469459838122884</v>
      </c>
      <c r="I6" s="3" t="s">
        <v>2</v>
      </c>
      <c r="J6" s="1">
        <v>0</v>
      </c>
      <c r="K6" s="8">
        <v>28.719000000000001</v>
      </c>
      <c r="N6" s="10"/>
    </row>
    <row r="7" spans="2:14" x14ac:dyDescent="0.25">
      <c r="B7" s="3" t="s">
        <v>33</v>
      </c>
      <c r="C7" s="3">
        <v>15</v>
      </c>
      <c r="D7" s="9">
        <f t="shared" si="0"/>
        <v>34.867745298666868</v>
      </c>
      <c r="E7" s="1">
        <f t="shared" si="1"/>
        <v>1</v>
      </c>
      <c r="F7" s="9">
        <f t="shared" si="2"/>
        <v>9.3427452986668698</v>
      </c>
      <c r="G7" s="9">
        <f t="shared" si="3"/>
        <v>0.18946790218289983</v>
      </c>
      <c r="I7" s="3" t="s">
        <v>3</v>
      </c>
      <c r="J7" s="1">
        <v>0</v>
      </c>
      <c r="K7" s="8">
        <v>25.524999999999999</v>
      </c>
      <c r="M7" s="2" t="s">
        <v>28</v>
      </c>
      <c r="N7" s="8">
        <f>Analytical!$J$6*Analytical!$J$7*COS(RADIANS(Analytical!J8))</f>
        <v>34.867745298666868</v>
      </c>
    </row>
    <row r="8" spans="2:14" x14ac:dyDescent="0.25">
      <c r="B8" s="3" t="s">
        <v>33</v>
      </c>
      <c r="C8" s="3">
        <v>16</v>
      </c>
      <c r="D8" s="9">
        <f t="shared" si="0"/>
        <v>34.867745298666868</v>
      </c>
      <c r="E8" s="1">
        <f t="shared" si="1"/>
        <v>1</v>
      </c>
      <c r="F8" s="9">
        <f t="shared" si="2"/>
        <v>9.9627452986668672</v>
      </c>
      <c r="G8" s="9">
        <f t="shared" si="3"/>
        <v>0.20204130492461425</v>
      </c>
      <c r="I8" s="3" t="s">
        <v>4</v>
      </c>
      <c r="J8" s="1">
        <v>0</v>
      </c>
      <c r="K8" s="8">
        <v>24.905000000000001</v>
      </c>
      <c r="M8" s="2" t="s">
        <v>29</v>
      </c>
      <c r="N8" s="8">
        <f>Analytical!$J$6*Analytical!$J$7</f>
        <v>49.31043829074541</v>
      </c>
    </row>
    <row r="9" spans="2:14" x14ac:dyDescent="0.25">
      <c r="B9" s="3" t="s">
        <v>33</v>
      </c>
      <c r="C9" s="3">
        <v>18</v>
      </c>
      <c r="D9" s="9">
        <f t="shared" si="0"/>
        <v>34.867745298666868</v>
      </c>
      <c r="E9" s="1">
        <f t="shared" si="1"/>
        <v>1</v>
      </c>
      <c r="F9" s="9">
        <f t="shared" si="2"/>
        <v>9.9617452986668695</v>
      </c>
      <c r="G9" s="9">
        <f t="shared" si="3"/>
        <v>0.20202102524277282</v>
      </c>
      <c r="I9" s="3" t="s">
        <v>5</v>
      </c>
      <c r="J9" s="1">
        <v>0</v>
      </c>
      <c r="K9" s="8">
        <v>24.905999999999999</v>
      </c>
    </row>
    <row r="10" spans="2:14" x14ac:dyDescent="0.25">
      <c r="B10" s="3" t="s">
        <v>33</v>
      </c>
      <c r="C10" s="3">
        <v>20</v>
      </c>
      <c r="D10" s="9">
        <f t="shared" si="0"/>
        <v>34.867745298666868</v>
      </c>
      <c r="E10" s="1">
        <f t="shared" si="1"/>
        <v>1</v>
      </c>
      <c r="F10" s="9">
        <f t="shared" si="2"/>
        <v>9.9617452986668695</v>
      </c>
      <c r="G10" s="9">
        <f t="shared" si="3"/>
        <v>0.20202102524277282</v>
      </c>
      <c r="I10" s="3" t="s">
        <v>6</v>
      </c>
      <c r="J10" s="1">
        <v>0</v>
      </c>
      <c r="K10" s="8">
        <v>24.905999999999999</v>
      </c>
    </row>
    <row r="11" spans="2:14" x14ac:dyDescent="0.25">
      <c r="B11" s="3" t="s">
        <v>33</v>
      </c>
      <c r="C11" s="3">
        <v>30</v>
      </c>
      <c r="D11" s="9">
        <f t="shared" si="0"/>
        <v>34.867745298666868</v>
      </c>
      <c r="E11" s="1">
        <f t="shared" si="1"/>
        <v>1</v>
      </c>
      <c r="F11" s="9">
        <f t="shared" si="2"/>
        <v>9.9617452986668695</v>
      </c>
      <c r="G11" s="9">
        <f t="shared" si="3"/>
        <v>0.20202102524277282</v>
      </c>
      <c r="I11" s="3" t="s">
        <v>7</v>
      </c>
      <c r="J11" s="1">
        <v>0</v>
      </c>
      <c r="K11" s="8">
        <v>24.905999999999999</v>
      </c>
    </row>
    <row r="12" spans="2:14" x14ac:dyDescent="0.25">
      <c r="B12" s="3" t="s">
        <v>33</v>
      </c>
      <c r="C12" s="3">
        <v>60</v>
      </c>
      <c r="D12" s="9">
        <f t="shared" si="0"/>
        <v>34.867745298666868</v>
      </c>
      <c r="E12" s="1">
        <f t="shared" si="1"/>
        <v>1</v>
      </c>
      <c r="F12" s="9">
        <f t="shared" si="2"/>
        <v>9.9617452986668695</v>
      </c>
      <c r="G12" s="9">
        <f t="shared" si="3"/>
        <v>0.20202102524277282</v>
      </c>
      <c r="I12" s="3" t="s">
        <v>8</v>
      </c>
      <c r="J12" s="1">
        <v>0</v>
      </c>
      <c r="K12" s="8">
        <v>24.905999999999999</v>
      </c>
    </row>
    <row r="13" spans="2:14" x14ac:dyDescent="0.25">
      <c r="B13" s="3" t="s">
        <v>33</v>
      </c>
      <c r="C13" s="3">
        <v>80</v>
      </c>
      <c r="D13" s="9">
        <f t="shared" si="0"/>
        <v>34.867745298666868</v>
      </c>
      <c r="E13" s="1">
        <f t="shared" si="1"/>
        <v>1</v>
      </c>
      <c r="F13" s="9">
        <f t="shared" si="2"/>
        <v>9.9617452986668695</v>
      </c>
      <c r="G13" s="9">
        <f t="shared" si="3"/>
        <v>0.20202102524277282</v>
      </c>
      <c r="I13" s="3" t="s">
        <v>9</v>
      </c>
      <c r="J13" s="1">
        <v>0</v>
      </c>
      <c r="K13" s="8">
        <v>24.905999999999999</v>
      </c>
    </row>
    <row r="15" spans="2:14" x14ac:dyDescent="0.25">
      <c r="D15" t="s">
        <v>22</v>
      </c>
    </row>
    <row r="16" spans="2:14" x14ac:dyDescent="0.25">
      <c r="D16" t="s">
        <v>23</v>
      </c>
    </row>
  </sheetData>
  <mergeCells count="2">
    <mergeCell ref="D2:G2"/>
    <mergeCell ref="I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>
      <selection activeCell="M13" sqref="M13"/>
    </sheetView>
  </sheetViews>
  <sheetFormatPr defaultRowHeight="15" x14ac:dyDescent="0.25"/>
  <cols>
    <col min="1" max="1" width="2" customWidth="1"/>
    <col min="2" max="2" width="5.28515625" bestFit="1" customWidth="1"/>
    <col min="3" max="3" width="3" bestFit="1" customWidth="1"/>
    <col min="4" max="4" width="12.5703125" bestFit="1" customWidth="1"/>
    <col min="5" max="5" width="15.42578125" customWidth="1"/>
    <col min="6" max="6" width="15.42578125" bestFit="1" customWidth="1"/>
    <col min="7" max="7" width="15.140625" bestFit="1" customWidth="1"/>
    <col min="8" max="8" width="1.85546875" customWidth="1"/>
    <col min="9" max="9" width="7.7109375" bestFit="1" customWidth="1"/>
    <col min="10" max="10" width="12.5703125" bestFit="1" customWidth="1"/>
    <col min="11" max="11" width="15.42578125" bestFit="1" customWidth="1"/>
    <col min="12" max="12" width="2.28515625" customWidth="1"/>
    <col min="13" max="13" width="35.28515625" customWidth="1"/>
  </cols>
  <sheetData>
    <row r="1" spans="2:14" ht="8.25" customHeight="1" x14ac:dyDescent="0.25"/>
    <row r="2" spans="2:14" x14ac:dyDescent="0.25">
      <c r="D2" s="11" t="s">
        <v>13</v>
      </c>
      <c r="E2" s="11"/>
      <c r="F2" s="11"/>
      <c r="G2" s="11"/>
      <c r="I2" s="11" t="s">
        <v>21</v>
      </c>
      <c r="J2" s="11"/>
      <c r="K2" s="11"/>
    </row>
    <row r="3" spans="2:14" ht="30" x14ac:dyDescent="0.25">
      <c r="D3" s="2" t="s">
        <v>11</v>
      </c>
      <c r="E3" s="5" t="s">
        <v>26</v>
      </c>
      <c r="F3" s="2" t="s">
        <v>12</v>
      </c>
      <c r="G3" s="5" t="s">
        <v>27</v>
      </c>
      <c r="I3" s="2"/>
      <c r="J3" s="4" t="s">
        <v>11</v>
      </c>
      <c r="K3" s="4" t="s">
        <v>12</v>
      </c>
      <c r="M3" s="5" t="s">
        <v>24</v>
      </c>
      <c r="N3" s="8">
        <f>Analytical!$J$6*Analytical!$J$7*SIN(RADIANS(Analytical!$J$8))</f>
        <v>34.867745298666868</v>
      </c>
    </row>
    <row r="4" spans="2:14" x14ac:dyDescent="0.25">
      <c r="B4" s="3" t="s">
        <v>33</v>
      </c>
      <c r="C4" s="3">
        <v>0</v>
      </c>
      <c r="D4" s="9">
        <f>$N$3-J4</f>
        <v>34.867745298666868</v>
      </c>
      <c r="E4" s="1">
        <f>D4/$N$7</f>
        <v>1</v>
      </c>
      <c r="F4" s="9">
        <f>IF($N$3-K4&lt;0,0,$N$3-K4)</f>
        <v>0</v>
      </c>
      <c r="G4" s="9">
        <f>F4/$N$8</f>
        <v>0</v>
      </c>
      <c r="I4" s="3" t="s">
        <v>0</v>
      </c>
      <c r="J4" s="1">
        <v>0</v>
      </c>
      <c r="K4" s="8">
        <v>34.868000000000002</v>
      </c>
      <c r="M4" s="5" t="s">
        <v>25</v>
      </c>
      <c r="N4" s="8">
        <f>Analytical!$J$6*Analytical!$J$7*COS(RADIANS(Analytical!$J$8))</f>
        <v>34.867745298666868</v>
      </c>
    </row>
    <row r="5" spans="2:14" x14ac:dyDescent="0.25">
      <c r="B5" s="3" t="s">
        <v>33</v>
      </c>
      <c r="C5" s="3">
        <v>5</v>
      </c>
      <c r="D5" s="9">
        <f t="shared" ref="D5:D13" si="0">$N$3-J5</f>
        <v>34.867745298666868</v>
      </c>
      <c r="E5" s="1">
        <f t="shared" ref="E5:E13" si="1">D5/$N$7</f>
        <v>1</v>
      </c>
      <c r="F5" s="9">
        <f t="shared" ref="F5:F13" si="2">$N$3-K5</f>
        <v>3.0507452986668682</v>
      </c>
      <c r="G5" s="9">
        <f t="shared" ref="G5:G13" si="3">F5/$N$8</f>
        <v>6.1868144036339515E-2</v>
      </c>
      <c r="I5" s="3" t="s">
        <v>1</v>
      </c>
      <c r="J5" s="1">
        <v>0</v>
      </c>
      <c r="K5" s="8">
        <v>31.817</v>
      </c>
      <c r="N5" s="10"/>
    </row>
    <row r="6" spans="2:14" x14ac:dyDescent="0.25">
      <c r="B6" s="3" t="s">
        <v>33</v>
      </c>
      <c r="C6" s="3">
        <v>10</v>
      </c>
      <c r="D6" s="9">
        <f t="shared" si="0"/>
        <v>34.867745298666868</v>
      </c>
      <c r="E6" s="1">
        <f t="shared" si="1"/>
        <v>1</v>
      </c>
      <c r="F6" s="9">
        <f t="shared" si="2"/>
        <v>6.1477452986668695</v>
      </c>
      <c r="G6" s="9">
        <f t="shared" si="3"/>
        <v>0.12467431869938742</v>
      </c>
      <c r="I6" s="3" t="s">
        <v>2</v>
      </c>
      <c r="J6" s="1">
        <v>0</v>
      </c>
      <c r="K6" s="8">
        <v>28.72</v>
      </c>
      <c r="N6" s="10"/>
    </row>
    <row r="7" spans="2:14" x14ac:dyDescent="0.25">
      <c r="B7" s="3" t="s">
        <v>33</v>
      </c>
      <c r="C7" s="3">
        <v>15</v>
      </c>
      <c r="D7" s="9">
        <f t="shared" si="0"/>
        <v>34.867745298666868</v>
      </c>
      <c r="E7" s="1">
        <f t="shared" si="1"/>
        <v>1</v>
      </c>
      <c r="F7" s="9">
        <f t="shared" si="2"/>
        <v>9.3427452986668698</v>
      </c>
      <c r="G7" s="9">
        <f t="shared" si="3"/>
        <v>0.18946790218289983</v>
      </c>
      <c r="I7" s="3" t="s">
        <v>3</v>
      </c>
      <c r="J7" s="1">
        <v>0</v>
      </c>
      <c r="K7" s="8">
        <v>25.524999999999999</v>
      </c>
      <c r="M7" s="2" t="s">
        <v>28</v>
      </c>
      <c r="N7" s="8">
        <f>Analytical!$J$6*Analytical!$J$7*COS(RADIANS(Analytical!J8))</f>
        <v>34.867745298666868</v>
      </c>
    </row>
    <row r="8" spans="2:14" x14ac:dyDescent="0.25">
      <c r="B8" s="3" t="s">
        <v>33</v>
      </c>
      <c r="C8" s="3">
        <v>16</v>
      </c>
      <c r="D8" s="9">
        <f t="shared" si="0"/>
        <v>34.867745298666868</v>
      </c>
      <c r="E8" s="1">
        <f t="shared" si="1"/>
        <v>1</v>
      </c>
      <c r="F8" s="9">
        <f t="shared" si="2"/>
        <v>9.9607452986668683</v>
      </c>
      <c r="G8" s="9">
        <f t="shared" si="3"/>
        <v>0.20200074556093131</v>
      </c>
      <c r="I8" s="3" t="s">
        <v>4</v>
      </c>
      <c r="J8" s="1">
        <v>0</v>
      </c>
      <c r="K8" s="8">
        <v>24.907</v>
      </c>
      <c r="M8" s="2" t="s">
        <v>29</v>
      </c>
      <c r="N8" s="8">
        <f>Analytical!$J$6*Analytical!$J$7</f>
        <v>49.31043829074541</v>
      </c>
    </row>
    <row r="9" spans="2:14" x14ac:dyDescent="0.25">
      <c r="B9" s="3" t="s">
        <v>33</v>
      </c>
      <c r="C9" s="3">
        <v>18</v>
      </c>
      <c r="D9" s="9">
        <f t="shared" si="0"/>
        <v>34.867745298666868</v>
      </c>
      <c r="E9" s="1">
        <f t="shared" si="1"/>
        <v>1</v>
      </c>
      <c r="F9" s="9">
        <f t="shared" si="2"/>
        <v>9.9617452986668695</v>
      </c>
      <c r="G9" s="9">
        <f t="shared" si="3"/>
        <v>0.20202102524277282</v>
      </c>
      <c r="I9" s="3" t="s">
        <v>5</v>
      </c>
      <c r="J9" s="1">
        <v>0</v>
      </c>
      <c r="K9" s="8">
        <v>24.905999999999999</v>
      </c>
    </row>
    <row r="10" spans="2:14" x14ac:dyDescent="0.25">
      <c r="B10" s="3" t="s">
        <v>33</v>
      </c>
      <c r="C10" s="3">
        <v>20</v>
      </c>
      <c r="D10" s="9">
        <f t="shared" si="0"/>
        <v>34.867745298666868</v>
      </c>
      <c r="E10" s="1">
        <f t="shared" si="1"/>
        <v>1</v>
      </c>
      <c r="F10" s="9">
        <f t="shared" si="2"/>
        <v>9.9627452986668672</v>
      </c>
      <c r="G10" s="9">
        <f t="shared" si="3"/>
        <v>0.20204130492461425</v>
      </c>
      <c r="I10" s="3" t="s">
        <v>6</v>
      </c>
      <c r="J10" s="1">
        <v>0</v>
      </c>
      <c r="K10" s="8">
        <v>24.905000000000001</v>
      </c>
    </row>
    <row r="11" spans="2:14" x14ac:dyDescent="0.25">
      <c r="B11" s="3" t="s">
        <v>33</v>
      </c>
      <c r="C11" s="3">
        <v>30</v>
      </c>
      <c r="D11" s="9">
        <f t="shared" si="0"/>
        <v>34.867745298666868</v>
      </c>
      <c r="E11" s="1">
        <f t="shared" si="1"/>
        <v>1</v>
      </c>
      <c r="F11" s="9">
        <f t="shared" si="2"/>
        <v>9.9627452986668672</v>
      </c>
      <c r="G11" s="9">
        <f t="shared" si="3"/>
        <v>0.20204130492461425</v>
      </c>
      <c r="I11" s="3" t="s">
        <v>7</v>
      </c>
      <c r="J11" s="1">
        <v>0</v>
      </c>
      <c r="K11" s="8">
        <v>24.905000000000001</v>
      </c>
    </row>
    <row r="12" spans="2:14" x14ac:dyDescent="0.25">
      <c r="B12" s="3" t="s">
        <v>33</v>
      </c>
      <c r="C12" s="3">
        <v>60</v>
      </c>
      <c r="D12" s="9">
        <f t="shared" si="0"/>
        <v>34.867745298666868</v>
      </c>
      <c r="E12" s="1">
        <f t="shared" si="1"/>
        <v>1</v>
      </c>
      <c r="F12" s="9">
        <f t="shared" si="2"/>
        <v>9.9627452986668672</v>
      </c>
      <c r="G12" s="9">
        <f t="shared" si="3"/>
        <v>0.20204130492461425</v>
      </c>
      <c r="I12" s="3" t="s">
        <v>8</v>
      </c>
      <c r="J12" s="1">
        <v>0</v>
      </c>
      <c r="K12" s="8">
        <v>24.905000000000001</v>
      </c>
    </row>
    <row r="13" spans="2:14" x14ac:dyDescent="0.25">
      <c r="B13" s="3" t="s">
        <v>33</v>
      </c>
      <c r="C13" s="3">
        <v>80</v>
      </c>
      <c r="D13" s="9">
        <f t="shared" si="0"/>
        <v>34.867745298666868</v>
      </c>
      <c r="E13" s="1">
        <f t="shared" si="1"/>
        <v>1</v>
      </c>
      <c r="F13" s="9">
        <f t="shared" si="2"/>
        <v>9.9627452986668672</v>
      </c>
      <c r="G13" s="9">
        <f t="shared" si="3"/>
        <v>0.20204130492461425</v>
      </c>
      <c r="I13" s="3" t="s">
        <v>9</v>
      </c>
      <c r="J13" s="1">
        <v>0</v>
      </c>
      <c r="K13" s="8">
        <v>24.905000000000001</v>
      </c>
    </row>
    <row r="15" spans="2:14" x14ac:dyDescent="0.25">
      <c r="D15" t="s">
        <v>22</v>
      </c>
    </row>
    <row r="16" spans="2:14" x14ac:dyDescent="0.25">
      <c r="D16" t="s">
        <v>23</v>
      </c>
    </row>
  </sheetData>
  <mergeCells count="2">
    <mergeCell ref="D2:G2"/>
    <mergeCell ref="I2:K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showGridLines="0" workbookViewId="0">
      <selection activeCell="G2" sqref="G2"/>
    </sheetView>
  </sheetViews>
  <sheetFormatPr defaultRowHeight="15" x14ac:dyDescent="0.25"/>
  <cols>
    <col min="1" max="1" width="2" customWidth="1"/>
    <col min="2" max="2" width="3.85546875" bestFit="1" customWidth="1"/>
    <col min="3" max="3" width="12.5703125" bestFit="1" customWidth="1"/>
    <col min="4" max="4" width="15.42578125" bestFit="1" customWidth="1"/>
    <col min="5" max="5" width="2" customWidth="1"/>
    <col min="6" max="6" width="12.28515625" bestFit="1" customWidth="1"/>
    <col min="7" max="7" width="15.140625" bestFit="1" customWidth="1"/>
    <col min="8" max="8" width="1.85546875" customWidth="1"/>
    <col min="11" max="11" width="1.5703125" customWidth="1"/>
    <col min="12" max="12" width="11.5703125" bestFit="1" customWidth="1"/>
    <col min="14" max="14" width="1.7109375" customWidth="1"/>
    <col min="15" max="15" width="29.140625" bestFit="1" customWidth="1"/>
  </cols>
  <sheetData>
    <row r="1" spans="2:16" ht="8.25" customHeight="1" x14ac:dyDescent="0.25"/>
    <row r="2" spans="2:16" x14ac:dyDescent="0.25">
      <c r="C2" s="11" t="s">
        <v>10</v>
      </c>
      <c r="D2" s="11"/>
    </row>
    <row r="3" spans="2:16" ht="30" x14ac:dyDescent="0.25">
      <c r="B3" s="7" t="s">
        <v>30</v>
      </c>
      <c r="C3" s="2" t="s">
        <v>11</v>
      </c>
      <c r="D3" s="2" t="s">
        <v>12</v>
      </c>
      <c r="F3" s="5" t="s">
        <v>26</v>
      </c>
      <c r="G3" s="5" t="s">
        <v>27</v>
      </c>
      <c r="I3" s="12" t="s">
        <v>18</v>
      </c>
      <c r="J3" s="13"/>
      <c r="L3" s="7" t="s">
        <v>31</v>
      </c>
      <c r="M3" s="6">
        <f>(2/7)*TAN(RADIANS(J8))</f>
        <v>0.28571428571428564</v>
      </c>
      <c r="O3" s="5" t="s">
        <v>28</v>
      </c>
      <c r="P3" s="8">
        <f>J6*J7</f>
        <v>49.31043829074541</v>
      </c>
    </row>
    <row r="4" spans="2:16" x14ac:dyDescent="0.25">
      <c r="B4" s="3">
        <v>0</v>
      </c>
      <c r="C4" s="1">
        <f>$J$6*$J$7*COS(RADIANS($J$8))</f>
        <v>34.867745298666868</v>
      </c>
      <c r="D4" s="1">
        <f>IF(B4&lt;=$M$4,$J$6*$J$7*COS(RADIANS($J$8))*TAN(RADIANS(B4)),(2/7)*$J$6*$J$7*SIN(RADIANS($J$8)))</f>
        <v>0</v>
      </c>
      <c r="F4" s="1">
        <f>C4/$P$4</f>
        <v>1</v>
      </c>
      <c r="G4" s="1">
        <f>D4/$P$3</f>
        <v>0</v>
      </c>
      <c r="I4" s="7" t="s">
        <v>20</v>
      </c>
      <c r="J4" s="1">
        <v>0.1</v>
      </c>
      <c r="L4" s="7" t="s">
        <v>32</v>
      </c>
      <c r="M4" s="1">
        <f>DEGREES(ATAN(M3))</f>
        <v>15.945395900922851</v>
      </c>
      <c r="O4" s="5" t="s">
        <v>29</v>
      </c>
      <c r="P4" s="8">
        <f>J6*J7*COS(RADIANS(J8))</f>
        <v>34.867745298666868</v>
      </c>
    </row>
    <row r="5" spans="2:16" x14ac:dyDescent="0.25">
      <c r="B5" s="3">
        <v>5</v>
      </c>
      <c r="C5" s="1">
        <f>$J$6*$J$7*COS(RADIANS($J$8))</f>
        <v>34.867745298666868</v>
      </c>
      <c r="D5" s="1">
        <f>IF(B5&lt;=$M$4,$J$6*$J$7*COS(RADIANS($J$8))*TAN(RADIANS(B5)),(2/7)*$J$6*$J$7*SIN(RADIANS($J$8)))</f>
        <v>3.0505324363426842</v>
      </c>
      <c r="F5" s="1">
        <f>C5/$P$4</f>
        <v>1</v>
      </c>
      <c r="G5" s="1">
        <f>D5/$P$3</f>
        <v>6.1863827256129024E-2</v>
      </c>
      <c r="I5" s="7" t="s">
        <v>19</v>
      </c>
      <c r="J5" s="1">
        <v>1200</v>
      </c>
    </row>
    <row r="6" spans="2:16" x14ac:dyDescent="0.25">
      <c r="B6" s="3">
        <v>10</v>
      </c>
      <c r="C6" s="1">
        <f>$J$6*$J$7*COS(RADIANS($J$8))</f>
        <v>34.867745298666868</v>
      </c>
      <c r="D6" s="1">
        <f>IF(B6&lt;=$M$4,$J$6*$J$7*COS(RADIANS($J$8))*TAN(RADIANS(B6)),(2/7)*$J$6*$J$7*SIN(RADIANS($J$8)))</f>
        <v>6.1481242526257036</v>
      </c>
      <c r="F6" s="1">
        <f>C6/$P$4</f>
        <v>1</v>
      </c>
      <c r="G6" s="1">
        <f>D6/$P$3</f>
        <v>0.12468200376510513</v>
      </c>
      <c r="I6" s="7" t="s">
        <v>15</v>
      </c>
      <c r="J6" s="1">
        <f>J5*(4/3)*PI()*J4^3</f>
        <v>5.0265482457436708</v>
      </c>
      <c r="P6" s="10"/>
    </row>
    <row r="7" spans="2:16" x14ac:dyDescent="0.25">
      <c r="B7" s="3">
        <v>15</v>
      </c>
      <c r="C7" s="1">
        <f>$J$6*$J$7*COS(RADIANS($J$8))</f>
        <v>34.867745298666868</v>
      </c>
      <c r="D7" s="1">
        <f>IF(B7&lt;=$M$4,$J$6*$J$7*COS(RADIANS($J$8))*TAN(RADIANS(B7)),(2/7)*$J$6*$J$7*SIN(RADIANS($J$8)))</f>
        <v>9.3427841946718626</v>
      </c>
      <c r="F7" s="1">
        <f>C7/$P$4</f>
        <v>1</v>
      </c>
      <c r="G7" s="1">
        <f>D7/$P$3</f>
        <v>0.18946869098150598</v>
      </c>
      <c r="I7" s="7" t="s">
        <v>16</v>
      </c>
      <c r="J7" s="1">
        <v>9.81</v>
      </c>
    </row>
    <row r="8" spans="2:16" x14ac:dyDescent="0.25">
      <c r="B8" s="3">
        <v>16</v>
      </c>
      <c r="C8" s="1">
        <f>$J$6*$J$7*COS(RADIANS($J$8))</f>
        <v>34.867745298666868</v>
      </c>
      <c r="D8" s="1">
        <f>IF(B8&lt;=$M$4,$J$6*$J$7*COS(RADIANS($J$8))*TAN(RADIANS(B8)),(2/7)*$J$6*$J$7*SIN(RADIANS($J$8)))</f>
        <v>9.9622129424762473</v>
      </c>
      <c r="F8" s="1">
        <f>C8/$P$4</f>
        <v>1</v>
      </c>
      <c r="G8" s="1">
        <f>D8/$P$3</f>
        <v>0.20203050891044214</v>
      </c>
      <c r="I8" s="7" t="s">
        <v>17</v>
      </c>
      <c r="J8" s="1">
        <v>45</v>
      </c>
    </row>
    <row r="9" spans="2:16" x14ac:dyDescent="0.25">
      <c r="B9" s="3">
        <v>18</v>
      </c>
      <c r="C9" s="1">
        <f>$J$6*$J$7*COS(RADIANS($J$8))</f>
        <v>34.867745298666868</v>
      </c>
      <c r="D9" s="1">
        <f>IF(B9&lt;=$M$4,$J$6*$J$7*COS(RADIANS($J$8))*TAN(RADIANS(B9)),(2/7)*$J$6*$J$7*SIN(RADIANS($J$8)))</f>
        <v>9.9622129424762473</v>
      </c>
      <c r="F9" s="1">
        <f>C9/$P$4</f>
        <v>1</v>
      </c>
      <c r="G9" s="1">
        <f>D9/$P$3</f>
        <v>0.20203050891044214</v>
      </c>
    </row>
    <row r="10" spans="2:16" x14ac:dyDescent="0.25">
      <c r="B10" s="3">
        <v>20</v>
      </c>
      <c r="C10" s="1">
        <f>$J$6*$J$7*COS(RADIANS($J$8))</f>
        <v>34.867745298666868</v>
      </c>
      <c r="D10" s="1">
        <f>IF(B10&lt;=$M$4,$J$6*$J$7*COS(RADIANS($J$8))*TAN(RADIANS(B10)),(2/7)*$J$6*$J$7*SIN(RADIANS($J$8)))</f>
        <v>9.9622129424762473</v>
      </c>
      <c r="F10" s="1">
        <f>C10/$P$4</f>
        <v>1</v>
      </c>
      <c r="G10" s="1">
        <f>D10/$P$3</f>
        <v>0.20203050891044214</v>
      </c>
    </row>
    <row r="11" spans="2:16" x14ac:dyDescent="0.25">
      <c r="B11" s="3">
        <v>30</v>
      </c>
      <c r="C11" s="1">
        <f>$J$6*$J$7*COS(RADIANS($J$8))</f>
        <v>34.867745298666868</v>
      </c>
      <c r="D11" s="1">
        <f>IF(B11&lt;=$M$4,$J$6*$J$7*COS(RADIANS($J$8))*TAN(RADIANS(B11)),(2/7)*$J$6*$J$7*SIN(RADIANS($J$8)))</f>
        <v>9.9622129424762473</v>
      </c>
      <c r="F11" s="1">
        <f>C11/$P$4</f>
        <v>1</v>
      </c>
      <c r="G11" s="1">
        <f>D11/$P$3</f>
        <v>0.20203050891044214</v>
      </c>
    </row>
    <row r="12" spans="2:16" x14ac:dyDescent="0.25">
      <c r="B12" s="3">
        <v>60</v>
      </c>
      <c r="C12" s="1">
        <f>$J$6*$J$7*COS(RADIANS($J$8))</f>
        <v>34.867745298666868</v>
      </c>
      <c r="D12" s="1">
        <f>IF(B12&lt;=$M$4,$J$6*$J$7*COS(RADIANS($J$8))*TAN(RADIANS(B12)),(2/7)*$J$6*$J$7*SIN(RADIANS($J$8)))</f>
        <v>9.9622129424762473</v>
      </c>
      <c r="F12" s="1">
        <f>C12/$P$4</f>
        <v>1</v>
      </c>
      <c r="G12" s="1">
        <f>D12/$P$3</f>
        <v>0.20203050891044214</v>
      </c>
    </row>
    <row r="13" spans="2:16" x14ac:dyDescent="0.25">
      <c r="B13" s="3">
        <v>80</v>
      </c>
      <c r="C13" s="1">
        <f>$J$6*$J$7*COS(RADIANS($J$8))</f>
        <v>34.867745298666868</v>
      </c>
      <c r="D13" s="1">
        <f>IF(B13&lt;=$M$4,$J$6*$J$7*COS(RADIANS($J$8))*TAN(RADIANS(B13)),(2/7)*$J$6*$J$7*SIN(RADIANS($J$8)))</f>
        <v>9.9622129424762473</v>
      </c>
      <c r="F13" s="1">
        <f>C13/$P$4</f>
        <v>1</v>
      </c>
      <c r="G13" s="1">
        <f>D13/$P$3</f>
        <v>0.20203050891044214</v>
      </c>
    </row>
  </sheetData>
  <mergeCells count="2">
    <mergeCell ref="C2:D2"/>
    <mergeCell ref="I3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6"/>
  <sheetViews>
    <sheetView tabSelected="1" workbookViewId="0">
      <selection activeCell="K28" sqref="K28"/>
    </sheetView>
  </sheetViews>
  <sheetFormatPr defaultRowHeight="15" x14ac:dyDescent="0.25"/>
  <sheetData>
    <row r="6" spans="28:28" x14ac:dyDescent="0.25">
      <c r="AB6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Hooke</vt:lpstr>
      <vt:lpstr>Hertz</vt:lpstr>
      <vt:lpstr>Analytical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Teixeira</dc:creator>
  <cp:lastModifiedBy>Marcelo Teixeira</cp:lastModifiedBy>
  <dcterms:created xsi:type="dcterms:W3CDTF">2017-08-30T14:44:58Z</dcterms:created>
  <dcterms:modified xsi:type="dcterms:W3CDTF">2017-08-31T21:26:42Z</dcterms:modified>
</cp:coreProperties>
</file>