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74e9870e9454/Documents/Education/DU Data Bootcamp/git/kickstarter-analysis/"/>
    </mc:Choice>
  </mc:AlternateContent>
  <xr:revisionPtr revIDLastSave="430" documentId="13_ncr:1_{D754642E-E684-4F4D-953B-1821B0424A6E}" xr6:coauthVersionLast="47" xr6:coauthVersionMax="47" xr10:uidLastSave="{7204D2BC-68ED-4B1C-ACCC-209AE7F7877F}"/>
  <bookViews>
    <workbookView xWindow="36210" yWindow="2685" windowWidth="28530" windowHeight="17655" tabRatio="814" firstSheet="5" activeTab="1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GB_Musical_BP" sheetId="11" r:id="rId8"/>
    <sheet name="Kickstarter" sheetId="1" r:id="rId9"/>
    <sheet name="Theater Outcomes by Launch Date" sheetId="12" r:id="rId10"/>
    <sheet name="Outcomes Based on Goals" sheetId="13" r:id="rId11"/>
  </sheets>
  <definedNames>
    <definedName name="_xlnm._FilterDatabase" localSheetId="8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6" r:id="rId12"/>
    <pivotCache cacheId="7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3" l="1"/>
  <c r="E14" i="13"/>
  <c r="E13" i="13"/>
  <c r="E12" i="13"/>
  <c r="E11" i="13"/>
  <c r="E10" i="13"/>
  <c r="E9" i="13"/>
  <c r="E8" i="13"/>
  <c r="E7" i="13"/>
  <c r="E6" i="13"/>
  <c r="E5" i="13"/>
  <c r="E4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C11" i="8"/>
  <c r="B11" i="8"/>
  <c r="C4" i="8"/>
  <c r="B4" i="8"/>
  <c r="C13" i="8"/>
  <c r="B13" i="8"/>
  <c r="C12" i="8"/>
  <c r="C14" i="8" s="1"/>
  <c r="B12" i="8"/>
  <c r="B14" i="8" s="1"/>
  <c r="C7" i="8"/>
  <c r="C6" i="8"/>
  <c r="C5" i="8"/>
  <c r="B7" i="8"/>
  <c r="B6" i="8"/>
  <c r="B5" i="8"/>
  <c r="F7" i="13" l="1"/>
  <c r="F10" i="13"/>
  <c r="F8" i="13"/>
  <c r="I8" i="13" s="1"/>
  <c r="H10" i="13"/>
  <c r="I10" i="13"/>
  <c r="H7" i="13"/>
  <c r="H8" i="13"/>
  <c r="I7" i="13"/>
  <c r="F3" i="13"/>
  <c r="I3" i="13" s="1"/>
  <c r="F11" i="13"/>
  <c r="I11" i="13" s="1"/>
  <c r="G7" i="13"/>
  <c r="F4" i="13"/>
  <c r="H4" i="13" s="1"/>
  <c r="F12" i="13"/>
  <c r="H12" i="13" s="1"/>
  <c r="G10" i="13"/>
  <c r="F5" i="13"/>
  <c r="I5" i="13" s="1"/>
  <c r="F13" i="13"/>
  <c r="G13" i="13" s="1"/>
  <c r="F6" i="13"/>
  <c r="G6" i="13" s="1"/>
  <c r="F14" i="13"/>
  <c r="H14" i="13" s="1"/>
  <c r="F9" i="13"/>
  <c r="I9" i="13" s="1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G4" i="13" l="1"/>
  <c r="G8" i="13"/>
  <c r="I12" i="13"/>
  <c r="G5" i="13"/>
  <c r="H13" i="13"/>
  <c r="G14" i="13"/>
  <c r="I4" i="13"/>
  <c r="G12" i="13"/>
  <c r="G11" i="13"/>
  <c r="H5" i="13"/>
  <c r="I14" i="13"/>
  <c r="H3" i="13"/>
  <c r="G9" i="13"/>
  <c r="I6" i="13"/>
  <c r="G3" i="13"/>
  <c r="H9" i="13"/>
  <c r="I13" i="13"/>
  <c r="H11" i="13"/>
  <c r="H6" i="1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<sst xmlns="http://schemas.openxmlformats.org/spreadsheetml/2006/main" count="38385" uniqueCount="8419">
  <si>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</si>
  <si>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</si>
  <si>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</si>
  <si>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</si>
  <si>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</si>
  <si>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</si>
  <si>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</si>
  <si>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</si>
  <si>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</si>
  <si>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</si>
  <si>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</si>
  <si>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</si>
  <si>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</si>
  <si>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</si>
  <si>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</si>
  <si>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</si>
  <si>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</si>
  <si>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</si>
  <si>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</si>
  <si>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</si>
  <si>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</si>
  <si>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</si>
  <si>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</si>
  <si>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</si>
  <si>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</si>
  <si>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</si>
  <si>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</si>
  <si>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</si>
  <si>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</si>
  <si>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</si>
  <si>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</si>
  <si>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</si>
  <si>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</si>
  <si>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</si>
  <si>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</si>
  <si>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</si>
  <si>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</si>
  <si>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</si>
  <si>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</si>
  <si>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</si>
  <si>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</si>
  <si>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</si>
  <si>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</si>
  <si>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</si>
  <si>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</si>
  <si>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</si>
  <si>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</si>
  <si>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</si>
  <si>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</si>
  <si>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</si>
  <si>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</si>
  <si>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</si>
  <si>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</si>
  <si>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</si>
  <si>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</si>
  <si>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</si>
  <si>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</si>
  <si>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</si>
  <si>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</si>
  <si>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</si>
  <si>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</si>
  <si>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</si>
  <si>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</si>
  <si>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</si>
  <si>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</si>
  <si>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</si>
  <si>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</si>
  <si>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</si>
  <si>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</si>
  <si>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</si>
  <si>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</si>
  <si>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</si>
  <si>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</si>
  <si>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</si>
  <si>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</si>
  <si>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</si>
  <si>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</si>
  <si>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</si>
  <si>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</si>
  <si>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</si>
  <si>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</si>
  <si>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</si>
  <si>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</si>
  <si>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</si>
  <si>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</si>
  <si>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</si>
  <si>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</si>
  <si>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</si>
  <si>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</si>
  <si>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</si>
  <si>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</si>
  <si>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</si>
  <si>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</si>
  <si>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</si>
  <si>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</si>
  <si>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</si>
  <si>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</si>
  <si>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</si>
  <si>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</si>
  <si>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</si>
  <si>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</si>
  <si>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</si>
  <si>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</si>
  <si>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</si>
  <si>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</si>
  <si>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</si>
  <si>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</si>
  <si>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</si>
  <si>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</si>
  <si>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</si>
  <si>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</si>
  <si>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</si>
  <si>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</si>
  <si>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</si>
  <si>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</si>
  <si>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</si>
  <si>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</si>
  <si>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</si>
  <si>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</si>
  <si>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</si>
  <si>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</si>
  <si>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</si>
  <si>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</si>
  <si>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</si>
  <si>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</si>
  <si>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</si>
  <si>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</si>
  <si>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</si>
  <si>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</si>
  <si>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</si>
  <si>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</si>
  <si>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</si>
  <si>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</si>
  <si>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</si>
  <si>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</si>
  <si>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</si>
  <si>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</si>
  <si>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</si>
  <si>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</si>
  <si>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</si>
  <si>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</si>
  <si>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</si>
  <si>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</si>
  <si>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</si>
  <si>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</si>
  <si>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</si>
  <si>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</si>
  <si>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</si>
  <si>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</si>
  <si>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</si>
  <si>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</si>
  <si>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</si>
  <si>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</si>
  <si>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</si>
  <si>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</si>
  <si>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</si>
  <si>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</si>
  <si>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</si>
  <si>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</si>
  <si>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</si>
  <si>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</si>
  <si>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</si>
  <si>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</si>
  <si>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</si>
  <si>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</si>
  <si>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</si>
  <si>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</si>
  <si>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</si>
  <si>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</si>
  <si>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</si>
  <si>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</si>
  <si>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</si>
  <si>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</si>
  <si>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</si>
  <si>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</si>
  <si>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</si>
  <si>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</si>
  <si>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</si>
  <si>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</si>
  <si>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</si>
  <si>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</si>
  <si>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</si>
  <si>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</si>
  <si>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</si>
  <si>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</si>
  <si>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</si>
  <si>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</si>
  <si>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</si>
  <si>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</si>
  <si>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</si>
  <si>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</si>
  <si>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</si>
  <si>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</si>
  <si>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</si>
  <si>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</si>
  <si>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</si>
  <si>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</si>
  <si>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</si>
  <si>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</si>
  <si>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</si>
  <si>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</si>
  <si>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</si>
  <si>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</si>
  <si>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</si>
  <si>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</si>
  <si>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</si>
  <si>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</si>
  <si>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</si>
  <si>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</si>
  <si>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</si>
  <si>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</si>
  <si>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</si>
  <si>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</si>
  <si>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</si>
  <si>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</si>
  <si>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</si>
  <si>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</si>
  <si>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</si>
  <si>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</si>
  <si>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</si>
  <si>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</si>
  <si>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</si>
  <si>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</si>
  <si>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</si>
  <si>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</si>
  <si>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</si>
  <si>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</si>
  <si>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</si>
  <si>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</si>
  <si>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</si>
  <si>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</si>
  <si>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</si>
  <si>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</si>
  <si>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</si>
  <si>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</si>
  <si>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</si>
  <si>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</si>
  <si>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</si>
  <si>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</si>
  <si>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</si>
  <si>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</si>
  <si>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</si>
  <si>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</si>
  <si>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</si>
  <si>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</si>
  <si>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</si>
  <si>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</si>
  <si>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</si>
  <si>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</si>
  <si>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</si>
  <si>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</si>
  <si>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</si>
  <si>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</si>
  <si>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</si>
  <si>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</si>
  <si>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</si>
  <si>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</si>
  <si>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</si>
  <si>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</si>
  <si>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</si>
  <si>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</si>
  <si>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</si>
  <si>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</si>
  <si>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</si>
  <si>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</si>
  <si>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</si>
  <si>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</si>
  <si>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</si>
  <si>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</si>
  <si>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</si>
  <si>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</si>
  <si>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</si>
  <si>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</si>
  <si>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</si>
  <si>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</si>
  <si>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</si>
  <si>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</si>
  <si>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</si>
  <si>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</si>
  <si>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</si>
  <si>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</si>
  <si>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</si>
  <si>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</si>
  <si>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</si>
  <si>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</si>
  <si>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</si>
  <si>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</si>
  <si>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</si>
  <si>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</si>
  <si>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</si>
  <si>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</si>
  <si>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</si>
  <si>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</si>
  <si>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</si>
  <si>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</si>
  <si>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</si>
  <si>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</si>
  <si>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</si>
  <si>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</si>
  <si>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</si>
  <si>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</si>
  <si>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</si>
  <si>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</si>
  <si>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</si>
  <si>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</si>
  <si>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</si>
  <si>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</si>
  <si>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</si>
  <si>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</si>
  <si>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</si>
  <si>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</si>
  <si>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</si>
  <si>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</si>
  <si>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</si>
  <si>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</si>
  <si>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</si>
  <si>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</si>
  <si>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</si>
  <si>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</si>
  <si>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</si>
  <si>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</si>
  <si>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</si>
  <si>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</si>
  <si>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</si>
  <si>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</si>
  <si>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</si>
  <si>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</si>
  <si>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</si>
  <si>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</si>
  <si>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</si>
  <si>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</si>
  <si>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</si>
  <si>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</si>
  <si>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</si>
  <si>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</si>
  <si>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</si>
  <si>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</si>
  <si>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</si>
  <si>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</si>
  <si>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</si>
  <si>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</si>
  <si>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</si>
  <si>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</si>
  <si>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</si>
  <si>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</si>
  <si>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</si>
  <si>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</si>
  <si>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</si>
  <si>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</si>
  <si>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</si>
  <si>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</si>
  <si>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</si>
  <si>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</si>
  <si>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</si>
  <si>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</si>
  <si>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</si>
  <si>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</si>
  <si>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</si>
  <si>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</si>
  <si>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</si>
  <si>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</si>
  <si>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</si>
  <si>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</si>
  <si>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</si>
  <si>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</si>
  <si>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</si>
  <si>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</si>
  <si>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</si>
  <si>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</si>
  <si>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</si>
  <si>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</si>
  <si>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</si>
  <si>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</si>
  <si>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</si>
  <si>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</si>
  <si>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</si>
  <si>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</si>
  <si>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</si>
  <si>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</si>
  <si>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</si>
  <si>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</si>
  <si>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</si>
  <si>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</si>
  <si>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</si>
  <si>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</si>
  <si>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</si>
  <si>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</si>
  <si>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</si>
  <si>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</si>
  <si>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</si>
  <si>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</si>
  <si>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</si>
  <si>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</si>
  <si>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</si>
  <si>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</si>
  <si>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</si>
  <si>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</si>
  <si>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</si>
  <si>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</si>
  <si>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</si>
  <si>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</si>
  <si>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</si>
  <si>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</si>
  <si>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</si>
  <si>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</si>
  <si>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</si>
  <si>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</si>
  <si>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</si>
  <si>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</si>
  <si>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</si>
  <si>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</si>
  <si>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</si>
  <si>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</si>
  <si>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</si>
  <si>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</si>
  <si>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</si>
  <si>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</si>
  <si>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</si>
  <si>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</si>
  <si>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</si>
  <si>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</si>
  <si>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</si>
  <si>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</si>
  <si>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</si>
  <si>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</si>
  <si>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</si>
  <si>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</si>
  <si>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</si>
  <si>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</si>
  <si>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</si>
  <si>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</si>
  <si>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</si>
  <si>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</si>
  <si>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</si>
  <si>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</si>
  <si>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</si>
  <si>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</si>
  <si>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</si>
  <si>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</si>
  <si>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</si>
  <si>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</si>
  <si>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</si>
  <si>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</si>
  <si>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</si>
  <si>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</si>
  <si>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</si>
  <si>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</si>
  <si>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</si>
  <si>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</si>
  <si>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</si>
  <si>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</si>
  <si>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</si>
  <si>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</si>
  <si>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</si>
  <si>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</si>
  <si>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</si>
  <si>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</si>
  <si>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</si>
  <si>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</si>
  <si>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</si>
  <si>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</si>
  <si>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</si>
  <si>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</si>
  <si>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</si>
  <si>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</si>
  <si>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</si>
  <si>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</si>
  <si>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</si>
  <si>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</si>
  <si>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</si>
  <si>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</si>
  <si>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</si>
  <si>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</si>
  <si>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</si>
  <si>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</si>
  <si>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</si>
  <si>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</si>
  <si>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</si>
  <si>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</si>
  <si>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</si>
  <si>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</si>
  <si>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</si>
  <si>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</si>
  <si>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</si>
  <si>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</si>
  <si>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</si>
  <si>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</si>
  <si>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</si>
  <si>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</si>
  <si>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</si>
  <si>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</si>
  <si>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</si>
  <si>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</si>
  <si>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</si>
  <si>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</si>
  <si>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</si>
  <si>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</si>
  <si>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</si>
  <si>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</si>
  <si>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</si>
  <si>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</si>
  <si>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</si>
  <si>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</si>
  <si>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</si>
  <si>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</si>
  <si>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</si>
  <si>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</si>
  <si>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</si>
  <si>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</si>
  <si>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</si>
  <si>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</si>
  <si>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</si>
  <si>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</si>
  <si>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</si>
  <si>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</si>
  <si>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</si>
  <si>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</si>
  <si>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</si>
  <si>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</si>
  <si>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</si>
  <si>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</si>
  <si>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</si>
  <si>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</si>
  <si>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</si>
  <si>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</si>
  <si>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</si>
  <si>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</si>
  <si>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</si>
  <si>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</si>
  <si>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</si>
  <si>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</si>
  <si>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</si>
  <si>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</si>
  <si>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</si>
  <si>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</si>
  <si>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</si>
  <si>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</si>
  <si>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</si>
  <si>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</si>
  <si>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</si>
  <si>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</si>
  <si>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</si>
  <si>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</si>
  <si>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</si>
  <si>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</si>
  <si>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</si>
  <si>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</si>
  <si>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</si>
  <si>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</si>
  <si>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</si>
  <si>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</si>
  <si>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</si>
  <si>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</si>
  <si>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</si>
  <si>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</si>
  <si>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</si>
  <si>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</si>
  <si>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</si>
  <si>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</si>
  <si>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</si>
  <si>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</si>
  <si>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</si>
  <si>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</si>
  <si>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</si>
  <si>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</si>
  <si>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</si>
  <si>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</si>
  <si>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</si>
  <si>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</si>
  <si>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</si>
  <si>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</si>
  <si>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</si>
  <si>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</si>
  <si>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</si>
  <si>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</si>
  <si>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</si>
  <si>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</si>
  <si>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</si>
  <si>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</si>
  <si>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</si>
  <si>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</si>
  <si>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</si>
  <si>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</si>
  <si>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</si>
  <si>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</si>
  <si>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</si>
  <si>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</si>
  <si>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</si>
  <si>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</si>
  <si>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</si>
  <si>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</si>
  <si>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</si>
  <si>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</si>
  <si>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</si>
  <si>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</si>
  <si>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</si>
  <si>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</si>
  <si>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</si>
  <si>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</si>
  <si>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</si>
  <si>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</si>
  <si>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</si>
  <si>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</si>
  <si>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</si>
  <si>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</si>
  <si>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</si>
  <si>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</si>
  <si>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</si>
  <si>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</si>
  <si>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</si>
  <si>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</si>
  <si>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</si>
  <si>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</si>
  <si>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</si>
  <si>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</si>
  <si>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</si>
  <si>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</si>
  <si>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</si>
  <si>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</si>
  <si>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</si>
  <si>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</si>
  <si>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</si>
  <si>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</si>
  <si>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</si>
  <si>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</si>
  <si>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</si>
  <si>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</si>
  <si>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</si>
  <si>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</si>
  <si>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</si>
  <si>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</si>
  <si>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</si>
  <si>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</si>
  <si>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</si>
  <si>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</si>
  <si>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</si>
  <si>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</si>
  <si>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</si>
  <si>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</si>
  <si>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</si>
  <si>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</si>
  <si>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</si>
  <si>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</si>
  <si>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</si>
  <si>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</si>
  <si>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</si>
  <si>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</si>
  <si>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</si>
  <si>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</si>
  <si>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</si>
  <si>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</si>
  <si>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</si>
  <si>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</si>
  <si>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</si>
  <si>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</si>
  <si>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</si>
  <si>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</si>
  <si>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</si>
  <si>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</si>
  <si>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</si>
  <si>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</si>
  <si>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</si>
  <si>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</si>
  <si>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</si>
  <si>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</si>
  <si>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</si>
  <si>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</si>
  <si>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</si>
  <si>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</si>
  <si>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</si>
  <si>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</si>
  <si>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</si>
  <si>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</si>
  <si>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</si>
  <si>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</si>
  <si>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</si>
  <si>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</si>
  <si>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</si>
  <si>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</si>
  <si>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</si>
  <si>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</si>
  <si>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</si>
  <si>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</si>
  <si>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</si>
  <si>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</si>
  <si>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</si>
  <si>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</si>
  <si>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</si>
  <si>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</si>
  <si>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</si>
  <si>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</si>
  <si>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</si>
  <si>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</si>
  <si>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</si>
  <si>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</si>
  <si>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</si>
  <si>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</si>
  <si>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</si>
  <si>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</si>
  <si>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</si>
  <si>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</si>
  <si>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</si>
  <si>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</si>
  <si>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</si>
  <si>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</si>
  <si>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</si>
  <si>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</si>
  <si>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</si>
  <si>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</si>
  <si>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</si>
  <si>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</si>
  <si>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</si>
  <si>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</si>
  <si>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</si>
  <si>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</si>
  <si>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</si>
  <si>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</si>
  <si>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</si>
  <si>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</si>
  <si>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</si>
  <si>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</si>
  <si>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</si>
  <si>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</si>
  <si>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</si>
  <si>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</si>
  <si>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</si>
  <si>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</si>
  <si>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</si>
  <si>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</si>
  <si>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</si>
  <si>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</si>
  <si>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</si>
  <si>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</si>
  <si>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</si>
  <si>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</si>
  <si>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</si>
  <si>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</si>
  <si>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</si>
  <si>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</si>
  <si>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</si>
  <si>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</si>
  <si>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</si>
  <si>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</si>
  <si>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</si>
  <si>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</si>
  <si>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</si>
  <si>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</si>
  <si>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</si>
  <si>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</si>
  <si>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</si>
  <si>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</si>
  <si>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</si>
  <si>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</si>
  <si>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</si>
  <si>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</si>
  <si>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</si>
  <si>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</si>
  <si>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</si>
  <si>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</si>
  <si>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</si>
  <si>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</si>
  <si>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</si>
  <si>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</si>
  <si>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</si>
  <si>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</si>
  <si>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</si>
  <si>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</si>
  <si>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</si>
  <si>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</si>
  <si>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</si>
  <si>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</si>
  <si>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</si>
  <si>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</si>
  <si>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</si>
  <si>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</si>
  <si>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</si>
  <si>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</si>
  <si>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</si>
  <si>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</si>
  <si>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</si>
  <si>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</si>
  <si>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</si>
  <si>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</si>
  <si>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</si>
  <si>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</si>
  <si>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</si>
  <si>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</si>
  <si>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</si>
  <si>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</si>
  <si>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</si>
  <si>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</si>
  <si>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</si>
  <si>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</si>
  <si>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</si>
  <si>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</si>
  <si>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</si>
  <si>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</si>
  <si>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</si>
  <si>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</si>
  <si>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</si>
  <si>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</si>
  <si>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</si>
  <si>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</si>
  <si>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</si>
  <si>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</si>
  <si>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</si>
  <si>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</si>
  <si>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</si>
  <si>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</si>
  <si>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</si>
  <si>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</si>
  <si>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</si>
  <si>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</si>
  <si>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</si>
  <si>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</si>
  <si>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</si>
  <si>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</si>
  <si>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</si>
  <si>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</si>
  <si>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</si>
  <si>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</si>
  <si>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</si>
  <si>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</si>
  <si>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</si>
  <si>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</si>
  <si>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</si>
  <si>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</si>
  <si>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</si>
  <si>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</si>
  <si>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</si>
  <si>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</si>
  <si>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</si>
  <si>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</si>
  <si>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</si>
  <si>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</si>
  <si>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</si>
  <si>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</si>
  <si>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</si>
  <si>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</si>
  <si>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</si>
  <si>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</si>
  <si>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</si>
  <si>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</si>
  <si>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</si>
  <si>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</si>
  <si>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</si>
  <si>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</si>
  <si>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</si>
  <si>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</si>
  <si>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</si>
  <si>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</si>
  <si>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</si>
  <si>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</si>
  <si>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</si>
  <si>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</si>
  <si>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</si>
  <si>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</si>
  <si>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</si>
  <si>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</si>
  <si>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</si>
  <si>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</si>
  <si>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</si>
  <si>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</si>
  <si>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</si>
  <si>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</si>
  <si>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</si>
  <si>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</si>
  <si>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</si>
  <si>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</si>
  <si>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</si>
  <si>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</si>
  <si>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</si>
  <si>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</si>
  <si>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</si>
  <si>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</si>
  <si>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</si>
  <si>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</si>
  <si>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</si>
  <si>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</si>
  <si>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</si>
  <si>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</si>
  <si>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</si>
  <si>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</si>
  <si>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</si>
  <si>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</si>
  <si>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</si>
  <si>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</si>
  <si>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</si>
  <si>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</si>
  <si>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</si>
  <si>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</si>
  <si>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</si>
  <si>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</si>
  <si>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</si>
  <si>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</si>
  <si>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</si>
  <si>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</si>
  <si>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</si>
  <si>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</si>
  <si>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</si>
  <si>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</si>
  <si>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</si>
  <si>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</si>
  <si>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</si>
  <si>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</si>
  <si>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</si>
  <si>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</si>
  <si>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</si>
  <si>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</si>
  <si>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</si>
  <si>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</si>
  <si>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</si>
  <si>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</si>
  <si>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</si>
  <si>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</si>
  <si>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</si>
  <si>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</si>
  <si>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</si>
  <si>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</si>
  <si>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</si>
  <si>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</si>
  <si>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</si>
  <si>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</si>
  <si>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</si>
  <si>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</si>
  <si>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</si>
  <si>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</si>
  <si>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</si>
  <si>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</si>
  <si>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</si>
  <si>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</si>
  <si>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</si>
  <si>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</si>
  <si>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</si>
  <si>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</si>
  <si>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</si>
  <si>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</si>
  <si>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</si>
  <si>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</si>
  <si>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</si>
  <si>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</si>
  <si>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</si>
  <si>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</si>
  <si>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</si>
  <si>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</si>
  <si>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</si>
  <si>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</si>
  <si>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</si>
  <si>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</si>
  <si>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</si>
  <si>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</si>
  <si>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</si>
  <si>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</si>
  <si>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</si>
  <si>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</si>
  <si>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</si>
  <si>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</si>
  <si>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</si>
  <si>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</si>
  <si>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</si>
  <si>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</si>
  <si>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</si>
  <si>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</si>
  <si>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</si>
  <si>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</si>
  <si>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</si>
  <si>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</si>
  <si>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</si>
  <si>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</si>
  <si>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</si>
  <si>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</si>
  <si>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</si>
  <si>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</si>
  <si>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</si>
  <si>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</si>
  <si>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</si>
  <si>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</si>
  <si>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</si>
  <si>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</si>
  <si>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</si>
  <si>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</si>
  <si>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</si>
  <si>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</si>
  <si>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</si>
  <si>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</si>
  <si>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</si>
  <si>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</si>
  <si>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</si>
  <si>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</si>
  <si>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</si>
  <si>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</si>
  <si>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</si>
  <si>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</si>
  <si>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</si>
  <si>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</si>
  <si>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</si>
  <si>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</si>
  <si>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</si>
  <si>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</si>
  <si>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</si>
  <si>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</si>
  <si>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</si>
  <si>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</si>
  <si>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</si>
  <si>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</si>
  <si>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</si>
  <si>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</si>
  <si>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</si>
  <si>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</si>
  <si>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</si>
  <si>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</si>
  <si>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</si>
  <si>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</si>
  <si>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</si>
  <si>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</si>
  <si>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</si>
  <si>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</si>
  <si>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</si>
  <si>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</si>
  <si>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</si>
  <si>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</si>
  <si>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</si>
  <si>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</si>
  <si>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</si>
  <si>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</si>
  <si>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</si>
  <si>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</si>
  <si>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</si>
  <si>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</si>
  <si>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</si>
  <si>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</si>
  <si>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</si>
  <si>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</si>
  <si>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</si>
  <si>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</si>
  <si>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</si>
  <si>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</si>
  <si>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</si>
  <si>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</si>
  <si>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</si>
  <si>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</si>
  <si>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</si>
  <si>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</si>
  <si>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</si>
  <si>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</si>
  <si>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</si>
  <si>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</si>
  <si>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</si>
  <si>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</si>
  <si>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</si>
  <si>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</si>
  <si>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</si>
  <si>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</si>
  <si>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</si>
  <si>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</si>
  <si>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</si>
  <si>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</si>
  <si>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</si>
  <si>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</si>
  <si>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</si>
  <si>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</si>
  <si>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</si>
  <si>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</si>
  <si>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</si>
  <si>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</si>
  <si>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</si>
  <si>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</si>
  <si>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</si>
  <si>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</si>
  <si>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</si>
  <si>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</si>
  <si>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</si>
  <si>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</si>
  <si>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</si>
  <si>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</si>
  <si>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</si>
  <si>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</si>
  <si>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</si>
  <si>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</si>
  <si>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</si>
  <si>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</si>
  <si>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</si>
  <si>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</si>
  <si>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</si>
  <si>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</si>
  <si>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</si>
  <si>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</si>
  <si>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</si>
  <si>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</si>
  <si>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</si>
  <si>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</si>
  <si>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</si>
  <si>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</si>
  <si>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</si>
  <si>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</si>
  <si>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</si>
  <si>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</si>
  <si>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</si>
  <si>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</si>
  <si>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</si>
  <si>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</si>
  <si>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</si>
  <si>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</si>
  <si>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</si>
  <si>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</si>
  <si>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</si>
  <si>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</si>
  <si>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</si>
  <si>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</si>
  <si>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</si>
  <si>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</si>
  <si>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</si>
  <si>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</si>
  <si>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</si>
  <si>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</si>
  <si>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</si>
  <si>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</si>
  <si>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</si>
  <si>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</si>
  <si>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</si>
  <si>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</si>
  <si>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</si>
  <si>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</si>
  <si>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</si>
  <si>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</si>
  <si>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</si>
  <si>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</si>
  <si>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</si>
  <si>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</si>
  <si>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</si>
  <si>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</si>
  <si>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</si>
  <si>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</si>
  <si>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</si>
  <si>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</si>
  <si>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</si>
  <si>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</si>
  <si>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</si>
  <si>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</si>
  <si>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</si>
  <si>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</si>
  <si>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</si>
  <si>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</si>
  <si>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</si>
  <si>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</si>
  <si>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</si>
  <si>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</si>
  <si>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</si>
  <si>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</si>
  <si>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</si>
  <si>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</si>
  <si>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</si>
  <si>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</si>
  <si>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</si>
  <si>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</si>
  <si>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</si>
  <si>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</si>
  <si>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</si>
  <si>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</si>
  <si>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</si>
  <si>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</si>
  <si>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</si>
  <si>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</si>
  <si>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</si>
  <si>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</si>
  <si>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</si>
  <si>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</si>
  <si>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</si>
  <si>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</si>
  <si>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</si>
  <si>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</si>
  <si>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</si>
  <si>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</si>
  <si>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</si>
  <si>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</si>
  <si>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</si>
  <si>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</si>
  <si>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</si>
  <si>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</si>
  <si>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</si>
  <si>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</si>
  <si>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</si>
  <si>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</si>
  <si>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</si>
  <si>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</si>
  <si>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</si>
  <si>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</si>
  <si>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</si>
  <si>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</si>
  <si>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</si>
  <si>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</si>
  <si>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</si>
  <si>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</si>
  <si>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</si>
  <si>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</si>
  <si>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</si>
  <si>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</si>
  <si>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</si>
  <si>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</si>
  <si>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</si>
  <si>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</si>
  <si>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</si>
  <si>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</si>
  <si>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</si>
  <si>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</si>
  <si>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</si>
  <si>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</si>
  <si>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</si>
  <si>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</si>
  <si>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</si>
  <si>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</si>
  <si>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</si>
  <si>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</si>
  <si>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</si>
  <si>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</si>
  <si>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</si>
  <si>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</si>
  <si>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</si>
  <si>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</si>
  <si>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</si>
  <si>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</si>
  <si>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</si>
  <si>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</si>
  <si>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</si>
  <si>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</si>
  <si>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</si>
  <si>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</si>
  <si>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</si>
  <si>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</si>
  <si>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</si>
  <si>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</si>
  <si>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</si>
  <si>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</si>
  <si>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</si>
  <si>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</si>
  <si>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</si>
  <si>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</si>
  <si>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</si>
  <si>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</si>
  <si>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</si>
  <si>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</si>
  <si>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</si>
  <si>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</si>
  <si>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</si>
  <si>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</si>
  <si>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</si>
  <si>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</si>
  <si>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</si>
  <si>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</si>
  <si>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</si>
  <si>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</si>
  <si>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</si>
  <si>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</si>
  <si>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</si>
  <si>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</si>
  <si>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</si>
  <si>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</si>
  <si>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</si>
  <si>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</si>
  <si>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</si>
  <si>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</si>
  <si>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</si>
  <si>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</si>
  <si>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</si>
  <si>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</si>
  <si>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</si>
  <si>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</si>
  <si>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</si>
  <si>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</si>
  <si>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</si>
  <si>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</si>
  <si>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</si>
  <si>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</si>
  <si>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</si>
  <si>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</si>
  <si>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</si>
  <si>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</si>
  <si>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</si>
  <si>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</si>
  <si>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</si>
  <si>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</si>
  <si>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</si>
  <si>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</si>
  <si>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</si>
  <si>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</si>
  <si>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</si>
  <si>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</si>
  <si>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</si>
  <si>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</si>
  <si>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</si>
  <si>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</si>
  <si>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</si>
  <si>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</si>
  <si>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</si>
  <si>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</si>
  <si>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</si>
  <si>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</si>
  <si>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</si>
  <si>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</si>
  <si>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</si>
  <si>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</si>
  <si>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</si>
  <si>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</si>
  <si>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</si>
  <si>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</si>
  <si>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</si>
  <si>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</si>
  <si>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</si>
  <si>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</si>
  <si>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</si>
  <si>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</si>
  <si>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</si>
  <si>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</si>
  <si>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</si>
  <si>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</si>
  <si>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</si>
  <si>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</si>
  <si>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</si>
  <si>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</si>
  <si>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</si>
  <si>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</si>
  <si>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</si>
  <si>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</si>
  <si>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</si>
  <si>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</si>
  <si>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</si>
  <si>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</si>
  <si>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</si>
  <si>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</si>
  <si>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</si>
  <si>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</si>
  <si>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</si>
  <si>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</si>
  <si>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</si>
  <si>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</si>
  <si>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</si>
  <si>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</si>
  <si>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</si>
  <si>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</si>
  <si>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</si>
  <si>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</si>
  <si>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</si>
  <si>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</si>
  <si>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</si>
  <si>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</si>
  <si>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</si>
  <si>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</si>
  <si>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</si>
  <si>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</si>
  <si>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</si>
  <si>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</si>
  <si>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</si>
  <si>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</si>
  <si>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</si>
  <si>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</si>
  <si>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</si>
  <si>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</si>
  <si>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</si>
  <si>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</si>
  <si>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</si>
  <si>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</si>
  <si>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</si>
  <si>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</si>
  <si>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</si>
  <si>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</si>
  <si>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</si>
  <si>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</si>
  <si>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</si>
  <si>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</si>
  <si>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</si>
  <si>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</si>
  <si>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</si>
  <si>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</si>
  <si>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</si>
  <si>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</si>
  <si>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</si>
  <si>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</si>
  <si>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</si>
  <si>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</si>
  <si>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</si>
  <si>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</si>
  <si>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</si>
  <si>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</si>
  <si>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</si>
  <si>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</si>
  <si>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</si>
  <si>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</si>
  <si>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</si>
  <si>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</si>
  <si>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</si>
  <si>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</si>
  <si>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</si>
  <si>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</si>
  <si>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</si>
  <si>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</si>
  <si>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</si>
  <si>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</si>
  <si>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</si>
  <si>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</si>
  <si>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</si>
  <si>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</si>
  <si>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</si>
  <si>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</si>
  <si>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</si>
  <si>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</si>
  <si>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</si>
  <si>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</si>
  <si>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</si>
  <si>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</si>
  <si>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</si>
  <si>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</si>
  <si>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</si>
  <si>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</si>
  <si>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</si>
  <si>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</si>
  <si>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</si>
  <si>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</si>
  <si>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</si>
  <si>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</si>
  <si>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</si>
  <si>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</si>
  <si>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</si>
  <si>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</si>
  <si>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</si>
  <si>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</si>
  <si>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</si>
  <si>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</si>
  <si>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</si>
  <si>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</si>
  <si>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</si>
  <si>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</si>
  <si>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</si>
  <si>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</si>
  <si>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</si>
  <si>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</si>
  <si>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</si>
  <si>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</si>
  <si>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</si>
  <si>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</si>
  <si>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</si>
  <si>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</si>
  <si>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</si>
  <si>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</si>
  <si>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</si>
  <si>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</si>
  <si>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</si>
  <si>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</si>
  <si>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</si>
  <si>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</si>
  <si>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</si>
  <si>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</si>
  <si>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</si>
  <si>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</si>
  <si>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</si>
  <si>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</si>
  <si>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</si>
  <si>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</si>
  <si>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</si>
  <si>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</si>
  <si>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</si>
  <si>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</si>
  <si>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</si>
  <si>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</si>
  <si>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</si>
  <si>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</si>
  <si>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</si>
  <si>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</si>
  <si>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</si>
  <si>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</si>
  <si>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</si>
  <si>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</si>
  <si>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</si>
  <si>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</si>
  <si>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</si>
  <si>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</si>
  <si>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</si>
  <si>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</si>
  <si>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</si>
  <si>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</si>
  <si>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</si>
  <si>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</si>
  <si>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</si>
  <si>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</si>
  <si>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</si>
  <si>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</si>
  <si>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</si>
  <si>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</si>
  <si>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</si>
  <si>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</si>
  <si>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</si>
  <si>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</si>
  <si>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</si>
  <si>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</si>
  <si>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</si>
  <si>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</si>
  <si>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</si>
  <si>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</si>
  <si>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</si>
  <si>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</si>
  <si>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</si>
  <si>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</si>
  <si>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</si>
  <si>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</si>
  <si>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</si>
  <si>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</si>
  <si>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</si>
  <si>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</si>
  <si>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</si>
  <si>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</si>
  <si>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</si>
  <si>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</si>
  <si>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</si>
  <si>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</si>
  <si>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</si>
  <si>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</si>
  <si>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</si>
  <si>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</si>
  <si>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</si>
  <si>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</si>
  <si>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</si>
  <si>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</si>
  <si>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</si>
  <si>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</si>
  <si>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</si>
  <si>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</si>
  <si>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</si>
  <si>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</si>
  <si>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</si>
  <si>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</si>
  <si>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</si>
  <si>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</si>
  <si>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</si>
  <si>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</si>
  <si>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</si>
  <si>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</si>
  <si>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</si>
  <si>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</si>
  <si>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</si>
  <si>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</si>
  <si>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</si>
  <si>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</si>
  <si>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</si>
  <si>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</si>
  <si>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</si>
  <si>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</si>
  <si>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</si>
  <si>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</si>
  <si>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</si>
  <si>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</si>
  <si>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</si>
  <si>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</si>
  <si>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</si>
  <si>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</si>
  <si>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</si>
  <si>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</si>
  <si>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</si>
  <si>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</si>
  <si>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</si>
  <si>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</si>
  <si>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</si>
  <si>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</si>
  <si>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</si>
  <si>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</si>
  <si>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</si>
  <si>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</si>
  <si>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</si>
  <si>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</si>
  <si>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</si>
  <si>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</si>
  <si>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</si>
  <si>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</si>
  <si>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</si>
  <si>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</si>
  <si>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</si>
  <si>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</si>
  <si>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</si>
  <si>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</si>
  <si>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</si>
  <si>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</si>
  <si>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</si>
  <si>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</si>
  <si>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</si>
  <si>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</si>
  <si>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</si>
  <si>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</si>
  <si>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</si>
  <si>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</si>
  <si>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</si>
  <si>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</si>
  <si>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</si>
  <si>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</si>
  <si>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</si>
  <si>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</si>
  <si>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</si>
  <si>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</si>
  <si>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</si>
  <si>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</si>
  <si>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</si>
  <si>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</si>
  <si>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</si>
  <si>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</si>
  <si>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</si>
  <si>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</si>
  <si>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</si>
  <si>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</si>
  <si>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</si>
  <si>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</si>
  <si>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</si>
  <si>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</si>
  <si>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</si>
  <si>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</si>
  <si>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</si>
  <si>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</si>
  <si>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</si>
  <si>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</si>
  <si>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</si>
  <si>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</si>
  <si>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</si>
  <si>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</si>
  <si>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</si>
  <si>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</si>
  <si>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</si>
  <si>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</si>
  <si>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</si>
  <si>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</si>
  <si>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</si>
  <si>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</si>
  <si>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</si>
  <si>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</si>
  <si>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</si>
  <si>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</si>
  <si>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</si>
  <si>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</si>
  <si>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</si>
  <si>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</si>
  <si>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</si>
  <si>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</si>
  <si>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</si>
  <si>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</si>
  <si>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</si>
  <si>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</si>
  <si>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</si>
  <si>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</si>
  <si>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</si>
  <si>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</si>
  <si>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</si>
  <si>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</si>
  <si>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</si>
  <si>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</si>
  <si>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</si>
  <si>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</si>
  <si>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</si>
  <si>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</si>
  <si>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</si>
  <si>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</si>
  <si>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</si>
  <si>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</si>
  <si>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</si>
  <si>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</si>
  <si>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</si>
  <si>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</si>
  <si>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</si>
  <si>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</si>
  <si>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</si>
  <si>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</si>
  <si>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</si>
  <si>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</si>
  <si>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</si>
  <si>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</si>
  <si>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</si>
  <si>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</si>
  <si>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</si>
  <si>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</si>
  <si>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</si>
  <si>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</si>
  <si>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</si>
  <si>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</si>
  <si>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</si>
  <si>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</si>
  <si>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</si>
  <si>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</si>
  <si>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</si>
  <si>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</si>
  <si>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</si>
  <si>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</si>
  <si>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</si>
  <si>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</si>
  <si>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</si>
  <si>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</si>
  <si>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</si>
  <si>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</si>
  <si>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</si>
  <si>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</si>
  <si>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</si>
  <si>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</si>
  <si>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</si>
  <si>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</si>
  <si>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</si>
  <si>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</si>
  <si>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</si>
  <si>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</si>
  <si>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</si>
  <si>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</si>
  <si>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</si>
  <si>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</si>
  <si>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</si>
  <si>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</si>
  <si>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</si>
  <si>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</si>
  <si>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</si>
  <si>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</si>
  <si>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</si>
  <si>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</si>
  <si>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</si>
  <si>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</si>
  <si>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</si>
  <si>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</si>
  <si>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</si>
  <si>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</si>
  <si>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</si>
  <si>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</si>
  <si>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</si>
  <si>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</si>
  <si>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</si>
  <si>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</si>
  <si>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</si>
  <si>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</si>
  <si>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</si>
  <si>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</si>
  <si>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</si>
  <si>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</si>
  <si>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</si>
  <si>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</si>
  <si>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</si>
  <si>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</si>
  <si>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</si>
  <si>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</si>
  <si>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</si>
  <si>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</si>
  <si>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</si>
  <si>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</si>
  <si>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</si>
  <si>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</si>
  <si>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</si>
  <si>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</si>
  <si>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</si>
  <si>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</si>
  <si>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</si>
  <si>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</si>
  <si>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</si>
  <si>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</si>
  <si>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</si>
  <si>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</si>
  <si>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</si>
  <si>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</si>
  <si>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</si>
  <si>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</si>
  <si>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</si>
  <si>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</si>
  <si>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</si>
  <si>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</si>
  <si>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</si>
  <si>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</si>
  <si>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</si>
  <si>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</si>
  <si>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</si>
  <si>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</si>
  <si>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</si>
  <si>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</si>
  <si>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</si>
  <si>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</si>
  <si>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</si>
  <si>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</si>
  <si>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</si>
  <si>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</si>
  <si>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</si>
  <si>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</si>
  <si>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</si>
  <si>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</si>
  <si>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</si>
  <si>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</si>
  <si>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</si>
  <si>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</si>
  <si>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</si>
  <si>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</si>
  <si>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</si>
  <si>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</si>
  <si>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</si>
  <si>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</si>
  <si>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</si>
  <si>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</si>
  <si>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</si>
  <si>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</si>
  <si>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</si>
  <si>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</si>
  <si>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</si>
  <si>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</si>
  <si>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</si>
  <si>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</si>
  <si>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</si>
  <si>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</si>
  <si>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</si>
  <si>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</si>
  <si>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</si>
  <si>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</si>
  <si>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</si>
  <si>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</si>
  <si>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</si>
  <si>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</si>
  <si>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</si>
  <si>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</si>
  <si>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</si>
  <si>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</si>
  <si>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</si>
  <si>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</si>
  <si>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</si>
  <si>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</si>
  <si>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</si>
  <si>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</si>
  <si>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</si>
  <si>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</si>
  <si>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</si>
  <si>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</si>
  <si>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</si>
  <si>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</si>
  <si>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</si>
  <si>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</si>
  <si>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</si>
  <si>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</si>
  <si>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</si>
  <si>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</si>
  <si>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</si>
  <si>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</si>
  <si>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</si>
  <si>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</si>
  <si>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</si>
  <si>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</si>
  <si>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</si>
  <si>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</si>
  <si>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</si>
  <si>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</si>
  <si>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</si>
  <si>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</si>
  <si>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</si>
  <si>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</si>
  <si>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</si>
  <si>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</si>
  <si>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</si>
  <si>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</si>
  <si>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</si>
  <si>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</si>
  <si>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</si>
  <si>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</si>
  <si>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</si>
  <si>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</si>
  <si>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</si>
  <si>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</si>
  <si>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</si>
  <si>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</si>
  <si>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</si>
  <si>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</si>
  <si>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</si>
  <si>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</si>
  <si>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</si>
  <si>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</si>
  <si>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</si>
  <si>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</si>
  <si>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</si>
  <si>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</si>
  <si>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</si>
  <si>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</si>
  <si>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</si>
  <si>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</si>
  <si>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</si>
  <si>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</si>
  <si>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</si>
  <si>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</si>
  <si>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</si>
  <si>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</si>
  <si>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</si>
  <si>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</si>
  <si>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</si>
  <si>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</si>
  <si>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</si>
  <si>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</si>
  <si>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</si>
  <si>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</si>
  <si>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</si>
  <si>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</si>
  <si>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</si>
  <si>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</si>
  <si>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</si>
  <si>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</si>
  <si>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</si>
  <si>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</si>
  <si>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</si>
  <si>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</si>
  <si>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</si>
  <si>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</si>
  <si>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</si>
  <si>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</si>
  <si>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</si>
  <si>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</si>
  <si>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</si>
  <si>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</si>
  <si>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</si>
  <si>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</si>
  <si>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</si>
  <si>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</si>
  <si>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</si>
  <si>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</si>
  <si>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</si>
  <si>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</si>
  <si>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</si>
  <si>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</si>
  <si>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</si>
  <si>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</si>
  <si>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</si>
  <si>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</si>
  <si>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</si>
  <si>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</si>
  <si>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</si>
  <si>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</si>
  <si>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</si>
  <si>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</si>
  <si>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</si>
  <si>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</si>
  <si>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</si>
  <si>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</si>
  <si>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</si>
  <si>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</si>
  <si>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</si>
  <si>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</si>
  <si>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</si>
  <si>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</si>
  <si>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</si>
  <si>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</si>
  <si>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</si>
  <si>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</si>
  <si>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</si>
  <si>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</si>
  <si>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</si>
  <si>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</si>
  <si>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</si>
  <si>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</si>
  <si>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</si>
  <si>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</si>
  <si>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</si>
  <si>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</si>
  <si>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</si>
  <si>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</si>
  <si>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</si>
  <si>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</si>
  <si>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</si>
  <si>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</si>
  <si>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</si>
  <si>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</si>
  <si>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</si>
  <si>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</si>
  <si>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</si>
  <si>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</si>
  <si>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</si>
  <si>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</si>
  <si>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</si>
  <si>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</si>
  <si>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</si>
  <si>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</si>
  <si>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</si>
  <si>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</si>
  <si>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</si>
  <si>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</si>
  <si>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</si>
  <si>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</si>
  <si>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</si>
  <si>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</si>
  <si>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</si>
  <si>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</si>
  <si>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</si>
  <si>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</si>
  <si>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</si>
  <si>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</si>
  <si>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</si>
  <si>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</si>
  <si>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</si>
  <si>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</si>
  <si>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</si>
  <si>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</si>
  <si>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</si>
  <si>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</si>
  <si>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</si>
  <si>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</si>
  <si>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</si>
  <si>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</si>
  <si>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</si>
  <si>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</si>
  <si>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</si>
  <si>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</si>
  <si>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</si>
  <si>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</si>
  <si>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</si>
  <si>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</si>
  <si>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</si>
  <si>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</si>
  <si>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</si>
  <si>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</si>
  <si>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</si>
  <si>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</si>
  <si>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</si>
  <si>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</si>
  <si>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</si>
  <si>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</si>
  <si>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</si>
  <si>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</si>
  <si>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</si>
  <si>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</si>
  <si>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</si>
  <si>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</si>
  <si>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</si>
  <si>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</si>
  <si>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</si>
  <si>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</si>
  <si>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</si>
  <si>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</si>
  <si>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</si>
  <si>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</si>
  <si>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</si>
  <si>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</si>
  <si>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</si>
  <si>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</si>
  <si>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</si>
  <si>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</si>
  <si>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</si>
  <si>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</si>
  <si>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</si>
  <si>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</si>
  <si>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</si>
  <si>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</si>
  <si>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</si>
  <si>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</si>
  <si>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</si>
  <si>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</si>
  <si>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</si>
  <si>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</si>
  <si>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</si>
  <si>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</si>
  <si>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</si>
  <si>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</si>
  <si>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</si>
  <si>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</si>
  <si>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</si>
  <si>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</si>
  <si>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</si>
  <si>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</si>
  <si>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</si>
  <si>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</si>
  <si>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</si>
  <si>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</si>
  <si>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</si>
  <si>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</si>
  <si>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</si>
  <si>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</si>
  <si>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</si>
  <si>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</si>
  <si>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</si>
  <si>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</si>
  <si>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</si>
  <si>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</si>
  <si>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</si>
  <si>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</si>
  <si>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</si>
  <si>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</si>
  <si>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</si>
  <si>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</si>
  <si>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</si>
  <si>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</si>
  <si>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</si>
  <si>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</si>
  <si>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</si>
  <si>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</si>
  <si>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</si>
  <si>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</si>
  <si>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</si>
  <si>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</si>
  <si>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</si>
  <si>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</si>
  <si>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</si>
  <si>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</si>
  <si>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</si>
  <si>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</si>
  <si>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</si>
  <si>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</si>
  <si>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</si>
  <si>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</si>
  <si>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</si>
  <si>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</si>
  <si>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</si>
  <si>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</si>
  <si>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</si>
  <si>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</si>
  <si>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</si>
  <si>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</si>
  <si>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</si>
  <si>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</si>
  <si>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</si>
  <si>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</si>
  <si>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</si>
  <si>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</si>
  <si>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</si>
  <si>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</si>
  <si>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</si>
  <si>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</si>
  <si>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</si>
  <si>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</si>
  <si>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</si>
  <si>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</si>
  <si>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</si>
  <si>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</si>
  <si>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</si>
  <si>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</si>
  <si>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</si>
  <si>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</si>
  <si>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</si>
  <si>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</si>
  <si>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</si>
  <si>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</si>
  <si>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</si>
  <si>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</si>
  <si>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</si>
  <si>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</si>
  <si>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</si>
  <si>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</si>
  <si>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</si>
  <si>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</si>
  <si>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</si>
  <si>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</si>
  <si>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</si>
  <si>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</si>
  <si>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</si>
  <si>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</si>
  <si>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</si>
  <si>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</si>
  <si>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</si>
  <si>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</si>
  <si>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</si>
  <si>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</si>
  <si>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</si>
  <si>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</si>
  <si>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</si>
  <si>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</si>
  <si>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</si>
  <si>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</si>
  <si>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</si>
  <si>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</si>
  <si>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</si>
  <si>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</si>
  <si>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</si>
  <si>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</si>
  <si>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</si>
  <si>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</si>
  <si>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</si>
  <si>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</si>
  <si>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</si>
  <si>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</si>
  <si>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</si>
  <si>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</si>
  <si>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</si>
  <si>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</si>
  <si>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</si>
  <si>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</si>
  <si>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</si>
  <si>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</si>
  <si>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</si>
  <si>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</si>
  <si>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</si>
  <si>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</si>
  <si>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</si>
  <si>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</si>
  <si>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</si>
  <si>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</si>
  <si>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</si>
  <si>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</si>
  <si>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</si>
  <si>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</si>
  <si>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</si>
  <si>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</si>
  <si>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</si>
  <si>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</si>
  <si>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</si>
  <si>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</si>
  <si>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</si>
  <si>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</si>
  <si>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</si>
  <si>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</si>
  <si>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</si>
  <si>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</si>
  <si>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</si>
  <si>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</si>
  <si>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</si>
  <si>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</si>
  <si>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</si>
  <si>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</si>
  <si>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</si>
  <si>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</si>
  <si>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</si>
  <si>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</si>
  <si>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</si>
  <si>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</si>
  <si>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</si>
  <si>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</si>
  <si>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</si>
  <si>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</si>
  <si>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</si>
  <si>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</si>
  <si>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</si>
  <si>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</si>
  <si>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</si>
  <si>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</si>
  <si>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</si>
  <si>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</si>
  <si>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</si>
  <si>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</si>
  <si>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</si>
  <si>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</si>
  <si>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</si>
  <si>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</si>
  <si>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</si>
  <si>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</si>
  <si>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</si>
  <si>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</si>
  <si>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</si>
  <si>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</si>
  <si>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</si>
  <si>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</si>
  <si>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</si>
  <si>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</si>
  <si>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</si>
  <si>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</si>
  <si>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</si>
  <si>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</si>
  <si>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</si>
  <si>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</si>
  <si>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</si>
  <si>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</si>
  <si>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</si>
  <si>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</si>
  <si>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</si>
  <si>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</si>
  <si>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</si>
  <si>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</si>
  <si>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</si>
  <si>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</si>
  <si>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</si>
  <si>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</si>
  <si>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</si>
  <si>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</si>
  <si>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</si>
  <si>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</si>
  <si>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</si>
  <si>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</si>
  <si>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</si>
  <si>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</si>
  <si>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</si>
  <si>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</si>
  <si>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</si>
  <si>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</si>
  <si>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</si>
  <si>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</si>
  <si>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</si>
  <si>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</si>
  <si>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</si>
  <si>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</si>
  <si>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</si>
  <si>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</si>
  <si>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</si>
  <si>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</si>
  <si>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</si>
  <si>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</si>
  <si>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</si>
  <si>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</si>
  <si>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</si>
  <si>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</si>
  <si>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</si>
  <si>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</si>
  <si>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</si>
  <si>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</si>
  <si>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</si>
  <si>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</si>
  <si>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</si>
  <si>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</si>
  <si>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</si>
  <si>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</si>
  <si>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</si>
  <si>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</si>
  <si>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</si>
  <si>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</si>
  <si>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</si>
  <si>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</si>
  <si>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</si>
  <si>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</si>
  <si>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</si>
  <si>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</si>
  <si>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</si>
  <si>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</si>
  <si>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</si>
  <si>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</si>
  <si>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</si>
  <si>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</si>
  <si>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</si>
  <si>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</si>
  <si>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</si>
  <si>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</si>
  <si>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</si>
  <si>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</si>
  <si>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</si>
  <si>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</si>
  <si>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</si>
  <si>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</si>
  <si>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</si>
  <si>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</si>
  <si>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</si>
  <si>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</si>
  <si>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</si>
  <si>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</si>
  <si>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</si>
  <si>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</si>
  <si>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</si>
  <si>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</si>
  <si>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</si>
  <si>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</si>
  <si>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</si>
  <si>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</si>
  <si>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</si>
  <si>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</si>
  <si>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</si>
  <si>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</si>
  <si>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</si>
  <si>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</si>
  <si>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</si>
  <si>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</si>
  <si>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</si>
  <si>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</si>
  <si>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</si>
  <si>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</si>
  <si>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</si>
  <si>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</si>
  <si>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</si>
  <si>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</si>
  <si>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</si>
  <si>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</si>
  <si>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</si>
  <si>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</si>
  <si>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</si>
  <si>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</si>
  <si>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</si>
  <si>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</si>
  <si>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</si>
  <si>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</si>
  <si>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</si>
  <si>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</si>
  <si>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</si>
  <si>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</si>
  <si>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</si>
  <si>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</si>
  <si>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</si>
  <si>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</si>
  <si>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</si>
  <si>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</si>
  <si>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</si>
  <si>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</si>
  <si>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</si>
  <si>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</si>
  <si>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</si>
  <si>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</si>
  <si>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</si>
  <si>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</si>
  <si>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</si>
  <si>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</si>
  <si>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</si>
  <si>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</si>
  <si>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</si>
  <si>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</si>
  <si>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</si>
  <si>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</si>
  <si>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</si>
  <si>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</si>
  <si>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</si>
  <si>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</si>
  <si>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</si>
  <si>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</si>
  <si>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</si>
  <si>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</si>
  <si>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</si>
  <si>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</si>
  <si>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</si>
  <si>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</si>
  <si>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</si>
  <si>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</si>
  <si>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</si>
  <si>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</si>
  <si>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</si>
  <si>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</si>
  <si>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</si>
  <si>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</si>
  <si>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</si>
  <si>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</si>
  <si>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</si>
  <si>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</si>
  <si>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</si>
  <si>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</si>
  <si>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</si>
  <si>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</si>
  <si>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</si>
  <si>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</si>
  <si>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</si>
  <si>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</si>
  <si>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</si>
  <si>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</si>
  <si>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</si>
  <si>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</si>
  <si>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</si>
  <si>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</si>
  <si>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</si>
  <si>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</si>
  <si>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</si>
  <si>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</si>
  <si>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</si>
  <si>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</si>
  <si>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</si>
  <si>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</si>
  <si>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</si>
  <si>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</si>
  <si>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</si>
  <si>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</si>
  <si>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</si>
  <si>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</si>
  <si>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</si>
  <si>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</si>
  <si>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</si>
  <si>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</si>
  <si>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</si>
  <si>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</si>
  <si>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</si>
  <si>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</si>
  <si>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</si>
  <si>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</si>
  <si>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</si>
  <si>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</si>
  <si>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</si>
  <si>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</si>
  <si>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</si>
  <si>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</si>
  <si>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</si>
  <si>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</si>
  <si>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</si>
  <si>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</si>
  <si>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</si>
  <si>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</si>
  <si>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</si>
  <si>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</si>
  <si>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</si>
  <si>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</si>
  <si>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</si>
  <si>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</si>
  <si>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</si>
  <si>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</si>
  <si>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</si>
  <si>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</si>
  <si>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</si>
  <si>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</si>
  <si>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</si>
  <si>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</si>
  <si>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</si>
  <si>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</si>
  <si>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</si>
  <si>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</si>
  <si>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</si>
  <si>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</si>
  <si>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</si>
  <si>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</si>
  <si>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</si>
  <si>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</si>
  <si>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</si>
  <si>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</si>
  <si>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</si>
  <si>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</si>
  <si>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</si>
  <si>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</si>
  <si>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</si>
  <si>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</si>
  <si>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</si>
  <si>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</si>
  <si>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</si>
  <si>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</si>
  <si>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</si>
  <si>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</si>
  <si>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</si>
  <si>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</si>
  <si>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</si>
  <si>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</si>
  <si>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</si>
  <si>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</si>
  <si>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</si>
  <si>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</si>
  <si>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</si>
  <si>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</si>
  <si>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</si>
  <si>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</si>
  <si>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</si>
  <si>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</si>
  <si>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</si>
  <si>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</si>
  <si>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</si>
  <si>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</si>
  <si>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</si>
  <si>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</si>
  <si>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</si>
  <si>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</si>
  <si>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</si>
  <si>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</si>
  <si>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</si>
  <si>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</si>
  <si>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</si>
  <si>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</si>
  <si>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</si>
  <si>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</si>
  <si>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</si>
  <si>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</si>
  <si>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</si>
  <si>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</si>
  <si>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</si>
  <si>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</si>
  <si>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</si>
  <si>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</si>
  <si>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</si>
  <si>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</si>
  <si>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</si>
  <si>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</si>
  <si>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</si>
  <si>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</si>
  <si>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</si>
  <si>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</si>
  <si>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</si>
  <si>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</si>
  <si>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</si>
  <si>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</si>
  <si>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</si>
  <si>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</si>
  <si>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</si>
  <si>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</si>
  <si>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</si>
  <si>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</si>
  <si>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</si>
  <si>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</si>
  <si>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</si>
  <si>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</si>
  <si>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</si>
  <si>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</si>
  <si>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</si>
  <si>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</si>
  <si>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</si>
  <si>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</si>
  <si>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</si>
  <si>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</si>
  <si>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</si>
  <si>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</si>
  <si>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</si>
  <si>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</si>
  <si>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</si>
  <si>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</si>
  <si>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</si>
  <si>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</si>
  <si>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</si>
  <si>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</si>
  <si>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</si>
  <si>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</si>
  <si>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</si>
  <si>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</si>
  <si>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</si>
  <si>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</si>
  <si>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</si>
  <si>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</si>
  <si>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</si>
  <si>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</si>
  <si>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</si>
  <si>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</si>
  <si>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</si>
  <si>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</si>
  <si>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</si>
  <si>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</si>
  <si>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</si>
  <si>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</si>
  <si>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</si>
  <si>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</si>
  <si>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</si>
  <si>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</si>
  <si>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</si>
  <si>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</si>
  <si>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</si>
  <si>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</si>
  <si>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</si>
  <si>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</si>
  <si>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</si>
  <si>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</si>
  <si>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</si>
  <si>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</si>
  <si>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</si>
  <si>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</si>
  <si>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</si>
  <si>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</si>
  <si>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</si>
  <si>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</si>
  <si>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</si>
  <si>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</si>
  <si>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</si>
  <si>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</si>
  <si>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</si>
  <si>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</si>
  <si>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</si>
  <si>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</si>
  <si>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</si>
  <si>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</si>
  <si>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</si>
  <si>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</si>
  <si>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</si>
  <si>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</si>
  <si>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</si>
  <si>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</si>
  <si>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</si>
  <si>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</si>
  <si>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</si>
  <si>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</si>
  <si>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</si>
  <si>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</si>
  <si>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</si>
  <si>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</si>
  <si>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</si>
  <si>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</si>
  <si>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</si>
  <si>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</si>
  <si>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</si>
  <si>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</si>
  <si>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</si>
  <si>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</si>
  <si>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</si>
  <si>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</si>
  <si>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</si>
  <si>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</si>
  <si>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</si>
  <si>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</si>
  <si>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</si>
  <si>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</si>
  <si>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</si>
  <si>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</si>
  <si>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</si>
  <si>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</si>
  <si>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</si>
  <si>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</si>
  <si>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</si>
  <si>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</si>
  <si>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</si>
  <si>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</si>
  <si>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</si>
  <si>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</si>
  <si>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</si>
  <si>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</si>
  <si>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</si>
  <si>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</si>
  <si>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</si>
  <si>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</si>
  <si>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</si>
  <si>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</si>
  <si>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</si>
  <si>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</si>
  <si>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</si>
  <si>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</si>
  <si>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</si>
  <si>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</si>
  <si>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</si>
  <si>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</si>
  <si>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</si>
  <si>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</si>
  <si>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</si>
  <si>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</si>
  <si>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</si>
  <si>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</si>
  <si>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</si>
  <si>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</si>
  <si>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</si>
  <si>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</si>
  <si>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</si>
  <si>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</si>
  <si>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</si>
  <si>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</si>
  <si>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</si>
  <si>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</si>
  <si>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</si>
  <si>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</si>
  <si>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</si>
  <si>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</si>
  <si>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</si>
  <si>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</si>
  <si>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</si>
  <si>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</si>
  <si>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</si>
  <si>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</si>
  <si>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</si>
  <si>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</si>
  <si>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</si>
  <si>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</si>
  <si>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</si>
  <si>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</si>
  <si>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</si>
  <si>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</si>
  <si>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</si>
  <si>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</si>
  <si>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</si>
  <si>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</si>
  <si>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</si>
  <si>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</si>
  <si>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</si>
  <si>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</si>
  <si>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</si>
  <si>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</si>
  <si>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</si>
  <si>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</si>
  <si>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</si>
  <si>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</si>
  <si>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</si>
  <si>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</si>
  <si>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</si>
  <si>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</si>
  <si>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</si>
  <si>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</si>
  <si>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</si>
  <si>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</si>
  <si>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</si>
  <si>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</si>
  <si>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</si>
  <si>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</si>
  <si>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</si>
  <si>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</si>
  <si>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</si>
  <si>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</si>
  <si>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</si>
  <si>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</si>
  <si>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</si>
  <si>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</si>
  <si>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</si>
  <si>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</si>
  <si>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</si>
  <si>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</si>
  <si>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</si>
  <si>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</si>
  <si>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</si>
  <si>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</si>
  <si>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</si>
  <si>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</si>
  <si>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</si>
  <si>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</si>
  <si>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</si>
  <si>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</si>
  <si>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</si>
  <si>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</si>
  <si>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</si>
  <si>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</si>
  <si>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</si>
  <si>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</si>
  <si>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</si>
  <si>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</si>
  <si>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</si>
  <si>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</si>
  <si>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</si>
  <si>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</si>
  <si>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</si>
  <si>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</si>
  <si>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</si>
  <si>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</si>
  <si>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</si>
  <si>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</si>
  <si>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</si>
  <si>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</si>
  <si>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</si>
  <si>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</si>
  <si>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</si>
  <si>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</si>
  <si>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</si>
  <si>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</si>
  <si>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</si>
  <si>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</si>
  <si>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</si>
  <si>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</si>
  <si>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</si>
  <si>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</si>
  <si>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</si>
  <si>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</si>
  <si>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</si>
  <si>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</si>
  <si>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</si>
  <si>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</si>
  <si>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</si>
  <si>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</si>
  <si>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</si>
  <si>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</si>
  <si>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</si>
  <si>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</si>
  <si>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</si>
  <si>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</si>
  <si>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</si>
  <si>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</si>
  <si>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</si>
  <si>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</si>
  <si>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</si>
  <si>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</si>
  <si>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</si>
  <si>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</si>
  <si>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</si>
  <si>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</si>
  <si>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</si>
  <si>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</si>
  <si>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</si>
  <si>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</si>
  <si>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</si>
  <si>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</si>
  <si>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</si>
  <si>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</si>
  <si>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</si>
  <si>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</si>
  <si>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</si>
  <si>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</si>
  <si>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</si>
  <si>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</si>
  <si>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</si>
  <si>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</si>
  <si>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</si>
  <si>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</si>
  <si>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</si>
  <si>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</si>
  <si>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</si>
  <si>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</si>
  <si>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</si>
  <si>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</si>
  <si>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</si>
  <si>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</si>
  <si>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</si>
  <si>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</si>
  <si>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</si>
  <si>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</si>
  <si>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</si>
  <si>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</si>
  <si>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</si>
  <si>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</si>
  <si>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</si>
  <si>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</si>
  <si>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</si>
  <si>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</si>
  <si>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</si>
  <si>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</si>
  <si>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</si>
  <si>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</si>
  <si>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</si>
  <si>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</si>
  <si>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</si>
  <si>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</si>
  <si>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</si>
  <si>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</si>
  <si>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</si>
  <si>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</si>
  <si>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</si>
  <si>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</si>
  <si>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</si>
  <si>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</si>
  <si>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</si>
  <si>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</si>
  <si>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</si>
  <si>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</si>
  <si>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</si>
  <si>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</si>
  <si>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</si>
  <si>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</si>
  <si>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</si>
  <si>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</si>
  <si>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</si>
  <si>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</si>
  <si>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</si>
  <si>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</si>
  <si>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</si>
  <si>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</si>
  <si>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</si>
  <si>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</si>
  <si>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</si>
  <si>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</si>
  <si>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</si>
  <si>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</si>
  <si>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</si>
  <si>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</si>
  <si>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</si>
  <si>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</si>
  <si>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</si>
  <si>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</si>
  <si>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</si>
  <si>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</si>
  <si>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</si>
  <si>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</si>
  <si>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</si>
  <si>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</si>
  <si>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</si>
  <si>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</si>
  <si>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</si>
  <si>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</si>
  <si>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</si>
  <si>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</si>
  <si>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</si>
  <si>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</si>
  <si>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</si>
  <si>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</si>
  <si>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</si>
  <si>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</si>
  <si>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</si>
  <si>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</si>
  <si>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</si>
  <si>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</si>
  <si>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</si>
  <si>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</si>
  <si>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</si>
  <si>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</si>
  <si>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</si>
  <si>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</si>
  <si>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</si>
  <si>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</si>
  <si>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</si>
  <si>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</si>
  <si>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</si>
  <si>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</si>
  <si>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</si>
  <si>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</si>
  <si>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</si>
  <si>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</si>
  <si>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</si>
  <si>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</si>
  <si>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</si>
  <si>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</si>
  <si>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</si>
  <si>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</si>
  <si>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</si>
  <si>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</si>
  <si>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</si>
  <si>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</si>
  <si>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</si>
  <si>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</si>
  <si>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</si>
  <si>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</si>
  <si>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</si>
  <si>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</si>
  <si>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</si>
  <si>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</si>
  <si>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</si>
  <si>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</si>
  <si>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</si>
  <si>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</si>
  <si>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</si>
  <si>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</si>
  <si>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</si>
  <si>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</si>
  <si>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</si>
  <si>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</si>
  <si>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</si>
  <si>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</si>
  <si>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</si>
  <si>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</si>
  <si>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</si>
  <si>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</si>
  <si>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</si>
  <si>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</si>
  <si>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</si>
  <si>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</si>
  <si>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</si>
  <si>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</si>
  <si>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</si>
  <si>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</si>
  <si>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</si>
  <si>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</si>
  <si>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</si>
  <si>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</si>
  <si>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</si>
  <si>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</si>
  <si>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</si>
  <si>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</si>
  <si>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</si>
  <si>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</si>
  <si>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</si>
  <si>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</si>
  <si>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</si>
  <si>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</si>
  <si>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</si>
  <si>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</si>
  <si>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</si>
  <si>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</si>
  <si>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</si>
  <si>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</si>
  <si>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</si>
  <si>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</si>
  <si>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</si>
  <si>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</si>
  <si>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</si>
  <si>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</si>
  <si>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</si>
  <si>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</si>
  <si>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</si>
  <si>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</si>
  <si>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</si>
  <si>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</si>
  <si>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</si>
  <si>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</si>
  <si>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</si>
  <si>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</si>
  <si>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</si>
  <si>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</si>
  <si>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</si>
  <si>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</si>
  <si>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</si>
  <si>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</si>
  <si>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</si>
  <si>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</si>
  <si>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</si>
  <si>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</si>
  <si>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</si>
  <si>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</si>
  <si>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</si>
  <si>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</si>
  <si>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</si>
  <si>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</si>
  <si>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</si>
  <si>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</si>
  <si>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</si>
  <si>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</si>
  <si>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</si>
  <si>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</si>
  <si>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</si>
  <si>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</si>
  <si>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</si>
  <si>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</si>
  <si>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</si>
  <si>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</si>
  <si>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</si>
  <si>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</si>
  <si>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</si>
  <si>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</si>
  <si>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</si>
  <si>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</si>
  <si>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</si>
  <si>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</si>
  <si>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</si>
  <si>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</si>
  <si>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</si>
  <si>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</si>
  <si>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</si>
  <si>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</si>
  <si>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</si>
  <si>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</si>
  <si>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</si>
  <si>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</si>
  <si>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</si>
  <si>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</si>
  <si>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</si>
  <si>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</si>
  <si>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</si>
  <si>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</si>
  <si>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</si>
  <si>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</si>
  <si>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</si>
  <si>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</si>
  <si>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</si>
  <si>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</si>
  <si>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</si>
  <si>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</si>
  <si>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</si>
  <si>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</si>
  <si>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</si>
  <si>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</si>
  <si>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</si>
  <si>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</si>
  <si>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</si>
  <si>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</si>
  <si>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</si>
  <si>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</si>
  <si>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</si>
  <si>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</si>
  <si>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</si>
  <si>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</si>
  <si>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</si>
  <si>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</si>
  <si>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</si>
  <si>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</si>
  <si>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</si>
  <si>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</si>
  <si>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</si>
  <si>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</si>
  <si>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</si>
  <si>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</si>
  <si>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</si>
  <si>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</si>
  <si>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</si>
  <si>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</si>
  <si>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</si>
  <si>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</si>
  <si>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</si>
  <si>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</si>
  <si>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</si>
  <si>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</si>
  <si>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</si>
  <si>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</si>
  <si>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</si>
  <si>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</si>
  <si>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</si>
  <si>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</si>
  <si>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</si>
  <si>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</si>
  <si>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</si>
  <si>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</si>
  <si>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</si>
  <si>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</si>
  <si>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</si>
  <si>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</si>
  <si>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</si>
  <si>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</si>
  <si>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</si>
  <si>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</si>
  <si>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</si>
  <si>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</si>
  <si>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</si>
  <si>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</si>
  <si>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</si>
  <si>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</si>
  <si>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</si>
  <si>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</si>
  <si>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</si>
  <si>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</si>
  <si>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</si>
  <si>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</si>
  <si>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</si>
  <si>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</si>
  <si>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</si>
  <si>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</si>
  <si>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</si>
  <si>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</si>
  <si>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</si>
  <si>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</si>
  <si>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</si>
  <si>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</si>
  <si>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</si>
  <si>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</si>
  <si>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</si>
  <si>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</si>
  <si>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</si>
  <si>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</si>
  <si>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</si>
  <si>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</si>
  <si>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</si>
  <si>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</si>
  <si>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</si>
  <si>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</si>
  <si>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</si>
  <si>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</si>
  <si>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</si>
  <si>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</si>
  <si>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</si>
  <si>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</si>
  <si>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</si>
  <si>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</si>
  <si>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</si>
  <si>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</si>
  <si>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</si>
  <si>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</si>
  <si>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</si>
  <si>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</si>
  <si>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</si>
  <si>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</si>
  <si>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</si>
  <si>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</si>
  <si>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</si>
  <si>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</si>
  <si>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</si>
  <si>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</si>
  <si>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</si>
  <si>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</si>
  <si>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</si>
  <si>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</si>
  <si>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</si>
  <si>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</si>
  <si>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</si>
  <si>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</si>
  <si>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</si>
  <si>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</si>
  <si>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</si>
  <si>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</si>
  <si>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</si>
  <si>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</si>
  <si>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</si>
  <si>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</si>
  <si>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</si>
  <si>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</si>
  <si>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</si>
  <si>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</si>
  <si>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</si>
  <si>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</si>
  <si>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</si>
  <si>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</si>
  <si>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</si>
  <si>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</si>
  <si>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</si>
  <si>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</si>
  <si>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</si>
  <si>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</si>
  <si>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</si>
  <si>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</si>
  <si>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</si>
  <si>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</si>
  <si>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</si>
  <si>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</si>
  <si>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</si>
  <si>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</si>
  <si>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</si>
  <si>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</si>
  <si>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</si>
  <si>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</si>
  <si>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</si>
  <si>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</si>
  <si>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</si>
  <si>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</si>
  <si>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</si>
  <si>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</si>
  <si>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</si>
  <si>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</si>
  <si>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</si>
  <si>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</si>
  <si>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</si>
  <si>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</si>
  <si>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</si>
  <si>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</si>
  <si>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</si>
  <si>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</si>
  <si>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</si>
  <si>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</si>
  <si>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</si>
  <si>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</si>
  <si>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</si>
  <si>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</si>
  <si>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</si>
  <si>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</si>
  <si>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</si>
  <si>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</si>
  <si>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</si>
  <si>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</si>
  <si>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</si>
  <si>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</si>
  <si>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</si>
  <si>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</si>
  <si>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</si>
  <si>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</si>
  <si>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</si>
  <si>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</si>
  <si>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</si>
  <si>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</si>
  <si>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</si>
  <si>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</si>
  <si>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</si>
  <si>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</si>
  <si>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</si>
  <si>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</si>
  <si>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</si>
  <si>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</si>
  <si>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</si>
  <si>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</si>
  <si>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</si>
  <si>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</si>
  <si>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</si>
  <si>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</si>
  <si>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</si>
  <si>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</si>
  <si>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</si>
  <si>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</si>
  <si>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</si>
  <si>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</si>
  <si>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</si>
  <si>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</si>
  <si>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</si>
  <si>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</si>
  <si>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</si>
  <si>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</si>
  <si>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</si>
  <si>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</si>
  <si>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</si>
  <si>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</si>
  <si>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</si>
  <si>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</si>
  <si>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</si>
  <si>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</si>
  <si>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</si>
  <si>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</si>
  <si>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</si>
  <si>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</si>
  <si>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</si>
  <si>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</si>
  <si>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</si>
  <si>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</si>
  <si>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</si>
  <si>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</si>
  <si>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</si>
  <si>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</si>
  <si>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</si>
  <si>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</si>
  <si>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</si>
  <si>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</si>
  <si>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</si>
  <si>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</si>
  <si>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</si>
  <si>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</si>
  <si>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</si>
  <si>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</si>
  <si>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</si>
  <si>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</si>
  <si>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</si>
  <si>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</si>
  <si>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</si>
  <si>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</si>
  <si>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</si>
  <si>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</si>
  <si>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</si>
  <si>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</si>
  <si>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</si>
  <si>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</si>
  <si>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</si>
  <si>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</si>
  <si>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</si>
  <si>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</si>
  <si>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</si>
  <si>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</si>
  <si>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</si>
  <si>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</si>
  <si>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</si>
  <si>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</si>
  <si>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</si>
  <si>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</si>
  <si>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</si>
  <si>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</si>
  <si>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</si>
  <si>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</si>
  <si>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</si>
  <si>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</si>
  <si>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</si>
  <si>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</si>
  <si>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</si>
  <si>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</si>
  <si>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</si>
  <si>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</si>
  <si>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</si>
  <si>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</si>
  <si>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</si>
  <si>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</si>
  <si>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</si>
  <si>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</si>
  <si>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</si>
  <si>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</si>
  <si>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</si>
  <si>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</si>
  <si>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</si>
  <si>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</si>
  <si>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</si>
  <si>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</si>
  <si>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</si>
  <si>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</si>
  <si>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</si>
  <si>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</si>
  <si>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</si>
  <si>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</si>
  <si>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</si>
  <si>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</si>
  <si>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</si>
  <si>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</si>
  <si>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</si>
  <si>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</si>
  <si>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</si>
  <si>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</si>
  <si>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</si>
  <si>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</si>
  <si>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</si>
  <si>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</si>
  <si>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</si>
  <si>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</si>
  <si>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</si>
  <si>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</si>
  <si>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</si>
  <si>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</si>
  <si>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</si>
  <si>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</si>
  <si>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</si>
  <si>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</si>
  <si>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</si>
  <si>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</si>
  <si>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</si>
  <si>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</si>
  <si>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</si>
  <si>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</si>
  <si>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</si>
  <si>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</si>
  <si>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</si>
  <si>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</si>
  <si>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</si>
  <si>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</si>
  <si>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</si>
  <si>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</si>
  <si>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</si>
  <si>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</si>
  <si>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</si>
  <si>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</si>
  <si>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</si>
  <si>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</si>
  <si>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</si>
  <si>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</si>
  <si>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</si>
  <si>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</si>
  <si>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</si>
  <si>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</si>
  <si>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</si>
  <si>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</si>
  <si>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</si>
  <si>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</si>
  <si>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</si>
  <si>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</si>
  <si>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</si>
  <si>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</si>
  <si>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</si>
  <si>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</si>
  <si>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</si>
  <si>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</si>
  <si>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</si>
  <si>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</si>
  <si>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</si>
  <si>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</si>
  <si>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</si>
  <si>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</si>
  <si>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</si>
  <si>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</si>
  <si>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</si>
  <si>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</si>
  <si>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</si>
  <si>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</si>
  <si>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</si>
  <si>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</si>
  <si>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</si>
  <si>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</si>
  <si>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</si>
  <si>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</si>
  <si>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</si>
  <si>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</si>
  <si>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</si>
  <si>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</si>
  <si>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</si>
  <si>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</si>
  <si>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</si>
  <si>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</si>
  <si>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</si>
  <si>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</si>
  <si>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</si>
  <si>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</si>
  <si>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</si>
  <si>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</si>
  <si>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</si>
  <si>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</si>
  <si>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</si>
  <si>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</si>
  <si>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</si>
  <si>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</si>
  <si>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</si>
  <si>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</si>
  <si>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</si>
  <si>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</si>
  <si>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</si>
  <si>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</si>
  <si>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</si>
  <si>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</si>
  <si>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</si>
  <si>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</si>
  <si>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</si>
  <si>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</si>
  <si>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</si>
  <si>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</si>
  <si>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</si>
  <si>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</si>
  <si>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</si>
  <si>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</si>
  <si>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</si>
  <si>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</si>
  <si>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</si>
  <si>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</si>
  <si>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</si>
  <si>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</si>
  <si>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</si>
  <si>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</si>
  <si>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</si>
  <si>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</si>
  <si>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</si>
  <si>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</si>
  <si>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</si>
  <si>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</si>
  <si>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</si>
  <si>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</si>
  <si>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</si>
  <si>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</si>
  <si>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</si>
  <si>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</si>
  <si>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</si>
  <si>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</si>
  <si>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</si>
  <si>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</si>
  <si>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</si>
  <si>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</si>
  <si>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</si>
  <si>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</si>
  <si>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</si>
  <si>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</si>
  <si>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</si>
  <si>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</si>
  <si>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</si>
  <si>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</si>
  <si>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</si>
  <si>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</si>
  <si>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</si>
  <si>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</si>
  <si>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</si>
  <si>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</si>
  <si>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</si>
  <si>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</si>
  <si>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</si>
  <si>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</si>
  <si>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</si>
  <si>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</si>
  <si>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</si>
  <si>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</si>
  <si>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</si>
  <si>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</si>
  <si>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</si>
  <si>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</si>
  <si>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</si>
  <si>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</si>
  <si>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</si>
  <si>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</si>
  <si>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</si>
  <si>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</si>
  <si>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</si>
  <si>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</si>
  <si>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</si>
  <si>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</si>
  <si>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</si>
  <si>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</si>
  <si>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</si>
  <si>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</si>
  <si>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</si>
  <si>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</si>
  <si>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</si>
  <si>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</si>
  <si>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</si>
  <si>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</si>
  <si>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</si>
  <si>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</si>
  <si>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</si>
  <si>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</si>
  <si>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</si>
  <si>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</si>
  <si>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</si>
  <si>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</si>
  <si>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</si>
  <si>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</si>
  <si>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</si>
  <si>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</si>
  <si>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</si>
  <si>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</si>
  <si>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</si>
  <si>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</si>
  <si>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</si>
  <si>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</si>
  <si>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</si>
  <si>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</si>
  <si>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</si>
  <si>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</si>
  <si>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</si>
  <si>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</si>
  <si>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</si>
  <si>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</si>
  <si>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</si>
  <si>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</si>
  <si>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</si>
  <si>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</si>
  <si>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</si>
  <si>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</si>
  <si>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</si>
  <si>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</si>
  <si>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</si>
  <si>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</si>
  <si>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</si>
  <si>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</si>
  <si>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</si>
  <si>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</si>
  <si>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</si>
  <si>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</si>
  <si>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</si>
  <si>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</si>
  <si>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</si>
  <si>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</si>
  <si>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</si>
  <si>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</si>
  <si>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</si>
  <si>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</si>
  <si>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</si>
  <si>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</si>
  <si>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</si>
  <si>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</si>
  <si>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</si>
  <si>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</si>
  <si>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</si>
  <si>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</si>
  <si>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</si>
  <si>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</si>
  <si>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</si>
  <si>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</si>
  <si>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</si>
  <si>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</si>
  <si>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</si>
  <si>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</si>
  <si>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</si>
  <si>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</si>
  <si>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</si>
  <si>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</si>
  <si>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</si>
  <si>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</si>
  <si>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</si>
  <si>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</si>
  <si>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</si>
  <si>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</si>
  <si>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</si>
  <si>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</si>
  <si>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</si>
  <si>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</si>
  <si>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</si>
  <si>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</si>
  <si>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</si>
  <si>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</si>
  <si>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</si>
  <si>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</si>
  <si>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</si>
  <si>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</si>
  <si>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</si>
  <si>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</si>
  <si>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</si>
  <si>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</si>
  <si>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</si>
  <si>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</si>
  <si>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</si>
  <si>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</si>
  <si>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</si>
  <si>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</si>
  <si>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</si>
  <si>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</si>
  <si>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</si>
  <si>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</si>
  <si>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</si>
  <si>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</si>
  <si>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</si>
  <si>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</si>
  <si>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</si>
  <si>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</si>
  <si>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</si>
  <si>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</si>
  <si>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</si>
  <si>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</si>
  <si>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</si>
  <si>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</si>
  <si>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</si>
  <si>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</si>
  <si>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</si>
  <si>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</si>
  <si>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</si>
  <si>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</si>
  <si>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</si>
  <si>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</si>
  <si>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</si>
  <si>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</si>
  <si>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</si>
  <si>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</si>
  <si>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</si>
  <si>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</si>
  <si>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</si>
  <si>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</si>
  <si>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</si>
  <si>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</si>
  <si>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</si>
  <si>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</si>
  <si>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</si>
  <si>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</si>
  <si>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</si>
  <si>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</si>
  <si>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</si>
  <si>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</si>
  <si>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</si>
  <si>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</si>
  <si>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</si>
  <si>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</si>
  <si>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</si>
  <si>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</si>
  <si>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</si>
  <si>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</si>
  <si>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</si>
  <si>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</si>
  <si>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</si>
  <si>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</si>
  <si>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</si>
  <si>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</si>
  <si>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</si>
  <si>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</si>
  <si>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</si>
  <si>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</si>
  <si>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</si>
  <si>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</si>
  <si>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</si>
  <si>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</si>
  <si>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</si>
  <si>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</si>
  <si>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</si>
  <si>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</si>
  <si>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</si>
  <si>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</si>
  <si>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</si>
  <si>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</si>
  <si>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</si>
  <si>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</si>
  <si>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</si>
  <si>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</si>
  <si>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</si>
  <si>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</si>
  <si>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</si>
  <si>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</si>
  <si>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</si>
  <si>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</si>
  <si>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</si>
  <si>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</si>
  <si>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</si>
  <si>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</si>
  <si>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</si>
  <si>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</si>
  <si>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</si>
  <si>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</si>
  <si>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</si>
  <si>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</si>
  <si>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</si>
  <si>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</si>
  <si>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</si>
  <si>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</si>
  <si>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</si>
  <si>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</si>
  <si>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</si>
  <si>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</si>
  <si>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</si>
  <si>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</si>
  <si>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</si>
  <si>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</si>
  <si>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</si>
  <si>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</si>
  <si>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</si>
  <si>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</si>
  <si>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</si>
  <si>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</si>
  <si>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</si>
  <si>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</si>
  <si>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</si>
  <si>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</si>
  <si>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</si>
  <si>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</si>
  <si>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</si>
  <si>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</si>
  <si>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</si>
  <si>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</si>
  <si>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</si>
  <si>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</si>
  <si>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</si>
  <si>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</si>
  <si>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</si>
  <si>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</si>
  <si>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</si>
  <si>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</si>
  <si>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</si>
  <si>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</si>
  <si>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</si>
  <si>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</si>
  <si>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</si>
  <si>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</si>
  <si>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</si>
  <si>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</si>
  <si>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</si>
  <si>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</si>
  <si>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</si>
  <si>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</si>
  <si>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</si>
  <si>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</si>
  <si>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</si>
  <si>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</si>
  <si>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</si>
  <si>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</si>
  <si>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</si>
  <si>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</si>
  <si>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</si>
  <si>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</si>
  <si>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</si>
  <si>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</si>
  <si>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</si>
  <si>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</si>
  <si>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</si>
  <si>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</si>
  <si>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</si>
  <si>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</si>
  <si>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</si>
  <si>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</si>
  <si>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</si>
  <si>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</si>
  <si>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</si>
  <si>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</si>
  <si>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</si>
  <si>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</si>
  <si>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</si>
  <si>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</si>
  <si>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</si>
  <si>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</si>
  <si>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</si>
  <si>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</si>
  <si>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</si>
  <si>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</si>
  <si>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</si>
  <si>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</si>
  <si>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</si>
  <si>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</si>
  <si>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</si>
  <si>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</si>
  <si>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</si>
  <si>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</si>
  <si>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</si>
  <si>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</si>
  <si>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</si>
  <si>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</si>
  <si>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</si>
  <si>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</si>
  <si>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</si>
  <si>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</si>
  <si>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</si>
  <si>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</si>
  <si>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</si>
  <si>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</si>
  <si>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</si>
  <si>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</si>
  <si>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</si>
  <si>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</si>
  <si>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</si>
  <si>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</si>
  <si>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</si>
  <si>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</si>
  <si>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</si>
  <si>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</si>
  <si>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</si>
  <si>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</si>
  <si>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</si>
  <si>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</si>
  <si>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</si>
  <si>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</si>
  <si>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</si>
  <si>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</si>
  <si>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</si>
  <si>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</si>
  <si>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</si>
  <si>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</si>
  <si>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</si>
  <si>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</si>
  <si>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</si>
  <si>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</si>
  <si>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</si>
  <si>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</si>
  <si>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</si>
  <si>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</si>
  <si>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</si>
  <si>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</si>
  <si>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</si>
  <si>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</si>
  <si>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</si>
  <si>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</si>
  <si>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</si>
  <si>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</si>
  <si>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</si>
  <si>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</si>
  <si>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</si>
  <si>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</si>
  <si>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</si>
  <si>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</si>
  <si>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</si>
  <si>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</si>
  <si>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</si>
  <si>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</si>
  <si>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</si>
  <si>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</si>
  <si>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</si>
  <si>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</si>
  <si>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</si>
  <si>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</si>
  <si>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</si>
  <si>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</si>
  <si>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</si>
  <si>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</si>
  <si>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</si>
  <si>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</si>
  <si>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</si>
  <si>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</si>
  <si>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</si>
  <si>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</si>
  <si>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</si>
  <si>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</si>
  <si>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</si>
  <si>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</si>
  <si>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</si>
  <si>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</si>
  <si>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</si>
  <si>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</si>
  <si>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</si>
  <si>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</si>
  <si>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</si>
  <si>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</si>
  <si>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</si>
  <si>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</si>
  <si>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</si>
  <si>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</si>
  <si>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</si>
  <si>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</si>
  <si>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</si>
  <si>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</si>
  <si>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</si>
  <si>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</si>
  <si>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</si>
  <si>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</si>
  <si>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</si>
  <si>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</si>
  <si>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</si>
  <si>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</si>
  <si>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</si>
  <si>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</si>
  <si>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</si>
  <si>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</si>
  <si>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</si>
  <si>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</si>
  <si>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</si>
  <si>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</si>
  <si>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</si>
  <si>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</si>
  <si>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</si>
  <si>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</si>
  <si>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</si>
  <si>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</si>
  <si>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</si>
  <si>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</si>
  <si>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</si>
  <si>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</si>
  <si>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</si>
  <si>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</si>
  <si>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</si>
  <si>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</si>
  <si>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</si>
  <si>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</si>
  <si>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</si>
  <si>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</si>
  <si>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</si>
  <si>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</si>
  <si>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</si>
  <si>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</si>
  <si>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</si>
  <si>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</si>
  <si>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</si>
  <si>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</si>
  <si>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</si>
  <si>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</si>
  <si>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</si>
  <si>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</si>
  <si>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</si>
  <si>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</si>
  <si>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</si>
  <si>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</si>
  <si>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</si>
  <si>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</si>
  <si>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</si>
  <si>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</si>
  <si>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</si>
  <si>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</si>
  <si>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</si>
  <si>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</si>
  <si>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</si>
  <si>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</si>
  <si>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</si>
  <si>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</si>
  <si>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</si>
  <si>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</si>
  <si>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</si>
  <si>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</si>
  <si>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</si>
  <si>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</si>
  <si>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</si>
  <si>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</si>
  <si>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</si>
  <si>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</si>
  <si>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</si>
  <si>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</si>
  <si>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</si>
  <si>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</si>
  <si>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</si>
  <si>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</si>
  <si>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</si>
  <si>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</si>
  <si>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</si>
  <si>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</si>
  <si>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</si>
  <si>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</si>
  <si>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</si>
  <si>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</si>
  <si>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</si>
  <si>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</si>
  <si>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</si>
  <si>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</si>
  <si>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</si>
  <si>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</si>
  <si>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</si>
  <si>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</si>
  <si>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</si>
  <si>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</si>
  <si>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</si>
  <si>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</si>
  <si>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</si>
  <si>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</si>
  <si>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</si>
  <si>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</si>
  <si>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</si>
  <si>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</si>
  <si>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</si>
  <si>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</si>
  <si>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</si>
  <si>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</si>
  <si>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</si>
  <si>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</si>
  <si>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</si>
  <si>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</si>
  <si>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</si>
  <si>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</si>
  <si>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</si>
  <si>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</si>
  <si>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</si>
  <si>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</si>
  <si>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</si>
  <si>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</si>
  <si>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</si>
  <si>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</si>
  <si>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</si>
  <si>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</si>
  <si>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</si>
  <si>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</si>
  <si>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</si>
  <si>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</si>
  <si>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</si>
  <si>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</si>
  <si>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</si>
  <si>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</si>
  <si>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</si>
  <si>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</si>
  <si>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</si>
  <si>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</si>
  <si>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</si>
  <si>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</si>
  <si>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</si>
  <si>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</si>
  <si>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</si>
  <si>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</si>
  <si>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</si>
  <si>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</si>
  <si>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</si>
  <si>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</si>
  <si>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</si>
  <si>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</si>
  <si>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</si>
  <si>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</si>
  <si>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</si>
  <si>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</si>
  <si>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</si>
  <si>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</si>
  <si>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</si>
  <si>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</si>
  <si>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</si>
  <si>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</si>
  <si>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</si>
  <si>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</si>
  <si>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</si>
  <si>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</si>
  <si>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</si>
  <si>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</si>
  <si>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</si>
  <si>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</si>
  <si>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</si>
  <si>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</si>
  <si>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</si>
  <si>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</si>
  <si>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</si>
  <si>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</si>
  <si>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</si>
  <si>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</si>
  <si>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</si>
  <si>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</si>
  <si>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</si>
  <si>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</si>
  <si>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</si>
  <si>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</si>
  <si>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</si>
  <si>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</si>
  <si>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</si>
  <si>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</si>
  <si>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</si>
  <si>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</si>
  <si>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</si>
  <si>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</si>
  <si>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</si>
  <si>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</si>
  <si>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</si>
  <si>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</si>
  <si>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</si>
  <si>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</si>
  <si>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</si>
  <si>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</si>
  <si>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</si>
  <si>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</si>
  <si>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</si>
  <si>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</si>
  <si>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</si>
  <si>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</si>
  <si>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</si>
  <si>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</si>
  <si>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</si>
  <si>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</si>
  <si>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</si>
  <si>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</si>
  <si>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</si>
  <si>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</si>
  <si>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</si>
  <si>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</si>
  <si>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</si>
  <si>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</si>
  <si>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</si>
  <si>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</si>
  <si>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</si>
  <si>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</si>
  <si>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</si>
  <si>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</si>
  <si>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</si>
  <si>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</si>
  <si>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</si>
  <si>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</si>
  <si>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</si>
  <si>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</si>
  <si>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</si>
  <si>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</si>
  <si>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</si>
  <si>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</si>
  <si>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</si>
  <si>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</si>
  <si>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</si>
  <si>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</si>
  <si>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</si>
  <si>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</si>
  <si>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</si>
  <si>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</si>
  <si>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</si>
  <si>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</si>
  <si>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</si>
  <si>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</si>
  <si>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</si>
  <si>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</si>
  <si>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</si>
  <si>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</si>
  <si>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</si>
  <si>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</si>
  <si>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</si>
  <si>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</si>
  <si>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</si>
  <si>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</si>
  <si>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</si>
  <si>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</si>
  <si>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</si>
  <si>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</si>
  <si>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</si>
  <si>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</si>
  <si>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</si>
  <si>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</si>
  <si>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</si>
  <si>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</si>
  <si>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</si>
  <si>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</si>
  <si>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</si>
  <si>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</si>
  <si>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</si>
  <si>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</si>
  <si>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</si>
  <si>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</si>
  <si>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</si>
  <si>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</si>
  <si>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</si>
  <si>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</si>
  <si>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</si>
  <si>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</si>
  <si>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</si>
  <si>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</si>
  <si>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</si>
  <si>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</si>
  <si>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</si>
  <si>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</si>
  <si>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</si>
  <si>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</si>
  <si>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</si>
  <si>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</si>
  <si>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</si>
  <si>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</si>
  <si>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</si>
  <si>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</si>
  <si>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</si>
  <si>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</si>
  <si>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</si>
  <si>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</si>
  <si>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</si>
  <si>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</si>
  <si>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</si>
  <si>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</si>
  <si>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</si>
  <si>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</si>
  <si>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</si>
  <si>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</si>
  <si>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</si>
  <si>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</si>
  <si>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</si>
  <si>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</si>
  <si>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</si>
  <si>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</si>
  <si>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</si>
  <si>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</si>
  <si>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</si>
  <si>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</si>
  <si>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</si>
  <si>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</si>
  <si>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</si>
  <si>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</si>
  <si>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</si>
  <si>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</si>
  <si>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</si>
  <si>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</si>
  <si>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</si>
  <si>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</si>
  <si>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</si>
  <si>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</si>
  <si>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</si>
  <si>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</si>
  <si>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</si>
  <si>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</si>
  <si>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</si>
  <si>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</si>
  <si>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</si>
  <si>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</si>
  <si>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</si>
  <si>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</si>
  <si>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</si>
  <si>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</si>
  <si>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</si>
  <si>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</si>
  <si>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</si>
  <si>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</si>
  <si>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</si>
  <si>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</si>
  <si>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</si>
  <si>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</si>
  <si>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</si>
  <si>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</si>
  <si>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</si>
  <si>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</si>
  <si>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</si>
  <si>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</si>
  <si>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</si>
  <si>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</si>
  <si>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</si>
  <si>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</si>
  <si>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</si>
  <si>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</si>
  <si>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</si>
  <si>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</si>
  <si>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</si>
  <si>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</si>
  <si>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</si>
  <si>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</si>
  <si>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</si>
  <si>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</si>
  <si>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</si>
  <si>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</si>
  <si>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</si>
  <si>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</si>
  <si>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</si>
  <si>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</si>
  <si>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</si>
  <si>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</si>
  <si>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</si>
  <si>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</si>
  <si>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</si>
  <si>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</si>
  <si>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</si>
  <si>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</si>
  <si>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</si>
  <si>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</si>
  <si>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</si>
  <si>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</si>
  <si>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</si>
  <si>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</si>
  <si>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</si>
  <si>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</si>
  <si>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</si>
  <si>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</si>
  <si>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</si>
  <si>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</si>
  <si>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</si>
  <si>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</si>
  <si>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</si>
  <si>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</si>
  <si>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</si>
  <si>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</si>
  <si>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</si>
  <si>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</si>
  <si>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</si>
  <si>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</si>
  <si>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</si>
  <si>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</si>
  <si>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</si>
  <si>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</si>
  <si>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</si>
  <si>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</si>
  <si>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</si>
  <si>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</si>
  <si>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</si>
  <si>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</si>
  <si>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</si>
  <si>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</si>
  <si>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</si>
  <si>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</si>
  <si>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</si>
  <si>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</si>
  <si>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</si>
  <si>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</si>
  <si>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</si>
  <si>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</si>
  <si>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</si>
  <si>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</si>
  <si>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</si>
  <si>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</si>
  <si>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</si>
  <si>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</si>
  <si>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</si>
  <si>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</si>
  <si>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</si>
  <si>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</si>
  <si>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</si>
  <si>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</si>
  <si>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</si>
  <si>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</si>
  <si>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</si>
  <si>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</si>
  <si>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</si>
  <si>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</si>
  <si>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</si>
  <si>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</si>
  <si>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</si>
  <si>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</si>
  <si>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</si>
  <si>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</si>
  <si>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</si>
  <si>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</si>
  <si>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</si>
  <si>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</si>
  <si>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</si>
  <si>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</si>
  <si>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</si>
  <si>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</si>
  <si>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</si>
  <si>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</si>
  <si>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</si>
  <si>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</si>
  <si>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</si>
  <si>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</si>
  <si>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</si>
  <si>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</si>
  <si>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</si>
  <si>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</si>
  <si>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</si>
  <si>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</si>
  <si>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</si>
  <si>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</si>
  <si>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</si>
  <si>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</si>
  <si>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</si>
  <si>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</si>
  <si>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</si>
  <si>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</si>
  <si>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</si>
  <si>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</si>
  <si>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</si>
  <si>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</si>
  <si>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</si>
  <si>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</si>
  <si>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</si>
  <si>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</si>
  <si>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</si>
  <si>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</si>
  <si>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</si>
  <si>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</si>
  <si>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</si>
  <si>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</si>
  <si>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</si>
  <si>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</si>
  <si>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</si>
  <si>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</si>
  <si>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</si>
  <si>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</si>
  <si>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</si>
  <si>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</si>
  <si>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</si>
  <si>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</si>
  <si>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</si>
  <si>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</si>
  <si>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</si>
  <si>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</si>
  <si>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</si>
  <si>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</si>
  <si>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</si>
  <si>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</si>
  <si>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</si>
  <si>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</si>
  <si>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</si>
  <si>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</si>
  <si>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</si>
  <si>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</si>
  <si>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</si>
  <si>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</si>
  <si>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</si>
  <si>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</si>
  <si>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</si>
  <si>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</si>
  <si>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</si>
  <si>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</si>
  <si>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</si>
  <si>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</si>
  <si>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</si>
  <si>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</si>
  <si>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</si>
  <si>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</si>
  <si>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</si>
  <si>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</si>
  <si>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</si>
  <si>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</si>
  <si>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</si>
  <si>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</si>
  <si>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</si>
  <si>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</si>
  <si>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</si>
  <si>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</si>
  <si>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</si>
  <si>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</si>
  <si>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</si>
  <si>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</si>
  <si>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</si>
  <si>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</si>
  <si>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</si>
  <si>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</si>
  <si>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</si>
  <si>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</si>
  <si>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</si>
  <si>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</si>
  <si>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</si>
  <si>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</si>
  <si>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</si>
  <si>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</si>
  <si>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</si>
  <si>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</si>
  <si>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</si>
  <si>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</si>
  <si>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</si>
  <si>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</si>
  <si>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</si>
  <si>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</si>
  <si>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</si>
  <si>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</si>
  <si>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</si>
  <si>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</si>
  <si>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</si>
  <si>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</si>
  <si>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</si>
  <si>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</si>
  <si>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</si>
  <si>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</si>
  <si>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</si>
  <si>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</si>
  <si>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</si>
  <si>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</si>
  <si>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</si>
  <si>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</si>
  <si>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</si>
  <si>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</si>
  <si>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</si>
  <si>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</si>
  <si>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</si>
  <si>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</si>
  <si>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</si>
  <si>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</si>
  <si>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</si>
  <si>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</si>
  <si>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</si>
  <si>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</si>
  <si>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</si>
  <si>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</si>
  <si>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</si>
  <si>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</si>
  <si>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</si>
  <si>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</si>
  <si>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</si>
  <si>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</si>
  <si>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</si>
  <si>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</si>
  <si>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</si>
  <si>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</si>
  <si>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</si>
  <si>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</si>
  <si>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</si>
  <si>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</si>
  <si>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</si>
  <si>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</si>
  <si>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</si>
  <si>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</si>
  <si>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</si>
  <si>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</si>
  <si>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</si>
  <si>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</si>
  <si>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</si>
  <si>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</si>
  <si>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</si>
  <si>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</si>
  <si>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</si>
  <si>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</si>
  <si>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</si>
  <si>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</si>
  <si>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</si>
  <si>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</si>
  <si>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</si>
  <si>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</si>
  <si>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</si>
  <si>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</si>
  <si>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</si>
  <si>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</si>
  <si>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</si>
  <si>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</si>
  <si>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</si>
  <si>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</si>
  <si>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</si>
  <si>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</si>
  <si>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</si>
  <si>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</si>
  <si>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</si>
  <si>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</si>
  <si>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</si>
  <si>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</si>
  <si>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</si>
  <si>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</si>
  <si>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</si>
  <si>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</si>
  <si>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</si>
  <si>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</si>
  <si>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</si>
  <si>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</si>
  <si>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</si>
  <si>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</si>
  <si>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</si>
  <si>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</si>
  <si>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</si>
  <si>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</si>
  <si>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</si>
  <si>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</si>
  <si>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</si>
  <si>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</si>
  <si>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</si>
  <si>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</si>
  <si>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</si>
  <si>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</si>
  <si>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</si>
  <si>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</si>
  <si>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</si>
  <si>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</si>
  <si>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</si>
  <si>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</si>
  <si>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</si>
  <si>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</si>
  <si>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</si>
  <si>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</si>
  <si>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</si>
  <si>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</si>
  <si>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</si>
  <si>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</si>
  <si>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</si>
  <si>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</si>
  <si>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</si>
  <si>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</si>
  <si>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</si>
  <si>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</si>
  <si>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</si>
  <si>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</si>
  <si>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</si>
  <si>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</si>
  <si>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</si>
  <si>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</si>
  <si>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</si>
  <si>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</si>
  <si>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</si>
  <si>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</si>
  <si>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</si>
  <si>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</si>
  <si>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</si>
  <si>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</si>
  <si>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</si>
  <si>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</si>
  <si>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</si>
  <si>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</si>
  <si>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</si>
  <si>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</si>
  <si>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</si>
  <si>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</si>
  <si>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</si>
  <si>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</si>
  <si>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</si>
  <si>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</si>
  <si>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</si>
  <si>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</si>
  <si>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</si>
  <si>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</si>
  <si>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</si>
  <si>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</si>
  <si>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</si>
  <si>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</si>
  <si>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</si>
  <si>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</si>
  <si>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</si>
  <si>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</si>
  <si>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</si>
  <si>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</si>
  <si>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</si>
  <si>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</si>
  <si>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</si>
  <si>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</si>
  <si>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</si>
  <si>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</si>
  <si>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</si>
  <si>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</si>
  <si>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</si>
  <si>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</si>
  <si>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</si>
  <si>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</si>
  <si>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</si>
  <si>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</si>
  <si>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</si>
  <si>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</si>
  <si>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</si>
  <si>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</si>
  <si>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</si>
  <si>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</si>
  <si>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</si>
  <si>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</si>
  <si>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</si>
  <si>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</si>
  <si>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</si>
  <si>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</si>
  <si>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</si>
  <si>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</si>
  <si>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</si>
  <si>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</si>
  <si>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</si>
  <si>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</si>
  <si>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</si>
  <si>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</si>
  <si>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</si>
  <si>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</si>
  <si>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</si>
  <si>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</si>
  <si>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</si>
  <si>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</si>
  <si>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</si>
  <si>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</si>
  <si>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</si>
  <si>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</si>
  <si>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</si>
  <si>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</si>
  <si>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</si>
  <si>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</si>
  <si>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</si>
  <si>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</si>
  <si>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</si>
  <si>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</si>
  <si>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</si>
  <si>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</si>
  <si>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</si>
  <si>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</si>
  <si>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</si>
  <si>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</si>
  <si>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</si>
  <si>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</si>
  <si>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</si>
  <si>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</si>
  <si>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</si>
  <si>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</si>
  <si>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</si>
  <si>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</si>
  <si>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</si>
  <si>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</si>
  <si>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</si>
  <si>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</si>
  <si>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</si>
  <si>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</si>
  <si>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</si>
  <si>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</si>
  <si>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</si>
  <si>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</si>
  <si>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</si>
  <si>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</si>
  <si>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</si>
  <si>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</si>
  <si>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</si>
  <si>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</si>
  <si>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</si>
  <si>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</si>
  <si>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</si>
  <si>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</si>
  <si>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</si>
  <si>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</si>
  <si>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</si>
  <si>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</si>
  <si>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</si>
  <si>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</si>
  <si>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</si>
  <si>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</si>
  <si>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</si>
  <si>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</si>
  <si>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</si>
  <si>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</si>
  <si>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</si>
  <si>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</si>
  <si>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</si>
  <si>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</si>
  <si>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</si>
  <si>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</si>
  <si>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</si>
  <si>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</si>
  <si>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</si>
  <si>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</si>
  <si>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</si>
  <si>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</si>
  <si>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</si>
  <si>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</si>
  <si>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</si>
  <si>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</si>
  <si>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</si>
  <si>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</si>
  <si>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</si>
  <si>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</si>
  <si>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</si>
  <si>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</si>
  <si>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</si>
  <si>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</si>
  <si>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</si>
  <si>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</si>
  <si>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</si>
  <si>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</si>
  <si>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</si>
  <si>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</si>
  <si>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</si>
  <si>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</si>
  <si>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</si>
  <si>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</si>
  <si>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</si>
  <si>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</si>
  <si>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</si>
  <si>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</si>
  <si>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</si>
  <si>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</si>
  <si>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</si>
  <si>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</si>
  <si>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</si>
  <si>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</si>
  <si>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</si>
  <si>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</si>
  <si>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</si>
  <si>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</si>
  <si>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</si>
  <si>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</si>
  <si>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</si>
  <si>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</si>
  <si>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</si>
  <si>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</si>
  <si>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</si>
  <si>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</si>
  <si>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</si>
  <si>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</si>
  <si>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</si>
  <si>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</si>
  <si>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</si>
  <si>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</si>
  <si>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</si>
  <si>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</si>
  <si>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</si>
  <si>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</si>
  <si>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</si>
  <si>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</si>
  <si>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</si>
  <si>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</si>
  <si>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</si>
  <si>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</si>
  <si>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</si>
  <si>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</si>
  <si>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</si>
  <si>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</si>
  <si>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</si>
  <si>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</si>
  <si>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</si>
  <si>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</si>
  <si>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</si>
  <si>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</si>
  <si>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</si>
  <si>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</si>
  <si>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</si>
  <si>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</si>
  <si>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</si>
  <si>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</si>
  <si>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</si>
  <si>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</si>
  <si>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</si>
  <si>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</si>
  <si>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</si>
  <si>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</si>
  <si>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</si>
  <si>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</si>
  <si>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</si>
  <si>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</si>
  <si>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</si>
  <si>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</si>
  <si>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</si>
  <si>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</si>
  <si>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</si>
  <si>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</si>
  <si>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</si>
  <si>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</si>
  <si>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</si>
  <si>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</si>
  <si>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</si>
  <si>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</si>
  <si>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</si>
  <si>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</si>
  <si>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</si>
  <si>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</si>
  <si>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</si>
  <si>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</si>
  <si>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</si>
  <si>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</si>
  <si>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</si>
  <si>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</si>
  <si>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</si>
  <si>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</si>
  <si>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</si>
  <si>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</si>
  <si>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</si>
  <si>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</si>
  <si>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</si>
  <si>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</si>
  <si>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</si>
  <si>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</si>
  <si>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</si>
  <si>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</si>
  <si>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</si>
  <si>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</si>
  <si>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</si>
  <si>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</si>
  <si>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</si>
  <si>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</si>
  <si>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</si>
  <si>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</si>
  <si>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</si>
  <si>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</si>
  <si>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</si>
  <si>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</si>
  <si>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</si>
  <si>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</si>
  <si>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</si>
  <si>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</si>
  <si>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</si>
  <si>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</si>
  <si>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</si>
  <si>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</si>
  <si>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</si>
  <si>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</si>
  <si>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</si>
  <si>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</si>
  <si>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</si>
  <si>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</si>
  <si>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</si>
  <si>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</si>
  <si>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</si>
  <si>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</si>
  <si>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</si>
  <si>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</si>
  <si>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</si>
  <si>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</si>
  <si>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</si>
  <si>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</si>
  <si>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</si>
  <si>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</si>
  <si>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</si>
  <si>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</si>
  <si>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</si>
  <si>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</si>
  <si>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</si>
  <si>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</si>
  <si>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</si>
  <si>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</si>
  <si>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</si>
  <si>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</si>
  <si>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</si>
  <si>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</si>
  <si>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</si>
  <si>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</si>
  <si>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</si>
  <si>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</si>
  <si>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</si>
  <si>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</si>
  <si>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</si>
  <si>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</si>
  <si>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</si>
  <si>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</si>
  <si>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</si>
  <si>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</si>
  <si>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</si>
  <si>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</si>
  <si>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</si>
  <si>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</si>
  <si>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</si>
  <si>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</si>
  <si>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</si>
  <si>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</si>
  <si>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</si>
  <si>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</si>
  <si>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</si>
  <si>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</si>
  <si>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</si>
  <si>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</si>
  <si>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</si>
  <si>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</si>
  <si>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</si>
  <si>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</si>
  <si>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</si>
  <si>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</si>
  <si>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</si>
  <si>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</si>
  <si>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</si>
  <si>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</si>
  <si>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</si>
  <si>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</si>
  <si>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</si>
  <si>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</si>
  <si>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</si>
  <si>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</si>
  <si>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</si>
  <si>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</si>
  <si>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</si>
  <si>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</si>
  <si>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</si>
  <si>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</si>
  <si>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</si>
  <si>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</si>
  <si>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</si>
  <si>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</si>
  <si>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</si>
  <si>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</si>
  <si>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</si>
  <si>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</si>
  <si>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</si>
  <si>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</si>
  <si>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</si>
  <si>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</si>
  <si>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</si>
  <si>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</si>
  <si>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</si>
  <si>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</si>
  <si>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</si>
  <si>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</si>
  <si>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</si>
  <si>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</si>
  <si>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</si>
  <si>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</si>
  <si>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</si>
  <si>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</si>
  <si>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</si>
  <si>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</si>
  <si>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</si>
  <si>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</si>
  <si>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</si>
  <si>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</si>
  <si>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</si>
  <si>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</si>
  <si>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</si>
  <si>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</si>
  <si>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</si>
  <si>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</si>
  <si>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</si>
  <si>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</si>
  <si>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</si>
  <si>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</si>
  <si>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</si>
  <si>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</si>
  <si>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</si>
  <si>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</si>
  <si>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</si>
  <si>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</si>
  <si>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</si>
  <si>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</si>
  <si>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</si>
  <si>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</si>
  <si>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</si>
  <si>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</si>
  <si>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</si>
  <si>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</si>
  <si>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</si>
  <si>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</si>
  <si>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</si>
  <si>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</si>
  <si>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</si>
  <si>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</si>
  <si>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</si>
  <si>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</si>
  <si>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</si>
  <si>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</si>
  <si>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</si>
  <si>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</si>
  <si>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</si>
  <si>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</si>
  <si>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</si>
  <si>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</si>
  <si>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</si>
  <si>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</si>
  <si>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</si>
  <si>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</si>
  <si>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</si>
  <si>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</si>
  <si>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</si>
  <si>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</si>
  <si>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</si>
  <si>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</si>
  <si>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</si>
  <si>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</si>
  <si>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</si>
  <si>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</si>
  <si>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</si>
  <si>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</si>
  <si>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</si>
  <si>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</si>
  <si>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</si>
  <si>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</si>
  <si>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</si>
  <si>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</si>
  <si>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</si>
  <si>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</si>
  <si>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</si>
  <si>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</si>
  <si>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</si>
  <si>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</si>
  <si>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</si>
  <si>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</si>
  <si>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</si>
  <si>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</si>
  <si>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</si>
  <si>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</si>
  <si>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</si>
  <si>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</si>
  <si>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</si>
  <si>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</si>
  <si>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</si>
  <si>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</si>
  <si>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</si>
  <si>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</si>
  <si>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</si>
  <si>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</si>
  <si>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</si>
  <si>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</si>
  <si>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</si>
  <si>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</si>
  <si>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</si>
  <si>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</si>
  <si>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</si>
  <si>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</si>
  <si>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</si>
  <si>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</si>
  <si>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</si>
  <si>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</si>
  <si>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</si>
  <si>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</si>
  <si>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</si>
  <si>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</si>
  <si>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</si>
  <si>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</si>
  <si>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</si>
  <si>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</si>
  <si>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</si>
  <si>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</si>
  <si>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</si>
  <si>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</si>
  <si>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</si>
  <si>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</si>
  <si>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</si>
  <si>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</si>
  <si>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</si>
  <si>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</si>
  <si>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</si>
  <si>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</si>
  <si>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</si>
  <si>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</si>
  <si>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</si>
  <si>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</si>
  <si>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</si>
  <si>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</si>
  <si>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</si>
  <si>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</si>
  <si>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</si>
  <si>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</si>
  <si>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</si>
  <si>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</si>
  <si>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</si>
  <si>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</si>
  <si>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</si>
  <si>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</si>
  <si>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</si>
  <si>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</si>
  <si>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</si>
  <si>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</si>
  <si>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</si>
  <si>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</si>
  <si>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</si>
  <si>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</si>
  <si>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</si>
  <si>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</si>
  <si>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</si>
  <si>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</si>
  <si>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</si>
  <si>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</si>
  <si>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</si>
  <si>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</si>
  <si>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</si>
  <si>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</si>
  <si>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</si>
  <si>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</si>
  <si>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</si>
  <si>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</si>
  <si>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</si>
  <si>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</si>
  <si>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</si>
  <si>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</si>
  <si>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</si>
  <si>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</si>
  <si>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</si>
  <si>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</si>
  <si>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</si>
  <si>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</si>
  <si>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</si>
  <si>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</si>
  <si>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</si>
  <si>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</si>
  <si>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</si>
  <si>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</si>
  <si>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</si>
  <si>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</si>
  <si>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</si>
  <si>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</si>
  <si>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</si>
  <si>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</si>
  <si>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</si>
  <si>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</si>
  <si>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</si>
  <si>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</si>
  <si>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</si>
  <si>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</si>
  <si>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</si>
  <si>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</si>
  <si>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</si>
  <si>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</si>
  <si>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</si>
  <si>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</si>
  <si>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</si>
  <si>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</si>
  <si>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</si>
  <si>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</si>
  <si>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</si>
  <si>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</si>
  <si>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</si>
  <si>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</si>
  <si>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</si>
  <si>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</si>
  <si>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</si>
  <si>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</si>
  <si>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</si>
  <si>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</si>
  <si>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</si>
  <si>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</si>
  <si>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</si>
  <si>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</si>
  <si>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</si>
  <si>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</si>
  <si>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</si>
  <si>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</si>
  <si>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</si>
  <si>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</si>
  <si>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</si>
  <si>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</si>
  <si>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</si>
  <si>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</si>
  <si>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</si>
  <si>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</si>
  <si>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</si>
  <si>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</si>
  <si>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</si>
  <si>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</si>
  <si>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</si>
  <si>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</si>
  <si>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</si>
  <si>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</si>
  <si>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</si>
  <si>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</si>
  <si>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</si>
  <si>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</si>
  <si>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</si>
  <si>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</si>
  <si>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</si>
  <si>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</si>
  <si>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</si>
  <si>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</si>
  <si>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</si>
  <si>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</si>
  <si>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</si>
  <si>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</si>
  <si>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</si>
  <si>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</si>
  <si>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</si>
  <si>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</si>
  <si>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</si>
  <si>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</si>
  <si>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</si>
  <si>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</si>
  <si>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</si>
  <si>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</si>
  <si>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</si>
  <si>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</si>
  <si>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</si>
  <si>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</si>
  <si>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</si>
  <si>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</si>
  <si>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</si>
  <si>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</si>
  <si>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</si>
  <si>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</si>
  <si>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</si>
  <si>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</si>
  <si>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</si>
  <si>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</si>
  <si>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</si>
  <si>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</si>
  <si>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</si>
  <si>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</si>
  <si>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</si>
  <si>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</si>
  <si>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</si>
  <si>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</si>
  <si>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</si>
  <si>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</si>
  <si>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</si>
  <si>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</si>
  <si>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</si>
  <si>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</si>
  <si>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</si>
  <si>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</si>
  <si>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</si>
  <si>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</si>
  <si>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</si>
  <si>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</si>
  <si>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</si>
  <si>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</si>
  <si>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</si>
  <si>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</si>
  <si>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</si>
  <si>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</si>
  <si>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</si>
  <si>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</si>
  <si>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</si>
  <si>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</si>
  <si>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</si>
  <si>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</si>
  <si>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</si>
  <si>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</si>
  <si>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</si>
  <si>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</si>
  <si>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</si>
  <si>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</si>
  <si>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</si>
  <si>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</si>
  <si>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</si>
  <si>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</si>
  <si>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</si>
  <si>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</si>
  <si>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</si>
  <si>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</si>
  <si>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</si>
  <si>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</si>
  <si>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</si>
  <si>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</si>
  <si>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</si>
  <si>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</si>
  <si>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</si>
  <si>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</si>
  <si>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</si>
  <si>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</si>
  <si>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</si>
  <si>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</si>
  <si>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</si>
  <si>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</si>
  <si>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</si>
  <si>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</si>
  <si>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</si>
  <si>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</si>
  <si>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</si>
  <si>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</si>
  <si>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</si>
  <si>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</si>
  <si>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</si>
  <si>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</si>
  <si>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</si>
  <si>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</si>
  <si>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</si>
  <si>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</si>
  <si>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</si>
  <si>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</si>
  <si>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</si>
  <si>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</si>
  <si>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</si>
  <si>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</si>
  <si>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</si>
  <si>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</si>
  <si>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</si>
  <si>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</si>
  <si>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</si>
  <si>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</si>
  <si>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</si>
  <si>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</si>
  <si>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</si>
  <si>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</si>
  <si>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</si>
  <si>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</si>
  <si>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</si>
  <si>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</si>
  <si>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</si>
  <si>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</si>
  <si>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</si>
  <si>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</si>
  <si>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</si>
  <si>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</si>
  <si>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</si>
  <si>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</si>
  <si>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</si>
  <si>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</si>
  <si>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</si>
  <si>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</si>
  <si>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</si>
  <si>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</si>
  <si>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</si>
  <si>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</si>
  <si>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</si>
  <si>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</si>
  <si>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</si>
  <si>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</si>
  <si>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</si>
  <si>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</si>
  <si>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</si>
  <si>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</si>
  <si>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</si>
  <si>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</si>
  <si>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</si>
  <si>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</si>
  <si>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</si>
  <si>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</si>
  <si>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</si>
  <si>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</si>
  <si>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</si>
  <si>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</si>
  <si>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</si>
  <si>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</si>
  <si>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</si>
  <si>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</si>
  <si>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</si>
  <si>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</si>
  <si>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</si>
  <si>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</si>
  <si>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</si>
  <si>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</si>
  <si>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</si>
  <si>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</si>
  <si>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</si>
  <si>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</si>
  <si>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</si>
  <si>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</si>
  <si>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</si>
  <si>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</si>
  <si>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</si>
  <si>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</si>
  <si>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</si>
  <si>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</si>
  <si>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</si>
  <si>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</si>
  <si>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</si>
  <si>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</si>
  <si>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</si>
  <si>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</si>
  <si>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</si>
  <si>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</si>
  <si>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</si>
  <si>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</si>
  <si>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</si>
  <si>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</si>
  <si>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</si>
  <si>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</si>
  <si>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</si>
  <si>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</si>
  <si>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</si>
  <si>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</si>
  <si>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</si>
  <si>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</si>
  <si>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</si>
  <si>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</si>
  <si>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</si>
  <si>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</si>
  <si>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</si>
  <si>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</si>
  <si>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</si>
  <si>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</si>
  <si>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</si>
  <si>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</si>
  <si>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</si>
  <si>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</si>
  <si>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</si>
  <si>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</si>
  <si>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</si>
  <si>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</si>
  <si>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</si>
  <si>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</si>
  <si>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</si>
  <si>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</si>
  <si>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</si>
  <si>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</si>
  <si>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</si>
  <si>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</si>
  <si>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</si>
  <si>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</si>
  <si>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</si>
  <si>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</si>
  <si>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</si>
  <si>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</si>
  <si>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</si>
  <si>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</si>
  <si>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</si>
  <si>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</si>
  <si>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</si>
  <si>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</si>
  <si>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</si>
  <si>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</si>
  <si>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</si>
  <si>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</si>
  <si>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</si>
  <si>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</si>
  <si>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</si>
  <si>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</si>
  <si>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</si>
  <si>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</si>
  <si>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</si>
  <si>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</si>
  <si>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</si>
  <si>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</si>
  <si>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</si>
  <si>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</si>
  <si>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</si>
  <si>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</si>
  <si>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</si>
  <si>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</si>
  <si>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</si>
  <si>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</si>
  <si>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</si>
  <si>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</si>
  <si>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</si>
  <si>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</si>
  <si>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</si>
  <si>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</si>
  <si>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</si>
  <si>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</si>
  <si>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</si>
  <si>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</si>
  <si>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</si>
  <si>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</si>
  <si>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</si>
  <si>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</si>
  <si>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</si>
  <si>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</si>
  <si>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</si>
  <si>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</si>
  <si>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</si>
  <si>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</si>
  <si>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</si>
  <si>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</si>
  <si>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</si>
  <si>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</si>
  <si>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</si>
  <si>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</si>
  <si>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</si>
  <si>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</si>
  <si>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</si>
  <si>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</si>
  <si>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</si>
  <si>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</si>
  <si>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</si>
  <si>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</si>
  <si>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</si>
  <si>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</si>
  <si>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</si>
  <si>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</si>
  <si>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</si>
  <si>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</si>
  <si>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</si>
  <si>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</si>
  <si>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</si>
  <si>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</si>
  <si>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</si>
  <si>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</si>
  <si>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</si>
  <si>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</si>
  <si>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</si>
  <si>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</si>
  <si>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</si>
  <si>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</si>
  <si>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</si>
  <si>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</si>
  <si>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</si>
  <si>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</si>
  <si>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</si>
  <si>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</si>
  <si>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</si>
  <si>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</si>
  <si>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</si>
  <si>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</si>
  <si>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</si>
  <si>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</si>
  <si>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</si>
  <si>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</si>
  <si>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</si>
  <si>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</si>
  <si>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</si>
  <si>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</si>
  <si>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</si>
  <si>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</si>
  <si>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</si>
  <si>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</si>
  <si>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</si>
  <si>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</si>
  <si>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</si>
  <si>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</si>
  <si>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</si>
  <si>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</si>
  <si>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</si>
  <si>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</si>
  <si>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</si>
  <si>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</si>
  <si>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</si>
  <si>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</si>
  <si>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</si>
  <si>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</si>
  <si>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</si>
  <si>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</si>
  <si>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</si>
  <si>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</si>
  <si>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</si>
  <si>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</si>
  <si>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</si>
  <si>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</si>
  <si>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</si>
  <si>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</si>
  <si>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</si>
  <si>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</si>
  <si>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</si>
  <si>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</si>
  <si>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</si>
  <si>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</si>
  <si>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</si>
  <si>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</si>
  <si>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</si>
  <si>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</si>
  <si>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</si>
  <si>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</si>
  <si>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</si>
  <si>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</si>
  <si>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</si>
  <si>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</si>
  <si>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</si>
  <si>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</si>
  <si>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</si>
  <si>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</si>
  <si>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</si>
  <si>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</si>
  <si>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</si>
  <si>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</si>
  <si>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</si>
  <si>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</si>
  <si>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</si>
  <si>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</si>
  <si>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</si>
  <si>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</si>
  <si>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</si>
  <si>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</si>
  <si>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</si>
  <si>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</si>
  <si>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</si>
  <si>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</si>
  <si>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</si>
  <si>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</si>
  <si>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</si>
  <si>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</si>
  <si>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</si>
  <si>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</si>
  <si>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</si>
  <si>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</si>
  <si>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</si>
  <si>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</si>
  <si>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</si>
  <si>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</si>
  <si>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</si>
  <si>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</si>
  <si>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</si>
  <si>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</si>
  <si>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</si>
  <si>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</si>
  <si>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</si>
  <si>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</si>
  <si>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</si>
  <si>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</si>
  <si>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</si>
  <si>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</si>
  <si>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</si>
  <si>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</si>
  <si>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</si>
  <si>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</si>
  <si>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</si>
  <si>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</si>
  <si>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</si>
  <si>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</si>
  <si>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</si>
  <si>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</si>
  <si>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</si>
  <si>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</si>
  <si>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</si>
  <si>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</si>
  <si>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</si>
  <si>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</si>
  <si>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</si>
  <si>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</si>
  <si>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</si>
  <si>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</si>
  <si>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</si>
  <si>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</si>
  <si>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</si>
  <si>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</si>
  <si>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</si>
  <si>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</si>
  <si>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</si>
  <si>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</si>
  <si>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</si>
  <si>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</si>
  <si>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</si>
  <si>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</si>
  <si>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</si>
  <si>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</si>
  <si>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</si>
  <si>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</si>
  <si>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</si>
  <si>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</si>
  <si>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</si>
  <si>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</si>
  <si>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</si>
  <si>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</si>
  <si>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</si>
  <si>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</si>
  <si>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</si>
  <si>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</si>
  <si>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</si>
  <si>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</si>
  <si>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</si>
  <si>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</si>
  <si>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</si>
  <si>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</si>
  <si>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</si>
  <si>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</si>
  <si>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</si>
  <si>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</si>
  <si>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</si>
  <si>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</si>
  <si>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</si>
  <si>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</si>
  <si>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</si>
  <si>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</si>
  <si>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</si>
  <si>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</si>
  <si>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</si>
  <si>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</si>
  <si>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</si>
  <si>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</si>
  <si>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</si>
  <si>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</si>
  <si>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</si>
  <si>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</si>
  <si>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</si>
  <si>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</si>
  <si>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</si>
  <si>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</si>
  <si>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</si>
  <si>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</si>
  <si>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</si>
  <si>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</si>
  <si>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</si>
  <si>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</si>
  <si>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</si>
  <si>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</si>
  <si>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</si>
  <si>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</si>
  <si>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</si>
  <si>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</si>
  <si>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</si>
  <si>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</si>
  <si>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</si>
  <si>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</si>
  <si>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</si>
  <si>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</si>
  <si>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</si>
  <si>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</si>
  <si>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</si>
  <si>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</si>
  <si>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</si>
  <si>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</si>
  <si>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</si>
  <si>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</si>
  <si>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</si>
  <si>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</si>
  <si>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</si>
  <si>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</si>
  <si>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</si>
  <si>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</si>
  <si>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</si>
  <si>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</si>
  <si>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</si>
  <si>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</si>
  <si>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</si>
  <si>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</si>
  <si>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</si>
  <si>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</si>
  <si>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</si>
  <si>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</si>
  <si>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</si>
  <si>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</si>
  <si>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</si>
  <si>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</si>
  <si>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</si>
  <si>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</si>
  <si>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</si>
  <si>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</si>
  <si>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</si>
  <si>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</si>
  <si>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</si>
  <si>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</si>
  <si>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</si>
  <si>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</si>
  <si>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</si>
  <si>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</si>
  <si>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</si>
  <si>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</si>
  <si>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</si>
  <si>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</si>
  <si>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</si>
  <si>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</si>
  <si>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</si>
  <si>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</si>
  <si>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</si>
  <si>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</si>
  <si>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</si>
  <si>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</si>
  <si>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</si>
  <si>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</si>
  <si>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</si>
  <si>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</si>
  <si>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</si>
  <si>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</si>
  <si>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</si>
  <si>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</si>
  <si>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</si>
  <si>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</si>
  <si>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</si>
  <si>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</si>
  <si>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</si>
  <si>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</si>
  <si>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</si>
  <si>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</si>
  <si>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</si>
  <si>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</si>
  <si>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</si>
  <si>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</si>
  <si>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</si>
  <si>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</si>
  <si>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</si>
  <si>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</si>
  <si>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</si>
  <si>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</si>
  <si>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</si>
  <si>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</si>
  <si>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</si>
  <si>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</si>
  <si>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</si>
  <si>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</si>
  <si>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</si>
  <si>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</si>
  <si>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</si>
  <si>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</si>
  <si>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</si>
  <si>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</si>
  <si>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</si>
  <si>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</si>
  <si>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</si>
  <si>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</si>
  <si>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</si>
  <si>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</si>
  <si>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</si>
  <si>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</si>
  <si>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</si>
  <si>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</si>
  <si>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</si>
  <si>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</si>
  <si>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</si>
  <si>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</si>
  <si>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</si>
  <si>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</si>
  <si>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</si>
  <si>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</si>
  <si>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</si>
  <si>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</si>
  <si>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</si>
  <si>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</si>
  <si>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</si>
  <si>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</si>
  <si>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</si>
  <si>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</si>
  <si>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</si>
  <si>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</si>
  <si>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</si>
  <si>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</si>
  <si>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</si>
  <si>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</si>
  <si>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</si>
  <si>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</si>
  <si>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</si>
  <si>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</si>
  <si>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</si>
  <si>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</si>
  <si>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</si>
  <si>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</si>
  <si>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</si>
  <si>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</si>
  <si>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</si>
  <si>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</si>
  <si>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</si>
  <si>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</si>
  <si>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</si>
  <si>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</si>
  <si>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</si>
  <si>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</si>
  <si>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</si>
  <si>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</si>
  <si>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</si>
  <si>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</si>
  <si>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</si>
  <si>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</si>
  <si>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</si>
  <si>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</si>
  <si>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</si>
  <si>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</si>
  <si>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</si>
  <si>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</si>
  <si>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</si>
  <si>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</si>
  <si>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</si>
  <si>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</si>
  <si>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</si>
  <si>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</si>
  <si>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</si>
  <si>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</si>
  <si>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</si>
  <si>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</si>
  <si>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</si>
  <si>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</si>
  <si>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</si>
  <si>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</si>
  <si>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</si>
  <si>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</si>
  <si>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</si>
  <si>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</si>
  <si>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</si>
  <si>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</si>
  <si>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</si>
  <si>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</si>
  <si>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</si>
  <si>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</si>
  <si>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</si>
  <si>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</si>
  <si>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</si>
  <si>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</si>
  <si>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</si>
  <si>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</si>
  <si>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</si>
  <si>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</si>
  <si>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</si>
  <si>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</si>
  <si>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</si>
  <si>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</si>
  <si>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</si>
  <si>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</si>
  <si>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</si>
  <si>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</si>
  <si>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</si>
  <si>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</si>
  <si>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</si>
  <si>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</si>
  <si>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</si>
  <si>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</si>
  <si>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</si>
  <si>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</si>
  <si>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</si>
  <si>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</si>
  <si>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</si>
  <si>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</si>
  <si>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</si>
  <si>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</si>
  <si>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</si>
  <si>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</si>
  <si>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</si>
  <si>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</si>
  <si>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</si>
  <si>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</si>
  <si>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</si>
  <si>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</si>
  <si>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</si>
  <si>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</si>
  <si>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</si>
  <si>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</si>
  <si>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</si>
  <si>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</si>
  <si>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</si>
  <si>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</si>
  <si>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</si>
  <si>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</si>
  <si>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</si>
  <si>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</si>
  <si>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</si>
  <si>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</si>
  <si>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</si>
  <si>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</si>
  <si>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</si>
  <si>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</si>
  <si>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</si>
  <si>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</si>
  <si>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</si>
  <si>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</si>
  <si>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</si>
  <si>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</si>
  <si>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</si>
  <si>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</si>
  <si>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</si>
  <si>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</si>
  <si>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</si>
  <si>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</si>
  <si>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</si>
  <si>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</si>
  <si>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</si>
  <si>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</si>
  <si>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</si>
  <si>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</si>
  <si>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</si>
  <si>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</si>
  <si>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</si>
  <si>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</si>
  <si>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</si>
  <si>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</si>
  <si>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</si>
  <si>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</si>
  <si>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</si>
  <si>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</si>
  <si>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</si>
  <si>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</si>
  <si>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</si>
  <si>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</si>
  <si>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</si>
  <si>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</si>
  <si>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</si>
  <si>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</si>
  <si>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</si>
  <si>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</si>
  <si>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</si>
  <si>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</si>
  <si>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</si>
  <si>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</si>
  <si>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</si>
  <si>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</si>
  <si>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</si>
  <si>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</si>
  <si>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</si>
  <si>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</si>
  <si>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</si>
  <si>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</si>
  <si>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</si>
  <si>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</si>
  <si>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</si>
  <si>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</si>
  <si>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</si>
  <si>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</si>
  <si>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</si>
  <si>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</si>
  <si>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</si>
  <si>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</si>
  <si>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</si>
  <si>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</si>
  <si>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</si>
  <si>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</si>
  <si>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</si>
  <si>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</si>
  <si>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</si>
  <si>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</si>
  <si>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</si>
  <si>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</si>
  <si>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</si>
  <si>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</si>
  <si>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</si>
  <si>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</si>
  <si>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</si>
  <si>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</si>
  <si>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</si>
  <si>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</si>
  <si>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</si>
  <si>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</si>
  <si>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</si>
  <si>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</si>
  <si>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</si>
  <si>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</si>
  <si>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</si>
  <si>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</si>
  <si>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</si>
  <si>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</si>
  <si>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</si>
  <si>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</si>
  <si>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</si>
  <si>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</si>
  <si>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</si>
  <si>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</si>
  <si>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</si>
  <si>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</si>
  <si>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</si>
  <si>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</si>
  <si>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</si>
  <si>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</si>
  <si>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</si>
  <si>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</si>
  <si>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</si>
  <si>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</si>
  <si>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</si>
  <si>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</si>
  <si>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</si>
  <si>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</si>
  <si>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</si>
  <si>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</si>
  <si>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</si>
  <si>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</si>
  <si>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</si>
  <si>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</si>
  <si>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</si>
  <si>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</si>
  <si>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</si>
  <si>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</si>
  <si>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</si>
  <si>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</si>
  <si>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</si>
  <si>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</si>
  <si>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</si>
  <si>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</si>
  <si>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</si>
  <si>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</si>
  <si>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</si>
  <si>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</si>
  <si>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</si>
  <si>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</si>
  <si>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</si>
  <si>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</si>
  <si>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</si>
  <si>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</si>
  <si>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</si>
  <si>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</si>
  <si>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</si>
  <si>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</si>
  <si>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</si>
  <si>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</si>
  <si>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</si>
  <si>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</si>
  <si>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</si>
  <si>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</si>
  <si>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</si>
  <si>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</si>
  <si>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</si>
  <si>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</si>
  <si>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</si>
  <si>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</si>
  <si>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</si>
  <si>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</si>
  <si>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</si>
  <si>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</si>
  <si>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</si>
  <si>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</si>
  <si>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</si>
  <si>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</si>
  <si>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</si>
  <si>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</si>
  <si>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</si>
  <si>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</si>
  <si>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</si>
  <si>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</si>
  <si>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</si>
  <si>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</si>
  <si>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</si>
  <si>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</si>
  <si>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</si>
  <si>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</si>
  <si>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</si>
  <si>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</si>
  <si>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</si>
  <si>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</si>
  <si>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</si>
  <si>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</si>
  <si>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</si>
  <si>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</si>
  <si>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</si>
  <si>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</si>
  <si>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</si>
  <si>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</si>
  <si>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</si>
  <si>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</si>
  <si>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</si>
  <si>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</si>
  <si>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</si>
  <si>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</si>
  <si>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</si>
  <si>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</si>
  <si>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</si>
  <si>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</si>
  <si>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</si>
  <si>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</si>
  <si>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</si>
  <si>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</si>
  <si>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</si>
  <si>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</si>
  <si>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</si>
  <si>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</si>
  <si>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</si>
  <si>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</si>
  <si>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</si>
  <si>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</si>
  <si>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</si>
  <si>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</si>
  <si>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</si>
  <si>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</si>
  <si>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</si>
  <si>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</si>
  <si>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</si>
  <si>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</si>
  <si>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</si>
  <si>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</si>
  <si>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</si>
  <si>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</si>
  <si>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</si>
  <si>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</si>
  <si>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</si>
  <si>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</si>
  <si>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</si>
  <si>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</si>
  <si>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</si>
  <si>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</si>
  <si>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</si>
  <si>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</si>
  <si>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</si>
  <si>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</si>
  <si>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</si>
  <si>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</si>
  <si>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</si>
  <si>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</si>
  <si>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</si>
  <si>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</si>
  <si>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</si>
  <si>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</si>
  <si>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</si>
  <si>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</si>
  <si>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</si>
  <si>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</si>
  <si>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</si>
  <si>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</si>
  <si>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</si>
  <si>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</si>
  <si>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</si>
  <si>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</si>
  <si>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</si>
  <si>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</si>
  <si>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</si>
  <si>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</si>
  <si>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</si>
  <si>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</si>
  <si>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</si>
  <si>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</si>
  <si>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</si>
  <si>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</si>
  <si>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</si>
  <si>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</si>
  <si>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</si>
  <si>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</si>
  <si>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</si>
  <si>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</si>
  <si>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</si>
  <si>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</si>
  <si>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</si>
  <si>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</si>
  <si>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</si>
  <si>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</si>
  <si>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</si>
  <si>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</si>
  <si>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</si>
  <si>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</si>
  <si>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</si>
  <si>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</si>
  <si>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</si>
  <si>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</si>
  <si>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</si>
  <si>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</si>
  <si>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</si>
  <si>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</si>
  <si>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</si>
  <si>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</si>
  <si>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</si>
  <si>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</si>
  <si>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</si>
  <si>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</si>
  <si>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</si>
  <si>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</si>
  <si>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</si>
  <si>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</si>
  <si>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</si>
  <si>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</si>
  <si>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</si>
  <si>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</si>
  <si>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</si>
  <si>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</si>
  <si>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</si>
  <si>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</si>
  <si>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</si>
  <si>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</si>
  <si>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</si>
  <si>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</si>
  <si>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</si>
  <si>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</si>
  <si>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</si>
  <si>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</si>
  <si>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</si>
  <si>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</si>
  <si>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</si>
  <si>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</si>
  <si>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</si>
  <si>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</si>
  <si>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</si>
  <si>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</si>
  <si>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</si>
  <si>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</si>
  <si>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</si>
  <si>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</si>
  <si>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</si>
  <si>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</si>
  <si>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</si>
  <si>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</si>
  <si>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</si>
  <si>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</si>
  <si>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</si>
  <si>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</si>
  <si>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</si>
  <si>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</si>
  <si>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</si>
  <si>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</si>
  <si>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</si>
  <si>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</si>
  <si>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</si>
  <si>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</si>
  <si>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</si>
  <si>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</si>
  <si>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</si>
  <si>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</si>
  <si>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</si>
  <si>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</si>
  <si>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</si>
  <si>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</si>
  <si>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</si>
  <si>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</si>
  <si>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</si>
  <si>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</si>
  <si>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</si>
  <si>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</si>
  <si>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</si>
  <si>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</si>
  <si>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</si>
  <si>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</si>
  <si>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</si>
  <si>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</si>
  <si>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</si>
  <si>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</si>
  <si>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</si>
  <si>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</si>
  <si>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</si>
  <si>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</si>
  <si>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</si>
  <si>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</si>
  <si>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</si>
  <si>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</si>
  <si>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</si>
  <si>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</si>
  <si>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</si>
  <si>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</si>
  <si>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</si>
  <si>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</si>
  <si>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</si>
  <si>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</si>
  <si>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</si>
  <si>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</si>
  <si>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</si>
  <si>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</si>
  <si>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</si>
  <si>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</si>
  <si>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</si>
  <si>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</si>
  <si>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</si>
  <si>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</si>
  <si>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</si>
  <si>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</si>
  <si>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</si>
  <si>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</si>
  <si>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</si>
  <si>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</si>
  <si>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</si>
  <si>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</si>
  <si>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</si>
  <si>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</si>
  <si>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</si>
  <si>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</si>
  <si>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</si>
  <si>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</si>
  <si>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</si>
  <si>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</si>
  <si>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</si>
  <si>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</si>
  <si>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</si>
  <si>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</si>
  <si>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</si>
  <si>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</si>
  <si>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</si>
  <si>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</si>
  <si>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</si>
  <si>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</si>
  <si>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</si>
  <si>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</si>
  <si>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</si>
  <si>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</si>
  <si>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</si>
  <si>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</si>
  <si>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</si>
  <si>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</si>
  <si>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</si>
  <si>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</si>
  <si>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</si>
  <si>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</si>
  <si>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</si>
  <si>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</si>
  <si>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</si>
  <si>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</si>
  <si>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</si>
  <si>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</si>
  <si>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</si>
  <si>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</si>
  <si>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</si>
  <si>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</si>
  <si>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</si>
  <si>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</si>
  <si>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</si>
  <si>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</si>
  <si>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</si>
  <si>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</si>
  <si>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</si>
  <si>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</si>
  <si>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</si>
  <si>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</si>
  <si>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</si>
  <si>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</si>
  <si>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</si>
  <si>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</si>
  <si>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</si>
  <si>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</si>
  <si>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</si>
  <si>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</si>
  <si>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</si>
  <si>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</si>
  <si>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</si>
  <si>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</si>
  <si>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</si>
  <si>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</si>
  <si>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</si>
  <si>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</si>
  <si>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</si>
  <si>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</si>
  <si>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</si>
  <si>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</si>
  <si>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</si>
  <si>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</si>
  <si>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</si>
  <si>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</si>
  <si>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</si>
  <si>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</si>
  <si>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</si>
  <si>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</si>
  <si>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</si>
  <si>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</si>
  <si>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</si>
  <si>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</si>
  <si>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</si>
  <si>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</si>
  <si>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</si>
  <si>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</si>
  <si>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</si>
  <si>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</si>
  <si>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</si>
  <si>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</si>
  <si>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</si>
  <si>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</si>
  <si>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</si>
  <si>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</si>
  <si>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</si>
  <si>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</si>
  <si>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</si>
  <si>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</si>
  <si>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</si>
  <si>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</si>
  <si>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</si>
  <si>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</si>
  <si>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</si>
  <si>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</si>
  <si>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</si>
  <si>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</si>
  <si>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</si>
  <si>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</si>
  <si>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</si>
  <si>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</si>
  <si>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</si>
  <si>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</si>
  <si>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</si>
  <si>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</si>
  <si>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</si>
  <si>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</si>
  <si>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</si>
  <si>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</si>
  <si>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</si>
  <si>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</si>
  <si>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</si>
  <si>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</si>
  <si>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</si>
  <si>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</si>
  <si>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</si>
  <si>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</si>
  <si>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</si>
  <si>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</si>
  <si>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</si>
  <si>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</si>
  <si>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</si>
  <si>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</si>
  <si>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</si>
  <si>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</si>
  <si>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</si>
  <si>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</si>
  <si>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</si>
  <si>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</si>
  <si>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</si>
  <si>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</si>
  <si>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</si>
  <si>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</si>
  <si>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</si>
  <si>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</si>
  <si>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</si>
  <si>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</si>
  <si>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</si>
  <si>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</si>
  <si>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</si>
  <si>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</si>
  <si>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</si>
  <si>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</si>
  <si>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</si>
  <si>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</si>
  <si>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</si>
  <si>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</si>
  <si>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</si>
  <si>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</si>
  <si>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</si>
  <si>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</si>
  <si>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</si>
  <si>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</si>
  <si>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</si>
  <si>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</si>
  <si>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</si>
  <si>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</si>
  <si>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</si>
  <si>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</si>
  <si>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</si>
  <si>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</si>
  <si>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</si>
  <si>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</si>
  <si>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</si>
  <si>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</si>
  <si>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</si>
  <si>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</si>
  <si>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</si>
  <si>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</si>
  <si>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</si>
  <si>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</si>
  <si>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</si>
  <si>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</si>
  <si>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</si>
  <si>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</si>
  <si>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</si>
  <si>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</si>
  <si>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</si>
  <si>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</si>
  <si>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</si>
  <si>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</si>
  <si>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</si>
  <si>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</si>
  <si>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</si>
  <si>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</si>
  <si>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</si>
  <si>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</si>
  <si>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</si>
  <si>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</si>
  <si>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</si>
  <si>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</si>
  <si>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</si>
  <si>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</si>
  <si>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</si>
  <si>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</si>
  <si>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</si>
  <si>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</si>
  <si>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</si>
  <si>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</si>
  <si>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</si>
  <si>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</si>
  <si>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</si>
  <si>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</si>
  <si>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</si>
  <si>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</si>
  <si>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</si>
  <si>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</si>
  <si>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</si>
  <si>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</si>
  <si>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</si>
  <si>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</si>
  <si>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</si>
  <si>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</si>
  <si>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</si>
  <si>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</si>
  <si>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</si>
  <si>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</si>
  <si>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</si>
  <si>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</si>
  <si>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</si>
  <si>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</si>
  <si>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</si>
  <si>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</si>
  <si>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</si>
  <si>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</si>
  <si>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</si>
  <si>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</si>
  <si>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</si>
  <si>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</si>
  <si>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</si>
  <si>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</si>
  <si>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</si>
  <si>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</si>
  <si>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</si>
  <si>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</si>
  <si>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</si>
  <si>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</si>
  <si>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</si>
  <si>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</si>
  <si>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</si>
  <si>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</si>
  <si>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</si>
  <si>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</si>
  <si>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</si>
  <si>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</si>
  <si>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</si>
  <si>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</si>
  <si>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</si>
  <si>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</si>
  <si>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</si>
  <si>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</si>
  <si>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</si>
  <si>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</si>
  <si>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</si>
  <si>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</si>
  <si>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</si>
  <si>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</si>
  <si>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</si>
  <si>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</si>
  <si>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</si>
  <si>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</si>
  <si>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</si>
  <si>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</si>
  <si>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</si>
  <si>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</si>
  <si>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</si>
  <si>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</si>
  <si>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</si>
  <si>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</si>
  <si>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</si>
  <si>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</si>
  <si>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</si>
  <si>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</si>
  <si>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</si>
  <si>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</si>
  <si>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</si>
  <si>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</si>
  <si>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</si>
  <si>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</si>
  <si>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</si>
  <si>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</si>
  <si>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</si>
  <si>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</si>
  <si>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</si>
  <si>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</si>
  <si>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</si>
  <si>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</si>
  <si>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</si>
  <si>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</si>
  <si>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</si>
  <si>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</si>
  <si>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</si>
  <si>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</si>
  <si>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</si>
  <si>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</si>
  <si>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</si>
  <si>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</si>
  <si>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</si>
  <si>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</si>
  <si>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</si>
  <si>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</si>
  <si>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</si>
  <si>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</si>
  <si>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</si>
  <si>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</si>
  <si>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</si>
  <si>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</si>
  <si>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</si>
  <si>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</si>
  <si>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</si>
  <si>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</si>
  <si>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</si>
  <si>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</si>
  <si>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</si>
  <si>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</si>
  <si>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</si>
  <si>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</si>
  <si>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</si>
  <si>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</si>
  <si>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</si>
  <si>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</si>
  <si>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</si>
  <si>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</si>
  <si>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</si>
  <si>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</si>
  <si>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</si>
  <si>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</si>
  <si>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</si>
  <si>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</si>
  <si>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</si>
  <si>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</si>
  <si>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</si>
  <si>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</si>
  <si>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</si>
  <si>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</si>
  <si>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</si>
  <si>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</si>
  <si>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</si>
  <si>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</si>
  <si>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</si>
  <si>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</si>
  <si>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</si>
  <si>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</si>
  <si>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</si>
  <si>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</si>
  <si>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</si>
  <si>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</si>
  <si>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</si>
  <si>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</si>
  <si>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</si>
  <si>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</si>
  <si>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</si>
  <si>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</si>
  <si>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</si>
  <si>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</si>
  <si>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</si>
  <si>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</si>
  <si>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</si>
  <si>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</si>
  <si>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</si>
  <si>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</si>
  <si>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</si>
  <si>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</si>
  <si>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</si>
  <si>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</si>
  <si>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</si>
  <si>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</si>
  <si>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</si>
  <si>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</si>
  <si>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</si>
  <si>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</si>
  <si>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</si>
  <si>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</si>
  <si>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</si>
  <si>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</si>
  <si>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</si>
  <si>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</si>
  <si>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</si>
  <si>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</si>
  <si>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</si>
  <si>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</si>
  <si>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</si>
  <si>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</si>
  <si>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</si>
  <si>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</si>
  <si>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</si>
  <si>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</si>
  <si>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</si>
  <si>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</si>
  <si>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</si>
  <si>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</si>
  <si>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</si>
  <si>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</si>
  <si>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</si>
  <si>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</si>
  <si>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</si>
  <si>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</si>
  <si>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</si>
  <si>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</si>
  <si>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</si>
  <si>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</si>
  <si>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</si>
  <si>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</si>
  <si>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</si>
  <si>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</si>
  <si>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</si>
  <si>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</si>
  <si>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</si>
  <si>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</si>
  <si>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</si>
  <si>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</si>
  <si>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</si>
  <si>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</si>
  <si>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</si>
  <si>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</si>
  <si>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</si>
  <si>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</si>
  <si>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</si>
  <si>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</si>
  <si>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</si>
  <si>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</si>
  <si>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</si>
  <si>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</si>
  <si>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</si>
  <si>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</si>
  <si>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</si>
  <si>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</si>
  <si>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</si>
  <si>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</si>
  <si>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</si>
  <si>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</si>
  <si>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</si>
  <si>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</si>
  <si>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</si>
  <si>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</si>
  <si>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</si>
  <si>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</si>
  <si>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</si>
  <si>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</si>
  <si>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</si>
  <si>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</si>
  <si>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</si>
  <si>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</si>
  <si>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</si>
  <si>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</si>
  <si>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</si>
  <si>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</si>
  <si>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</si>
  <si>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</si>
  <si>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</si>
  <si>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</si>
  <si>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</si>
  <si>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</si>
  <si>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</si>
  <si>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</si>
  <si>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</si>
  <si>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</si>
  <si>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</si>
  <si>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</si>
  <si>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</si>
  <si>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</si>
  <si>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</si>
  <si>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</si>
  <si>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</si>
  <si>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</si>
  <si>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</si>
  <si>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</si>
  <si>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</si>
  <si>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</si>
  <si>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</si>
  <si>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</si>
  <si>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</si>
  <si>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</si>
  <si>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</si>
  <si>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</si>
  <si>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</si>
  <si>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</si>
  <si>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</si>
  <si>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</si>
  <si>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</si>
  <si>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</si>
  <si>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</si>
  <si>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</si>
  <si>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</si>
  <si>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</si>
  <si>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</si>
  <si>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</si>
  <si>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</si>
  <si>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</si>
  <si>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</si>
  <si>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</si>
  <si>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</si>
  <si>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</si>
  <si>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</si>
  <si>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</si>
  <si>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</si>
  <si>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</si>
  <si>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</si>
  <si>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</si>
  <si>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</si>
  <si>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</si>
  <si>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</si>
  <si>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</si>
  <si>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</si>
  <si>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</si>
  <si>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</si>
  <si>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</si>
  <si>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</si>
  <si>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</si>
  <si>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</si>
  <si>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</si>
  <si>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</si>
  <si>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</si>
  <si>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</si>
  <si>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</si>
  <si>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</si>
  <si>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</si>
  <si>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</si>
  <si>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</si>
  <si>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</si>
  <si>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</si>
  <si>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</si>
  <si>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</si>
  <si>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</si>
  <si>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</si>
  <si>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</si>
  <si>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</si>
  <si>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</si>
  <si>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</si>
  <si>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</si>
  <si>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</si>
  <si>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</si>
  <si>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</si>
  <si>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</si>
  <si>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</si>
  <si>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</si>
  <si>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</si>
  <si>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</si>
  <si>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</si>
  <si>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</si>
  <si>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</si>
  <si>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</si>
  <si>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</si>
  <si>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</si>
  <si>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</si>
  <si>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</si>
  <si>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</si>
  <si>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</si>
  <si>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</si>
  <si>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</si>
  <si>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</si>
  <si>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</si>
  <si>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</si>
  <si>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</si>
  <si>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</si>
  <si>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</si>
  <si>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</si>
  <si>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</si>
  <si>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</si>
  <si>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</si>
  <si>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</si>
  <si>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</si>
  <si>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</si>
  <si>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</si>
  <si>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</si>
  <si>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</si>
  <si>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</si>
  <si>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</si>
  <si>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</si>
  <si>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</si>
  <si>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</si>
  <si>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</si>
  <si>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</si>
  <si>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</si>
  <si>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</si>
  <si>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</si>
  <si>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</si>
  <si>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</si>
  <si>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</si>
  <si>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</si>
  <si>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</si>
  <si>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</si>
  <si>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</si>
  <si>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</si>
  <si>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</si>
  <si>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</si>
  <si>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</si>
  <si>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</si>
  <si>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</si>
  <si>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</si>
  <si>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</si>
  <si>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</si>
  <si>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</si>
  <si>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</si>
  <si>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</si>
  <si>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</si>
  <si>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</si>
  <si>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</si>
  <si>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</si>
  <si>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</si>
  <si>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</si>
  <si>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</si>
  <si>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</si>
  <si>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</si>
  <si>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</si>
  <si>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</si>
  <si>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</si>
  <si>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</si>
  <si>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</si>
  <si>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</si>
  <si>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</si>
  <si>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</si>
  <si>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</si>
  <si>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</si>
  <si>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</si>
  <si>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</si>
  <si>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</si>
  <si>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</si>
  <si>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</si>
  <si>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</si>
  <si>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</si>
  <si>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</si>
  <si>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</si>
  <si>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</si>
  <si>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</si>
  <si>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</si>
  <si>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</si>
  <si>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</si>
  <si>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</si>
  <si>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</si>
  <si>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</si>
  <si>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</si>
  <si>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</si>
  <si>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</si>
  <si>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</si>
  <si>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</si>
  <si>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</si>
  <si>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</si>
  <si>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</si>
  <si>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</si>
  <si>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</si>
  <si>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</si>
  <si>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</si>
  <si>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</si>
  <si>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</si>
  <si>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</si>
  <si>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</si>
  <si>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</si>
  <si>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</si>
  <si>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</si>
  <si>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</si>
  <si>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</si>
  <si>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</si>
  <si>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</si>
  <si>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</si>
  <si>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</si>
  <si>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</si>
  <si>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</si>
  <si>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</si>
  <si>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</si>
  <si>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</si>
  <si>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</si>
  <si>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</si>
  <si>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</si>
  <si>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</si>
  <si>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</si>
  <si>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</si>
  <si>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</si>
  <si>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</si>
  <si>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</si>
  <si>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</si>
  <si>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</si>
  <si>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</si>
  <si>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</si>
  <si>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</si>
  <si>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</si>
  <si>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</si>
  <si>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</si>
  <si>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</si>
  <si>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</si>
  <si>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</si>
  <si>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</si>
  <si>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</si>
  <si>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</si>
  <si>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</si>
  <si>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</si>
  <si>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</si>
  <si>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</si>
  <si>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</si>
  <si>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</si>
  <si>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</si>
  <si>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</si>
  <si>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</si>
  <si>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</si>
  <si>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</si>
  <si>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</si>
  <si>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</si>
  <si>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</si>
  <si>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</si>
  <si>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</si>
  <si>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</si>
  <si>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</si>
  <si>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</si>
  <si>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</si>
  <si>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</si>
  <si>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</si>
  <si>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</si>
  <si>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</si>
  <si>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</si>
  <si>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</si>
  <si>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</si>
  <si>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</si>
  <si>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</si>
  <si>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</si>
  <si>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</si>
  <si>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</si>
  <si>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</si>
  <si>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</si>
  <si>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</si>
  <si>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</si>
  <si>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</si>
  <si>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</si>
  <si>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</si>
  <si>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</si>
  <si>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</si>
  <si>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</si>
  <si>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</si>
  <si>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</si>
  <si>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</si>
  <si>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</si>
  <si>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</si>
  <si>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</si>
  <si>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</si>
  <si>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</si>
  <si>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</si>
  <si>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</si>
  <si>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</si>
  <si>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</si>
  <si>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</si>
  <si>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</si>
  <si>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</si>
  <si>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</si>
  <si>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</si>
  <si>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</si>
  <si>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</si>
  <si>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</si>
  <si>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</si>
  <si>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</si>
  <si>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</si>
  <si>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</si>
  <si>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</si>
  <si>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</si>
  <si>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</si>
  <si>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</si>
  <si>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</si>
  <si>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</si>
  <si>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</si>
  <si>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</si>
  <si>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</si>
  <si>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</si>
  <si>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</si>
  <si>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</si>
  <si>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</si>
  <si>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</si>
  <si>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</si>
  <si>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</si>
  <si>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</si>
  <si>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</si>
  <si>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</si>
  <si>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</si>
  <si>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</si>
  <si>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</si>
  <si>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</si>
  <si>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</si>
  <si>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</si>
  <si>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</si>
  <si>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</si>
  <si>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</si>
  <si>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</si>
  <si>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</si>
  <si>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</si>
  <si>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</si>
  <si>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</si>
  <si>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</si>
  <si>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</si>
  <si>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</si>
  <si>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</si>
  <si>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</si>
  <si>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</si>
  <si>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</si>
  <si>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</si>
  <si>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</si>
  <si>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</si>
  <si>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</si>
  <si>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</si>
  <si>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</si>
  <si>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</si>
  <si>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</si>
  <si>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</si>
  <si>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</si>
  <si>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</si>
  <si>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</si>
  <si>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</si>
  <si>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</si>
  <si>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</si>
  <si>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</si>
  <si>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</si>
  <si>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</si>
  <si>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</si>
  <si>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</si>
  <si>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</si>
  <si>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</si>
  <si>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</si>
  <si>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</si>
  <si>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</si>
  <si>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</si>
  <si>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</si>
  <si>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</si>
  <si>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</si>
  <si>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</si>
  <si>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</si>
  <si>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</si>
  <si>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</si>
  <si>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</si>
  <si>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</si>
  <si>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</si>
  <si>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</si>
  <si>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</si>
  <si>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</si>
  <si>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</si>
  <si>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</si>
  <si>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</si>
  <si>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</si>
  <si>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</si>
  <si>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</si>
  <si>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</si>
  <si>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</si>
  <si>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</si>
  <si>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</si>
  <si>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</si>
  <si>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</si>
  <si>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</si>
  <si>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</si>
  <si>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</si>
  <si>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</si>
  <si>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</si>
  <si>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</si>
  <si>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</si>
  <si>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</si>
  <si>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</si>
  <si>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</si>
  <si>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</si>
  <si>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</si>
  <si>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</si>
  <si>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</si>
  <si>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</si>
  <si>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</si>
  <si>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</si>
  <si>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</si>
  <si>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</si>
  <si>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</si>
  <si>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</si>
  <si>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</si>
  <si>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</si>
  <si>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</si>
  <si>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</si>
  <si>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</si>
  <si>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</si>
  <si>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</si>
  <si>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</si>
  <si>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</si>
  <si>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</si>
  <si>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</si>
  <si>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</si>
  <si>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</si>
  <si>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</si>
  <si>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</si>
  <si>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</si>
  <si>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</si>
  <si>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</si>
  <si>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</si>
  <si>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</si>
  <si>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</si>
  <si>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</si>
  <si>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</si>
  <si>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</si>
  <si>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</si>
  <si>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</si>
  <si>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</si>
  <si>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</si>
  <si>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</si>
  <si>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</si>
  <si>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</si>
  <si>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</si>
  <si>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</si>
  <si>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</si>
  <si>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</si>
  <si>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</si>
  <si>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</si>
  <si>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</si>
  <si>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</si>
  <si>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</si>
  <si>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</si>
  <si>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</si>
  <si>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</si>
  <si>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</si>
  <si>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</si>
  <si>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</si>
  <si>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</si>
  <si>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</si>
  <si>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</si>
  <si>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</si>
  <si>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</si>
  <si>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</si>
  <si>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</si>
  <si>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</si>
  <si>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</si>
  <si>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</si>
  <si>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</si>
  <si>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</si>
  <si>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</si>
  <si>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</si>
  <si>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</si>
  <si>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</si>
  <si>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</si>
  <si>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</si>
  <si>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</si>
  <si>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</si>
  <si>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</si>
  <si>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</si>
  <si>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</si>
  <si>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</si>
  <si>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</si>
  <si>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</si>
  <si>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</si>
  <si>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</si>
  <si>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</si>
  <si>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</si>
  <si>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</si>
  <si>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</si>
  <si>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</si>
  <si>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</si>
  <si>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</si>
  <si>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</si>
  <si>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</si>
  <si>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</si>
  <si>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</si>
  <si>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</si>
  <si>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</si>
  <si>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</si>
  <si>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</si>
  <si>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</si>
  <si>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</si>
  <si>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</si>
  <si>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</si>
  <si>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</si>
  <si>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</si>
  <si>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</si>
  <si>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</si>
  <si>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</si>
  <si>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</si>
  <si>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</si>
  <si>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</si>
  <si>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</si>
  <si>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</si>
  <si>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</si>
  <si>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</si>
  <si>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</si>
  <si>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</si>
  <si>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</si>
  <si>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</si>
  <si>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</si>
  <si>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</si>
  <si>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</si>
  <si>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</si>
  <si>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</si>
  <si>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</si>
  <si>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</si>
  <si>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</si>
  <si>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</si>
  <si>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</si>
  <si>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</si>
  <si>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</si>
  <si>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</si>
  <si>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</si>
  <si>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</si>
  <si>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</si>
  <si>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</si>
  <si>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</si>
  <si>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</si>
  <si>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</si>
  <si>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</si>
  <si>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</si>
  <si>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</si>
  <si>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</si>
  <si>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</si>
  <si>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</si>
  <si>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</si>
  <si>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</si>
  <si>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</si>
  <si>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</si>
  <si>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</si>
  <si>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</si>
  <si>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</si>
  <si>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</si>
  <si>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</si>
  <si>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</si>
  <si>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</si>
  <si>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</si>
  <si>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</si>
  <si>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</si>
  <si>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</si>
  <si>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</si>
  <si>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</si>
  <si>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</si>
  <si>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</si>
  <si>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</si>
  <si>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</si>
  <si>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</si>
  <si>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</si>
  <si>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</si>
  <si>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</si>
  <si>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</si>
  <si>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</si>
  <si>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</si>
  <si>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</si>
  <si>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</si>
  <si>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</si>
  <si>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</si>
  <si>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</si>
  <si>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</si>
  <si>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</si>
  <si>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</si>
  <si>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</si>
  <si>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</si>
  <si>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</si>
  <si>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</si>
  <si>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</si>
  <si>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</si>
  <si>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</si>
  <si>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</si>
  <si>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</si>
  <si>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</si>
  <si>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</si>
  <si>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</si>
  <si>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</si>
  <si>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</si>
  <si>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</si>
  <si>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</si>
  <si>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</si>
  <si>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</si>
  <si>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</si>
  <si>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</si>
  <si>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</si>
  <si>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</si>
  <si>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</si>
  <si>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</si>
  <si>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</si>
  <si>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</si>
  <si>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</si>
  <si>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</si>
  <si>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</si>
  <si>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</si>
  <si>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</si>
  <si>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</si>
  <si>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</si>
  <si>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</si>
  <si>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</si>
  <si>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</si>
  <si>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</si>
  <si>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</si>
  <si>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</si>
  <si>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</si>
  <si>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</si>
  <si>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</si>
  <si>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</si>
  <si>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</si>
  <si>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</si>
  <si>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</si>
  <si>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</si>
  <si>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</si>
  <si>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</si>
  <si>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</si>
  <si>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</si>
  <si>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</si>
  <si>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</si>
  <si>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</si>
  <si>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</si>
  <si>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</si>
  <si>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</si>
  <si>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</si>
  <si>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</si>
  <si>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</si>
  <si>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</si>
  <si>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</si>
  <si>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</si>
  <si>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</si>
  <si>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</si>
  <si>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</si>
  <si>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</si>
  <si>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</si>
  <si>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</si>
  <si>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</si>
  <si>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</si>
  <si>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</si>
  <si>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</si>
  <si>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</si>
  <si>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</si>
  <si>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</si>
  <si>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</si>
  <si>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</si>
  <si>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</si>
  <si>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</si>
  <si>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</si>
  <si>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</si>
  <si>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</si>
  <si>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</si>
  <si>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</si>
  <si>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</si>
  <si>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</si>
  <si>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</si>
  <si>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</si>
  <si>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</si>
  <si>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</si>
  <si>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</si>
  <si>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</si>
  <si>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</si>
  <si>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</si>
  <si>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</si>
  <si>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</si>
  <si>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</si>
  <si>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</si>
  <si>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</si>
  <si>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</si>
  <si>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</si>
  <si>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</si>
  <si>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</si>
  <si>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</si>
  <si>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</si>
  <si>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</si>
  <si>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</si>
  <si>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</si>
  <si>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</si>
  <si>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</si>
  <si>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</si>
  <si>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</si>
  <si>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</si>
  <si>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</si>
  <si>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</si>
  <si>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</si>
  <si>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</si>
  <si>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</si>
  <si>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</si>
  <si>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</si>
  <si>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</si>
  <si>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</si>
  <si>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</si>
  <si>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</si>
  <si>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</si>
  <si>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</si>
  <si>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</si>
  <si>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</si>
  <si>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</si>
  <si>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</si>
  <si>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</si>
  <si>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</si>
  <si>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</si>
  <si>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</si>
  <si>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</si>
  <si>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</si>
  <si>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</si>
  <si>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</si>
  <si>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</si>
  <si>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</si>
  <si>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</si>
  <si>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</si>
  <si>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</si>
  <si>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</si>
  <si>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</si>
  <si>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</si>
  <si>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</si>
  <si>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</si>
  <si>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</si>
  <si>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</si>
  <si>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</si>
  <si>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</si>
  <si>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</si>
  <si>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</si>
  <si>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</si>
  <si>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</si>
  <si>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</si>
  <si>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</si>
  <si>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</si>
  <si>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</si>
  <si>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</si>
  <si>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</si>
  <si>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</si>
  <si>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</si>
  <si>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</si>
  <si>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</si>
  <si>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</si>
  <si>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</si>
  <si>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</si>
  <si>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</si>
  <si>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</si>
  <si>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</si>
  <si>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</si>
  <si>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</si>
  <si>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</si>
  <si>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</si>
  <si>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</si>
  <si>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</si>
  <si>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</si>
  <si>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</si>
  <si>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</si>
  <si>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</si>
  <si>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</si>
  <si>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</si>
  <si>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</si>
  <si>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</si>
  <si>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</si>
  <si>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</si>
  <si>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</si>
  <si>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</si>
  <si>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</si>
  <si>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</si>
  <si>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</si>
  <si>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</si>
  <si>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</si>
  <si>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</si>
  <si>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</si>
  <si>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</si>
  <si>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</si>
  <si>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</si>
  <si>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</si>
  <si>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</si>
  <si>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</si>
  <si>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</si>
  <si>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</si>
  <si>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</si>
  <si>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</si>
  <si>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</si>
  <si>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</si>
  <si>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</si>
  <si>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</si>
  <si>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</si>
  <si>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</si>
  <si>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</si>
  <si>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</si>
  <si>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</si>
  <si>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</si>
  <si>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</si>
  <si>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</si>
  <si>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</si>
  <si>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</si>
  <si>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</si>
  <si>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</si>
  <si>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</si>
  <si>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</si>
  <si>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</si>
  <si>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</si>
  <si>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</si>
  <si>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</si>
  <si>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</si>
  <si>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</si>
  <si>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</si>
  <si>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</si>
  <si>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</si>
  <si>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</si>
  <si>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</si>
  <si>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</si>
  <si>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</si>
  <si>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</si>
  <si>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</si>
  <si>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</si>
  <si>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</si>
  <si>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</si>
  <si>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</si>
  <si>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</si>
  <si>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</si>
  <si>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</si>
  <si>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</si>
  <si>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</si>
  <si>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</si>
  <si>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</si>
  <si>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</si>
  <si>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</si>
  <si>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</si>
  <si>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</si>
  <si>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</si>
  <si>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</si>
  <si>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</si>
  <si>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</si>
  <si>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</si>
  <si>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</si>
  <si>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</si>
  <si>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</si>
  <si>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</si>
  <si>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</si>
  <si>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</si>
  <si>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</si>
  <si>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</si>
  <si>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</si>
  <si>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</si>
  <si>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</si>
  <si>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</si>
  <si>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</si>
  <si>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</si>
  <si>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</si>
  <si>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</si>
  <si>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</si>
  <si>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</si>
  <si>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</si>
  <si>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</si>
  <si>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</si>
  <si>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</si>
  <si>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</si>
  <si>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</si>
  <si>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</si>
  <si>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</si>
  <si>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</si>
  <si>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</si>
  <si>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</si>
  <si>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</si>
  <si>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</si>
  <si>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</si>
  <si>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</si>
  <si>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</si>
  <si>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</si>
  <si>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</si>
  <si>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</si>
  <si>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</si>
  <si>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</si>
  <si>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</si>
  <si>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</si>
  <si>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</si>
  <si>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</si>
  <si>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</si>
  <si>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</si>
  <si>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</si>
  <si>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</si>
  <si>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</si>
  <si>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</si>
  <si>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</si>
  <si>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</si>
  <si>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</si>
  <si>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</si>
  <si>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</si>
  <si>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</si>
  <si>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</si>
  <si>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</si>
  <si>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</si>
  <si>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</si>
  <si>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</si>
  <si>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</si>
  <si>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</si>
  <si>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</si>
  <si>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</si>
  <si>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</si>
  <si>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</si>
  <si>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</si>
  <si>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</si>
  <si>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</si>
  <si>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</si>
  <si>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</si>
  <si>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</si>
  <si>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</si>
  <si>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</si>
  <si>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</si>
  <si>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</si>
  <si>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</si>
  <si>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</si>
  <si>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</si>
  <si>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</si>
  <si>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</si>
  <si>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</si>
  <si>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</si>
  <si>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</si>
  <si>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</si>
  <si>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</si>
  <si>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</si>
  <si>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</si>
  <si>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</si>
  <si>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</si>
  <si>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</si>
  <si>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</si>
  <si>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</si>
  <si>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</si>
  <si>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</si>
  <si>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</si>
  <si>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</si>
  <si>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</si>
  <si>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</si>
  <si>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</si>
  <si>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</si>
  <si>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</si>
  <si>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</si>
  <si>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</si>
  <si>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</si>
  <si>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</si>
  <si>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</si>
  <si>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</si>
  <si>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</si>
  <si>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</si>
  <si>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</si>
  <si>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</si>
  <si>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</si>
  <si>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</si>
  <si>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</si>
  <si>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</si>
  <si>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</si>
  <si>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</si>
  <si>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</si>
  <si>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</si>
  <si>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</si>
  <si>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</si>
  <si>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</si>
  <si>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</si>
  <si>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</si>
  <si>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</si>
  <si>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</si>
  <si>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</si>
  <si>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</si>
  <si>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</si>
  <si>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</si>
  <si>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</si>
  <si>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</si>
  <si>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</si>
  <si>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</si>
  <si>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</si>
  <si>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</si>
  <si>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</si>
  <si>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</si>
  <si>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</si>
  <si>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</si>
  <si>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</si>
  <si>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</si>
  <si>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</si>
  <si>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</si>
  <si>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</si>
  <si>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</si>
  <si>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</si>
  <si>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</si>
  <si>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</si>
  <si>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</si>
  <si>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</si>
  <si>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</si>
  <si>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</si>
  <si>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</si>
  <si>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</si>
  <si>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</si>
  <si>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</si>
  <si>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</si>
  <si>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</si>
  <si>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</si>
  <si>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</si>
  <si>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</si>
  <si>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</si>
  <si>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</si>
  <si>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</si>
  <si>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</si>
  <si>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</si>
  <si>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</si>
  <si>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</si>
  <si>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</si>
  <si>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</si>
  <si>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</si>
  <si>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</si>
  <si>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</si>
  <si>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</si>
  <si>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</si>
  <si>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</si>
  <si>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</si>
  <si>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</si>
  <si>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</si>
  <si>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</si>
  <si>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</si>
  <si>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</si>
  <si>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</si>
  <si>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</si>
  <si>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</si>
  <si>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</si>
  <si>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</si>
  <si>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</si>
  <si>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</si>
  <si>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</si>
  <si>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</si>
  <si>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</si>
  <si>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</si>
  <si>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</si>
  <si>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</si>
  <si>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</si>
  <si>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</si>
  <si>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</si>
  <si>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</si>
  <si>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</si>
  <si>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</si>
  <si>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</si>
  <si>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</si>
  <si>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</si>
  <si>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</si>
  <si>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</si>
  <si>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</si>
  <si>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</si>
  <si>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</si>
  <si>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</si>
  <si>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</si>
  <si>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</si>
  <si>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</si>
  <si>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</si>
  <si>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</si>
  <si>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</si>
  <si>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</si>
  <si>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</si>
  <si>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</si>
  <si>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</si>
  <si>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</si>
  <si>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</si>
  <si>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</si>
  <si>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</si>
  <si>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</si>
  <si>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</si>
  <si>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</si>
  <si>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</si>
  <si>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</si>
  <si>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</si>
  <si>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</si>
  <si>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</si>
  <si>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</si>
  <si>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</si>
  <si>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</si>
  <si>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</si>
  <si>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</si>
  <si>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</si>
  <si>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</si>
  <si>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</si>
  <si>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</si>
  <si>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</si>
  <si>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</si>
  <si>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</si>
  <si>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</si>
  <si>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</si>
  <si>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</si>
  <si>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</si>
  <si>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</si>
  <si>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</si>
  <si>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</si>
  <si>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</si>
  <si>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</si>
  <si>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</si>
  <si>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</si>
  <si>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</si>
  <si>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</si>
  <si>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</si>
  <si>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</si>
  <si>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</si>
  <si>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</si>
  <si>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</si>
  <si>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</si>
  <si>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</si>
  <si>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</si>
  <si>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</si>
  <si>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</si>
  <si>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</si>
  <si>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</si>
  <si>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</si>
  <si>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</si>
  <si>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</si>
  <si>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</si>
  <si>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</si>
  <si>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</si>
  <si>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</si>
  <si>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</si>
  <si>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</si>
  <si>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</si>
  <si>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</si>
  <si>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</si>
  <si>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</si>
  <si>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</si>
  <si>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</si>
  <si>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</si>
  <si>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</si>
  <si>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</si>
  <si>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</si>
  <si>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</si>
  <si>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</si>
  <si>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</si>
  <si>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</si>
  <si>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</si>
  <si>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</si>
  <si>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</si>
  <si>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</si>
  <si>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</si>
  <si>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</si>
  <si>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</si>
  <si>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</si>
  <si>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</si>
  <si>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</si>
  <si>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</si>
  <si>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</si>
  <si>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</si>
  <si>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</si>
  <si>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</si>
  <si>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</si>
  <si>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</si>
  <si>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</si>
  <si>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</si>
  <si>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</si>
  <si>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</si>
  <si>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</si>
  <si>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</si>
  <si>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</si>
  <si>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</si>
  <si>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</si>
  <si>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</si>
  <si>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</si>
  <si>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</si>
  <si>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</si>
  <si>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</si>
  <si>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</si>
  <si>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</si>
  <si>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</si>
  <si>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</si>
  <si>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</si>
  <si>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</si>
  <si>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</si>
  <si>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</si>
  <si>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</si>
  <si>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</si>
  <si>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</si>
  <si>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</si>
  <si>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</si>
  <si>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</si>
  <si>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</si>
  <si>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</si>
  <si>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</si>
  <si>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</si>
  <si>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</si>
  <si>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</si>
  <si>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</si>
  <si>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</si>
  <si>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</si>
  <si>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</si>
  <si>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</si>
  <si>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</si>
  <si>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</si>
  <si>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</si>
  <si>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</si>
  <si>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</si>
  <si>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</si>
  <si>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</si>
  <si>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</si>
  <si>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</si>
  <si>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</si>
  <si>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</si>
  <si>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</si>
  <si>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</si>
  <si>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</si>
  <si>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</si>
  <si>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</si>
  <si>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</si>
  <si>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</si>
  <si>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</si>
  <si>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</si>
  <si>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</si>
  <si>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</si>
  <si>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</si>
  <si>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</si>
  <si>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</si>
  <si>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</si>
  <si>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</si>
  <si>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</si>
  <si>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</si>
  <si>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</si>
  <si>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</si>
  <si>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</si>
  <si>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</si>
  <si>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</si>
  <si>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</si>
  <si>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</si>
  <si>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</si>
  <si>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</si>
  <si>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</si>
  <si>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</si>
  <si>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</si>
  <si>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</si>
  <si>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</si>
  <si>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</si>
  <si>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</si>
  <si>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</si>
  <si>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</si>
  <si>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</si>
  <si>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</si>
  <si>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</si>
  <si>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</si>
  <si>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</si>
  <si>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</si>
  <si>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</si>
  <si>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</si>
  <si>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</si>
  <si>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</si>
  <si>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</si>
  <si>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</si>
  <si>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</si>
  <si>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</si>
  <si>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</si>
  <si>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</si>
  <si>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</si>
  <si>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</si>
  <si>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</si>
  <si>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</si>
  <si>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</si>
  <si>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</si>
  <si>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</si>
  <si>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</si>
  <si>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</si>
  <si>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</si>
  <si>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</si>
  <si>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</si>
  <si>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</si>
  <si>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</si>
  <si>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</si>
  <si>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</si>
  <si>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</si>
  <si>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</si>
  <si>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</si>
  <si>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</si>
  <si>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</si>
  <si>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</si>
  <si>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</si>
  <si>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</si>
  <si>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</si>
  <si>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</si>
  <si>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</si>
  <si>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</si>
  <si>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</si>
  <si>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</si>
  <si>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</si>
  <si>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</si>
  <si>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</si>
  <si>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</si>
  <si>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</si>
  <si>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</si>
  <si>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</si>
  <si>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</si>
  <si>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</si>
  <si>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</si>
  <si>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</si>
  <si>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</si>
  <si>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</si>
  <si>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</si>
  <si>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</si>
  <si>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</si>
  <si>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</si>
  <si>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</si>
  <si>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</si>
  <si>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</si>
  <si>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</si>
  <si>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</si>
  <si>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</si>
  <si>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</si>
  <si>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</si>
  <si>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</si>
  <si>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</si>
  <si>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</si>
  <si>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</si>
  <si>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</si>
  <si>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</si>
  <si>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</si>
  <si>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</si>
  <si>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</si>
  <si>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</si>
  <si>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</si>
  <si>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</si>
  <si>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</si>
  <si>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</si>
  <si>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</si>
  <si>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</si>
  <si>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</si>
  <si>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</si>
  <si>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</si>
  <si>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</si>
  <si>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</si>
  <si>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</si>
  <si>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</si>
  <si>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</si>
  <si>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</si>
  <si>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</si>
  <si>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</si>
  <si>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</si>
  <si>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</si>
  <si>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</si>
  <si>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</si>
  <si>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</si>
  <si>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</si>
  <si>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</si>
  <si>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</si>
  <si>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</si>
  <si>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</si>
  <si>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</si>
  <si>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</si>
  <si>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</si>
  <si>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</si>
  <si>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</si>
  <si>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</si>
  <si>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</si>
  <si>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</si>
  <si>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</si>
  <si>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</si>
  <si>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</si>
  <si>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</si>
  <si>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</si>
  <si>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</si>
  <si>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</si>
  <si>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</si>
  <si>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</si>
  <si>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</si>
  <si>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</si>
  <si>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</si>
  <si>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</si>
  <si>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</si>
  <si>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</si>
  <si>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</si>
  <si>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</si>
  <si>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</si>
  <si>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</si>
  <si>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</si>
  <si>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</si>
  <si>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</si>
  <si>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</si>
  <si>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</si>
  <si>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</si>
  <si>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</si>
  <si>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</si>
  <si>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</si>
  <si>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</si>
  <si>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</si>
  <si>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</si>
  <si>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</si>
  <si>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</si>
  <si>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</si>
  <si>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</si>
  <si>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</si>
  <si>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</si>
  <si>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</si>
  <si>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</si>
  <si>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</si>
  <si>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</si>
  <si>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</si>
  <si>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</si>
  <si>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</si>
  <si>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</si>
  <si>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</si>
  <si>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</si>
  <si>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</si>
  <si>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</si>
  <si>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</si>
  <si>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</si>
  <si>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</si>
  <si>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</si>
  <si>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</si>
  <si>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</si>
  <si>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</si>
  <si>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</si>
  <si>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</si>
  <si>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</si>
  <si>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</si>
  <si>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</si>
  <si>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</si>
  <si>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</si>
  <si>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</si>
  <si>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</si>
  <si>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</si>
  <si>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</si>
  <si>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</si>
  <si>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</si>
  <si>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</si>
  <si>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</si>
  <si>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</si>
  <si>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</si>
  <si>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</si>
  <si>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</si>
  <si>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</si>
  <si>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</si>
  <si>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</si>
  <si>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</si>
  <si>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</si>
  <si>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</si>
  <si>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</si>
  <si>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</si>
  <si>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</si>
  <si>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</si>
  <si>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</si>
  <si>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</si>
  <si>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</si>
  <si>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</si>
  <si>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</si>
  <si>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</si>
  <si>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</si>
  <si>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</si>
  <si>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</si>
  <si>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</si>
  <si>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</si>
  <si>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</si>
  <si>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</si>
  <si>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</si>
  <si>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</si>
  <si>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</si>
  <si>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</si>
  <si>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</si>
  <si>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</si>
  <si>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</si>
  <si>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</si>
  <si>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</si>
  <si>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</si>
  <si>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</si>
  <si>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</si>
  <si>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</si>
  <si>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</si>
  <si>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</si>
  <si>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</si>
  <si>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</si>
  <si>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</si>
  <si>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</si>
  <si>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</si>
  <si>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</si>
  <si>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</si>
  <si>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</si>
  <si>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</si>
  <si>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</si>
  <si>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</si>
  <si>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</si>
  <si>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</si>
  <si>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</si>
  <si>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</si>
  <si>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</si>
  <si>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</si>
  <si>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</si>
  <si>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</si>
  <si>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</si>
  <si>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</si>
  <si>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</si>
  <si>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</si>
  <si>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</si>
  <si>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</si>
  <si>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</si>
  <si>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</si>
  <si>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</si>
  <si>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</si>
  <si>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</si>
  <si>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</si>
  <si>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</si>
  <si>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</si>
  <si>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</si>
  <si>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</si>
  <si>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</si>
  <si>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</si>
  <si>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</si>
  <si>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</si>
  <si>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</si>
  <si>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</si>
  <si>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</si>
  <si>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</si>
  <si>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</si>
  <si>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</si>
  <si>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</si>
  <si>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</si>
  <si>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</si>
  <si>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</si>
  <si>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</si>
  <si>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</si>
  <si>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</si>
  <si>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</si>
  <si>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</si>
  <si>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</si>
  <si>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</si>
  <si>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</si>
  <si>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</si>
  <si>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</si>
  <si>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</si>
  <si>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</si>
  <si>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</si>
  <si>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</si>
  <si>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</si>
  <si>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</si>
  <si>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</si>
  <si>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</si>
  <si>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</si>
  <si>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</si>
  <si>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</si>
  <si>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</si>
  <si>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</si>
  <si>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</si>
  <si>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</si>
  <si>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</si>
  <si>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</si>
  <si>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</si>
  <si>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</si>
  <si>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</si>
  <si>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</si>
  <si>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</si>
  <si>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</si>
  <si>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</si>
  <si>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</si>
  <si>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</si>
  <si>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</si>
  <si>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</si>
  <si>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</si>
  <si>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</si>
  <si>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</si>
  <si>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</si>
  <si>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</si>
  <si>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</si>
  <si>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</si>
  <si>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Persentage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</si>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</sst>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165" fontId="0" fillId="0" borderId="0" xfId="1" applyNumberFormat="1" applyFont="1"/>
    <xf numFmtId="166" fontId="0" fillId="0" borderId="0" xfId="0" applyNumberFormat="1"/>
    <xf numFmtId="0" fontId="3" fillId="0" borderId="0" xfId="0" applyFont="1"/>
    <xf numFmtId="0" fontId="3" fillId="0" borderId="0" xfId="0" pivotButton="1" applyFont="1"/>
    <xf numFmtId="14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9" fontId="4" fillId="0" borderId="0" xfId="2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3">
    <dxf>
      <font>
        <sz val="10"/>
      </font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88648293963256"/>
          <c:y val="4.85301837270341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FBC-96AB-8DB896570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2-4FBC-96AB-8DB896570F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2-4FBC-96AB-8DB896570F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2-4FBC-96AB-8DB89657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559024"/>
        <c:axId val="184561520"/>
      </c:barChart>
      <c:catAx>
        <c:axId val="1845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1520"/>
        <c:crosses val="autoZero"/>
        <c:auto val="1"/>
        <c:lblAlgn val="ctr"/>
        <c:lblOffset val="100"/>
        <c:noMultiLvlLbl val="0"/>
      </c:catAx>
      <c:valAx>
        <c:axId val="1845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4-4532-BB04-1A08A973F7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4532-BB04-1A08A973F7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4-4532-BB04-1A08A973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585664"/>
        <c:axId val="770586080"/>
      </c:barChart>
      <c:catAx>
        <c:axId val="770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6080"/>
        <c:crosses val="autoZero"/>
        <c:auto val="1"/>
        <c:lblAlgn val="ctr"/>
        <c:lblOffset val="100"/>
        <c:noMultiLvlLbl val="0"/>
      </c:catAx>
      <c:valAx>
        <c:axId val="7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7-4BAA-8DCF-C9587B97D2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57-4BAA-8DCF-C9587B97D2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57-4BAA-8DCF-C9587B97D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400640"/>
        <c:axId val="810398976"/>
      </c:lineChart>
      <c:catAx>
        <c:axId val="8104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8976"/>
        <c:crosses val="autoZero"/>
        <c:auto val="1"/>
        <c:lblAlgn val="ctr"/>
        <c:lblOffset val="100"/>
        <c:noMultiLvlLbl val="0"/>
      </c:catAx>
      <c:valAx>
        <c:axId val="8103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6-4E6E-8619-6721882E8B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6-4E6E-8619-6721882E8B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6-4E6E-8619-6721882E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218703"/>
        <c:axId val="1095219119"/>
      </c:lineChart>
      <c:catAx>
        <c:axId val="10952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9119"/>
        <c:crosses val="autoZero"/>
        <c:auto val="1"/>
        <c:lblAlgn val="ctr"/>
        <c:lblOffset val="100"/>
        <c:noMultiLvlLbl val="0"/>
      </c:catAx>
      <c:valAx>
        <c:axId val="10952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9-463A-A386-9631EAC07E1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9-463A-A386-9631EAC07E1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Persentage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9-463A-A386-9631EAC07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669519"/>
        <c:axId val="540669935"/>
      </c:lineChart>
      <c:catAx>
        <c:axId val="5406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935"/>
        <c:crosses val="autoZero"/>
        <c:auto val="1"/>
        <c:lblAlgn val="ctr"/>
        <c:lblOffset val="100"/>
        <c:noMultiLvlLbl val="0"/>
      </c:catAx>
      <c:valAx>
        <c:axId val="5406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Musical Funding in Great Britain: Outlier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Funding in Great Britain: Outlier Analysis</a:t>
          </a:r>
        </a:p>
      </cx:txPr>
    </cx:title>
    <cx:plotArea>
      <cx:plotAreaRegion>
        <cx:series layoutId="boxWhisker" uniqueId="{1D88D1AF-7920-4A84-93B2-714C3565A09D}" formatIdx="0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5A8219-F750-4DE4-86B3-3696E62444F6}" formatIdx="1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27E33F-240E-42E1-BCC3-2C64345C340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96DED-7F1D-B57F-1679-5329E870B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B233-EF2D-CF68-6C55-1093652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28575</xdr:rowOff>
    </xdr:from>
    <xdr:to>
      <xdr:col>14</xdr:col>
      <xdr:colOff>514350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560E6-B5EB-7C98-0D25-510BE3F3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F9075-EEFD-297A-5B68-CA135DA438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CCB89D-C4C8-28F9-54E7-AFB759187D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175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A83D4-20AE-1A6C-1D19-768DECDC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15</xdr:row>
      <xdr:rowOff>0</xdr:rowOff>
    </xdr:from>
    <xdr:to>
      <xdr:col>12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4F6BF-7270-58FC-790B-AD65EDD2C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5.867248958333" createdVersion="8" refreshedVersion="8" minRefreshableVersion="3" recordCount="4114" xr:uid="{C1FD6AA9-115E-4E44-828F-9D607048E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8.727370949076" createdVersion="8" refreshedVersion="8" minRefreshableVersion="3" recordCount="4114" xr:uid="{E8F7388B-2A0F-4B9B-A014-3569806833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33.765691550929" createdVersion="8" refreshedVersion="8" minRefreshableVersion="3" recordCount="4114" xr:uid="{3774D9D1-49C7-462D-BDC1-88C5B7E159C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E7EF-6B63-4D9A-880E-BB113AFAEDCB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908A3-ACB3-41D5-ABE4-596272C4D4FA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5B593-8E22-4B58-AB1B-C6ED3208EA1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A1249-F46C-4272-A4EB-047E3DE4FB72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4EE4-BE48-4977-B53B-4E1E7FF5E0DF}">
  <sheetPr codeName="Sheet2"/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3EDC-95D2-40AC-AD85-05CC0F48A525}">
  <sheetPr codeName="Sheet3"/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9524-3FAA-45D6-AB1A-443DD90E574F}">
  <sheetPr codeName="Sheet4"/>
  <dimension ref="A1:E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4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4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4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4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4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4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8EFB-54AC-49B7-837A-50BD0C447D18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2" width="33.5703125" bestFit="1" customWidth="1"/>
    <col min="3" max="4" width="9.570312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16">
        <f>VLOOKUP($A2,Kickstarter!$B:E,3,FALSE)</f>
        <v>2000</v>
      </c>
      <c r="D2" s="16">
        <f>VLOOKUP($A2,Kickstarter!$B:E,4,FALSE)</f>
        <v>2020</v>
      </c>
      <c r="E2" s="15">
        <f>VLOOKUP($A2,Kickstarter!$B:P,15,FALSE)</f>
        <v>51.79</v>
      </c>
      <c r="F2" s="16">
        <f>VLOOKUP($A2,Kickstarter!$B:L,11,FALSE)</f>
        <v>39</v>
      </c>
    </row>
    <row r="3" spans="1:6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 s="16">
        <f>VLOOKUP($A3,Kickstarter!$B:E,3,FALSE)</f>
        <v>2000</v>
      </c>
      <c r="D3" s="16">
        <f>VLOOKUP($A3,Kickstarter!$B:E,4,FALSE)</f>
        <v>2020</v>
      </c>
      <c r="E3" s="15">
        <f>VLOOKUP($A3,Kickstarter!$B:P,15,FALSE)</f>
        <v>36.07</v>
      </c>
      <c r="F3" s="16">
        <f>VLOOKUP($A3,Kickstarter!$B:L,11,FALSE)</f>
        <v>56</v>
      </c>
    </row>
    <row r="4" spans="1:6" x14ac:dyDescent="0.25">
      <c r="A4" t="s">
        <v>8381</v>
      </c>
      <c r="B4" t="str">
        <f>VLOOKUP($A4,Kickstarter!B:C,2,FALSE)</f>
        <v>Cutting Off Kate Bush is a one-woman show written &amp; performed by Lucy Benson-Brown, premiering at the Edinburgh Fringe Festival 2014</v>
      </c>
      <c r="C4" s="16">
        <f>VLOOKUP($A4,Kickstarter!$B:E,3,FALSE)</f>
        <v>1500</v>
      </c>
      <c r="D4" s="16">
        <f>VLOOKUP($A4,Kickstarter!$B:E,4,FALSE)</f>
        <v>2576</v>
      </c>
      <c r="E4" s="15">
        <f>VLOOKUP($A4,Kickstarter!$B:P,15,FALSE)</f>
        <v>33.03</v>
      </c>
      <c r="F4" s="16">
        <f>VLOOKUP($A4,Kickstarter!$B:L,11,FALSE)</f>
        <v>78</v>
      </c>
    </row>
    <row r="5" spans="1:6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 s="16">
        <f>VLOOKUP($A5,Kickstarter!$B:E,3,FALSE)</f>
        <v>1000</v>
      </c>
      <c r="D5" s="16">
        <f>VLOOKUP($A5,Kickstarter!$B:E,4,FALSE)</f>
        <v>1168</v>
      </c>
      <c r="E5" s="15">
        <f>VLOOKUP($A5,Kickstarter!$B:P,15,FALSE)</f>
        <v>44.92</v>
      </c>
      <c r="F5" s="16">
        <f>VLOOKUP($A5,Kickstarter!$B:L,11,FALSE)</f>
        <v>26</v>
      </c>
    </row>
    <row r="6" spans="1:6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 s="16">
        <f>VLOOKUP($A6,Kickstarter!$B:E,3,FALSE)</f>
        <v>4000</v>
      </c>
      <c r="D6" s="16">
        <f>VLOOKUP($A6,Kickstarter!$B:E,4,FALSE)</f>
        <v>4137</v>
      </c>
      <c r="E6" s="15">
        <f>VLOOKUP($A6,Kickstarter!$B:P,15,FALSE)</f>
        <v>36.61</v>
      </c>
      <c r="F6" s="16">
        <f>VLOOKUP($A6,Kickstarter!$B:L,11,FALSE)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2924-0E2F-47FD-B794-7A753B80C74C}">
  <sheetPr codeName="Sheet6"/>
  <dimension ref="A1:T413"/>
  <sheetViews>
    <sheetView topLeftCell="A409" workbookViewId="0">
      <selection activeCell="B2" sqref="B2"/>
    </sheetView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7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7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7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7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2:F413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FC3B-F667-4E73-9EAC-8F8BCDE26A67}">
  <sheetPr codeName="Sheet7"/>
  <dimension ref="A1:T251"/>
  <sheetViews>
    <sheetView topLeftCell="A247" workbookViewId="0"/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7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2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C8E-1595-479E-B7B3-D22EF10D23D1}">
  <sheetPr codeName="Sheet8"/>
  <dimension ref="A1:C14"/>
  <sheetViews>
    <sheetView workbookViewId="0">
      <selection activeCell="A16" sqref="A1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Kickstarters'!$D$2:$D$413)</f>
        <v>7748.7537726373303</v>
      </c>
      <c r="C4" s="17">
        <f>_xlfn.STDEV.P('Failed US Kickstarters'!$D$2:$D$251)</f>
        <v>21967.731061515115</v>
      </c>
    </row>
    <row r="5" spans="1:3" x14ac:dyDescent="0.25">
      <c r="A5" t="s">
        <v>8393</v>
      </c>
      <c r="B5" s="17">
        <f>_xlfn.QUARTILE.EXC('Successful US Kickstarters'!$D$2:$D$413,3)</f>
        <v>5000</v>
      </c>
      <c r="C5" s="17">
        <f>_xlfn.QUARTILE.EXC('Failed US Kickstarters'!$D$2:$D$251,3)</f>
        <v>10000</v>
      </c>
    </row>
    <row r="6" spans="1:3" x14ac:dyDescent="0.25">
      <c r="A6" t="s">
        <v>8394</v>
      </c>
      <c r="B6" s="17">
        <f>_xlfn.QUARTILE.EXC('Successful US Kickstarters'!$D$2:$D$413,1)</f>
        <v>1500</v>
      </c>
      <c r="C6" s="17">
        <f>_xlfn.QUARTILE.EXC('Failed US Kickstarters'!$D$2:$D$251,1)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Kickstarters'!$E$2:$E$413)</f>
        <v>8334.5731699164608</v>
      </c>
      <c r="C11" s="17">
        <f>_xlfn.STDEV.P('Failed US Kickstarters'!$E$2:$E$251)</f>
        <v>1330.5230280400915</v>
      </c>
    </row>
    <row r="12" spans="1:3" x14ac:dyDescent="0.25">
      <c r="A12" t="s">
        <v>8397</v>
      </c>
      <c r="B12" s="17">
        <f>_xlfn.QUARTILE.EXC('Successful US Kickstarters'!$E$2:$E$413,3)</f>
        <v>5699</v>
      </c>
      <c r="C12" s="17">
        <f>_xlfn.QUARTILE.EXC('Failed US Kickstarters'!$E$2:$E$251,3)</f>
        <v>501</v>
      </c>
    </row>
    <row r="13" spans="1:3" x14ac:dyDescent="0.25">
      <c r="A13" t="s">
        <v>8398</v>
      </c>
      <c r="B13" s="17">
        <f>_xlfn.QUARTILE.EXC('Successful US Kickstarters'!$E$2:$E$413,1)</f>
        <v>1716.5074999999999</v>
      </c>
      <c r="C13" s="17">
        <f>_xlfn.QUARTILE.EXC('Failed US Kickstarters'!$E$2:$E$251,1)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1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8D04-A983-4587-874D-69EFD50A3546}">
  <dimension ref="A1:F4119"/>
  <sheetViews>
    <sheetView workbookViewId="0">
      <selection activeCell="F22" sqref="F22"/>
    </sheetView>
  </sheetViews>
  <sheetFormatPr defaultRowHeight="12.75" x14ac:dyDescent="0.2"/>
  <cols>
    <col min="1" max="1" width="16" style="18" bestFit="1" customWidth="1"/>
    <col min="2" max="2" width="14.5703125" style="18" bestFit="1" customWidth="1"/>
    <col min="3" max="3" width="5.28515625" style="18" bestFit="1" customWidth="1"/>
    <col min="4" max="4" width="7.7109375" style="18" bestFit="1" customWidth="1"/>
    <col min="5" max="6" width="10" style="18" bestFit="1" customWidth="1"/>
    <col min="7" max="16384" width="9.140625" style="18"/>
  </cols>
  <sheetData>
    <row r="1" spans="1:6" x14ac:dyDescent="0.2">
      <c r="A1" s="19" t="s">
        <v>8359</v>
      </c>
      <c r="B1" s="18" t="s">
        <v>8315</v>
      </c>
    </row>
    <row r="2" spans="1:6" x14ac:dyDescent="0.2">
      <c r="A2" s="19" t="s">
        <v>8379</v>
      </c>
      <c r="B2" s="18" t="s">
        <v>8364</v>
      </c>
    </row>
    <row r="3" spans="1:6" x14ac:dyDescent="0.2">
      <c r="A3"/>
      <c r="B3"/>
      <c r="C3"/>
    </row>
    <row r="4" spans="1:6" ht="15" x14ac:dyDescent="0.25">
      <c r="A4" s="19" t="s">
        <v>8363</v>
      </c>
      <c r="B4" s="19" t="s">
        <v>8360</v>
      </c>
      <c r="F4"/>
    </row>
    <row r="5" spans="1:6" ht="15" x14ac:dyDescent="0.25">
      <c r="A5" s="19" t="s">
        <v>8362</v>
      </c>
      <c r="B5" s="18" t="s">
        <v>8218</v>
      </c>
      <c r="C5" s="18" t="s">
        <v>8220</v>
      </c>
      <c r="D5" s="18" t="s">
        <v>8219</v>
      </c>
      <c r="E5" s="18" t="s">
        <v>8361</v>
      </c>
      <c r="F5"/>
    </row>
    <row r="6" spans="1:6" ht="15" x14ac:dyDescent="0.25">
      <c r="A6" s="20" t="s">
        <v>8373</v>
      </c>
      <c r="B6" s="21">
        <v>56</v>
      </c>
      <c r="C6" s="21">
        <v>33</v>
      </c>
      <c r="D6" s="21">
        <v>7</v>
      </c>
      <c r="E6" s="21">
        <v>96</v>
      </c>
      <c r="F6"/>
    </row>
    <row r="7" spans="1:6" ht="15" x14ac:dyDescent="0.25">
      <c r="A7" s="20" t="s">
        <v>8374</v>
      </c>
      <c r="B7" s="21">
        <v>71</v>
      </c>
      <c r="C7" s="21">
        <v>39</v>
      </c>
      <c r="D7" s="21">
        <v>3</v>
      </c>
      <c r="E7" s="21">
        <v>113</v>
      </c>
      <c r="F7"/>
    </row>
    <row r="8" spans="1:6" ht="15" x14ac:dyDescent="0.25">
      <c r="A8" s="20" t="s">
        <v>8375</v>
      </c>
      <c r="B8" s="21">
        <v>56</v>
      </c>
      <c r="C8" s="21">
        <v>33</v>
      </c>
      <c r="D8" s="21">
        <v>3</v>
      </c>
      <c r="E8" s="21">
        <v>92</v>
      </c>
      <c r="F8"/>
    </row>
    <row r="9" spans="1:6" ht="15" x14ac:dyDescent="0.25">
      <c r="A9" s="20" t="s">
        <v>8376</v>
      </c>
      <c r="B9" s="21">
        <v>71</v>
      </c>
      <c r="C9" s="21">
        <v>40</v>
      </c>
      <c r="D9" s="21">
        <v>2</v>
      </c>
      <c r="E9" s="21">
        <v>113</v>
      </c>
      <c r="F9"/>
    </row>
    <row r="10" spans="1:6" ht="15" x14ac:dyDescent="0.25">
      <c r="A10" s="20" t="s">
        <v>8367</v>
      </c>
      <c r="B10" s="21">
        <v>111</v>
      </c>
      <c r="C10" s="21">
        <v>52</v>
      </c>
      <c r="D10" s="21">
        <v>3</v>
      </c>
      <c r="E10" s="21">
        <v>166</v>
      </c>
      <c r="F10"/>
    </row>
    <row r="11" spans="1:6" ht="15" x14ac:dyDescent="0.25">
      <c r="A11" s="20" t="s">
        <v>8377</v>
      </c>
      <c r="B11" s="21">
        <v>100</v>
      </c>
      <c r="C11" s="21">
        <v>49</v>
      </c>
      <c r="D11" s="21">
        <v>4</v>
      </c>
      <c r="E11" s="21">
        <v>153</v>
      </c>
      <c r="F11"/>
    </row>
    <row r="12" spans="1:6" ht="15" x14ac:dyDescent="0.25">
      <c r="A12" s="20" t="s">
        <v>8368</v>
      </c>
      <c r="B12" s="21">
        <v>87</v>
      </c>
      <c r="C12" s="21">
        <v>50</v>
      </c>
      <c r="D12" s="21">
        <v>1</v>
      </c>
      <c r="E12" s="21">
        <v>138</v>
      </c>
      <c r="F12"/>
    </row>
    <row r="13" spans="1:6" ht="15" x14ac:dyDescent="0.25">
      <c r="A13" s="20" t="s">
        <v>8369</v>
      </c>
      <c r="B13" s="21">
        <v>72</v>
      </c>
      <c r="C13" s="21">
        <v>47</v>
      </c>
      <c r="D13" s="21">
        <v>4</v>
      </c>
      <c r="E13" s="21">
        <v>123</v>
      </c>
      <c r="F13"/>
    </row>
    <row r="14" spans="1:6" ht="15" x14ac:dyDescent="0.25">
      <c r="A14" s="20" t="s">
        <v>8370</v>
      </c>
      <c r="B14" s="21">
        <v>59</v>
      </c>
      <c r="C14" s="21">
        <v>34</v>
      </c>
      <c r="D14" s="21">
        <v>4</v>
      </c>
      <c r="E14" s="21">
        <v>97</v>
      </c>
      <c r="F14"/>
    </row>
    <row r="15" spans="1:6" ht="15" x14ac:dyDescent="0.25">
      <c r="A15" s="20" t="s">
        <v>8371</v>
      </c>
      <c r="B15" s="21">
        <v>65</v>
      </c>
      <c r="C15" s="21">
        <v>50</v>
      </c>
      <c r="D15" s="21"/>
      <c r="E15" s="21">
        <v>115</v>
      </c>
      <c r="F15"/>
    </row>
    <row r="16" spans="1:6" ht="15" x14ac:dyDescent="0.25">
      <c r="A16" s="20" t="s">
        <v>8372</v>
      </c>
      <c r="B16" s="21">
        <v>54</v>
      </c>
      <c r="C16" s="21">
        <v>31</v>
      </c>
      <c r="D16" s="21">
        <v>3</v>
      </c>
      <c r="E16" s="21">
        <v>88</v>
      </c>
      <c r="F16"/>
    </row>
    <row r="17" spans="1:6" ht="15" x14ac:dyDescent="0.25">
      <c r="A17" s="20" t="s">
        <v>8378</v>
      </c>
      <c r="B17" s="21">
        <v>37</v>
      </c>
      <c r="C17" s="21">
        <v>35</v>
      </c>
      <c r="D17" s="21">
        <v>3</v>
      </c>
      <c r="E17" s="21">
        <v>75</v>
      </c>
      <c r="F17"/>
    </row>
    <row r="18" spans="1:6" ht="15" x14ac:dyDescent="0.25">
      <c r="A18" s="20" t="s">
        <v>8361</v>
      </c>
      <c r="B18" s="21">
        <v>839</v>
      </c>
      <c r="C18" s="21">
        <v>493</v>
      </c>
      <c r="D18" s="21">
        <v>37</v>
      </c>
      <c r="E18" s="21">
        <v>1369</v>
      </c>
      <c r="F18"/>
    </row>
    <row r="19" spans="1:6" ht="15" x14ac:dyDescent="0.25">
      <c r="A19"/>
      <c r="B19"/>
      <c r="C19"/>
    </row>
    <row r="20" spans="1:6" ht="15" x14ac:dyDescent="0.25">
      <c r="A20"/>
      <c r="B20"/>
      <c r="C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97FF-7F43-4E4C-9FDD-2D7398685DD6}">
  <dimension ref="B2:I14"/>
  <sheetViews>
    <sheetView tabSelected="1" workbookViewId="0">
      <selection activeCell="B39" sqref="B39"/>
    </sheetView>
  </sheetViews>
  <sheetFormatPr defaultColWidth="9.7109375" defaultRowHeight="12" x14ac:dyDescent="0.25"/>
  <cols>
    <col min="1" max="1" width="3.7109375" style="23" customWidth="1"/>
    <col min="2" max="2" width="14.7109375" style="23" bestFit="1" customWidth="1"/>
    <col min="3" max="16384" width="9.7109375" style="23"/>
  </cols>
  <sheetData>
    <row r="2" spans="2:9" ht="24" x14ac:dyDescent="0.25">
      <c r="B2" s="22" t="s">
        <v>8382</v>
      </c>
      <c r="C2" s="22" t="s">
        <v>8400</v>
      </c>
      <c r="D2" s="22" t="s">
        <v>8401</v>
      </c>
      <c r="E2" s="22" t="s">
        <v>8402</v>
      </c>
      <c r="F2" s="22" t="s">
        <v>8403</v>
      </c>
      <c r="G2" s="22" t="s">
        <v>8404</v>
      </c>
      <c r="H2" s="22" t="s">
        <v>8405</v>
      </c>
      <c r="I2" s="22" t="s">
        <v>8406</v>
      </c>
    </row>
    <row r="3" spans="2:9" x14ac:dyDescent="0.25">
      <c r="B3" s="23" t="s">
        <v>8407</v>
      </c>
      <c r="C3" s="23">
        <f>COUNTIFS(Kickstarter!$F$2:$F$4115,RIGHT(C$2,LEN(C$2)-SEARCH(" ",C$2)),Kickstarter!$D$2:$D$4115,"&lt;1000",Kickstarter!$R$2:$R$4115,"plays")</f>
        <v>141</v>
      </c>
      <c r="D3" s="23">
        <f>COUNTIFS(Kickstarter!$F$2:$F$4115,RIGHT(D$2,LEN(D$2)-SEARCH(" ",D$2)),Kickstarter!$D$2:$D$4115,"&lt;1000",Kickstarter!$R$2:$R$4115,"plays")</f>
        <v>45</v>
      </c>
      <c r="E3" s="23">
        <f>COUNTIFS(Kickstarter!$F$2:$F$4115,RIGHT(E$2,LEN(E$2)-SEARCH(" ",E$2)),Kickstarter!$D$2:$D$4115,"&lt;1000",Kickstarter!$R$2:$R$4115,"plays")</f>
        <v>0</v>
      </c>
      <c r="F3" s="23">
        <f>SUM(C3:E3)</f>
        <v>186</v>
      </c>
      <c r="G3" s="24">
        <f>C3/$F3</f>
        <v>0.75806451612903225</v>
      </c>
      <c r="H3" s="24">
        <f>D3/$F3</f>
        <v>0.24193548387096775</v>
      </c>
      <c r="I3" s="24">
        <f>E3/$F3</f>
        <v>0</v>
      </c>
    </row>
    <row r="4" spans="2:9" x14ac:dyDescent="0.25">
      <c r="B4" s="23" t="s">
        <v>8408</v>
      </c>
      <c r="C4" s="23">
        <f>COUNTIFS(Kickstarter!$F$2:$F$4115,RIGHT(C$2,LEN(C$2)-SEARCH(" ",C$2)),Kickstarter!$D$2:$D$4115,"&gt;=1000",Kickstarter!$D$2:$D$4115,"&lt;=4999",Kickstarter!$R$2:$R$4115,"plays")</f>
        <v>388</v>
      </c>
      <c r="D4" s="23">
        <f>COUNTIFS(Kickstarter!$F$2:$F$4115,RIGHT(D$2,LEN(D$2)-SEARCH(" ",D$2)),Kickstarter!$D$2:$D$4115,"&gt;=1000",Kickstarter!$D$2:$D$4115,"&lt;=4999",Kickstarter!$R$2:$R$4115,"plays")</f>
        <v>146</v>
      </c>
      <c r="E4" s="23">
        <f>COUNTIFS(Kickstarter!$F$2:$F$4115,RIGHT(E$2,LEN(E$2)-SEARCH(" ",E$2)),Kickstarter!$D$2:$D$4115,"&gt;=1000",Kickstarter!$D$2:$D$4115,"&lt;=4999",Kickstarter!$R$2:$R$4115,"plays")</f>
        <v>0</v>
      </c>
      <c r="F4" s="23">
        <f t="shared" ref="F4:F14" si="0">SUM(C4:E4)</f>
        <v>534</v>
      </c>
      <c r="G4" s="24">
        <f t="shared" ref="G4:G14" si="1">C4/$F4</f>
        <v>0.72659176029962547</v>
      </c>
      <c r="H4" s="24">
        <f t="shared" ref="H4:H14" si="2">D4/$F4</f>
        <v>0.27340823970037453</v>
      </c>
      <c r="I4" s="24">
        <f t="shared" ref="I4:I14" si="3">E4/$F4</f>
        <v>0</v>
      </c>
    </row>
    <row r="5" spans="2:9" x14ac:dyDescent="0.25">
      <c r="B5" s="23" t="s">
        <v>8409</v>
      </c>
      <c r="C5" s="23">
        <f>COUNTIFS(Kickstarter!$F$2:$F$4115,RIGHT(C$2,LEN(C$2)-SEARCH(" ",C$2)),Kickstarter!$D$2:$D$4115,"&gt;=5000",Kickstarter!$D$2:$D$4115,"&lt;=9999",Kickstarter!$R$2:$R$4115,"plays")</f>
        <v>93</v>
      </c>
      <c r="D5" s="23">
        <f>COUNTIFS(Kickstarter!$F$2:$F$4115,RIGHT(D$2,LEN(D$2)-SEARCH(" ",D$2)),Kickstarter!$D$2:$D$4115,"&gt;=5000",Kickstarter!$D$2:$D$4115,"&lt;=9999",Kickstarter!$R$2:$R$4115,"plays")</f>
        <v>76</v>
      </c>
      <c r="E5" s="23">
        <f>COUNTIFS(Kickstarter!$F$2:$F$4115,RIGHT(E$2,LEN(E$2)-SEARCH(" ",E$2)),Kickstarter!$D$2:$D$4115,"&gt;=5000",Kickstarter!$D$2:$D$4115,"&lt;=9999",Kickstarter!$R$2:$R$4115,"plays")</f>
        <v>0</v>
      </c>
      <c r="F5" s="23">
        <f t="shared" si="0"/>
        <v>169</v>
      </c>
      <c r="G5" s="24">
        <f t="shared" si="1"/>
        <v>0.55029585798816572</v>
      </c>
      <c r="H5" s="24">
        <f t="shared" si="2"/>
        <v>0.44970414201183434</v>
      </c>
      <c r="I5" s="24">
        <f t="shared" si="3"/>
        <v>0</v>
      </c>
    </row>
    <row r="6" spans="2:9" x14ac:dyDescent="0.25">
      <c r="B6" s="23" t="s">
        <v>8410</v>
      </c>
      <c r="C6" s="23">
        <f>COUNTIFS(Kickstarter!$F$2:$F$4115,RIGHT(C$2,LEN(C$2)-SEARCH(" ",C$2)),Kickstarter!$D$2:$D$4115,"&gt;=10000",Kickstarter!$D$2:$D$4115,"&lt;=14999",Kickstarter!$R$2:$R$4115,"plays")</f>
        <v>39</v>
      </c>
      <c r="D6" s="23">
        <f>COUNTIFS(Kickstarter!$F$2:$F$4115,RIGHT(D$2,LEN(D$2)-SEARCH(" ",D$2)),Kickstarter!$D$2:$D$4115,"&gt;=10000",Kickstarter!$D$2:$D$4115,"&lt;=14999",Kickstarter!$R$2:$R$4115,"plays")</f>
        <v>33</v>
      </c>
      <c r="E6" s="23">
        <f>COUNTIFS(Kickstarter!$F$2:$F$4115,RIGHT(E$2,LEN(E$2)-SEARCH(" ",E$2)),Kickstarter!$D$2:$D$4115,"&gt;=10000",Kickstarter!$D$2:$D$4115,"&lt;=14999",Kickstarter!$R$2:$R$4115,"plays")</f>
        <v>0</v>
      </c>
      <c r="F6" s="23">
        <f t="shared" si="0"/>
        <v>72</v>
      </c>
      <c r="G6" s="24">
        <f t="shared" si="1"/>
        <v>0.54166666666666663</v>
      </c>
      <c r="H6" s="24">
        <f t="shared" si="2"/>
        <v>0.45833333333333331</v>
      </c>
      <c r="I6" s="24">
        <f t="shared" si="3"/>
        <v>0</v>
      </c>
    </row>
    <row r="7" spans="2:9" x14ac:dyDescent="0.25">
      <c r="B7" s="23" t="s">
        <v>8411</v>
      </c>
      <c r="C7" s="23">
        <f>COUNTIFS(Kickstarter!$F$2:$F$4115,RIGHT(C$2,LEN(C$2)-SEARCH(" ",C$2)),Kickstarter!$D$2:$D$4115,"&gt;=15000",Kickstarter!$D$2:$D$4115,"&lt;=19999",Kickstarter!$R$2:$R$4115,"plays")</f>
        <v>12</v>
      </c>
      <c r="D7" s="23">
        <f>COUNTIFS(Kickstarter!$F$2:$F$4115,RIGHT(D$2,LEN(D$2)-SEARCH(" ",D$2)),Kickstarter!$D$2:$D$4115,"&gt;=15000",Kickstarter!$D$2:$D$4115,"&lt;=19999",Kickstarter!$R$2:$R$4115,"plays")</f>
        <v>12</v>
      </c>
      <c r="E7" s="23">
        <f>COUNTIFS(Kickstarter!$F$2:$F$4115,RIGHT(E$2,LEN(E$2)-SEARCH(" ",E$2)),Kickstarter!$D$2:$D$4115,"&gt;=15000",Kickstarter!$D$2:$D$4115,"&lt;=19999",Kickstarter!$R$2:$R$4115,"plays")</f>
        <v>0</v>
      </c>
      <c r="F7" s="23">
        <f t="shared" si="0"/>
        <v>24</v>
      </c>
      <c r="G7" s="24">
        <f t="shared" si="1"/>
        <v>0.5</v>
      </c>
      <c r="H7" s="24">
        <f t="shared" si="2"/>
        <v>0.5</v>
      </c>
      <c r="I7" s="24">
        <f t="shared" si="3"/>
        <v>0</v>
      </c>
    </row>
    <row r="8" spans="2:9" x14ac:dyDescent="0.25">
      <c r="B8" s="23" t="s">
        <v>8412</v>
      </c>
      <c r="C8" s="23">
        <f>COUNTIFS(Kickstarter!$F$2:$F$4115,RIGHT(C$2,LEN(C$2)-SEARCH(" ",C$2)),Kickstarter!$D$2:$D$4115,"&gt;=20000",Kickstarter!$D$2:$D$4115,"&lt;=24999",Kickstarter!$R$2:$R$4115,"plays")</f>
        <v>9</v>
      </c>
      <c r="D8" s="23">
        <f>COUNTIFS(Kickstarter!$F$2:$F$4115,RIGHT(D$2,LEN(D$2)-SEARCH(" ",D$2)),Kickstarter!$D$2:$D$4115,"&gt;=20000",Kickstarter!$D$2:$D$4115,"&lt;=24999",Kickstarter!$R$2:$R$4115,"plays")</f>
        <v>11</v>
      </c>
      <c r="E8" s="23">
        <f>COUNTIFS(Kickstarter!$F$2:$F$4115,RIGHT(E$2,LEN(E$2)-SEARCH(" ",E$2)),Kickstarter!$D$2:$D$4115,"&gt;=20000",Kickstarter!$D$2:$D$4115,"&lt;=24999",Kickstarter!$R$2:$R$4115,"plays")</f>
        <v>0</v>
      </c>
      <c r="F8" s="23">
        <f t="shared" si="0"/>
        <v>20</v>
      </c>
      <c r="G8" s="24">
        <f t="shared" si="1"/>
        <v>0.45</v>
      </c>
      <c r="H8" s="24">
        <f t="shared" si="2"/>
        <v>0.55000000000000004</v>
      </c>
      <c r="I8" s="24">
        <f t="shared" si="3"/>
        <v>0</v>
      </c>
    </row>
    <row r="9" spans="2:9" x14ac:dyDescent="0.25">
      <c r="B9" s="23" t="s">
        <v>8413</v>
      </c>
      <c r="C9" s="23">
        <f>COUNTIFS(Kickstarter!$F$2:$F$4115,RIGHT(C$2,LEN(C$2)-SEARCH(" ",C$2)),Kickstarter!$D$2:$D$4115,"&gt;=25000",Kickstarter!$D$2:$D$4115,"&lt;=29999",Kickstarter!$R$2:$R$4115,"plays")</f>
        <v>1</v>
      </c>
      <c r="D9" s="23">
        <f>COUNTIFS(Kickstarter!$F$2:$F$4115,RIGHT(D$2,LEN(D$2)-SEARCH(" ",D$2)),Kickstarter!$D$2:$D$4115,"&gt;=25000",Kickstarter!$D$2:$D$4115,"&lt;=29999",Kickstarter!$R$2:$R$4115,"plays")</f>
        <v>4</v>
      </c>
      <c r="E9" s="23">
        <f>COUNTIFS(Kickstarter!$F$2:$F$4115,RIGHT(E$2,LEN(E$2)-SEARCH(" ",E$2)),Kickstarter!$D$2:$D$4115,"&gt;=25000",Kickstarter!$D$2:$D$4115,"&lt;=29999",Kickstarter!$R$2:$R$4115,"plays")</f>
        <v>0</v>
      </c>
      <c r="F9" s="23">
        <f t="shared" si="0"/>
        <v>5</v>
      </c>
      <c r="G9" s="24">
        <f t="shared" si="1"/>
        <v>0.2</v>
      </c>
      <c r="H9" s="24">
        <f t="shared" si="2"/>
        <v>0.8</v>
      </c>
      <c r="I9" s="24">
        <f t="shared" si="3"/>
        <v>0</v>
      </c>
    </row>
    <row r="10" spans="2:9" x14ac:dyDescent="0.25">
      <c r="B10" s="23" t="s">
        <v>8414</v>
      </c>
      <c r="C10" s="23">
        <f>COUNTIFS(Kickstarter!$F$2:$F$4115,RIGHT(C$2,LEN(C$2)-SEARCH(" ",C$2)),Kickstarter!$D$2:$D$4115,"&gt;=30000",Kickstarter!$D$2:$D$4115,"&lt;=34999",Kickstarter!$R$2:$R$4115,"plays")</f>
        <v>3</v>
      </c>
      <c r="D10" s="23">
        <f>COUNTIFS(Kickstarter!$F$2:$F$4115,RIGHT(D$2,LEN(D$2)-SEARCH(" ",D$2)),Kickstarter!$D$2:$D$4115,"&gt;=30000",Kickstarter!$D$2:$D$4115,"&lt;=34999",Kickstarter!$R$2:$R$4115,"plays")</f>
        <v>8</v>
      </c>
      <c r="E10" s="23">
        <f>COUNTIFS(Kickstarter!$F$2:$F$4115,RIGHT(E$2,LEN(E$2)-SEARCH(" ",E$2)),Kickstarter!$D$2:$D$4115,"&gt;=30000",Kickstarter!$D$2:$D$4115,"&lt;=34999",Kickstarter!$R$2:$R$4115,"plays")</f>
        <v>0</v>
      </c>
      <c r="F10" s="23">
        <f t="shared" si="0"/>
        <v>11</v>
      </c>
      <c r="G10" s="24">
        <f t="shared" si="1"/>
        <v>0.27272727272727271</v>
      </c>
      <c r="H10" s="24">
        <f t="shared" si="2"/>
        <v>0.72727272727272729</v>
      </c>
      <c r="I10" s="24">
        <f t="shared" si="3"/>
        <v>0</v>
      </c>
    </row>
    <row r="11" spans="2:9" x14ac:dyDescent="0.25">
      <c r="B11" s="23" t="s">
        <v>8415</v>
      </c>
      <c r="C11" s="23">
        <f>COUNTIFS(Kickstarter!$F$2:$F$4115,RIGHT(C$2,LEN(C$2)-SEARCH(" ",C$2)),Kickstarter!$D$2:$D$4115,"&gt;=35000",Kickstarter!$D$2:$D$4115,"&lt;=39999",Kickstarter!$R$2:$R$4115,"plays")</f>
        <v>4</v>
      </c>
      <c r="D11" s="23">
        <f>COUNTIFS(Kickstarter!$F$2:$F$4115,RIGHT(D$2,LEN(D$2)-SEARCH(" ",D$2)),Kickstarter!$D$2:$D$4115,"&gt;=35000",Kickstarter!$D$2:$D$4115,"&lt;=39999",Kickstarter!$R$2:$R$4115,"plays")</f>
        <v>2</v>
      </c>
      <c r="E11" s="23">
        <f>COUNTIFS(Kickstarter!$F$2:$F$4115,RIGHT(E$2,LEN(E$2)-SEARCH(" ",E$2)),Kickstarter!$D$2:$D$4115,"&gt;=35000",Kickstarter!$D$2:$D$4115,"&lt;=39999",Kickstarter!$R$2:$R$4115,"plays")</f>
        <v>0</v>
      </c>
      <c r="F11" s="23">
        <f t="shared" si="0"/>
        <v>6</v>
      </c>
      <c r="G11" s="24">
        <f t="shared" si="1"/>
        <v>0.66666666666666663</v>
      </c>
      <c r="H11" s="24">
        <f t="shared" si="2"/>
        <v>0.33333333333333331</v>
      </c>
      <c r="I11" s="24">
        <f t="shared" si="3"/>
        <v>0</v>
      </c>
    </row>
    <row r="12" spans="2:9" x14ac:dyDescent="0.25">
      <c r="B12" s="23" t="s">
        <v>8416</v>
      </c>
      <c r="C12" s="23">
        <f>COUNTIFS(Kickstarter!$F$2:$F$4115,RIGHT(C$2,LEN(C$2)-SEARCH(" ",C$2)),Kickstarter!$D$2:$D$4115,"&gt;=40000",Kickstarter!$D$2:$D$4115,"&lt;=44999",Kickstarter!$R$2:$R$4115,"plays")</f>
        <v>2</v>
      </c>
      <c r="D12" s="23">
        <f>COUNTIFS(Kickstarter!$F$2:$F$4115,RIGHT(D$2,LEN(D$2)-SEARCH(" ",D$2)),Kickstarter!$D$2:$D$4115,"&gt;=40000",Kickstarter!$D$2:$D$4115,"&lt;=44999",Kickstarter!$R$2:$R$4115,"plays")</f>
        <v>1</v>
      </c>
      <c r="E12" s="23">
        <f>COUNTIFS(Kickstarter!$F$2:$F$4115,RIGHT(E$2,LEN(E$2)-SEARCH(" ",E$2)),Kickstarter!$D$2:$D$4115,"&gt;=40000",Kickstarter!$D$2:$D$4115,"&lt;=44999",Kickstarter!$R$2:$R$4115,"plays")</f>
        <v>0</v>
      </c>
      <c r="F12" s="23">
        <f t="shared" si="0"/>
        <v>3</v>
      </c>
      <c r="G12" s="24">
        <f t="shared" si="1"/>
        <v>0.66666666666666663</v>
      </c>
      <c r="H12" s="24">
        <f t="shared" si="2"/>
        <v>0.33333333333333331</v>
      </c>
      <c r="I12" s="24">
        <f t="shared" si="3"/>
        <v>0</v>
      </c>
    </row>
    <row r="13" spans="2:9" x14ac:dyDescent="0.25">
      <c r="B13" s="23" t="s">
        <v>8417</v>
      </c>
      <c r="C13" s="23">
        <f>COUNTIFS(Kickstarter!$F$2:$F$4115,RIGHT(C$2,LEN(C$2)-SEARCH(" ",C$2)),Kickstarter!$D$2:$D$4115,"&gt;=45000",Kickstarter!$D$2:$D$4115,"&lt;=49999",Kickstarter!$R$2:$R$4115,"plays")</f>
        <v>0</v>
      </c>
      <c r="D13" s="23">
        <f>COUNTIFS(Kickstarter!$F$2:$F$4115,RIGHT(D$2,LEN(D$2)-SEARCH(" ",D$2)),Kickstarter!$D$2:$D$4115,"&gt;=45000",Kickstarter!$D$2:$D$4115,"&lt;=49999",Kickstarter!$R$2:$R$4115,"plays")</f>
        <v>1</v>
      </c>
      <c r="E13" s="23">
        <f>COUNTIFS(Kickstarter!$F$2:$F$4115,RIGHT(E$2,LEN(E$2)-SEARCH(" ",E$2)),Kickstarter!$D$2:$D$4115,"&gt;=45000",Kickstarter!$D$2:$D$4115,"&lt;=49999",Kickstarter!$R$2:$R$4115,"plays")</f>
        <v>0</v>
      </c>
      <c r="F13" s="23">
        <f t="shared" si="0"/>
        <v>1</v>
      </c>
      <c r="G13" s="24">
        <f t="shared" si="1"/>
        <v>0</v>
      </c>
      <c r="H13" s="24">
        <f t="shared" si="2"/>
        <v>1</v>
      </c>
      <c r="I13" s="24">
        <f t="shared" si="3"/>
        <v>0</v>
      </c>
    </row>
    <row r="14" spans="2:9" x14ac:dyDescent="0.25">
      <c r="B14" s="23" t="s">
        <v>8418</v>
      </c>
      <c r="C14" s="23">
        <f>COUNTIFS(Kickstarter!$F$2:$F$4115,RIGHT(C$2,LEN(C$2)-SEARCH(" ",C$2)),Kickstarter!$D$2:$D$4115,"&gt;=50000",Kickstarter!$R$2:$R$4115,"plays")</f>
        <v>2</v>
      </c>
      <c r="D14" s="23">
        <f>COUNTIFS(Kickstarter!$F$2:$F$4115,RIGHT(D$2,LEN(D$2)-SEARCH(" ",D$2)),Kickstarter!$D$2:$D$4115,"&gt;=50000",Kickstarter!$R$2:$R$4115,"plays")</f>
        <v>14</v>
      </c>
      <c r="E14" s="23">
        <f>COUNTIFS(Kickstarter!$F$2:$F$4115,RIGHT(E$2,LEN(E$2)-SEARCH(" ",E$2)),Kickstarter!$D$2:$D$4115,"&gt;=50000",Kickstarter!$R$2:$R$4115,"plays")</f>
        <v>0</v>
      </c>
      <c r="F14" s="23">
        <f t="shared" si="0"/>
        <v>16</v>
      </c>
      <c r="G14" s="24">
        <f t="shared" si="1"/>
        <v>0.125</v>
      </c>
      <c r="H14" s="24">
        <f t="shared" si="2"/>
        <v>0.875</v>
      </c>
      <c r="I14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Theater Outcomes by Launch Date</vt:lpstr>
      <vt:lpstr>Outcomes Based on Goals</vt:lpstr>
      <vt:lpstr>GB_Musical_BP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Cullen W</cp:lastModifiedBy>
  <dcterms:created xsi:type="dcterms:W3CDTF">2017-04-20T15:17:24Z</dcterms:created>
  <dcterms:modified xsi:type="dcterms:W3CDTF">2022-06-22T01:35:01Z</dcterms:modified>
</cp:coreProperties>
</file>