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archivos ericson\2018\proyectos\claudia_castaneda\sgap\INFORMACION\"/>
    </mc:Choice>
  </mc:AlternateContent>
  <xr:revisionPtr revIDLastSave="0" documentId="13_ncr:1_{09E315DB-DA84-4F9B-BA1C-1C1463F5338D}" xr6:coauthVersionLast="40" xr6:coauthVersionMax="40" xr10:uidLastSave="{00000000-0000-0000-0000-000000000000}"/>
  <bookViews>
    <workbookView xWindow="0" yWindow="0" windowWidth="12120" windowHeight="11010" tabRatio="936" xr2:uid="{00000000-000D-0000-FFFF-FFFF00000000}"/>
  </bookViews>
  <sheets>
    <sheet name="V1 -CLA" sheetId="1" r:id="rId1"/>
    <sheet name="V1 GPS" sheetId="2" r:id="rId2"/>
    <sheet name="V1 TASAS BACKUP" sheetId="13" r:id="rId3"/>
    <sheet name="V1 DESC" sheetId="6" r:id="rId4"/>
    <sheet name="Hoja1" sheetId="14" r:id="rId5"/>
    <sheet name="V1 TASAS" sheetId="4" r:id="rId6"/>
    <sheet name="V1 Desccuentos Contra Comsiones" sheetId="7" r:id="rId7"/>
    <sheet name="V1 MARCAS - MODELOS" sheetId="12" r:id="rId8"/>
    <sheet name="DEDUCIBLES" sheetId="11" r:id="rId9"/>
    <sheet name="V1 FINANCIAMIENTOS" sheetId="10" r:id="rId10"/>
    <sheet name="INGRESO DE INFORMACION" sheetId="3" r:id="rId11"/>
    <sheet name="V1 COTIZACION" sheetId="8" r:id="rId12"/>
  </sheets>
  <externalReferences>
    <externalReference r:id="rId13"/>
  </externalReferences>
  <definedNames>
    <definedName name="_xlnm._FilterDatabase" localSheetId="11" hidden="1">'V1 COTIZACION'!#REF!</definedName>
    <definedName name="_xlnm._FilterDatabase" localSheetId="5" hidden="1">'V1 TASAS'!$L$1:$P$181</definedName>
    <definedName name="_xlnm._FilterDatabase" localSheetId="2" hidden="1">'V1 TASAS BACKUP'!$L$1:$P$181</definedName>
    <definedName name="Altoriesgo">'V1 DESC'!$K$4</definedName>
    <definedName name="Altoriesgo1">'V1 DESC'!$E$4:$E$14</definedName>
    <definedName name="Altoriesgo2">'V1 DESC'!$F$4:$F$14</definedName>
    <definedName name="AR">'V1 Desccuentos Contra Comsiones'!$K$6:$K$16</definedName>
    <definedName name="_xlnm.Print_Area" localSheetId="11">'V1 COTIZACION'!$B$1:$L$145</definedName>
    <definedName name="AUDI">'V1 MARCAS - MODELOS'!$A$2:$A$38</definedName>
    <definedName name="Bajoriesgo">'V1 DESC'!$I$4:$I$24</definedName>
    <definedName name="Bajoriesgo1">'V1 DESC'!$C$4:$C$14</definedName>
    <definedName name="Bajoriesgo2">'V1 DESC'!$D$4:$D$14</definedName>
    <definedName name="BMW">'V1 MARCAS - MODELOS'!$B$2:$B$35</definedName>
    <definedName name="BR">'V1 Desccuentos Contra Comsiones'!$I$6:$I$16</definedName>
    <definedName name="CHEVROLET">'V1 MARCAS - MODELOS'!$C$2:$C$38</definedName>
    <definedName name="CITROEN">'V1 MARCAS - MODELOS'!$D$2:$D$38</definedName>
    <definedName name="DAIHATSU">'V1 MARCAS - MODELOS'!$E$2</definedName>
    <definedName name="DODGE">'V1 MARCAS - MODELOS'!$F$2:$F$38</definedName>
    <definedName name="FIAT">'V1 MARCAS - MODELOS'!$G$2:$G$38</definedName>
    <definedName name="FORD">'V1 MARCAS - MODELOS'!$H$2:$H$38</definedName>
    <definedName name="HONDA">'V1 MARCAS - MODELOS'!$I$2:$I$38</definedName>
    <definedName name="HYUNDAI">'V1 MARCAS - MODELOS'!$J$2:$J$38</definedName>
    <definedName name="JEEP">'V1 MARCAS - MODELOS'!$K$2:$K$38</definedName>
    <definedName name="KIA">'V1 MARCAS - MODELOS'!$L$2:$L$38</definedName>
    <definedName name="LANDROVER">'V1 MARCAS - MODELOS'!$M$2:$M$38</definedName>
    <definedName name="MAZDA">'V1 MARCAS - MODELOS'!$N$2:$N$38</definedName>
    <definedName name="Medianoriesgo">'V1 DESC'!$J$4:$J$24</definedName>
    <definedName name="MERCEDESBENZ">'V1 MARCAS - MODELOS'!$O$2:$O$38</definedName>
    <definedName name="MITSUBISHI">'V1 MARCAS - MODELOS'!$P$2:$P$38</definedName>
    <definedName name="MR">'V1 Desccuentos Contra Comsiones'!$J$6:$J$16</definedName>
    <definedName name="NISSAN">'V1 MARCAS - MODELOS'!$Q$2:$Q$38</definedName>
    <definedName name="PEUGEOT">'V1 MARCAS - MODELOS'!$R$2:$R$38</definedName>
    <definedName name="PORSCHE">'V1 MARCAS - MODELOS'!$S$2:$S$38</definedName>
    <definedName name="RENAULT">'V1 MARCAS - MODELOS'!$T$2:$T$38</definedName>
    <definedName name="SEAT">'V1 MARCAS - MODELOS'!$U$2:$U$38</definedName>
    <definedName name="SKODA">'V1 MARCAS - MODELOS'!$V$2:$V$38</definedName>
    <definedName name="SSANGYONG">'V1 MARCAS - MODELOS'!$W$2:$W$38</definedName>
    <definedName name="SUBARU">'V1 MARCAS - MODELOS'!$X$2:$X$38</definedName>
    <definedName name="SUZUKI">'V1 MARCAS - MODELOS'!$Y$2:$Y$38</definedName>
    <definedName name="TOYOTA">'V1 MARCAS - MODELOS'!$Z$2:$Z$38</definedName>
    <definedName name="VOLKSWAGEN">'V1 MARCAS - MODELOS'!$AA$2:$AA$38</definedName>
    <definedName name="VOLVO">'V1 MARCAS - MODELOS'!$AB$2:$AB$38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5" i="1" l="1"/>
  <c r="L181" i="13" l="1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R81" i="13"/>
  <c r="L81" i="13"/>
  <c r="B81" i="13"/>
  <c r="R80" i="13"/>
  <c r="L80" i="13"/>
  <c r="B80" i="13"/>
  <c r="R79" i="13"/>
  <c r="L79" i="13"/>
  <c r="B79" i="13"/>
  <c r="R78" i="13"/>
  <c r="L78" i="13"/>
  <c r="B78" i="13"/>
  <c r="R77" i="13"/>
  <c r="L77" i="13"/>
  <c r="B77" i="13"/>
  <c r="R76" i="13"/>
  <c r="L76" i="13"/>
  <c r="B76" i="13"/>
  <c r="R75" i="13"/>
  <c r="L75" i="13"/>
  <c r="B75" i="13"/>
  <c r="R74" i="13"/>
  <c r="L74" i="13"/>
  <c r="B74" i="13"/>
  <c r="R73" i="13"/>
  <c r="L73" i="13"/>
  <c r="B73" i="13"/>
  <c r="R72" i="13"/>
  <c r="L72" i="13"/>
  <c r="B72" i="13"/>
  <c r="R71" i="13"/>
  <c r="L71" i="13"/>
  <c r="B71" i="13"/>
  <c r="R70" i="13"/>
  <c r="L70" i="13"/>
  <c r="B70" i="13"/>
  <c r="R69" i="13"/>
  <c r="L69" i="13"/>
  <c r="B69" i="13"/>
  <c r="R68" i="13"/>
  <c r="L68" i="13"/>
  <c r="B68" i="13"/>
  <c r="R67" i="13"/>
  <c r="L67" i="13"/>
  <c r="B67" i="13"/>
  <c r="R66" i="13"/>
  <c r="L66" i="13"/>
  <c r="B66" i="13"/>
  <c r="R65" i="13"/>
  <c r="L65" i="13"/>
  <c r="B65" i="13"/>
  <c r="R64" i="13"/>
  <c r="L64" i="13"/>
  <c r="B64" i="13"/>
  <c r="R63" i="13"/>
  <c r="L63" i="13"/>
  <c r="B63" i="13"/>
  <c r="R62" i="13"/>
  <c r="L62" i="13"/>
  <c r="B62" i="13"/>
  <c r="R61" i="13"/>
  <c r="L61" i="13"/>
  <c r="G61" i="13"/>
  <c r="B61" i="13"/>
  <c r="R60" i="13"/>
  <c r="L60" i="13"/>
  <c r="G60" i="13"/>
  <c r="B60" i="13"/>
  <c r="R59" i="13"/>
  <c r="L59" i="13"/>
  <c r="G59" i="13"/>
  <c r="B59" i="13"/>
  <c r="R58" i="13"/>
  <c r="L58" i="13"/>
  <c r="G58" i="13"/>
  <c r="B58" i="13"/>
  <c r="R57" i="13"/>
  <c r="L57" i="13"/>
  <c r="G57" i="13"/>
  <c r="B57" i="13"/>
  <c r="R56" i="13"/>
  <c r="L56" i="13"/>
  <c r="G56" i="13"/>
  <c r="B56" i="13"/>
  <c r="R55" i="13"/>
  <c r="L55" i="13"/>
  <c r="G55" i="13"/>
  <c r="B55" i="13"/>
  <c r="R54" i="13"/>
  <c r="L54" i="13"/>
  <c r="G54" i="13"/>
  <c r="B54" i="13"/>
  <c r="R53" i="13"/>
  <c r="L53" i="13"/>
  <c r="G53" i="13"/>
  <c r="B53" i="13"/>
  <c r="R52" i="13"/>
  <c r="L52" i="13"/>
  <c r="G52" i="13"/>
  <c r="B52" i="13"/>
  <c r="R51" i="13"/>
  <c r="L51" i="13"/>
  <c r="G51" i="13"/>
  <c r="B51" i="13"/>
  <c r="R50" i="13"/>
  <c r="L50" i="13"/>
  <c r="G50" i="13"/>
  <c r="B50" i="13"/>
  <c r="R49" i="13"/>
  <c r="L49" i="13"/>
  <c r="G49" i="13"/>
  <c r="B49" i="13"/>
  <c r="R48" i="13"/>
  <c r="L48" i="13"/>
  <c r="G48" i="13"/>
  <c r="B48" i="13"/>
  <c r="R47" i="13"/>
  <c r="L47" i="13"/>
  <c r="G47" i="13"/>
  <c r="B47" i="13"/>
  <c r="R46" i="13"/>
  <c r="L46" i="13"/>
  <c r="G46" i="13"/>
  <c r="B46" i="13"/>
  <c r="R45" i="13"/>
  <c r="L45" i="13"/>
  <c r="G45" i="13"/>
  <c r="B45" i="13"/>
  <c r="R44" i="13"/>
  <c r="L44" i="13"/>
  <c r="G44" i="13"/>
  <c r="B44" i="13"/>
  <c r="R43" i="13"/>
  <c r="L43" i="13"/>
  <c r="G43" i="13"/>
  <c r="B43" i="13"/>
  <c r="R42" i="13"/>
  <c r="L42" i="13"/>
  <c r="G42" i="13"/>
  <c r="B42" i="13"/>
  <c r="R41" i="13"/>
  <c r="L41" i="13"/>
  <c r="G41" i="13"/>
  <c r="B41" i="13"/>
  <c r="R40" i="13"/>
  <c r="L40" i="13"/>
  <c r="G40" i="13"/>
  <c r="B40" i="13"/>
  <c r="R39" i="13"/>
  <c r="L39" i="13"/>
  <c r="G39" i="13"/>
  <c r="B39" i="13"/>
  <c r="R38" i="13"/>
  <c r="L38" i="13"/>
  <c r="G38" i="13"/>
  <c r="B38" i="13"/>
  <c r="R37" i="13"/>
  <c r="L37" i="13"/>
  <c r="G37" i="13"/>
  <c r="B37" i="13"/>
  <c r="R36" i="13"/>
  <c r="L36" i="13"/>
  <c r="G36" i="13"/>
  <c r="B36" i="13"/>
  <c r="R35" i="13"/>
  <c r="L35" i="13"/>
  <c r="G35" i="13"/>
  <c r="B35" i="13"/>
  <c r="R34" i="13"/>
  <c r="L34" i="13"/>
  <c r="G34" i="13"/>
  <c r="B34" i="13"/>
  <c r="R33" i="13"/>
  <c r="L33" i="13"/>
  <c r="G33" i="13"/>
  <c r="B33" i="13"/>
  <c r="R32" i="13"/>
  <c r="L32" i="13"/>
  <c r="G32" i="13"/>
  <c r="B32" i="13"/>
  <c r="R31" i="13"/>
  <c r="L31" i="13"/>
  <c r="G31" i="13"/>
  <c r="B31" i="13"/>
  <c r="R30" i="13"/>
  <c r="L30" i="13"/>
  <c r="G30" i="13"/>
  <c r="B30" i="13"/>
  <c r="R29" i="13"/>
  <c r="L29" i="13"/>
  <c r="G29" i="13"/>
  <c r="B29" i="13"/>
  <c r="R28" i="13"/>
  <c r="L28" i="13"/>
  <c r="G28" i="13"/>
  <c r="B28" i="13"/>
  <c r="R27" i="13"/>
  <c r="L27" i="13"/>
  <c r="G27" i="13"/>
  <c r="B27" i="13"/>
  <c r="R26" i="13"/>
  <c r="L26" i="13"/>
  <c r="G26" i="13"/>
  <c r="B26" i="13"/>
  <c r="R25" i="13"/>
  <c r="L25" i="13"/>
  <c r="G25" i="13"/>
  <c r="B25" i="13"/>
  <c r="R24" i="13"/>
  <c r="L24" i="13"/>
  <c r="G24" i="13"/>
  <c r="B24" i="13"/>
  <c r="R23" i="13"/>
  <c r="L23" i="13"/>
  <c r="G23" i="13"/>
  <c r="B23" i="13"/>
  <c r="R22" i="13"/>
  <c r="L22" i="13"/>
  <c r="G22" i="13"/>
  <c r="B22" i="13"/>
  <c r="R21" i="13"/>
  <c r="L21" i="13"/>
  <c r="G21" i="13"/>
  <c r="B21" i="13"/>
  <c r="R20" i="13"/>
  <c r="L20" i="13"/>
  <c r="G20" i="13"/>
  <c r="B20" i="13"/>
  <c r="R19" i="13"/>
  <c r="L19" i="13"/>
  <c r="G19" i="13"/>
  <c r="B19" i="13"/>
  <c r="R18" i="13"/>
  <c r="L18" i="13"/>
  <c r="G18" i="13"/>
  <c r="B18" i="13"/>
  <c r="R17" i="13"/>
  <c r="L17" i="13"/>
  <c r="G17" i="13"/>
  <c r="B17" i="13"/>
  <c r="R16" i="13"/>
  <c r="L16" i="13"/>
  <c r="G16" i="13"/>
  <c r="B16" i="13"/>
  <c r="R15" i="13"/>
  <c r="L15" i="13"/>
  <c r="G15" i="13"/>
  <c r="B15" i="13"/>
  <c r="R14" i="13"/>
  <c r="L14" i="13"/>
  <c r="G14" i="13"/>
  <c r="B14" i="13"/>
  <c r="R13" i="13"/>
  <c r="L13" i="13"/>
  <c r="G13" i="13"/>
  <c r="B13" i="13"/>
  <c r="R12" i="13"/>
  <c r="L12" i="13"/>
  <c r="G12" i="13"/>
  <c r="B12" i="13"/>
  <c r="R11" i="13"/>
  <c r="L11" i="13"/>
  <c r="G11" i="13"/>
  <c r="B11" i="13"/>
  <c r="R10" i="13"/>
  <c r="L10" i="13"/>
  <c r="G10" i="13"/>
  <c r="B10" i="13"/>
  <c r="R9" i="13"/>
  <c r="L9" i="13"/>
  <c r="G9" i="13"/>
  <c r="B9" i="13"/>
  <c r="R8" i="13"/>
  <c r="L8" i="13"/>
  <c r="G8" i="13"/>
  <c r="B8" i="13"/>
  <c r="R7" i="13"/>
  <c r="L7" i="13"/>
  <c r="G7" i="13"/>
  <c r="B7" i="13"/>
  <c r="R6" i="13"/>
  <c r="L6" i="13"/>
  <c r="G6" i="13"/>
  <c r="B6" i="13"/>
  <c r="R5" i="13"/>
  <c r="L5" i="13"/>
  <c r="G5" i="13"/>
  <c r="B5" i="13"/>
  <c r="R4" i="13"/>
  <c r="L4" i="13"/>
  <c r="G4" i="13"/>
  <c r="B4" i="13"/>
  <c r="R3" i="13"/>
  <c r="L3" i="13"/>
  <c r="G3" i="13"/>
  <c r="B3" i="13"/>
  <c r="R2" i="13"/>
  <c r="L2" i="13"/>
  <c r="G2" i="13"/>
  <c r="B2" i="13"/>
  <c r="J20" i="8" l="1"/>
  <c r="L101" i="1" l="1"/>
  <c r="J21" i="6" l="1"/>
  <c r="I21" i="6"/>
  <c r="J20" i="6"/>
  <c r="I20" i="6"/>
  <c r="E26" i="3" l="1"/>
  <c r="L98" i="1" l="1"/>
  <c r="G58" i="1" l="1"/>
  <c r="G57" i="1"/>
  <c r="G56" i="1"/>
  <c r="G116" i="1"/>
  <c r="G117" i="1"/>
  <c r="G118" i="1"/>
  <c r="D20" i="8" l="1"/>
  <c r="F20" i="8"/>
  <c r="O2" i="10" l="1"/>
  <c r="R81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B20" i="11"/>
  <c r="B19" i="11"/>
  <c r="B18" i="11"/>
  <c r="H28" i="11" l="1"/>
  <c r="H27" i="11" l="1"/>
  <c r="H26" i="11"/>
  <c r="H25" i="11"/>
  <c r="H24" i="11"/>
  <c r="H23" i="11"/>
  <c r="H22" i="11"/>
  <c r="H21" i="11"/>
  <c r="H20" i="11"/>
  <c r="H17" i="11"/>
  <c r="H16" i="11"/>
  <c r="H15" i="11"/>
  <c r="H14" i="11"/>
  <c r="H13" i="11"/>
  <c r="B13" i="11"/>
  <c r="H12" i="11"/>
  <c r="B12" i="11"/>
  <c r="H11" i="11"/>
  <c r="B11" i="11"/>
  <c r="H10" i="11"/>
  <c r="B10" i="11"/>
  <c r="H9" i="11"/>
  <c r="B9" i="11"/>
  <c r="H8" i="11"/>
  <c r="B8" i="11"/>
  <c r="H7" i="11"/>
  <c r="B7" i="11"/>
  <c r="H6" i="11"/>
  <c r="B6" i="11"/>
  <c r="H20" i="8"/>
  <c r="B20" i="8"/>
  <c r="E13" i="8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I84" i="8"/>
  <c r="AF75" i="8"/>
  <c r="AH71" i="8" s="1"/>
  <c r="AF71" i="8"/>
  <c r="G29" i="8"/>
  <c r="E29" i="8"/>
  <c r="J9" i="8"/>
  <c r="L9" i="8" s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D26" i="3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G10" i="1"/>
  <c r="I18" i="3" l="1"/>
  <c r="D4" i="3"/>
  <c r="L2" i="4"/>
  <c r="K4" i="6" l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C4" i="3"/>
  <c r="C5" i="3" l="1"/>
  <c r="F4" i="2" s="1"/>
  <c r="R2" i="4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S27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J27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L93" i="1"/>
  <c r="L100" i="1"/>
  <c r="L99" i="1"/>
  <c r="L97" i="1"/>
  <c r="L96" i="1"/>
  <c r="L95" i="1"/>
  <c r="L94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92" i="1"/>
  <c r="L91" i="1"/>
  <c r="L90" i="1"/>
  <c r="L89" i="1"/>
  <c r="L88" i="1"/>
  <c r="L87" i="1"/>
  <c r="L86" i="1"/>
  <c r="L85" i="1"/>
  <c r="L84" i="1"/>
  <c r="L83" i="1"/>
  <c r="L65" i="1"/>
  <c r="L64" i="1"/>
  <c r="L63" i="1"/>
  <c r="L62" i="1"/>
  <c r="L61" i="1"/>
  <c r="L38" i="1"/>
  <c r="L39" i="1"/>
  <c r="L37" i="1"/>
  <c r="L36" i="1"/>
  <c r="L35" i="1"/>
  <c r="L34" i="1"/>
  <c r="L33" i="1"/>
  <c r="L19" i="1"/>
  <c r="L17" i="1"/>
  <c r="L18" i="1"/>
  <c r="L16" i="1"/>
  <c r="L10" i="1"/>
  <c r="L7" i="1"/>
  <c r="L6" i="1"/>
  <c r="L29" i="1"/>
  <c r="L27" i="1"/>
  <c r="L25" i="1"/>
  <c r="L22" i="1"/>
  <c r="L20" i="1"/>
  <c r="L32" i="1"/>
  <c r="L15" i="1"/>
  <c r="L12" i="1"/>
  <c r="L11" i="1"/>
  <c r="L14" i="1"/>
  <c r="L9" i="1"/>
  <c r="L8" i="1"/>
  <c r="L13" i="1"/>
  <c r="L31" i="1"/>
  <c r="L30" i="1"/>
  <c r="L28" i="1"/>
  <c r="L26" i="1"/>
  <c r="L24" i="1"/>
  <c r="L23" i="1"/>
  <c r="L21" i="1"/>
  <c r="G31" i="1"/>
  <c r="G123" i="1"/>
  <c r="G122" i="1"/>
  <c r="G121" i="1"/>
  <c r="G120" i="1"/>
  <c r="G119" i="1"/>
  <c r="G115" i="1"/>
  <c r="G114" i="1"/>
  <c r="G113" i="1"/>
  <c r="G112" i="1"/>
  <c r="G111" i="1"/>
  <c r="G110" i="1"/>
  <c r="G109" i="1"/>
  <c r="G108" i="1"/>
  <c r="G107" i="1"/>
  <c r="G106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105" i="1"/>
  <c r="G48" i="1"/>
  <c r="G51" i="1"/>
  <c r="G50" i="1"/>
  <c r="G47" i="1"/>
  <c r="G46" i="1"/>
  <c r="G45" i="1"/>
  <c r="G49" i="1"/>
  <c r="G44" i="1"/>
  <c r="G42" i="1"/>
  <c r="G41" i="1"/>
  <c r="G40" i="1"/>
  <c r="G39" i="1"/>
  <c r="G38" i="1"/>
  <c r="G37" i="1"/>
  <c r="G36" i="1"/>
  <c r="G35" i="1"/>
  <c r="G34" i="1"/>
  <c r="G43" i="1"/>
  <c r="G33" i="1"/>
  <c r="G32" i="1"/>
  <c r="G124" i="1"/>
  <c r="G29" i="1"/>
  <c r="G30" i="1"/>
  <c r="G18" i="1"/>
  <c r="G25" i="1"/>
  <c r="G26" i="1"/>
  <c r="G24" i="1"/>
  <c r="G23" i="1"/>
  <c r="G22" i="1"/>
  <c r="G21" i="1"/>
  <c r="G20" i="1"/>
  <c r="G19" i="1"/>
  <c r="G28" i="1"/>
  <c r="G16" i="1"/>
  <c r="G15" i="1"/>
  <c r="G17" i="1"/>
  <c r="G14" i="1"/>
  <c r="G27" i="1"/>
  <c r="G13" i="1"/>
  <c r="G75" i="1"/>
  <c r="G83" i="1"/>
  <c r="G82" i="1"/>
  <c r="G81" i="1"/>
  <c r="G86" i="1"/>
  <c r="G80" i="1"/>
  <c r="G79" i="1"/>
  <c r="G85" i="1"/>
  <c r="G78" i="1"/>
  <c r="G6" i="1"/>
  <c r="G76" i="1"/>
  <c r="G74" i="1"/>
  <c r="G73" i="1"/>
  <c r="G71" i="1"/>
  <c r="G84" i="1"/>
  <c r="G70" i="1"/>
  <c r="G69" i="1"/>
  <c r="G68" i="1"/>
  <c r="G67" i="1"/>
  <c r="G66" i="1"/>
  <c r="G77" i="1"/>
  <c r="G72" i="1"/>
  <c r="G54" i="1"/>
  <c r="G55" i="1"/>
  <c r="G52" i="1"/>
  <c r="G53" i="1"/>
  <c r="G104" i="1"/>
  <c r="G103" i="1"/>
  <c r="G11" i="1"/>
  <c r="G12" i="1"/>
  <c r="G7" i="1"/>
  <c r="G9" i="1"/>
  <c r="G8" i="1"/>
  <c r="G88" i="1"/>
  <c r="G87" i="1"/>
  <c r="B42" i="1"/>
  <c r="B43" i="1"/>
  <c r="B44" i="1"/>
  <c r="B45" i="1"/>
  <c r="B46" i="1"/>
  <c r="B47" i="1"/>
  <c r="B48" i="1"/>
  <c r="B49" i="1"/>
  <c r="B50" i="1"/>
  <c r="B6" i="1"/>
  <c r="B51" i="1"/>
  <c r="B52" i="1"/>
  <c r="B53" i="1"/>
  <c r="B54" i="1"/>
  <c r="B55" i="1"/>
  <c r="B56" i="1"/>
  <c r="B57" i="1"/>
  <c r="B58" i="1"/>
  <c r="B59" i="1"/>
  <c r="B60" i="1"/>
  <c r="B24" i="1"/>
  <c r="B61" i="1"/>
  <c r="B62" i="1"/>
  <c r="B63" i="1"/>
  <c r="B64" i="1"/>
  <c r="B7" i="1"/>
  <c r="B8" i="1"/>
  <c r="B25" i="1"/>
  <c r="B26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7" i="1"/>
  <c r="B87" i="1"/>
  <c r="B28" i="1"/>
  <c r="B29" i="1"/>
  <c r="B30" i="1"/>
  <c r="B88" i="1"/>
  <c r="B89" i="1"/>
  <c r="B90" i="1"/>
  <c r="B91" i="1"/>
  <c r="B92" i="1"/>
  <c r="B93" i="1"/>
  <c r="B94" i="1"/>
  <c r="B9" i="1"/>
  <c r="B95" i="1"/>
  <c r="B96" i="1"/>
  <c r="B97" i="1"/>
  <c r="B98" i="1"/>
  <c r="B99" i="1"/>
  <c r="B100" i="1"/>
  <c r="B101" i="1"/>
  <c r="B10" i="1"/>
  <c r="B11" i="1"/>
  <c r="B12" i="1"/>
  <c r="B13" i="1"/>
  <c r="B14" i="1"/>
  <c r="B31" i="1"/>
  <c r="B32" i="1"/>
  <c r="B102" i="1"/>
  <c r="B103" i="1"/>
  <c r="B104" i="1"/>
  <c r="B105" i="1"/>
  <c r="B106" i="1"/>
  <c r="E18" i="3" l="1"/>
  <c r="G18" i="3"/>
  <c r="F15" i="2"/>
  <c r="H15" i="2" s="1"/>
  <c r="AG24" i="2"/>
  <c r="AI24" i="2" s="1"/>
  <c r="X3" i="2"/>
  <c r="Z3" i="2" s="1"/>
  <c r="AG11" i="2"/>
  <c r="AI11" i="2" s="1"/>
  <c r="F19" i="2"/>
  <c r="H19" i="2" s="1"/>
  <c r="X12" i="2"/>
  <c r="Z12" i="2" s="1"/>
  <c r="O4" i="2"/>
  <c r="Q4" i="2" s="1"/>
  <c r="F27" i="2"/>
  <c r="H27" i="2" s="1"/>
  <c r="X21" i="2"/>
  <c r="Z21" i="2" s="1"/>
  <c r="O13" i="2"/>
  <c r="Q13" i="2" s="1"/>
  <c r="F6" i="2"/>
  <c r="H6" i="2" s="1"/>
  <c r="X16" i="2"/>
  <c r="Z16" i="2" s="1"/>
  <c r="X25" i="2"/>
  <c r="Z25" i="2" s="1"/>
  <c r="AG6" i="2"/>
  <c r="AI6" i="2" s="1"/>
  <c r="O6" i="2"/>
  <c r="Q6" i="2" s="1"/>
  <c r="F16" i="2"/>
  <c r="H16" i="2" s="1"/>
  <c r="F17" i="2"/>
  <c r="H17" i="2" s="1"/>
  <c r="F18" i="2"/>
  <c r="H18" i="2" s="1"/>
  <c r="X10" i="2"/>
  <c r="Z10" i="2" s="1"/>
  <c r="X19" i="2"/>
  <c r="Z19" i="2" s="1"/>
  <c r="X5" i="2"/>
  <c r="Z5" i="2" s="1"/>
  <c r="AG8" i="2"/>
  <c r="AI8" i="2" s="1"/>
  <c r="AG9" i="2"/>
  <c r="AI9" i="2" s="1"/>
  <c r="AG18" i="2"/>
  <c r="AI18" i="2" s="1"/>
  <c r="O20" i="2"/>
  <c r="Q20" i="2" s="1"/>
  <c r="O22" i="2"/>
  <c r="Q22" i="2" s="1"/>
  <c r="F5" i="2"/>
  <c r="H5" i="2" s="1"/>
  <c r="F23" i="2"/>
  <c r="H23" i="2" s="1"/>
  <c r="X7" i="2"/>
  <c r="Z7" i="2" s="1"/>
  <c r="AG15" i="2"/>
  <c r="AI15" i="2" s="1"/>
  <c r="O8" i="2"/>
  <c r="Q8" i="2" s="1"/>
  <c r="F20" i="2"/>
  <c r="H20" i="2" s="1"/>
  <c r="F21" i="2"/>
  <c r="H21" i="2" s="1"/>
  <c r="F22" i="2"/>
  <c r="H22" i="2" s="1"/>
  <c r="X14" i="2"/>
  <c r="Z14" i="2" s="1"/>
  <c r="X23" i="2"/>
  <c r="Z23" i="2" s="1"/>
  <c r="X9" i="2"/>
  <c r="Z9" i="2" s="1"/>
  <c r="AG12" i="2"/>
  <c r="AI12" i="2" s="1"/>
  <c r="AG13" i="2"/>
  <c r="AI13" i="2" s="1"/>
  <c r="AG22" i="2"/>
  <c r="AI22" i="2" s="1"/>
  <c r="O24" i="2"/>
  <c r="Q24" i="2" s="1"/>
  <c r="O19" i="2"/>
  <c r="Q19" i="2" s="1"/>
  <c r="O17" i="2"/>
  <c r="Q17" i="2" s="1"/>
  <c r="O10" i="2"/>
  <c r="Q10" i="2" s="1"/>
  <c r="O7" i="2"/>
  <c r="Q7" i="2" s="1"/>
  <c r="O23" i="2"/>
  <c r="Q23" i="2" s="1"/>
  <c r="F8" i="2"/>
  <c r="H8" i="2" s="1"/>
  <c r="F24" i="2"/>
  <c r="H24" i="2" s="1"/>
  <c r="F9" i="2"/>
  <c r="H9" i="2" s="1"/>
  <c r="F25" i="2"/>
  <c r="H25" i="2" s="1"/>
  <c r="F10" i="2"/>
  <c r="H10" i="2" s="1"/>
  <c r="F26" i="2"/>
  <c r="H26" i="2" s="1"/>
  <c r="O3" i="2"/>
  <c r="Q3" i="2" s="1"/>
  <c r="X18" i="2"/>
  <c r="Z18" i="2" s="1"/>
  <c r="X11" i="2"/>
  <c r="Z11" i="2" s="1"/>
  <c r="X4" i="2"/>
  <c r="Z4" i="2" s="1"/>
  <c r="X20" i="2"/>
  <c r="Z20" i="2" s="1"/>
  <c r="X13" i="2"/>
  <c r="Z13" i="2" s="1"/>
  <c r="AG3" i="2"/>
  <c r="AI3" i="2" s="1"/>
  <c r="AG16" i="2"/>
  <c r="AI16" i="2" s="1"/>
  <c r="AG23" i="2"/>
  <c r="AI23" i="2" s="1"/>
  <c r="AG17" i="2"/>
  <c r="AI17" i="2" s="1"/>
  <c r="AG10" i="2"/>
  <c r="AI10" i="2" s="1"/>
  <c r="AG7" i="2"/>
  <c r="AI7" i="2" s="1"/>
  <c r="O12" i="2"/>
  <c r="Q12" i="2" s="1"/>
  <c r="O5" i="2"/>
  <c r="Q5" i="2" s="1"/>
  <c r="O21" i="2"/>
  <c r="Q21" i="2" s="1"/>
  <c r="O14" i="2"/>
  <c r="Q14" i="2" s="1"/>
  <c r="O11" i="2"/>
  <c r="Q11" i="2" s="1"/>
  <c r="F12" i="2"/>
  <c r="H12" i="2" s="1"/>
  <c r="F3" i="2"/>
  <c r="F13" i="2"/>
  <c r="H13" i="2" s="1"/>
  <c r="F11" i="2"/>
  <c r="H11" i="2" s="1"/>
  <c r="F14" i="2"/>
  <c r="H14" i="2" s="1"/>
  <c r="F7" i="2"/>
  <c r="H7" i="2" s="1"/>
  <c r="X6" i="2"/>
  <c r="Z6" i="2" s="1"/>
  <c r="X22" i="2"/>
  <c r="Z22" i="2" s="1"/>
  <c r="X15" i="2"/>
  <c r="Z15" i="2" s="1"/>
  <c r="X8" i="2"/>
  <c r="Z8" i="2" s="1"/>
  <c r="X24" i="2"/>
  <c r="Z24" i="2" s="1"/>
  <c r="X17" i="2"/>
  <c r="Z17" i="2" s="1"/>
  <c r="AG4" i="2"/>
  <c r="AI4" i="2" s="1"/>
  <c r="AG20" i="2"/>
  <c r="AI20" i="2" s="1"/>
  <c r="AG5" i="2"/>
  <c r="AI5" i="2" s="1"/>
  <c r="AG21" i="2"/>
  <c r="AI21" i="2" s="1"/>
  <c r="AG14" i="2"/>
  <c r="AI14" i="2" s="1"/>
  <c r="AG19" i="2"/>
  <c r="AI19" i="2" s="1"/>
  <c r="O16" i="2"/>
  <c r="Q16" i="2" s="1"/>
  <c r="O9" i="2"/>
  <c r="Q9" i="2" s="1"/>
  <c r="O25" i="2"/>
  <c r="Q25" i="2" s="1"/>
  <c r="O18" i="2"/>
  <c r="Q18" i="2" s="1"/>
  <c r="O15" i="2"/>
  <c r="Q15" i="2" s="1"/>
  <c r="I20" i="3"/>
  <c r="I24" i="3" s="1"/>
  <c r="I29" i="3" s="1"/>
  <c r="I31" i="3" s="1"/>
  <c r="D18" i="3"/>
  <c r="H4" i="2"/>
  <c r="I126" i="8" l="1"/>
  <c r="I117" i="8"/>
  <c r="I16" i="3"/>
  <c r="K32" i="8" s="1"/>
  <c r="G27" i="3"/>
  <c r="G29" i="3" s="1"/>
  <c r="G31" i="3" s="1"/>
  <c r="G32" i="3" s="1"/>
  <c r="I30" i="8" s="1"/>
  <c r="I113" i="8"/>
  <c r="I114" i="8" s="1"/>
  <c r="E22" i="3"/>
  <c r="G114" i="8" s="1"/>
  <c r="E20" i="3"/>
  <c r="G16" i="3"/>
  <c r="I32" i="8" s="1"/>
  <c r="D16" i="3"/>
  <c r="E32" i="8" s="1"/>
  <c r="E16" i="3"/>
  <c r="G32" i="8" s="1"/>
  <c r="K30" i="8"/>
  <c r="L49" i="8" s="1"/>
  <c r="D20" i="3"/>
  <c r="D24" i="3" s="1"/>
  <c r="D27" i="3" s="1"/>
  <c r="D29" i="3" s="1"/>
  <c r="D31" i="3" s="1"/>
  <c r="D32" i="3" s="1"/>
  <c r="E30" i="8" s="1"/>
  <c r="E31" i="8" s="1"/>
  <c r="E116" i="8"/>
  <c r="E114" i="8"/>
  <c r="E113" i="8" s="1"/>
  <c r="G20" i="3"/>
  <c r="H3" i="2"/>
  <c r="J41" i="8" l="1"/>
  <c r="J49" i="8"/>
  <c r="J38" i="8"/>
  <c r="J39" i="8"/>
  <c r="I29" i="8"/>
  <c r="I31" i="8" s="1"/>
  <c r="J40" i="8"/>
  <c r="E24" i="3"/>
  <c r="E27" i="3"/>
  <c r="E29" i="3" s="1"/>
  <c r="E31" i="3" s="1"/>
  <c r="E32" i="3" s="1"/>
  <c r="G30" i="8" s="1"/>
  <c r="K31" i="8"/>
  <c r="L38" i="8"/>
  <c r="J2" i="10"/>
  <c r="G24" i="3"/>
  <c r="G26" i="3"/>
  <c r="L39" i="8" l="1"/>
  <c r="L41" i="8"/>
  <c r="J9" i="10"/>
  <c r="J8" i="10"/>
  <c r="J12" i="10"/>
  <c r="J7" i="10"/>
  <c r="J6" i="10"/>
  <c r="J14" i="10"/>
  <c r="J11" i="10"/>
  <c r="J13" i="10"/>
  <c r="J10" i="10"/>
  <c r="J16" i="10"/>
  <c r="J5" i="10"/>
  <c r="J15" i="10"/>
  <c r="H38" i="8"/>
  <c r="H43" i="8" s="1"/>
  <c r="G31" i="8"/>
  <c r="P27" i="10" l="1"/>
  <c r="P15" i="10"/>
  <c r="P25" i="10"/>
  <c r="P13" i="10"/>
  <c r="P19" i="10"/>
  <c r="P7" i="10"/>
  <c r="P17" i="10"/>
  <c r="P5" i="10"/>
  <c r="P23" i="10"/>
  <c r="P11" i="10"/>
  <c r="P12" i="10"/>
  <c r="P24" i="10"/>
  <c r="P16" i="10"/>
  <c r="P28" i="10"/>
  <c r="P14" i="10"/>
  <c r="P26" i="10"/>
  <c r="P8" i="10"/>
  <c r="P20" i="10"/>
  <c r="P10" i="10"/>
  <c r="P22" i="10"/>
  <c r="P6" i="10"/>
  <c r="P18" i="10"/>
  <c r="P21" i="10"/>
  <c r="P9" i="10"/>
  <c r="H49" i="8"/>
  <c r="G49" i="8" s="1"/>
  <c r="H40" i="8"/>
  <c r="H39" i="8"/>
  <c r="H42" i="8"/>
  <c r="H41" i="8"/>
  <c r="S10" i="10" l="1"/>
  <c r="F43" i="8" s="1"/>
  <c r="S14" i="10"/>
  <c r="F47" i="8" s="1"/>
  <c r="E47" i="8" s="1"/>
  <c r="S12" i="10"/>
  <c r="F45" i="8" s="1"/>
  <c r="E45" i="8" s="1"/>
  <c r="S11" i="10"/>
  <c r="F44" i="8" s="1"/>
  <c r="S7" i="10"/>
  <c r="F40" i="8" s="1"/>
  <c r="S15" i="10"/>
  <c r="F48" i="8" s="1"/>
  <c r="E48" i="8" s="1"/>
  <c r="S9" i="10"/>
  <c r="F42" i="8" s="1"/>
  <c r="S5" i="10"/>
  <c r="F38" i="8" s="1"/>
  <c r="S13" i="10"/>
  <c r="F46" i="8" s="1"/>
  <c r="E46" i="8" s="1"/>
  <c r="S6" i="10"/>
  <c r="F39" i="8" s="1"/>
  <c r="S8" i="10"/>
  <c r="F41" i="8" s="1"/>
  <c r="S16" i="10"/>
  <c r="F49" i="8" s="1"/>
  <c r="E49" i="8" s="1"/>
</calcChain>
</file>

<file path=xl/sharedStrings.xml><?xml version="1.0" encoding="utf-8"?>
<sst xmlns="http://schemas.openxmlformats.org/spreadsheetml/2006/main" count="3100" uniqueCount="748">
  <si>
    <t>MARCA</t>
  </si>
  <si>
    <t>MODELO</t>
  </si>
  <si>
    <t>RIESGO</t>
  </si>
  <si>
    <t>Chevrolet</t>
  </si>
  <si>
    <t>Bajoriesgo1</t>
  </si>
  <si>
    <t>Elantra</t>
  </si>
  <si>
    <t>Accent</t>
  </si>
  <si>
    <t>i10</t>
  </si>
  <si>
    <t>Bajoriesgo2</t>
  </si>
  <si>
    <t>Kia</t>
  </si>
  <si>
    <t>Cerato</t>
  </si>
  <si>
    <t>Rio</t>
  </si>
  <si>
    <t>Nissan</t>
  </si>
  <si>
    <t>Suzuki</t>
  </si>
  <si>
    <t>Gol</t>
  </si>
  <si>
    <t>Bora</t>
  </si>
  <si>
    <t>Mazda</t>
  </si>
  <si>
    <t>Toyota</t>
  </si>
  <si>
    <t>Land Cruiser</t>
  </si>
  <si>
    <t>Altoriesgo1</t>
  </si>
  <si>
    <t>Rav4</t>
  </si>
  <si>
    <t>Grand Nomade</t>
  </si>
  <si>
    <t>CRV</t>
  </si>
  <si>
    <t>Corolla</t>
  </si>
  <si>
    <t>Altoriesgo2</t>
  </si>
  <si>
    <t>Sentra</t>
  </si>
  <si>
    <t>Yaris</t>
  </si>
  <si>
    <t>Tiida</t>
  </si>
  <si>
    <t>SUBARU</t>
  </si>
  <si>
    <t>FORESTER</t>
  </si>
  <si>
    <t>IMPREZA</t>
  </si>
  <si>
    <t>IMPREZA STI</t>
  </si>
  <si>
    <t>IMPREZA WRX</t>
  </si>
  <si>
    <t>LEGACY</t>
  </si>
  <si>
    <t>OUTBACK</t>
  </si>
  <si>
    <t>TRIBECA</t>
  </si>
  <si>
    <t>XV</t>
  </si>
  <si>
    <t>SEAT</t>
  </si>
  <si>
    <t>ALHAMBRA</t>
  </si>
  <si>
    <t>ATTEA</t>
  </si>
  <si>
    <t>CORDOVA</t>
  </si>
  <si>
    <t>EXEO</t>
  </si>
  <si>
    <t>IBIZA</t>
  </si>
  <si>
    <t>LEON</t>
  </si>
  <si>
    <t>RENAULT</t>
  </si>
  <si>
    <t>CLIO</t>
  </si>
  <si>
    <t>DUSTER</t>
  </si>
  <si>
    <t>FLUENCE</t>
  </si>
  <si>
    <t>GRAND SCENIC</t>
  </si>
  <si>
    <t>KOLEOS</t>
  </si>
  <si>
    <t>LOGAN</t>
  </si>
  <si>
    <t>MEGANE</t>
  </si>
  <si>
    <t>R19</t>
  </si>
  <si>
    <t>SANDERO</t>
  </si>
  <si>
    <t>SCENIC</t>
  </si>
  <si>
    <t>STEPWAY</t>
  </si>
  <si>
    <t>SYMBOL</t>
  </si>
  <si>
    <t>CHEVROLET</t>
  </si>
  <si>
    <t>SPARK</t>
  </si>
  <si>
    <t>KIA</t>
  </si>
  <si>
    <t>PICANTO</t>
  </si>
  <si>
    <t>CAPTUR</t>
  </si>
  <si>
    <t>SPIN</t>
  </si>
  <si>
    <t>PRIMA</t>
  </si>
  <si>
    <t>TOYOTA</t>
  </si>
  <si>
    <t>ETIOS</t>
  </si>
  <si>
    <t>HYUNDAI</t>
  </si>
  <si>
    <t>I20</t>
  </si>
  <si>
    <t>SUZUKI</t>
  </si>
  <si>
    <t>JUMMY</t>
  </si>
  <si>
    <t>FORD</t>
  </si>
  <si>
    <t>FIESTA</t>
  </si>
  <si>
    <t>SX4</t>
  </si>
  <si>
    <t>XL-7</t>
  </si>
  <si>
    <t>CIAZ</t>
  </si>
  <si>
    <t>CRETA</t>
  </si>
  <si>
    <t>BALENO</t>
  </si>
  <si>
    <t>GRAND NOMADE</t>
  </si>
  <si>
    <t>IGNIS</t>
  </si>
  <si>
    <t>AVEO</t>
  </si>
  <si>
    <t>BAJORIESGO1</t>
  </si>
  <si>
    <t>SAIL</t>
  </si>
  <si>
    <t>CRUZE</t>
  </si>
  <si>
    <t>SONIC</t>
  </si>
  <si>
    <t>OPTRA</t>
  </si>
  <si>
    <t>FIAT</t>
  </si>
  <si>
    <t>PUNTO</t>
  </si>
  <si>
    <t>BAJORIESGO2</t>
  </si>
  <si>
    <t xml:space="preserve">HONDA </t>
  </si>
  <si>
    <t>ALTORIESGO1</t>
  </si>
  <si>
    <t>ELANTRA</t>
  </si>
  <si>
    <t>ACCENT</t>
  </si>
  <si>
    <t>EON</t>
  </si>
  <si>
    <t>I10</t>
  </si>
  <si>
    <t>CERATO</t>
  </si>
  <si>
    <t>RIO</t>
  </si>
  <si>
    <t>MAZDA</t>
  </si>
  <si>
    <t>ALTORIESGO2</t>
  </si>
  <si>
    <t>MITSUBISHI</t>
  </si>
  <si>
    <t>LANCER</t>
  </si>
  <si>
    <t>NISSAN</t>
  </si>
  <si>
    <t>ALMERA</t>
  </si>
  <si>
    <t>QASHQAI</t>
  </si>
  <si>
    <t>VERSA</t>
  </si>
  <si>
    <t>PATROL</t>
  </si>
  <si>
    <t>PATHFINDER</t>
  </si>
  <si>
    <t>SENTRA</t>
  </si>
  <si>
    <t>TIIDA</t>
  </si>
  <si>
    <t>PEUGEOT</t>
  </si>
  <si>
    <t>SSANGYONG</t>
  </si>
  <si>
    <t>ACTYON</t>
  </si>
  <si>
    <t>ALTO</t>
  </si>
  <si>
    <t>SWIFT</t>
  </si>
  <si>
    <t>CELERIO</t>
  </si>
  <si>
    <t>LAND CRUISER</t>
  </si>
  <si>
    <t>LAND CRUISER PRADO</t>
  </si>
  <si>
    <t>RAV4</t>
  </si>
  <si>
    <t>FJ CRUISER</t>
  </si>
  <si>
    <t>FORTUNER</t>
  </si>
  <si>
    <t>COROLLA</t>
  </si>
  <si>
    <t>YARIS</t>
  </si>
  <si>
    <t>VOLKSWAGEN</t>
  </si>
  <si>
    <t>GOL</t>
  </si>
  <si>
    <t>POLO</t>
  </si>
  <si>
    <t>BORA</t>
  </si>
  <si>
    <t>VOYAGE</t>
  </si>
  <si>
    <t>&amp;</t>
  </si>
  <si>
    <t>MEDIANORIESGO</t>
  </si>
  <si>
    <t>ALTORIESGO</t>
  </si>
  <si>
    <t>SENTRA 1.6</t>
  </si>
  <si>
    <t>V16</t>
  </si>
  <si>
    <t>AVANZA</t>
  </si>
  <si>
    <t>N200</t>
  </si>
  <si>
    <t>ASTRA</t>
  </si>
  <si>
    <t>CAPTIVA</t>
  </si>
  <si>
    <t>CAVALIER</t>
  </si>
  <si>
    <t>CORSA</t>
  </si>
  <si>
    <t>EQUINOX</t>
  </si>
  <si>
    <t>ORLANDO</t>
  </si>
  <si>
    <t>RODEO</t>
  </si>
  <si>
    <t>TAHOE</t>
  </si>
  <si>
    <t>TRACKER</t>
  </si>
  <si>
    <t>TRAILBLAZER</t>
  </si>
  <si>
    <t>TRAVERSE</t>
  </si>
  <si>
    <t>VECTRA</t>
  </si>
  <si>
    <t>VIVANT</t>
  </si>
  <si>
    <t>ZAFIRA</t>
  </si>
  <si>
    <t>PRISMA</t>
  </si>
  <si>
    <t>ACTIVE</t>
  </si>
  <si>
    <t>SENTRA 1.8</t>
  </si>
  <si>
    <t>AUDI</t>
  </si>
  <si>
    <t>S7</t>
  </si>
  <si>
    <t>BMW</t>
  </si>
  <si>
    <t>CX-3</t>
  </si>
  <si>
    <t>CX-5</t>
  </si>
  <si>
    <t>CX-7</t>
  </si>
  <si>
    <t>CX-9</t>
  </si>
  <si>
    <t>MX-5</t>
  </si>
  <si>
    <t>TRIBUTE</t>
  </si>
  <si>
    <t>MX6</t>
  </si>
  <si>
    <t>CX3</t>
  </si>
  <si>
    <t>AEREO</t>
  </si>
  <si>
    <t>CROSS</t>
  </si>
  <si>
    <t>ERTIGA</t>
  </si>
  <si>
    <t>GRAND VITARA</t>
  </si>
  <si>
    <t>JIMMY</t>
  </si>
  <si>
    <t>VITARA</t>
  </si>
  <si>
    <t>X1</t>
  </si>
  <si>
    <t>RIMAC</t>
  </si>
  <si>
    <t>POSITIVA</t>
  </si>
  <si>
    <t>VELOSTER</t>
  </si>
  <si>
    <t>i30</t>
  </si>
  <si>
    <t>MIRAGE</t>
  </si>
  <si>
    <t>MAPFRE</t>
  </si>
  <si>
    <t>HONDA</t>
  </si>
  <si>
    <t>FIT</t>
  </si>
  <si>
    <t>CADENZA</t>
  </si>
  <si>
    <t>MOHAVE</t>
  </si>
  <si>
    <t>TIVOLI</t>
  </si>
  <si>
    <t>I30</t>
  </si>
  <si>
    <t>NEW CERATO</t>
  </si>
  <si>
    <t>QASHGAI</t>
  </si>
  <si>
    <t>PACIFICO</t>
  </si>
  <si>
    <t>GPS</t>
  </si>
  <si>
    <t>Honda</t>
  </si>
  <si>
    <t>Santa Fe</t>
  </si>
  <si>
    <t>Tucson</t>
  </si>
  <si>
    <t>Sportage</t>
  </si>
  <si>
    <t>Land Crusier Prado</t>
  </si>
  <si>
    <t>AÑO ACTUAL</t>
  </si>
  <si>
    <t>VALOR COMERCIAL</t>
  </si>
  <si>
    <t>ANT</t>
  </si>
  <si>
    <t>VC</t>
  </si>
  <si>
    <t>POR VALOR</t>
  </si>
  <si>
    <t>POR MODELO</t>
  </si>
  <si>
    <t>RIDGELINE</t>
  </si>
  <si>
    <t>SANTA FE</t>
  </si>
  <si>
    <t>TUCSON</t>
  </si>
  <si>
    <t>SPORTAGE</t>
  </si>
  <si>
    <t>DAKAR</t>
  </si>
  <si>
    <t>NAVARA</t>
  </si>
  <si>
    <t>FJ CRUSIER</t>
  </si>
  <si>
    <t>LAND CRUSIER</t>
  </si>
  <si>
    <t>LAND CRUSIER PRADO</t>
  </si>
  <si>
    <t>MONTERO</t>
  </si>
  <si>
    <t>NATIVA</t>
  </si>
  <si>
    <t>GRAN NOMADE</t>
  </si>
  <si>
    <t>HILANDER</t>
  </si>
  <si>
    <t>4RUNNER</t>
  </si>
  <si>
    <t>LA POSITIVA</t>
  </si>
  <si>
    <t xml:space="preserve">Hyundai </t>
  </si>
  <si>
    <t>Veloster</t>
  </si>
  <si>
    <t>Picanto</t>
  </si>
  <si>
    <t>spark</t>
  </si>
  <si>
    <t>Vokswagen</t>
  </si>
  <si>
    <t>AÑO</t>
  </si>
  <si>
    <t>TASA</t>
  </si>
  <si>
    <t>BAJORIESGO</t>
  </si>
  <si>
    <t>COM</t>
  </si>
  <si>
    <t>A</t>
  </si>
  <si>
    <t>B</t>
  </si>
  <si>
    <t>C</t>
  </si>
  <si>
    <t>AÑO FABRICACION</t>
  </si>
  <si>
    <t>BAJORIESGO 2</t>
  </si>
  <si>
    <t>Riesgo</t>
  </si>
  <si>
    <t>Sin descuento</t>
  </si>
  <si>
    <t>DESCUENTO</t>
  </si>
  <si>
    <t>COMISION</t>
  </si>
  <si>
    <t>CLASIFICACION DEL RIESGO</t>
  </si>
  <si>
    <t>RIMAC SEGUROS</t>
  </si>
  <si>
    <t>DESCUENTOS CONTRA COMSIONES</t>
  </si>
  <si>
    <t>NUEVA TASA - DESCUENTOS NEGOCIADOS</t>
  </si>
  <si>
    <t>PRIMA NETA</t>
  </si>
  <si>
    <t>PRIMA MINIMA</t>
  </si>
  <si>
    <t>PRIMA TOTAL</t>
  </si>
  <si>
    <t>oculto</t>
  </si>
  <si>
    <t>DESCUENTOS NEGOCIADOS SIN AFECTAR COMISION</t>
  </si>
  <si>
    <t>% DESCUENTO CONTRA COMISION</t>
  </si>
  <si>
    <t>CON COMISION DE</t>
  </si>
  <si>
    <t>OCULTO</t>
  </si>
  <si>
    <t>CALCULOS PRIMAS - DESCUENTOS Y GPS</t>
  </si>
  <si>
    <t>AÑO COBERTURA</t>
  </si>
  <si>
    <t>Cotización Seguro Vehicular de uso estrictamente particular</t>
  </si>
  <si>
    <t xml:space="preserve">VALIDA DEL </t>
  </si>
  <si>
    <t>AL</t>
  </si>
  <si>
    <t>Apellido y Nombre o Razón Social</t>
  </si>
  <si>
    <t>Tipo de persona</t>
  </si>
  <si>
    <t>DATOS VEHICULO</t>
  </si>
  <si>
    <t>Clase</t>
  </si>
  <si>
    <t>Marca</t>
  </si>
  <si>
    <t>Modelo</t>
  </si>
  <si>
    <t>Año de fabricación</t>
  </si>
  <si>
    <t>Valor del vehículo</t>
  </si>
  <si>
    <t>.</t>
  </si>
  <si>
    <t>COTIZACION</t>
  </si>
  <si>
    <t xml:space="preserve">PRIMA ANUAL </t>
  </si>
  <si>
    <r>
      <t xml:space="preserve">PRIMA ANUAL </t>
    </r>
    <r>
      <rPr>
        <b/>
        <sz val="10"/>
        <color theme="1"/>
        <rFont val="Calibri"/>
        <family val="2"/>
        <scheme val="minor"/>
      </rPr>
      <t xml:space="preserve"> (incluido impuestos)</t>
    </r>
  </si>
  <si>
    <t>EDITAR SEGÚN SCORING - PRIMA Y GPS</t>
  </si>
  <si>
    <t>Producto (s)</t>
  </si>
  <si>
    <t>Monto de dscto. sobre precio de lista</t>
  </si>
  <si>
    <t>Ahorra</t>
  </si>
  <si>
    <t>Gasohol de 97 octanos (G-PRIX)</t>
  </si>
  <si>
    <t>S/ 1.20 por galón</t>
  </si>
  <si>
    <t>REQUERIMIENTO GPS</t>
  </si>
  <si>
    <t>https://app3.pacificoseguros.com/</t>
  </si>
  <si>
    <t>Gasohol de 95 octanos</t>
  </si>
  <si>
    <t>S/ 1.10 por galón</t>
  </si>
  <si>
    <t>Usuario: ccastaneda@cccasesores.com</t>
  </si>
  <si>
    <t>Gasohol de 90 octanos</t>
  </si>
  <si>
    <t>S/ 0.80 por galón</t>
  </si>
  <si>
    <t>Clave: pacifico</t>
  </si>
  <si>
    <t>Diesel B5 (Max-D)</t>
  </si>
  <si>
    <t>S/ 0.50 por galón</t>
  </si>
  <si>
    <r>
      <t xml:space="preserve">FORMAS DE PAGO </t>
    </r>
    <r>
      <rPr>
        <sz val="12"/>
        <color theme="0" tint="-0.499984740745262"/>
        <rFont val="Calibri"/>
        <family val="2"/>
        <scheme val="minor"/>
      </rPr>
      <t>(montos apróximados)</t>
    </r>
  </si>
  <si>
    <t>N° Cuotas</t>
  </si>
  <si>
    <t>Mensual</t>
  </si>
  <si>
    <t>Semestral</t>
  </si>
  <si>
    <t>Cuatrimestral c/i</t>
  </si>
  <si>
    <t>Mensual*</t>
  </si>
  <si>
    <t>Mensual o Trimestral</t>
  </si>
  <si>
    <t>* Sólo débito en cuenta bancaria o Cargo en tarjeta de crédito</t>
  </si>
  <si>
    <t>** Sólo Cargo en Tarjeta de crédito</t>
  </si>
  <si>
    <t>c/i: cuotas con intereses</t>
  </si>
  <si>
    <t>Esta cotización responde a una simulación de contratación, por lo que la información contenida en ella es referencial y los montos de las primas y financiamientos son aproximados. Las coberturas aquí descritas está sujetas a las Condiciones Generales y Particulares de la Póliza. Los términos, condiciones y primas serán especificados en la Póliza que se le entregará al asegurado al momento de la contratación. El costo de instalación y mantenimiento del Dispositivo de GPS corre por cuenta del asegurado. 
Los deducibles no incluyen IGV.
La cuotas de pago son referenciales y pueden variar de acuerdo al vencimiento de cada cuota.</t>
  </si>
  <si>
    <t>COBERTURAS / DEDUCIBLES</t>
  </si>
  <si>
    <t>Detalle de Coberturas</t>
  </si>
  <si>
    <t>Responsabilidad Civil frente a terceros</t>
  </si>
  <si>
    <t>US$ 150,000</t>
  </si>
  <si>
    <t>Responsabilidad Civil de Ocupantes
Se excluye al conductor y/o familiares</t>
  </si>
  <si>
    <t>Hasta US$ 10,000 c/u
Max. 05 pasajeros</t>
  </si>
  <si>
    <t>Hasta US$ 50,000
por vehículo</t>
  </si>
  <si>
    <t>Hasta US$ 25,000 c/u
Máx. 04 pasajeros</t>
  </si>
  <si>
    <t>Accidentes Personales</t>
  </si>
  <si>
    <t xml:space="preserve">           Muerte e invalidez</t>
  </si>
  <si>
    <t xml:space="preserve"> Hasta US$ 25,000 por persona</t>
  </si>
  <si>
    <t xml:space="preserve"> Hasta US$ 20,000 por persona</t>
  </si>
  <si>
    <t>Descuento</t>
  </si>
  <si>
    <t>% comision</t>
  </si>
  <si>
    <t xml:space="preserve">           Gastos de Curación</t>
  </si>
  <si>
    <t>Hasta US$    5,000 por persona</t>
  </si>
  <si>
    <t>Hasta US$    4,000 por persona</t>
  </si>
  <si>
    <t xml:space="preserve">           Gastos de Sepelio</t>
  </si>
  <si>
    <t>Hasta US$ 2,000 c/u</t>
  </si>
  <si>
    <t>Hasta US$ 1,000 c/u</t>
  </si>
  <si>
    <t xml:space="preserve">           Cirujia Estetica</t>
  </si>
  <si>
    <t>Incluido en los gastos de curación</t>
  </si>
  <si>
    <t>No cubre</t>
  </si>
  <si>
    <t>Hasta US$ 10,000 por vehículo</t>
  </si>
  <si>
    <t>Coberturas Adicionales</t>
  </si>
  <si>
    <t xml:space="preserve">Imprudencia Culposa
</t>
  </si>
  <si>
    <t>Valor Pactado</t>
  </si>
  <si>
    <t>Valos Asegurado</t>
  </si>
  <si>
    <t>Responsabilidad Civil por Imprudencia Culposa</t>
  </si>
  <si>
    <t>Hasta US$ 30,000</t>
  </si>
  <si>
    <t>Hasta US$ 50,000</t>
  </si>
  <si>
    <t>No utilice el carril derecho para recoger o dejar pasajeros o carga.</t>
  </si>
  <si>
    <t>Cubre</t>
  </si>
  <si>
    <t>No respete los límites máximo y mínimo de velocidad establecidos.</t>
  </si>
  <si>
    <t>Circule en sentido contrario al tránsito autorizado, siempre y cuando sea en zona urbana y sólo por desconocimiento o falta de señalización.</t>
  </si>
  <si>
    <t>Cruce una intersección o gire, estando el semáforo con luz roja y no existiendo indicación en contrario.</t>
  </si>
  <si>
    <r>
      <rPr>
        <sz val="11"/>
        <color theme="4" tint="-0.499984740745262"/>
        <rFont val="Calibri"/>
        <family val="2"/>
        <scheme val="minor"/>
      </rPr>
      <t xml:space="preserve">Ausencia de Control  </t>
    </r>
    <r>
      <rPr>
        <sz val="8"/>
        <color theme="2" tint="-0.749992370372631"/>
        <rFont val="Calibri"/>
        <family val="2"/>
        <scheme val="minor"/>
      </rPr>
      <t xml:space="preserve">
Sólo pólizas endosadas a entidades financieras</t>
    </r>
  </si>
  <si>
    <t>Suma Asegurada</t>
  </si>
  <si>
    <r>
      <rPr>
        <sz val="10"/>
        <color theme="4" tint="-0.499984740745262"/>
        <rFont val="Calibri"/>
        <family val="2"/>
        <scheme val="minor"/>
      </rPr>
      <t>Responsabilidad Civil por Ausencia de Control</t>
    </r>
    <r>
      <rPr>
        <b/>
        <sz val="8"/>
        <color theme="2" tint="-0.749992370372631"/>
        <rFont val="Calibri"/>
        <family val="2"/>
        <scheme val="minor"/>
      </rPr>
      <t xml:space="preserve">
S</t>
    </r>
    <r>
      <rPr>
        <sz val="8"/>
        <color theme="2" tint="-0.749992370372631"/>
        <rFont val="Calibri"/>
        <family val="2"/>
        <scheme val="minor"/>
      </rPr>
      <t>ólo pólizas endosadas a entidades financieras</t>
    </r>
  </si>
  <si>
    <t>Hasta US$ 100,000</t>
  </si>
  <si>
    <r>
      <rPr>
        <sz val="11"/>
        <color theme="4" tint="-0.499984740745262"/>
        <rFont val="Calibri"/>
        <family val="2"/>
        <scheme val="minor"/>
      </rPr>
      <t>Alcoholemia</t>
    </r>
    <r>
      <rPr>
        <sz val="8"/>
        <color theme="2" tint="-0.749992370372631"/>
        <rFont val="Calibri"/>
        <family val="2"/>
        <scheme val="minor"/>
      </rPr>
      <t xml:space="preserve"> cubre hasta,</t>
    </r>
  </si>
  <si>
    <t>0.50 gr/lt en la sangre</t>
  </si>
  <si>
    <t>1.00 gr/lt en la angres</t>
  </si>
  <si>
    <t>Uso de Vías no autorizadas para el tránsito vehicular</t>
  </si>
  <si>
    <t>Rehabilitación automática de la suma asegurada por daño propio</t>
  </si>
  <si>
    <t>Incluido</t>
  </si>
  <si>
    <t xml:space="preserve">Accesorios Musicales 
</t>
  </si>
  <si>
    <t>Hasta US$ 1,000
Sin exceder el 10% del valor del vehiculo</t>
  </si>
  <si>
    <t>El exceso 10% de recargo, 
hasta US$ 2,000.00</t>
  </si>
  <si>
    <t>No cubre exceso</t>
  </si>
  <si>
    <t>Servicios y asistencias</t>
  </si>
  <si>
    <r>
      <t xml:space="preserve">Auto de Reemplazo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</si>
  <si>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Choque: Hasta 15 días
Robo Total: Hasta 20 dias</t>
  </si>
  <si>
    <t>Choque: 15 días 
Robo Total: 30 días</t>
  </si>
  <si>
    <r>
      <t xml:space="preserve">Chofer de Reemplado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</si>
  <si>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Sin costo adicional
03 eventos por vigencia</t>
  </si>
  <si>
    <t>Sin costo adicional
03 eventos por vigencia
Adicionales US$ 25.00 (inc. IGV)</t>
  </si>
  <si>
    <t>Reclamación de Daños</t>
  </si>
  <si>
    <t>No incluido</t>
  </si>
  <si>
    <t>Hasta US$ 500.00</t>
  </si>
  <si>
    <t>Cobertura Internacional</t>
  </si>
  <si>
    <t>No Cubre</t>
  </si>
  <si>
    <t>Chile, Ecuador, Brasil, y Argentina, manteniendo sus mismos amparos y condiciones, salvo  en Argentina  donde se excluye la Responsabilidad Civil</t>
  </si>
  <si>
    <t>Amparo de Renta Educativa</t>
  </si>
  <si>
    <t>No Incluido</t>
  </si>
  <si>
    <t>Hasta US$ 500.00 mensulaes por 06 meses</t>
  </si>
  <si>
    <t>Amparo de Canasta Familiar</t>
  </si>
  <si>
    <t>Centro de Diagnosis (Sólo Lima)</t>
  </si>
  <si>
    <t>1 vez ppor vigencia
Chequeo y reporte con las deficiencias de su vehículo</t>
  </si>
  <si>
    <t>Servicio de grabado de lunas (Sólo Lima)</t>
  </si>
  <si>
    <t>Lunas, faros y micas para evitar los robos</t>
  </si>
  <si>
    <t>Central de Asistencia las 24 horas</t>
  </si>
  <si>
    <t>411-1111</t>
  </si>
  <si>
    <t>211-0211</t>
  </si>
  <si>
    <t>213-3333</t>
  </si>
  <si>
    <t>415-1515</t>
  </si>
  <si>
    <t>Asesoría Legal</t>
  </si>
  <si>
    <t>Cubierto al 100%</t>
  </si>
  <si>
    <t>Asesoría Penal</t>
  </si>
  <si>
    <t>Hasta US$ 2,000</t>
  </si>
  <si>
    <t xml:space="preserve">     Grua</t>
  </si>
  <si>
    <t xml:space="preserve">     Ambulancia</t>
  </si>
  <si>
    <t xml:space="preserve">     Auxilio Mecánico</t>
  </si>
  <si>
    <t xml:space="preserve">     Procuraduría en el lugar del accidente</t>
  </si>
  <si>
    <t>Deducibles</t>
  </si>
  <si>
    <t>10% mínimo US$ 150.00</t>
  </si>
  <si>
    <t>10.00% mínimo US$ 150.00</t>
  </si>
  <si>
    <t>Daño Propio</t>
  </si>
  <si>
    <t>Mercedes Benz, BMW, Audi
Talleres Afiliados: 
20.00% mínimo US$ 200.00
Talleres Afiliados Multimarca
15.00% mínimo US$ 150.00</t>
  </si>
  <si>
    <t>Robo Parcial</t>
  </si>
  <si>
    <t>Robo Total</t>
  </si>
  <si>
    <t>Sin deducible</t>
  </si>
  <si>
    <t>Sin Deducible</t>
  </si>
  <si>
    <t>Reposición de Lunas</t>
  </si>
  <si>
    <t>Nacionales: Sin Deducible</t>
  </si>
  <si>
    <t>Nacionales: Sin Deducibles</t>
  </si>
  <si>
    <t>Accseorios Musicales</t>
  </si>
  <si>
    <t>Imprudencia Culposa</t>
  </si>
  <si>
    <t>20% del monto del siniestro, con un recargo de 50% en el deducible mínimo que corresponda</t>
  </si>
  <si>
    <t>No cubierto</t>
  </si>
  <si>
    <t>Pérdida Total por Imprudencia Culposa</t>
  </si>
  <si>
    <t>20% del monto del siniestro, mínimo US$ 500.00</t>
  </si>
  <si>
    <t>Achoolemia</t>
  </si>
  <si>
    <t>Talleres Afiliados: 25% del monto del siniestro, mínimo US$. 500
Talleres Afiliados multimarca: 25% del monto del siniestro, mínimo US$ 300.00</t>
  </si>
  <si>
    <t>20.00% más del deducible aplicado</t>
  </si>
  <si>
    <t>20.00% mínimo US$ 500</t>
  </si>
  <si>
    <t>Uso de Vías no autorizadas</t>
  </si>
  <si>
    <t>Ausencia de Control</t>
  </si>
  <si>
    <t>Conductor menor de</t>
  </si>
  <si>
    <t>25 años</t>
  </si>
  <si>
    <t>26 años</t>
  </si>
  <si>
    <t>Sólo varón: 20% del monto del siniestro mínimo US$ 300.00 para todo evento (incluído pérdida total)</t>
  </si>
  <si>
    <t>Los deducibles se duplicarán, cuando el conductor sea responsable según los resultados de las investigaciones.</t>
  </si>
  <si>
    <t>Doble deducible. Sólo cuando el conductor sea responsable o comparta la responsabilidad del evento.</t>
  </si>
  <si>
    <t>Vehículo de Reemplazo</t>
  </si>
  <si>
    <t>US$ 80.00 por evento</t>
  </si>
  <si>
    <t>US$ 100.00 por evento</t>
  </si>
  <si>
    <t>US$ 80.00 poe evento</t>
  </si>
  <si>
    <t>US$ 90,00 por evento</t>
  </si>
  <si>
    <t>Chofer de Reemplazo</t>
  </si>
  <si>
    <t>Copago de S/.40.00 a partir del septimo servicio</t>
  </si>
  <si>
    <t>Sin Deducible los primeros 03 eventos, a partir del 4to US$ 25.00 inc. IGV</t>
  </si>
  <si>
    <t>Central de Asistencia la 24 horas</t>
  </si>
  <si>
    <t>PROMOCIONES</t>
  </si>
  <si>
    <t>DESCUENTOS EN COMBUSTIBLE</t>
  </si>
  <si>
    <t>Diesel Pro +</t>
  </si>
  <si>
    <t xml:space="preserve">Condiciones </t>
  </si>
  <si>
    <t>Condiciones</t>
  </si>
  <si>
    <t>https://www.pacifico.com.pe/seguros/autos/primax</t>
  </si>
  <si>
    <t>http://www.rimac.com.pe/corredores/articulo/productos/Ahora-hasta-8-de-descuento-en-gasolina</t>
  </si>
  <si>
    <t>Persona</t>
  </si>
  <si>
    <t>Cia.de Seguros</t>
  </si>
  <si>
    <t>N° cuotas</t>
  </si>
  <si>
    <t>Intereses</t>
  </si>
  <si>
    <t>Periocidad de pago</t>
  </si>
  <si>
    <t>Obligatoriedad Cargo Automático</t>
  </si>
  <si>
    <t>Monto cuota</t>
  </si>
  <si>
    <t>Rímac</t>
  </si>
  <si>
    <t>No</t>
  </si>
  <si>
    <t>Cupones - Debito cuenta o Cargo Tarjeta de Crédito</t>
  </si>
  <si>
    <t>NATURAL</t>
  </si>
  <si>
    <t>Debito cuenta o Cargo Tarjeta de Crédito</t>
  </si>
  <si>
    <t>Tarjeta de Crédito</t>
  </si>
  <si>
    <t>JURÍDICA</t>
  </si>
  <si>
    <t>PERSONA</t>
  </si>
  <si>
    <t>CARRROCERÍA</t>
  </si>
  <si>
    <t>Valor Convenido</t>
  </si>
  <si>
    <t>Valor Convenido o Pactado</t>
  </si>
  <si>
    <t>Valoer Asegurado</t>
  </si>
  <si>
    <t>Cobertura</t>
  </si>
  <si>
    <t>Deducible</t>
  </si>
  <si>
    <t xml:space="preserve">Talleres Afiliados
20% mínimo US$ 200.00
Talleres Afiliados Multimarca
15% mínimo US$ 150.00 </t>
  </si>
  <si>
    <t>Preferente: 10% mínimo US$ 150.00
Afiliado Concesionario : 15% mínimo US$ 150.00
No Afiliado: 20% mínimo US$ 300.00</t>
  </si>
  <si>
    <t xml:space="preserve">Talleres Afiliados
15.00% mínimo US$ 200.00
Talleres Afiliados Multimarca
10.00% mínimo US$ 150.00 </t>
  </si>
  <si>
    <t>Preferente: 15% mínimo US$ 150.00
Afiliado Concesionario : 20% mínimo US$ 200.00
No Afiliado: 20% mínimo US$ 300.00</t>
  </si>
  <si>
    <t>Deducible para menor de 25 años</t>
  </si>
  <si>
    <t xml:space="preserve">Talleres Afiliados
15.00% mínimo US$ 150.00
Talleres Afiliados Multimarca
10.00% mínimo US$ 150.00 </t>
  </si>
  <si>
    <t xml:space="preserve">Talleres Afiliados
20.00% mínimo US$ 200.00
Talleres Afiliados Multimarca
15.00% mínimo US$ 150.00 </t>
  </si>
  <si>
    <t>20.00% mínimo US$ 200.00</t>
  </si>
  <si>
    <t>15.00% mínimo US$ 150.00</t>
  </si>
  <si>
    <t>Sin deducible excepto, Chevrolet  Aveo y Sail que circulen en Lima</t>
  </si>
  <si>
    <t>15% del monto del siniestro, mínimo US$ 300.00</t>
  </si>
  <si>
    <t>20% del monto del siniestro, mínimo US$ 300.00</t>
  </si>
  <si>
    <t xml:space="preserve">Talleres Afiliados
15% mínimo US$ 150.00
Talleres Afiliados Multimarca
10% mínimo US$ 150.00 </t>
  </si>
  <si>
    <t>Bajo Riesgo1</t>
  </si>
  <si>
    <t>Bajo Riesgo2</t>
  </si>
  <si>
    <t>Alto Riesgo1</t>
  </si>
  <si>
    <t>Alto Riesgo2</t>
  </si>
  <si>
    <t>MedianoRiesgo</t>
  </si>
  <si>
    <t>Talleres Preferentes
10% mínimo US$ 150.00
Talleres Afiliados Red 1
15%, mínimo US$ 200.00
Talleres Afiliados Red 2
20% mínimo US$ 200.00
Talleres No Afiliados
25% mínimo US$ 350.00</t>
  </si>
  <si>
    <t>la positiva</t>
  </si>
  <si>
    <t>Hasta US$ 1,500
Sin exceder el 10% del valor del vehiculo</t>
  </si>
  <si>
    <t>CITROEN</t>
  </si>
  <si>
    <t>DAIHATSU</t>
  </si>
  <si>
    <t>DODGE</t>
  </si>
  <si>
    <t>JEEP</t>
  </si>
  <si>
    <t>LANDROVER</t>
  </si>
  <si>
    <t>MERCEDESBENZ</t>
  </si>
  <si>
    <t>PORSCHE</t>
  </si>
  <si>
    <t>SKODA</t>
  </si>
  <si>
    <t>VOLVO</t>
  </si>
  <si>
    <t>A1</t>
  </si>
  <si>
    <t>116i</t>
  </si>
  <si>
    <t>C-15</t>
  </si>
  <si>
    <t>TERIOS</t>
  </si>
  <si>
    <t>DURANGO</t>
  </si>
  <si>
    <t>LINEA</t>
  </si>
  <si>
    <t>ECOSPORT</t>
  </si>
  <si>
    <t>ACCORD</t>
  </si>
  <si>
    <t>CHEROKEE</t>
  </si>
  <si>
    <t>DEFENDER</t>
  </si>
  <si>
    <t>A200</t>
  </si>
  <si>
    <t>ASX</t>
  </si>
  <si>
    <t>350Z</t>
  </si>
  <si>
    <t>CAYENNE</t>
  </si>
  <si>
    <t>FABIA</t>
  </si>
  <si>
    <t>A3</t>
  </si>
  <si>
    <t>120D</t>
  </si>
  <si>
    <t>C3</t>
  </si>
  <si>
    <t>CHARADE</t>
  </si>
  <si>
    <t>JOURNEY</t>
  </si>
  <si>
    <t>NUEVA IDEA ADVENTURE</t>
  </si>
  <si>
    <t>EDGE</t>
  </si>
  <si>
    <t>CIVIC</t>
  </si>
  <si>
    <t>AZERA</t>
  </si>
  <si>
    <t>COMMANDER</t>
  </si>
  <si>
    <t>CARENS</t>
  </si>
  <si>
    <t>DISCOVERY</t>
  </si>
  <si>
    <t>B200</t>
  </si>
  <si>
    <t>GALANT</t>
  </si>
  <si>
    <t>OCTAVIA</t>
  </si>
  <si>
    <t>KORANDO</t>
  </si>
  <si>
    <t>AURIS</t>
  </si>
  <si>
    <t>CC</t>
  </si>
  <si>
    <t>A4</t>
  </si>
  <si>
    <t>120i</t>
  </si>
  <si>
    <t>C4</t>
  </si>
  <si>
    <t>CUORE</t>
  </si>
  <si>
    <t>NITRO</t>
  </si>
  <si>
    <t>PALIO</t>
  </si>
  <si>
    <t>ESCAPE</t>
  </si>
  <si>
    <t>COMPASS</t>
  </si>
  <si>
    <t>CARNIVAL</t>
  </si>
  <si>
    <t>FREELANDER</t>
  </si>
  <si>
    <t>C180</t>
  </si>
  <si>
    <t>GRANDIS</t>
  </si>
  <si>
    <t>SUPERB</t>
  </si>
  <si>
    <t>KYRON</t>
  </si>
  <si>
    <t>CROSSFOX</t>
  </si>
  <si>
    <t>A5</t>
  </si>
  <si>
    <t>130i</t>
  </si>
  <si>
    <t>C5</t>
  </si>
  <si>
    <t>MIRA</t>
  </si>
  <si>
    <t>EXPEDITION</t>
  </si>
  <si>
    <t>GRAND CHEROKE LAREDO</t>
  </si>
  <si>
    <t>RANGER ROVER</t>
  </si>
  <si>
    <t>C200</t>
  </si>
  <si>
    <t>ALTIMA</t>
  </si>
  <si>
    <t>YETI</t>
  </si>
  <si>
    <t>MUSSO</t>
  </si>
  <si>
    <t>AVENSIS</t>
  </si>
  <si>
    <t>C30</t>
  </si>
  <si>
    <t>A6</t>
  </si>
  <si>
    <t>316i</t>
  </si>
  <si>
    <t>XSARA</t>
  </si>
  <si>
    <t>SIENA</t>
  </si>
  <si>
    <t>EXPLORER</t>
  </si>
  <si>
    <t>LEGENT</t>
  </si>
  <si>
    <t>EQUUS</t>
  </si>
  <si>
    <t>GRAND CHEROKE LIMITED 4X4</t>
  </si>
  <si>
    <t>CLARUS</t>
  </si>
  <si>
    <t>C230</t>
  </si>
  <si>
    <t>MONTERO CORTA</t>
  </si>
  <si>
    <t>JUKE</t>
  </si>
  <si>
    <t>NEW KYRON</t>
  </si>
  <si>
    <t>CAMRY</t>
  </si>
  <si>
    <t>GOLF</t>
  </si>
  <si>
    <t>C70</t>
  </si>
  <si>
    <t>A7</t>
  </si>
  <si>
    <t>318i</t>
  </si>
  <si>
    <t>DS4</t>
  </si>
  <si>
    <t>UNO</t>
  </si>
  <si>
    <t>FOCUS GHIA</t>
  </si>
  <si>
    <t>ODYSEY</t>
  </si>
  <si>
    <t>EXCEL</t>
  </si>
  <si>
    <t>GRAND CHEROKE OVERLAND</t>
  </si>
  <si>
    <t>EVOLUTION</t>
  </si>
  <si>
    <t>C280</t>
  </si>
  <si>
    <t>MONTERO LARGA</t>
  </si>
  <si>
    <t>MISTRAL</t>
  </si>
  <si>
    <t>REXTON</t>
  </si>
  <si>
    <t>CELICA</t>
  </si>
  <si>
    <t>JETTA</t>
  </si>
  <si>
    <t>S40</t>
  </si>
  <si>
    <t>A8</t>
  </si>
  <si>
    <t>318IA</t>
  </si>
  <si>
    <t>PILOT</t>
  </si>
  <si>
    <t>GALLOPER</t>
  </si>
  <si>
    <t>LIBERTY</t>
  </si>
  <si>
    <t>C450</t>
  </si>
  <si>
    <t>MURANO</t>
  </si>
  <si>
    <t>STAVIC</t>
  </si>
  <si>
    <t>NEW BEETLE</t>
  </si>
  <si>
    <t>S60</t>
  </si>
  <si>
    <t>ALLROAD</t>
  </si>
  <si>
    <t>320DE</t>
  </si>
  <si>
    <t>PRELUDE</t>
  </si>
  <si>
    <t>GENESIS</t>
  </si>
  <si>
    <t>NEW CHEROKE SPORT</t>
  </si>
  <si>
    <t>CLC 200K</t>
  </si>
  <si>
    <t>OUTLANDER</t>
  </si>
  <si>
    <t>PARATI</t>
  </si>
  <si>
    <t>S70</t>
  </si>
  <si>
    <t>Q3</t>
  </si>
  <si>
    <t>320IA</t>
  </si>
  <si>
    <t>HR-V</t>
  </si>
  <si>
    <t>GETZ</t>
  </si>
  <si>
    <t>PATRIOT</t>
  </si>
  <si>
    <t>OPIRUS</t>
  </si>
  <si>
    <t>CLK 280</t>
  </si>
  <si>
    <t>PASSAT</t>
  </si>
  <si>
    <t>S80</t>
  </si>
  <si>
    <t>Q5</t>
  </si>
  <si>
    <t>325CI</t>
  </si>
  <si>
    <t>WRANGER</t>
  </si>
  <si>
    <t>OPTIMA</t>
  </si>
  <si>
    <t>CLK 350</t>
  </si>
  <si>
    <t>V70</t>
  </si>
  <si>
    <t>Q7</t>
  </si>
  <si>
    <t>325IA</t>
  </si>
  <si>
    <t>RENEGADE</t>
  </si>
  <si>
    <t>CLS 350</t>
  </si>
  <si>
    <t>SPACEFOX</t>
  </si>
  <si>
    <t>XC60</t>
  </si>
  <si>
    <t>R8</t>
  </si>
  <si>
    <t>330IA</t>
  </si>
  <si>
    <t>MATRIX</t>
  </si>
  <si>
    <t>E200</t>
  </si>
  <si>
    <t>TEANA</t>
  </si>
  <si>
    <t>PRIUS</t>
  </si>
  <si>
    <t>TIGUAN</t>
  </si>
  <si>
    <t>XC70</t>
  </si>
  <si>
    <t>S3</t>
  </si>
  <si>
    <t>340i</t>
  </si>
  <si>
    <t>SEPHIA</t>
  </si>
  <si>
    <t>E350</t>
  </si>
  <si>
    <t>TERRANO</t>
  </si>
  <si>
    <t>TOUAREG</t>
  </si>
  <si>
    <t>XC80</t>
  </si>
  <si>
    <t>S4</t>
  </si>
  <si>
    <t>335IA</t>
  </si>
  <si>
    <t>SONATA</t>
  </si>
  <si>
    <t>SORENTO</t>
  </si>
  <si>
    <t>GL500</t>
  </si>
  <si>
    <t>SEQUOIA</t>
  </si>
  <si>
    <t>VENTO</t>
  </si>
  <si>
    <t>XC90</t>
  </si>
  <si>
    <t>S5</t>
  </si>
  <si>
    <t>335IC</t>
  </si>
  <si>
    <t>TERRACAN</t>
  </si>
  <si>
    <t>SOUL</t>
  </si>
  <si>
    <t>GLK280</t>
  </si>
  <si>
    <t>TERCEL</t>
  </si>
  <si>
    <t>S6</t>
  </si>
  <si>
    <t>420i</t>
  </si>
  <si>
    <t>SPECTRA</t>
  </si>
  <si>
    <t>ML350</t>
  </si>
  <si>
    <t>URBAN CRUISER</t>
  </si>
  <si>
    <t>520D</t>
  </si>
  <si>
    <t>S350</t>
  </si>
  <si>
    <t>XTRAIL</t>
  </si>
  <si>
    <t>S8</t>
  </si>
  <si>
    <t>525IA</t>
  </si>
  <si>
    <t>VERACRUZ</t>
  </si>
  <si>
    <t>PREGIO</t>
  </si>
  <si>
    <t>SLK280</t>
  </si>
  <si>
    <t>EXPERT</t>
  </si>
  <si>
    <t>ZELAS</t>
  </si>
  <si>
    <t>530A</t>
  </si>
  <si>
    <t>ATOS</t>
  </si>
  <si>
    <t>SLK350</t>
  </si>
  <si>
    <t>530D</t>
  </si>
  <si>
    <t>CLA 180</t>
  </si>
  <si>
    <t>540i</t>
  </si>
  <si>
    <t>CLA 200</t>
  </si>
  <si>
    <t>550I</t>
  </si>
  <si>
    <t>TRAJET</t>
  </si>
  <si>
    <t>CLA 250</t>
  </si>
  <si>
    <t>630CI</t>
  </si>
  <si>
    <t>CLA 45</t>
  </si>
  <si>
    <t>GLE400</t>
  </si>
  <si>
    <t>660CI</t>
  </si>
  <si>
    <t>A250</t>
  </si>
  <si>
    <t>730D</t>
  </si>
  <si>
    <t>B180</t>
  </si>
  <si>
    <t>730LI</t>
  </si>
  <si>
    <t>C240</t>
  </si>
  <si>
    <t>740I</t>
  </si>
  <si>
    <t>C270</t>
  </si>
  <si>
    <t>750i</t>
  </si>
  <si>
    <t>C300</t>
  </si>
  <si>
    <t>760LI</t>
  </si>
  <si>
    <t>CL420</t>
  </si>
  <si>
    <t>CL500</t>
  </si>
  <si>
    <t>X3</t>
  </si>
  <si>
    <t>CL600</t>
  </si>
  <si>
    <t>X5</t>
  </si>
  <si>
    <t>E250</t>
  </si>
  <si>
    <t>X6</t>
  </si>
  <si>
    <t>E280</t>
  </si>
  <si>
    <t>428i</t>
  </si>
  <si>
    <t>E300</t>
  </si>
  <si>
    <t>E320</t>
  </si>
  <si>
    <t>GLC 250</t>
  </si>
  <si>
    <t>NUEVO 2017</t>
  </si>
  <si>
    <t>Algoriesgo1</t>
  </si>
  <si>
    <t>ANTIGÜEDAD DEL VEH</t>
  </si>
  <si>
    <t>Vehiculos Livianos</t>
  </si>
  <si>
    <r>
      <rPr>
        <sz val="11"/>
        <color theme="4" tint="-0.249977111117893"/>
        <rFont val="Calibri"/>
        <family val="2"/>
        <scheme val="minor"/>
      </rPr>
      <t>06</t>
    </r>
    <r>
      <rPr>
        <sz val="8"/>
        <color theme="4" tint="-0.249977111117893"/>
        <rFont val="Calibri"/>
        <family val="2"/>
        <scheme val="minor"/>
      </rPr>
      <t xml:space="preserve"> eventos por vigencia</t>
    </r>
    <r>
      <rPr>
        <sz val="8"/>
        <rFont val="Calibri"/>
        <family val="2"/>
        <scheme val="minor"/>
      </rPr>
      <t xml:space="preserve">
Copago S/.60 a partir de la septima atención</t>
    </r>
  </si>
  <si>
    <t>SOLO INGRESAR INFORMACION EN LO SOMBREADO Y LETRAS NEGRAS</t>
  </si>
  <si>
    <t>TASA FINAL</t>
  </si>
  <si>
    <t>Q2</t>
  </si>
  <si>
    <t>SERIE 1</t>
  </si>
  <si>
    <t>140i</t>
  </si>
  <si>
    <t>SERIE 2 COOPE</t>
  </si>
  <si>
    <t>M240I</t>
  </si>
  <si>
    <t>SERIE 3</t>
  </si>
  <si>
    <t>SERIE 4</t>
  </si>
  <si>
    <t>SERIE 5</t>
  </si>
  <si>
    <t>SERIE 6</t>
  </si>
  <si>
    <t>SERIE 7</t>
  </si>
  <si>
    <t>X2</t>
  </si>
  <si>
    <t>X4</t>
  </si>
  <si>
    <t>ONIX</t>
  </si>
  <si>
    <t>COBALT</t>
  </si>
  <si>
    <t>SUBURBAN</t>
  </si>
  <si>
    <t>C-ELYSEE</t>
  </si>
  <si>
    <t>CRONOS</t>
  </si>
  <si>
    <t>ARGO</t>
  </si>
  <si>
    <t>FOCUS</t>
  </si>
  <si>
    <t>FUSION</t>
  </si>
  <si>
    <t>WR-V</t>
  </si>
  <si>
    <t>BR</t>
  </si>
  <si>
    <t>MR</t>
  </si>
  <si>
    <t>AR</t>
  </si>
  <si>
    <t>ECLIPSE</t>
  </si>
  <si>
    <t>KICKS</t>
  </si>
  <si>
    <t>WRX</t>
  </si>
  <si>
    <t>S-CROSS</t>
  </si>
  <si>
    <t>AGYA</t>
  </si>
  <si>
    <t>VIRTUS</t>
  </si>
  <si>
    <t>PEGEOT</t>
  </si>
  <si>
    <t>TASA SIN DESCUENTOS</t>
  </si>
  <si>
    <t>PARA POSITIVA DESC CONTRA</t>
  </si>
  <si>
    <t>COMSIONE INICIAL</t>
  </si>
  <si>
    <t>% COM</t>
  </si>
  <si>
    <t>% DESC</t>
  </si>
  <si>
    <t>AUTOMOVIL</t>
  </si>
  <si>
    <t>COMPAÑÍA ACTUAL</t>
  </si>
  <si>
    <t>NINGUNA</t>
  </si>
  <si>
    <t>Mensual * s/i</t>
  </si>
  <si>
    <t>Mensual *</t>
  </si>
  <si>
    <t>Nestor Quintero</t>
  </si>
  <si>
    <t>NUEVO 2018</t>
  </si>
  <si>
    <t>BAJO RIESGO</t>
  </si>
  <si>
    <t>BAJO RIESGO 1</t>
  </si>
  <si>
    <t>BAJO RIESGO 2</t>
  </si>
  <si>
    <t>ALTO RIESGO 1</t>
  </si>
  <si>
    <t>ALTO RIESGO 2</t>
  </si>
  <si>
    <t>MEDIANO RIESGO</t>
  </si>
  <si>
    <t>ALTO RIESGO</t>
  </si>
  <si>
    <t>5c424534b259e05089947a0a</t>
  </si>
  <si>
    <t>5c424534b259e05089947a0b</t>
  </si>
  <si>
    <t>5c424534b259e05089947a0c</t>
  </si>
  <si>
    <t>5c424534b259e05089947a0d</t>
  </si>
  <si>
    <t>5c424534b259e05089947a0e</t>
  </si>
  <si>
    <t>5c424534b259e05089947a0f</t>
  </si>
  <si>
    <t>5c424534b259e05089947a10</t>
  </si>
  <si>
    <t>5c424534b259e05089947a11</t>
  </si>
  <si>
    <t>5c424534b259e05089947a12</t>
  </si>
  <si>
    <t>5c424534b259e05089947a13</t>
  </si>
  <si>
    <t>5c424534b259e05089947a14</t>
  </si>
  <si>
    <t>5c424534b259e05089947a15</t>
  </si>
  <si>
    <t>5c424534b259e05089947a16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</si>
</sst>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USD]\ #,##0.00"/>
    <numFmt numFmtId="166" formatCode="_-[$USS]\ * #,##0.00_-;\-[$USS]\ * #,##0.00_-;_-[$USS]\ * &quot;-&quot;??_-;_-@_-"/>
    <numFmt numFmtId="167" formatCode="[$USS]\ #,##0.00"/>
    <numFmt numFmtId="168" formatCode="_ [$USD]\ * #,##0.00_ ;_ [$USD]\ * \-#,##0.00_ ;_ [$USD]\ * &quot;-&quot;??_ ;_ @_ "/>
  </numFmts>
  <fonts count="89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b/>
      <i/>
      <sz val="18"/>
      <color theme="4" tint="-0.499984740745262"/>
      <name val="Arial"/>
      <family val="2"/>
    </font>
    <font>
      <b/>
      <sz val="12"/>
      <color theme="1" tint="4.9989318521683403E-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8"/>
      <color rgb="FF00AF3F"/>
      <name val="&amp;quot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rgb="FF585A5B"/>
      <name val="&amp;quot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8"/>
      <color rgb="FF00AF3F"/>
      <name val="Calibri"/>
      <family val="2"/>
      <scheme val="minor"/>
    </font>
    <font>
      <b/>
      <sz val="8"/>
      <color rgb="FF585A5B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616161"/>
      <name val="&amp;quot"/>
    </font>
    <font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8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3" tint="-0.499984740745262"/>
      <name val="Tahoma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Arial"/>
      <family val="2"/>
    </font>
    <font>
      <sz val="8"/>
      <color rgb="FFFF4500"/>
      <name val="Consolas"/>
      <family val="3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EA6B14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4">
    <xf numFmtId="0" fontId="0" fillId="0" borderId="0"/>
    <xf numFmtId="0" fontId="8" fillId="0" borderId="0"/>
    <xf numFmtId="164" fontId="8" fillId="0" borderId="0" applyFont="0" applyFill="0" applyBorder="0" applyAlignment="0" applyProtection="0"/>
    <xf numFmtId="0" fontId="55" fillId="0" borderId="0" applyNumberFormat="0" applyFill="0" applyBorder="0" applyAlignment="0" applyProtection="0"/>
  </cellStyleXfs>
  <cellXfs count="57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9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9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3" fillId="3" borderId="0" xfId="0" applyFont="1" applyFill="1"/>
    <xf numFmtId="0" fontId="12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ill="1"/>
    <xf numFmtId="0" fontId="2" fillId="2" borderId="8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vertical="center"/>
    </xf>
    <xf numFmtId="164" fontId="7" fillId="10" borderId="8" xfId="2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164" fontId="3" fillId="10" borderId="8" xfId="2" applyFont="1" applyFill="1" applyBorder="1" applyAlignment="1">
      <alignment vertical="center"/>
    </xf>
    <xf numFmtId="0" fontId="18" fillId="3" borderId="0" xfId="0" applyFont="1" applyFill="1"/>
    <xf numFmtId="0" fontId="6" fillId="3" borderId="8" xfId="0" applyFont="1" applyFill="1" applyBorder="1"/>
    <xf numFmtId="0" fontId="19" fillId="3" borderId="0" xfId="0" applyFont="1" applyFill="1"/>
    <xf numFmtId="0" fontId="20" fillId="3" borderId="0" xfId="0" applyFont="1" applyFill="1"/>
    <xf numFmtId="0" fontId="2" fillId="3" borderId="0" xfId="0" applyFont="1" applyFill="1"/>
    <xf numFmtId="10" fontId="2" fillId="3" borderId="8" xfId="0" applyNumberFormat="1" applyFont="1" applyFill="1" applyBorder="1"/>
    <xf numFmtId="0" fontId="2" fillId="10" borderId="8" xfId="0" applyFont="1" applyFill="1" applyBorder="1" applyAlignment="1">
      <alignment horizontal="right"/>
    </xf>
    <xf numFmtId="10" fontId="2" fillId="4" borderId="8" xfId="0" applyNumberFormat="1" applyFont="1" applyFill="1" applyBorder="1"/>
    <xf numFmtId="0" fontId="5" fillId="10" borderId="8" xfId="0" applyFont="1" applyFill="1" applyBorder="1" applyAlignment="1">
      <alignment horizontal="center"/>
    </xf>
    <xf numFmtId="0" fontId="21" fillId="3" borderId="0" xfId="0" applyFont="1" applyFill="1" applyAlignment="1"/>
    <xf numFmtId="0" fontId="23" fillId="3" borderId="0" xfId="0" applyFont="1" applyFill="1" applyAlignment="1"/>
    <xf numFmtId="0" fontId="23" fillId="3" borderId="0" xfId="0" applyFont="1" applyFill="1"/>
    <xf numFmtId="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0" fontId="2" fillId="3" borderId="0" xfId="0" applyNumberFormat="1" applyFont="1" applyFill="1" applyBorder="1"/>
    <xf numFmtId="9" fontId="2" fillId="3" borderId="0" xfId="0" applyNumberFormat="1" applyFont="1" applyFill="1" applyBorder="1"/>
    <xf numFmtId="0" fontId="0" fillId="3" borderId="0" xfId="0" applyFill="1" applyBorder="1"/>
    <xf numFmtId="0" fontId="4" fillId="3" borderId="0" xfId="0" applyFont="1" applyFill="1"/>
    <xf numFmtId="0" fontId="2" fillId="3" borderId="11" xfId="0" applyFont="1" applyFill="1" applyBorder="1"/>
    <xf numFmtId="0" fontId="4" fillId="3" borderId="12" xfId="0" applyFont="1" applyFill="1" applyBorder="1"/>
    <xf numFmtId="0" fontId="2" fillId="3" borderId="13" xfId="0" applyFont="1" applyFill="1" applyBorder="1"/>
    <xf numFmtId="0" fontId="4" fillId="3" borderId="14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166" fontId="20" fillId="3" borderId="2" xfId="0" applyNumberFormat="1" applyFont="1" applyFill="1" applyBorder="1" applyAlignment="1">
      <alignment horizontal="center" vertical="center" wrapText="1"/>
    </xf>
    <xf numFmtId="0" fontId="28" fillId="3" borderId="0" xfId="0" applyFont="1" applyFill="1" applyAlignment="1">
      <alignment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6" fillId="3" borderId="8" xfId="0" applyNumberFormat="1" applyFont="1" applyFill="1" applyBorder="1"/>
    <xf numFmtId="166" fontId="25" fillId="12" borderId="2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14" fontId="35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30" fillId="3" borderId="8" xfId="0" applyFont="1" applyFill="1" applyBorder="1" applyAlignment="1">
      <alignment vertical="center" wrapText="1"/>
    </xf>
    <xf numFmtId="0" fontId="0" fillId="3" borderId="0" xfId="0" applyFont="1" applyFill="1"/>
    <xf numFmtId="0" fontId="39" fillId="3" borderId="0" xfId="0" applyFont="1" applyFill="1" applyAlignment="1">
      <alignment vertical="center" wrapText="1"/>
    </xf>
    <xf numFmtId="0" fontId="41" fillId="3" borderId="0" xfId="0" applyFont="1" applyFill="1" applyBorder="1" applyAlignment="1">
      <alignment vertical="center" wrapText="1"/>
    </xf>
    <xf numFmtId="0" fontId="42" fillId="3" borderId="0" xfId="0" applyFont="1" applyFill="1" applyBorder="1" applyAlignment="1">
      <alignment horizontal="right" vertical="center"/>
    </xf>
    <xf numFmtId="14" fontId="42" fillId="3" borderId="0" xfId="0" applyNumberFormat="1" applyFont="1" applyFill="1" applyBorder="1" applyAlignment="1">
      <alignment vertical="center" wrapText="1"/>
    </xf>
    <xf numFmtId="0" fontId="42" fillId="3" borderId="0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43" fillId="3" borderId="0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45" fillId="3" borderId="0" xfId="0" applyFont="1" applyFill="1" applyAlignment="1">
      <alignment vertical="center" wrapText="1"/>
    </xf>
    <xf numFmtId="0" fontId="37" fillId="3" borderId="0" xfId="0" applyFont="1" applyFill="1" applyBorder="1" applyAlignment="1">
      <alignment horizontal="center" vertical="center" wrapText="1"/>
    </xf>
    <xf numFmtId="167" fontId="37" fillId="3" borderId="0" xfId="0" applyNumberFormat="1" applyFont="1" applyFill="1" applyBorder="1" applyAlignment="1">
      <alignment horizontal="center" vertical="center" wrapText="1"/>
    </xf>
    <xf numFmtId="0" fontId="46" fillId="3" borderId="0" xfId="0" applyFont="1" applyFill="1" applyBorder="1" applyAlignment="1">
      <alignment horizontal="right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left" vertical="center" wrapText="1"/>
    </xf>
    <xf numFmtId="168" fontId="57" fillId="3" borderId="1" xfId="0" applyNumberFormat="1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vertical="center" wrapText="1"/>
    </xf>
    <xf numFmtId="168" fontId="57" fillId="3" borderId="1" xfId="0" applyNumberFormat="1" applyFont="1" applyFill="1" applyBorder="1" applyAlignment="1">
      <alignment vertical="center"/>
    </xf>
    <xf numFmtId="0" fontId="5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58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vertical="center" wrapText="1"/>
    </xf>
    <xf numFmtId="4" fontId="59" fillId="3" borderId="0" xfId="0" applyNumberFormat="1" applyFont="1" applyFill="1" applyBorder="1" applyAlignment="1">
      <alignment horizontal="center" vertical="center"/>
    </xf>
    <xf numFmtId="4" fontId="37" fillId="3" borderId="0" xfId="0" applyNumberFormat="1" applyFont="1" applyFill="1" applyBorder="1" applyAlignment="1">
      <alignment vertical="center" wrapText="1"/>
    </xf>
    <xf numFmtId="0" fontId="36" fillId="20" borderId="8" xfId="0" applyFont="1" applyFill="1" applyBorder="1" applyAlignment="1">
      <alignment horizontal="center" vertical="center" wrapText="1"/>
    </xf>
    <xf numFmtId="10" fontId="37" fillId="3" borderId="8" xfId="0" applyNumberFormat="1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vertical="center" wrapText="1"/>
    </xf>
    <xf numFmtId="4" fontId="37" fillId="3" borderId="8" xfId="0" applyNumberFormat="1" applyFont="1" applyFill="1" applyBorder="1" applyAlignment="1">
      <alignment vertical="center" wrapText="1"/>
    </xf>
    <xf numFmtId="0" fontId="62" fillId="3" borderId="0" xfId="0" applyFont="1" applyFill="1" applyBorder="1" applyAlignment="1">
      <alignment vertical="center" wrapText="1"/>
    </xf>
    <xf numFmtId="0" fontId="63" fillId="3" borderId="0" xfId="0" applyFont="1" applyFill="1" applyBorder="1" applyAlignment="1">
      <alignment horizontal="left" vertical="center" wrapText="1"/>
    </xf>
    <xf numFmtId="0" fontId="62" fillId="3" borderId="0" xfId="0" applyFont="1" applyFill="1" applyBorder="1" applyAlignment="1">
      <alignment horizontal="center" vertical="center" wrapText="1"/>
    </xf>
    <xf numFmtId="0" fontId="68" fillId="3" borderId="0" xfId="0" applyFont="1" applyFill="1" applyBorder="1" applyAlignment="1">
      <alignment vertical="center" wrapText="1"/>
    </xf>
    <xf numFmtId="0" fontId="49" fillId="3" borderId="0" xfId="0" applyFont="1" applyFill="1" applyBorder="1" applyAlignment="1">
      <alignment horizontal="left" vertical="center" wrapText="1"/>
    </xf>
    <xf numFmtId="0" fontId="18" fillId="0" borderId="0" xfId="0" applyFont="1"/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8" fontId="2" fillId="3" borderId="0" xfId="0" applyNumberFormat="1" applyFont="1" applyFill="1" applyBorder="1" applyAlignment="1">
      <alignment vertical="center"/>
    </xf>
    <xf numFmtId="168" fontId="2" fillId="0" borderId="1" xfId="0" applyNumberFormat="1" applyFont="1" applyBorder="1"/>
    <xf numFmtId="4" fontId="2" fillId="0" borderId="1" xfId="0" applyNumberFormat="1" applyFont="1" applyBorder="1"/>
    <xf numFmtId="168" fontId="74" fillId="0" borderId="1" xfId="0" applyNumberFormat="1" applyFont="1" applyBorder="1"/>
    <xf numFmtId="0" fontId="6" fillId="0" borderId="0" xfId="0" applyFont="1"/>
    <xf numFmtId="0" fontId="6" fillId="12" borderId="0" xfId="0" applyFont="1" applyFill="1" applyAlignment="1">
      <alignment vertical="center" wrapText="1"/>
    </xf>
    <xf numFmtId="0" fontId="53" fillId="3" borderId="0" xfId="0" applyFont="1" applyFill="1" applyBorder="1" applyAlignment="1">
      <alignment vertical="center" wrapText="1"/>
    </xf>
    <xf numFmtId="0" fontId="50" fillId="3" borderId="0" xfId="0" applyFont="1" applyFill="1" applyBorder="1" applyAlignment="1">
      <alignment vertical="center" wrapText="1"/>
    </xf>
    <xf numFmtId="0" fontId="2" fillId="23" borderId="54" xfId="0" applyFont="1" applyFill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4" fillId="2" borderId="54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2" fillId="25" borderId="8" xfId="0" applyFont="1" applyFill="1" applyBorder="1" applyAlignment="1">
      <alignment vertical="center" wrapText="1"/>
    </xf>
    <xf numFmtId="0" fontId="2" fillId="25" borderId="8" xfId="0" applyFont="1" applyFill="1" applyBorder="1" applyAlignment="1">
      <alignment vertical="center"/>
    </xf>
    <xf numFmtId="0" fontId="3" fillId="25" borderId="8" xfId="0" applyFont="1" applyFill="1" applyBorder="1" applyAlignment="1">
      <alignment horizontal="left" vertical="center"/>
    </xf>
    <xf numFmtId="0" fontId="2" fillId="26" borderId="8" xfId="0" applyFont="1" applyFill="1" applyBorder="1" applyAlignment="1">
      <alignment vertical="center"/>
    </xf>
    <xf numFmtId="0" fontId="58" fillId="26" borderId="8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 wrapText="1"/>
    </xf>
    <xf numFmtId="0" fontId="58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 wrapText="1"/>
    </xf>
    <xf numFmtId="0" fontId="58" fillId="25" borderId="8" xfId="0" applyFont="1" applyFill="1" applyBorder="1" applyAlignment="1">
      <alignment vertical="center" wrapText="1"/>
    </xf>
    <xf numFmtId="0" fontId="58" fillId="17" borderId="8" xfId="0" applyFont="1" applyFill="1" applyBorder="1" applyAlignment="1">
      <alignment vertical="center" wrapText="1"/>
    </xf>
    <xf numFmtId="0" fontId="75" fillId="0" borderId="0" xfId="0" applyFont="1" applyAlignment="1">
      <alignment vertical="justify"/>
    </xf>
    <xf numFmtId="0" fontId="2" fillId="17" borderId="55" xfId="0" applyFont="1" applyFill="1" applyBorder="1" applyAlignment="1">
      <alignment vertical="center"/>
    </xf>
    <xf numFmtId="0" fontId="58" fillId="17" borderId="55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7" fillId="9" borderId="1" xfId="0" applyFont="1" applyFill="1" applyBorder="1" applyAlignment="1">
      <alignment horizontal="center" vertical="center" wrapText="1"/>
    </xf>
    <xf numFmtId="0" fontId="57" fillId="9" borderId="1" xfId="0" applyFont="1" applyFill="1" applyBorder="1" applyAlignment="1">
      <alignment horizontal="left" vertical="center" wrapText="1"/>
    </xf>
    <xf numFmtId="168" fontId="57" fillId="9" borderId="1" xfId="0" applyNumberFormat="1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vertical="center" wrapText="1"/>
    </xf>
    <xf numFmtId="168" fontId="57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27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horizontal="center" vertical="center" wrapText="1"/>
    </xf>
    <xf numFmtId="10" fontId="2" fillId="27" borderId="1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166" fontId="20" fillId="28" borderId="2" xfId="0" applyNumberFormat="1" applyFont="1" applyFill="1" applyBorder="1" applyAlignment="1">
      <alignment horizontal="center" vertical="center" wrapText="1"/>
    </xf>
    <xf numFmtId="0" fontId="0" fillId="29" borderId="0" xfId="0" applyFill="1" applyAlignment="1">
      <alignment horizontal="left"/>
    </xf>
    <xf numFmtId="0" fontId="2" fillId="29" borderId="0" xfId="0" applyFont="1" applyFill="1" applyAlignment="1">
      <alignment horizontal="right"/>
    </xf>
    <xf numFmtId="0" fontId="2" fillId="29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33" fillId="2" borderId="8" xfId="0" applyFont="1" applyFill="1" applyBorder="1" applyAlignment="1">
      <alignment horizontal="right"/>
    </xf>
    <xf numFmtId="0" fontId="33" fillId="22" borderId="8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9" fontId="24" fillId="12" borderId="2" xfId="0" applyNumberFormat="1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80" fillId="3" borderId="2" xfId="0" applyFont="1" applyFill="1" applyBorder="1" applyAlignment="1">
      <alignment horizontal="center" vertical="center" wrapText="1"/>
    </xf>
    <xf numFmtId="0" fontId="80" fillId="28" borderId="2" xfId="0" applyFont="1" applyFill="1" applyBorder="1" applyAlignment="1">
      <alignment horizontal="center" vertical="center" wrapText="1"/>
    </xf>
    <xf numFmtId="0" fontId="82" fillId="2" borderId="2" xfId="0" applyFont="1" applyFill="1" applyBorder="1" applyAlignment="1">
      <alignment horizontal="center" vertical="center" wrapText="1"/>
    </xf>
    <xf numFmtId="0" fontId="82" fillId="6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0" fontId="48" fillId="3" borderId="0" xfId="0" applyFont="1" applyFill="1" applyBorder="1" applyAlignment="1">
      <alignment horizontal="center" vertical="center" wrapText="1"/>
    </xf>
    <xf numFmtId="165" fontId="48" fillId="3" borderId="0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6" fillId="28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83" fillId="3" borderId="0" xfId="0" applyFont="1" applyFill="1" applyAlignment="1">
      <alignment vertical="center"/>
    </xf>
    <xf numFmtId="0" fontId="83" fillId="3" borderId="0" xfId="0" applyFont="1" applyFill="1" applyBorder="1" applyAlignment="1">
      <alignment horizontal="left" vertical="center"/>
    </xf>
    <xf numFmtId="0" fontId="83" fillId="3" borderId="0" xfId="0" applyFont="1" applyFill="1" applyBorder="1" applyAlignment="1">
      <alignment vertical="center"/>
    </xf>
    <xf numFmtId="0" fontId="84" fillId="3" borderId="0" xfId="0" applyFont="1" applyFill="1" applyBorder="1" applyAlignment="1">
      <alignment horizontal="left" vertical="center"/>
    </xf>
    <xf numFmtId="0" fontId="84" fillId="3" borderId="0" xfId="0" applyFont="1" applyFill="1" applyAlignment="1">
      <alignment vertical="center"/>
    </xf>
    <xf numFmtId="0" fontId="8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horizontal="left" vertical="center"/>
    </xf>
    <xf numFmtId="0" fontId="83" fillId="9" borderId="10" xfId="0" applyFont="1" applyFill="1" applyBorder="1" applyAlignment="1">
      <alignment horizontal="left" vertical="center"/>
    </xf>
    <xf numFmtId="0" fontId="83" fillId="9" borderId="10" xfId="0" applyFont="1" applyFill="1" applyBorder="1" applyAlignment="1">
      <alignment vertical="center" wrapText="1"/>
    </xf>
    <xf numFmtId="0" fontId="83" fillId="3" borderId="1" xfId="0" applyFont="1" applyFill="1" applyBorder="1" applyAlignment="1">
      <alignment vertical="center"/>
    </xf>
    <xf numFmtId="0" fontId="83" fillId="3" borderId="1" xfId="0" applyFont="1" applyFill="1" applyBorder="1" applyAlignment="1">
      <alignment horizontal="left" vertical="center" wrapText="1"/>
    </xf>
    <xf numFmtId="0" fontId="83" fillId="3" borderId="9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vertical="center" wrapText="1"/>
    </xf>
    <xf numFmtId="0" fontId="83" fillId="9" borderId="10" xfId="0" applyFont="1" applyFill="1" applyBorder="1" applyAlignment="1">
      <alignment vertical="center"/>
    </xf>
    <xf numFmtId="0" fontId="83" fillId="3" borderId="10" xfId="0" applyFont="1" applyFill="1" applyBorder="1" applyAlignment="1">
      <alignment horizontal="left" vertical="center"/>
    </xf>
    <xf numFmtId="0" fontId="83" fillId="3" borderId="10" xfId="0" applyFont="1" applyFill="1" applyBorder="1" applyAlignment="1">
      <alignment horizontal="left" vertical="center" wrapText="1"/>
    </xf>
    <xf numFmtId="0" fontId="83" fillId="3" borderId="10" xfId="0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left" vertical="center"/>
    </xf>
    <xf numFmtId="0" fontId="85" fillId="3" borderId="0" xfId="0" applyFont="1" applyFill="1" applyBorder="1" applyAlignment="1">
      <alignment horizontal="left" vertical="center"/>
    </xf>
    <xf numFmtId="0" fontId="83" fillId="3" borderId="9" xfId="0" applyFont="1" applyFill="1" applyBorder="1" applyAlignment="1">
      <alignment vertical="center"/>
    </xf>
    <xf numFmtId="0" fontId="83" fillId="3" borderId="0" xfId="0" applyFont="1" applyFill="1" applyBorder="1" applyAlignment="1">
      <alignment horizontal="left" vertical="center" wrapText="1"/>
    </xf>
    <xf numFmtId="0" fontId="85" fillId="8" borderId="1" xfId="0" applyFont="1" applyFill="1" applyBorder="1" applyAlignment="1">
      <alignment horizontal="center" vertical="center"/>
    </xf>
    <xf numFmtId="0" fontId="85" fillId="8" borderId="9" xfId="0" applyFont="1" applyFill="1" applyBorder="1" applyAlignment="1">
      <alignment horizontal="center" vertical="center"/>
    </xf>
    <xf numFmtId="0" fontId="83" fillId="9" borderId="10" xfId="0" applyFont="1" applyFill="1" applyBorder="1" applyAlignment="1">
      <alignment horizontal="left" vertical="center" wrapText="1"/>
    </xf>
    <xf numFmtId="0" fontId="83" fillId="3" borderId="10" xfId="0" applyFont="1" applyFill="1" applyBorder="1" applyAlignment="1">
      <alignment vertical="center"/>
    </xf>
    <xf numFmtId="0" fontId="85" fillId="7" borderId="10" xfId="0" applyFont="1" applyFill="1" applyBorder="1" applyAlignment="1">
      <alignment horizontal="left" vertical="center"/>
    </xf>
    <xf numFmtId="0" fontId="85" fillId="10" borderId="1" xfId="0" applyFont="1" applyFill="1" applyBorder="1" applyAlignment="1">
      <alignment horizontal="left" vertical="center"/>
    </xf>
    <xf numFmtId="0" fontId="83" fillId="10" borderId="8" xfId="0" applyFont="1" applyFill="1" applyBorder="1" applyAlignment="1">
      <alignment horizontal="right"/>
    </xf>
    <xf numFmtId="0" fontId="83" fillId="10" borderId="1" xfId="0" applyFont="1" applyFill="1" applyBorder="1" applyAlignment="1">
      <alignment horizontal="left" vertical="center"/>
    </xf>
    <xf numFmtId="0" fontId="83" fillId="10" borderId="1" xfId="0" applyFont="1" applyFill="1" applyBorder="1" applyAlignment="1">
      <alignment horizontal="left" vertical="center" wrapText="1"/>
    </xf>
    <xf numFmtId="0" fontId="83" fillId="3" borderId="0" xfId="0" applyFont="1" applyFill="1" applyBorder="1" applyAlignment="1">
      <alignment horizontal="center" vertical="center"/>
    </xf>
    <xf numFmtId="0" fontId="85" fillId="3" borderId="0" xfId="0" applyFont="1" applyFill="1" applyBorder="1" applyAlignment="1">
      <alignment horizontal="center" vertical="center"/>
    </xf>
    <xf numFmtId="165" fontId="26" fillId="9" borderId="1" xfId="0" applyNumberFormat="1" applyFont="1" applyFill="1" applyBorder="1" applyAlignment="1">
      <alignment horizontal="center" vertical="center" wrapText="1"/>
    </xf>
    <xf numFmtId="0" fontId="83" fillId="5" borderId="1" xfId="0" applyFont="1" applyFill="1" applyBorder="1" applyAlignment="1">
      <alignment vertical="center"/>
    </xf>
    <xf numFmtId="0" fontId="83" fillId="5" borderId="1" xfId="0" applyFont="1" applyFill="1" applyBorder="1" applyAlignment="1">
      <alignment horizontal="left" vertical="center"/>
    </xf>
    <xf numFmtId="0" fontId="83" fillId="3" borderId="1" xfId="0" applyFont="1" applyFill="1" applyBorder="1" applyAlignment="1">
      <alignment horizontal="center" vertical="center"/>
    </xf>
    <xf numFmtId="0" fontId="83" fillId="9" borderId="1" xfId="0" applyFont="1" applyFill="1" applyBorder="1" applyAlignment="1">
      <alignment horizontal="center" vertical="center"/>
    </xf>
    <xf numFmtId="0" fontId="83" fillId="4" borderId="1" xfId="0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vertical="center"/>
    </xf>
    <xf numFmtId="0" fontId="83" fillId="0" borderId="1" xfId="0" applyFont="1" applyBorder="1" applyAlignment="1">
      <alignment vertical="center"/>
    </xf>
    <xf numFmtId="0" fontId="83" fillId="9" borderId="1" xfId="0" applyFont="1" applyFill="1" applyBorder="1" applyAlignment="1">
      <alignment vertical="center"/>
    </xf>
    <xf numFmtId="0" fontId="83" fillId="3" borderId="0" xfId="0" applyFont="1" applyFill="1" applyAlignment="1">
      <alignment horizontal="center" vertical="center"/>
    </xf>
    <xf numFmtId="0" fontId="83" fillId="27" borderId="1" xfId="0" applyFont="1" applyFill="1" applyBorder="1" applyAlignment="1">
      <alignment horizontal="left" vertical="center"/>
    </xf>
    <xf numFmtId="0" fontId="83" fillId="27" borderId="1" xfId="0" applyFont="1" applyFill="1" applyBorder="1" applyAlignment="1">
      <alignment vertical="center"/>
    </xf>
    <xf numFmtId="0" fontId="3" fillId="31" borderId="8" xfId="0" applyFont="1" applyFill="1" applyBorder="1" applyAlignment="1">
      <alignment vertical="center"/>
    </xf>
    <xf numFmtId="0" fontId="3" fillId="31" borderId="8" xfId="0" applyFont="1" applyFill="1" applyBorder="1" applyAlignment="1">
      <alignment horizontal="left" vertical="center"/>
    </xf>
    <xf numFmtId="0" fontId="3" fillId="31" borderId="8" xfId="0" applyFont="1" applyFill="1" applyBorder="1" applyAlignment="1">
      <alignment horizontal="left" vertical="center" wrapText="1"/>
    </xf>
    <xf numFmtId="0" fontId="83" fillId="3" borderId="0" xfId="0" applyFont="1" applyFill="1" applyAlignment="1">
      <alignment horizontal="left" vertical="center"/>
    </xf>
    <xf numFmtId="0" fontId="83" fillId="3" borderId="47" xfId="0" applyFont="1" applyFill="1" applyBorder="1" applyAlignment="1">
      <alignment horizontal="left" vertical="center"/>
    </xf>
    <xf numFmtId="0" fontId="83" fillId="3" borderId="47" xfId="0" applyFont="1" applyFill="1" applyBorder="1" applyAlignment="1">
      <alignment vertical="center" wrapText="1"/>
    </xf>
    <xf numFmtId="0" fontId="83" fillId="3" borderId="47" xfId="0" applyFont="1" applyFill="1" applyBorder="1" applyAlignment="1">
      <alignment vertical="center"/>
    </xf>
    <xf numFmtId="0" fontId="83" fillId="3" borderId="8" xfId="0" applyFont="1" applyFill="1" applyBorder="1" applyAlignment="1">
      <alignment horizontal="left" vertical="center"/>
    </xf>
    <xf numFmtId="0" fontId="83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1" borderId="1" xfId="1" applyFont="1" applyFill="1" applyBorder="1" applyAlignment="1">
      <alignment horizontal="left" vertical="center" wrapText="1"/>
    </xf>
    <xf numFmtId="0" fontId="3" fillId="32" borderId="1" xfId="1" applyFont="1" applyFill="1" applyBorder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/>
    </xf>
    <xf numFmtId="0" fontId="75" fillId="0" borderId="0" xfId="0" applyFont="1" applyAlignment="1">
      <alignment horizontal="left" vertical="justify"/>
    </xf>
    <xf numFmtId="0" fontId="5" fillId="23" borderId="5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8" fontId="2" fillId="17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4" fillId="21" borderId="3" xfId="0" applyFont="1" applyFill="1" applyBorder="1" applyAlignment="1">
      <alignment horizontal="center" vertical="center" wrapText="1"/>
    </xf>
    <xf numFmtId="0" fontId="4" fillId="21" borderId="52" xfId="0" applyFont="1" applyFill="1" applyBorder="1" applyAlignment="1">
      <alignment horizontal="center" vertical="center" wrapText="1"/>
    </xf>
    <xf numFmtId="0" fontId="4" fillId="21" borderId="53" xfId="0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6" fillId="28" borderId="35" xfId="0" applyFont="1" applyFill="1" applyBorder="1" applyAlignment="1">
      <alignment horizontal="left" vertical="center" wrapText="1"/>
    </xf>
    <xf numFmtId="0" fontId="6" fillId="28" borderId="0" xfId="0" applyFont="1" applyFill="1" applyBorder="1" applyAlignment="1">
      <alignment horizontal="left" vertical="center" wrapText="1"/>
    </xf>
    <xf numFmtId="2" fontId="33" fillId="12" borderId="57" xfId="0" applyNumberFormat="1" applyFont="1" applyFill="1" applyBorder="1" applyAlignment="1">
      <alignment horizontal="right" vertical="center" wrapText="1"/>
    </xf>
    <xf numFmtId="2" fontId="33" fillId="12" borderId="58" xfId="0" applyNumberFormat="1" applyFont="1" applyFill="1" applyBorder="1" applyAlignment="1">
      <alignment horizontal="right" vertical="center" wrapText="1"/>
    </xf>
    <xf numFmtId="166" fontId="25" fillId="12" borderId="57" xfId="0" applyNumberFormat="1" applyFont="1" applyFill="1" applyBorder="1" applyAlignment="1">
      <alignment horizontal="center" vertical="center" wrapText="1"/>
    </xf>
    <xf numFmtId="166" fontId="25" fillId="12" borderId="58" xfId="0" applyNumberFormat="1" applyFont="1" applyFill="1" applyBorder="1" applyAlignment="1">
      <alignment horizontal="center" vertical="center" wrapText="1"/>
    </xf>
    <xf numFmtId="2" fontId="5" fillId="12" borderId="57" xfId="0" applyNumberFormat="1" applyFont="1" applyFill="1" applyBorder="1" applyAlignment="1">
      <alignment horizontal="right" vertical="center" wrapText="1"/>
    </xf>
    <xf numFmtId="2" fontId="5" fillId="12" borderId="58" xfId="0" applyNumberFormat="1" applyFont="1" applyFill="1" applyBorder="1" applyAlignment="1">
      <alignment horizontal="right" vertical="center" wrapText="1"/>
    </xf>
    <xf numFmtId="0" fontId="80" fillId="3" borderId="50" xfId="0" applyFont="1" applyFill="1" applyBorder="1" applyAlignment="1">
      <alignment horizontal="left" vertical="center" wrapText="1"/>
    </xf>
    <xf numFmtId="0" fontId="80" fillId="3" borderId="51" xfId="0" applyFont="1" applyFill="1" applyBorder="1" applyAlignment="1">
      <alignment horizontal="left" vertical="center" wrapText="1"/>
    </xf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4" fillId="28" borderId="50" xfId="0" applyFont="1" applyFill="1" applyBorder="1" applyAlignment="1">
      <alignment vertical="center" wrapText="1"/>
    </xf>
    <xf numFmtId="0" fontId="4" fillId="28" borderId="51" xfId="0" applyFont="1" applyFill="1" applyBorder="1" applyAlignment="1">
      <alignment vertical="center" wrapText="1"/>
    </xf>
    <xf numFmtId="0" fontId="1" fillId="12" borderId="50" xfId="0" applyFont="1" applyFill="1" applyBorder="1" applyAlignment="1">
      <alignment vertical="center" wrapText="1"/>
    </xf>
    <xf numFmtId="0" fontId="1" fillId="12" borderId="51" xfId="0" applyFont="1" applyFill="1" applyBorder="1" applyAlignment="1">
      <alignment vertical="center" wrapText="1"/>
    </xf>
    <xf numFmtId="166" fontId="25" fillId="12" borderId="2" xfId="0" applyNumberFormat="1" applyFont="1" applyFill="1" applyBorder="1" applyAlignment="1">
      <alignment horizontal="center" vertical="center" wrapText="1"/>
    </xf>
    <xf numFmtId="0" fontId="82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80" fillId="3" borderId="2" xfId="0" applyFont="1" applyFill="1" applyBorder="1" applyAlignment="1">
      <alignment horizontal="center" vertical="center" wrapText="1"/>
    </xf>
    <xf numFmtId="166" fontId="20" fillId="3" borderId="57" xfId="0" applyNumberFormat="1" applyFont="1" applyFill="1" applyBorder="1" applyAlignment="1">
      <alignment horizontal="center" vertical="center" wrapText="1"/>
    </xf>
    <xf numFmtId="166" fontId="20" fillId="3" borderId="58" xfId="0" applyNumberFormat="1" applyFont="1" applyFill="1" applyBorder="1" applyAlignment="1">
      <alignment horizontal="center" vertical="center" wrapText="1"/>
    </xf>
    <xf numFmtId="0" fontId="9" fillId="10" borderId="57" xfId="0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horizontal="center" vertical="center" wrapText="1"/>
    </xf>
    <xf numFmtId="0" fontId="76" fillId="3" borderId="13" xfId="3" applyFont="1" applyFill="1" applyBorder="1" applyAlignment="1">
      <alignment vertical="center"/>
    </xf>
    <xf numFmtId="0" fontId="76" fillId="3" borderId="0" xfId="3" applyFont="1" applyFill="1" applyBorder="1" applyAlignment="1">
      <alignment vertical="center"/>
    </xf>
    <xf numFmtId="0" fontId="76" fillId="3" borderId="14" xfId="3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49" fillId="3" borderId="32" xfId="0" applyFont="1" applyFill="1" applyBorder="1" applyAlignment="1">
      <alignment horizontal="left" vertical="center" wrapText="1"/>
    </xf>
    <xf numFmtId="0" fontId="49" fillId="3" borderId="33" xfId="0" applyFont="1" applyFill="1" applyBorder="1" applyAlignment="1">
      <alignment horizontal="left" vertical="center" wrapText="1"/>
    </xf>
    <xf numFmtId="0" fontId="49" fillId="3" borderId="29" xfId="0" applyFont="1" applyFill="1" applyBorder="1" applyAlignment="1">
      <alignment horizontal="left" vertical="center" wrapText="1"/>
    </xf>
    <xf numFmtId="0" fontId="76" fillId="3" borderId="11" xfId="3" applyFont="1" applyFill="1" applyBorder="1" applyAlignment="1">
      <alignment vertical="center" wrapText="1"/>
    </xf>
    <xf numFmtId="0" fontId="6" fillId="3" borderId="2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9" fontId="24" fillId="12" borderId="50" xfId="0" applyNumberFormat="1" applyFont="1" applyFill="1" applyBorder="1" applyAlignment="1">
      <alignment horizontal="center" vertical="center" wrapText="1"/>
    </xf>
    <xf numFmtId="9" fontId="24" fillId="12" borderId="51" xfId="0" applyNumberFormat="1" applyFont="1" applyFill="1" applyBorder="1" applyAlignment="1">
      <alignment horizontal="center" vertical="center" wrapText="1"/>
    </xf>
    <xf numFmtId="0" fontId="80" fillId="3" borderId="57" xfId="0" applyFont="1" applyFill="1" applyBorder="1" applyAlignment="1">
      <alignment horizontal="center" vertical="center" wrapText="1"/>
    </xf>
    <xf numFmtId="0" fontId="80" fillId="3" borderId="58" xfId="0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166" fontId="20" fillId="3" borderId="2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right" vertical="center" wrapText="1"/>
    </xf>
    <xf numFmtId="0" fontId="27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left" vertical="center" wrapText="1"/>
    </xf>
    <xf numFmtId="0" fontId="24" fillId="12" borderId="51" xfId="0" applyFont="1" applyFill="1" applyBorder="1" applyAlignment="1">
      <alignment horizontal="left" vertical="center" wrapText="1"/>
    </xf>
    <xf numFmtId="0" fontId="79" fillId="3" borderId="50" xfId="0" applyFont="1" applyFill="1" applyBorder="1" applyAlignment="1">
      <alignment horizontal="right" vertical="center" wrapText="1"/>
    </xf>
    <xf numFmtId="0" fontId="79" fillId="3" borderId="56" xfId="0" applyFont="1" applyFill="1" applyBorder="1" applyAlignment="1">
      <alignment horizontal="right" vertical="center" wrapText="1"/>
    </xf>
    <xf numFmtId="0" fontId="79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24" fillId="12" borderId="51" xfId="0" applyFont="1" applyFill="1" applyBorder="1" applyAlignment="1">
      <alignment horizontal="center" vertical="center" wrapText="1"/>
    </xf>
    <xf numFmtId="10" fontId="1" fillId="12" borderId="57" xfId="0" applyNumberFormat="1" applyFont="1" applyFill="1" applyBorder="1" applyAlignment="1">
      <alignment horizontal="center" vertical="center" wrapText="1"/>
    </xf>
    <xf numFmtId="10" fontId="1" fillId="12" borderId="58" xfId="0" applyNumberFormat="1" applyFont="1" applyFill="1" applyBorder="1" applyAlignment="1">
      <alignment horizontal="center" vertical="center" wrapText="1"/>
    </xf>
    <xf numFmtId="9" fontId="24" fillId="12" borderId="57" xfId="0" applyNumberFormat="1" applyFont="1" applyFill="1" applyBorder="1" applyAlignment="1">
      <alignment horizontal="center" vertical="center" wrapText="1"/>
    </xf>
    <xf numFmtId="9" fontId="24" fillId="12" borderId="58" xfId="0" applyNumberFormat="1" applyFont="1" applyFill="1" applyBorder="1" applyAlignment="1">
      <alignment horizontal="center" vertical="center" wrapText="1"/>
    </xf>
    <xf numFmtId="10" fontId="4" fillId="28" borderId="57" xfId="0" applyNumberFormat="1" applyFont="1" applyFill="1" applyBorder="1" applyAlignment="1">
      <alignment horizontal="center" vertical="center" wrapText="1"/>
    </xf>
    <xf numFmtId="10" fontId="4" fillId="28" borderId="58" xfId="0" applyNumberFormat="1" applyFont="1" applyFill="1" applyBorder="1" applyAlignment="1">
      <alignment horizontal="center" vertical="center" wrapText="1"/>
    </xf>
    <xf numFmtId="10" fontId="29" fillId="3" borderId="57" xfId="0" applyNumberFormat="1" applyFont="1" applyFill="1" applyBorder="1" applyAlignment="1">
      <alignment horizontal="center" vertical="center" wrapText="1"/>
    </xf>
    <xf numFmtId="10" fontId="29" fillId="3" borderId="58" xfId="0" applyNumberFormat="1" applyFont="1" applyFill="1" applyBorder="1" applyAlignment="1">
      <alignment horizontal="center" vertical="center" wrapText="1"/>
    </xf>
    <xf numFmtId="0" fontId="82" fillId="10" borderId="57" xfId="0" applyFont="1" applyFill="1" applyBorder="1" applyAlignment="1">
      <alignment horizontal="center" vertical="center" wrapText="1"/>
    </xf>
    <xf numFmtId="0" fontId="82" fillId="10" borderId="5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81" fillId="11" borderId="50" xfId="0" applyFont="1" applyFill="1" applyBorder="1" applyAlignment="1">
      <alignment horizontal="center" vertical="center" wrapText="1"/>
    </xf>
    <xf numFmtId="0" fontId="81" fillId="11" borderId="51" xfId="0" applyFont="1" applyFill="1" applyBorder="1" applyAlignment="1">
      <alignment horizontal="center" vertical="center" wrapText="1"/>
    </xf>
    <xf numFmtId="0" fontId="29" fillId="3" borderId="50" xfId="0" applyFont="1" applyFill="1" applyBorder="1" applyAlignment="1">
      <alignment vertical="center" wrapText="1"/>
    </xf>
    <xf numFmtId="0" fontId="29" fillId="3" borderId="51" xfId="0" applyFont="1" applyFill="1" applyBorder="1" applyAlignment="1">
      <alignment vertical="center" wrapText="1"/>
    </xf>
    <xf numFmtId="0" fontId="71" fillId="17" borderId="30" xfId="0" applyFont="1" applyFill="1" applyBorder="1" applyAlignment="1">
      <alignment horizontal="justify" vertical="center" wrapText="1"/>
    </xf>
    <xf numFmtId="0" fontId="71" fillId="17" borderId="31" xfId="0" applyFont="1" applyFill="1" applyBorder="1" applyAlignment="1">
      <alignment horizontal="justify" vertical="center" wrapText="1"/>
    </xf>
    <xf numFmtId="0" fontId="71" fillId="17" borderId="9" xfId="0" applyFont="1" applyFill="1" applyBorder="1" applyAlignment="1">
      <alignment horizontal="justify" vertical="center" wrapText="1"/>
    </xf>
    <xf numFmtId="0" fontId="71" fillId="17" borderId="23" xfId="0" applyFont="1" applyFill="1" applyBorder="1" applyAlignment="1">
      <alignment horizontal="justify" vertical="center" wrapText="1"/>
    </xf>
    <xf numFmtId="0" fontId="71" fillId="17" borderId="24" xfId="0" applyFont="1" applyFill="1" applyBorder="1" applyAlignment="1">
      <alignment horizontal="justify" vertical="center" wrapText="1"/>
    </xf>
    <xf numFmtId="0" fontId="71" fillId="17" borderId="25" xfId="0" applyFont="1" applyFill="1" applyBorder="1" applyAlignment="1">
      <alignment horizontal="justify" vertical="center" wrapText="1"/>
    </xf>
    <xf numFmtId="0" fontId="72" fillId="3" borderId="30" xfId="3" applyFont="1" applyFill="1" applyBorder="1" applyAlignment="1">
      <alignment horizontal="left" vertical="center" wrapText="1"/>
    </xf>
    <xf numFmtId="0" fontId="72" fillId="3" borderId="31" xfId="3" applyFont="1" applyFill="1" applyBorder="1" applyAlignment="1">
      <alignment horizontal="left" vertical="center" wrapText="1"/>
    </xf>
    <xf numFmtId="0" fontId="72" fillId="3" borderId="9" xfId="3" applyFont="1" applyFill="1" applyBorder="1" applyAlignment="1">
      <alignment horizontal="left" vertical="center" wrapText="1"/>
    </xf>
    <xf numFmtId="0" fontId="72" fillId="0" borderId="18" xfId="3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1" fillId="3" borderId="47" xfId="0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vertical="center" wrapText="1"/>
    </xf>
    <xf numFmtId="9" fontId="70" fillId="5" borderId="2" xfId="0" applyNumberFormat="1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horizontal="left" vertical="center" wrapText="1"/>
    </xf>
    <xf numFmtId="0" fontId="22" fillId="3" borderId="49" xfId="0" applyFont="1" applyFill="1" applyBorder="1" applyAlignment="1">
      <alignment horizontal="left" vertical="center" wrapText="1"/>
    </xf>
    <xf numFmtId="0" fontId="69" fillId="18" borderId="2" xfId="0" applyFont="1" applyFill="1" applyBorder="1" applyAlignment="1">
      <alignment vertical="center" wrapText="1"/>
    </xf>
    <xf numFmtId="0" fontId="67" fillId="2" borderId="0" xfId="0" applyFont="1" applyFill="1" applyBorder="1" applyAlignment="1">
      <alignment horizontal="center" vertical="center" wrapText="1"/>
    </xf>
    <xf numFmtId="0" fontId="65" fillId="3" borderId="40" xfId="0" applyFont="1" applyFill="1" applyBorder="1" applyAlignment="1">
      <alignment horizontal="left" vertical="center" wrapText="1"/>
    </xf>
    <xf numFmtId="0" fontId="65" fillId="3" borderId="41" xfId="0" applyFont="1" applyFill="1" applyBorder="1" applyAlignment="1">
      <alignment horizontal="left" vertical="center" wrapText="1"/>
    </xf>
    <xf numFmtId="0" fontId="65" fillId="3" borderId="42" xfId="0" applyFont="1" applyFill="1" applyBorder="1" applyAlignment="1">
      <alignment horizontal="left" vertical="center" wrapText="1"/>
    </xf>
    <xf numFmtId="0" fontId="61" fillId="3" borderId="48" xfId="0" applyFont="1" applyFill="1" applyBorder="1" applyAlignment="1">
      <alignment horizontal="center" vertical="center" wrapText="1"/>
    </xf>
    <xf numFmtId="0" fontId="61" fillId="3" borderId="40" xfId="0" applyFont="1" applyFill="1" applyBorder="1" applyAlignment="1">
      <alignment horizontal="center" vertical="center" wrapText="1"/>
    </xf>
    <xf numFmtId="0" fontId="61" fillId="3" borderId="42" xfId="0" applyFont="1" applyFill="1" applyBorder="1" applyAlignment="1">
      <alignment horizontal="center" vertical="center" wrapText="1"/>
    </xf>
    <xf numFmtId="0" fontId="65" fillId="3" borderId="18" xfId="0" applyFont="1" applyFill="1" applyBorder="1" applyAlignment="1">
      <alignment horizontal="left" vertical="center" wrapText="1"/>
    </xf>
    <xf numFmtId="0" fontId="65" fillId="3" borderId="19" xfId="0" applyFont="1" applyFill="1" applyBorder="1" applyAlignment="1">
      <alignment horizontal="left" vertical="center" wrapText="1"/>
    </xf>
    <xf numFmtId="0" fontId="65" fillId="3" borderId="20" xfId="0" applyFont="1" applyFill="1" applyBorder="1" applyAlignment="1">
      <alignment horizontal="left" vertical="center" wrapText="1"/>
    </xf>
    <xf numFmtId="0" fontId="61" fillId="3" borderId="10" xfId="0" applyFont="1" applyFill="1" applyBorder="1" applyAlignment="1">
      <alignment horizontal="center" vertical="center" wrapText="1"/>
    </xf>
    <xf numFmtId="0" fontId="61" fillId="3" borderId="18" xfId="0" applyFont="1" applyFill="1" applyBorder="1" applyAlignment="1">
      <alignment horizontal="center" vertical="center" wrapText="1"/>
    </xf>
    <xf numFmtId="0" fontId="61" fillId="3" borderId="20" xfId="0" applyFont="1" applyFill="1" applyBorder="1" applyAlignment="1">
      <alignment horizontal="center" vertical="center" wrapText="1"/>
    </xf>
    <xf numFmtId="0" fontId="66" fillId="3" borderId="10" xfId="0" applyFont="1" applyFill="1" applyBorder="1" applyAlignment="1">
      <alignment horizontal="center" vertical="center" wrapText="1"/>
    </xf>
    <xf numFmtId="0" fontId="65" fillId="3" borderId="47" xfId="0" applyFont="1" applyFill="1" applyBorder="1" applyAlignment="1">
      <alignment horizontal="left" vertical="top" wrapText="1"/>
    </xf>
    <xf numFmtId="0" fontId="65" fillId="3" borderId="48" xfId="0" applyFont="1" applyFill="1" applyBorder="1" applyAlignment="1">
      <alignment horizontal="left" vertical="top" wrapText="1"/>
    </xf>
    <xf numFmtId="0" fontId="66" fillId="3" borderId="47" xfId="0" applyFont="1" applyFill="1" applyBorder="1" applyAlignment="1">
      <alignment horizontal="center" vertical="center" wrapText="1"/>
    </xf>
    <xf numFmtId="0" fontId="61" fillId="3" borderId="37" xfId="0" applyFont="1" applyFill="1" applyBorder="1" applyAlignment="1">
      <alignment horizontal="center" vertical="center" wrapText="1"/>
    </xf>
    <xf numFmtId="0" fontId="61" fillId="3" borderId="39" xfId="0" applyFont="1" applyFill="1" applyBorder="1" applyAlignment="1">
      <alignment horizontal="center" vertical="center" wrapText="1"/>
    </xf>
    <xf numFmtId="0" fontId="61" fillId="3" borderId="43" xfId="0" applyFont="1" applyFill="1" applyBorder="1" applyAlignment="1">
      <alignment horizontal="center" vertical="center" wrapText="1"/>
    </xf>
    <xf numFmtId="0" fontId="61" fillId="3" borderId="44" xfId="0" applyFont="1" applyFill="1" applyBorder="1" applyAlignment="1">
      <alignment horizontal="center" vertical="center" wrapText="1"/>
    </xf>
    <xf numFmtId="0" fontId="65" fillId="3" borderId="37" xfId="0" applyFont="1" applyFill="1" applyBorder="1" applyAlignment="1">
      <alignment horizontal="left" vertical="center" wrapText="1"/>
    </xf>
    <xf numFmtId="0" fontId="65" fillId="3" borderId="38" xfId="0" applyFont="1" applyFill="1" applyBorder="1" applyAlignment="1">
      <alignment horizontal="left" vertical="center" wrapText="1"/>
    </xf>
    <xf numFmtId="0" fontId="65" fillId="3" borderId="39" xfId="0" applyFont="1" applyFill="1" applyBorder="1" applyAlignment="1">
      <alignment horizontal="left" vertical="center" wrapText="1"/>
    </xf>
    <xf numFmtId="0" fontId="61" fillId="3" borderId="41" xfId="0" applyFont="1" applyFill="1" applyBorder="1" applyAlignment="1">
      <alignment horizontal="center" vertical="center" wrapText="1"/>
    </xf>
    <xf numFmtId="0" fontId="65" fillId="3" borderId="18" xfId="0" applyFont="1" applyFill="1" applyBorder="1" applyAlignment="1">
      <alignment vertical="center" wrapText="1"/>
    </xf>
    <xf numFmtId="0" fontId="65" fillId="3" borderId="19" xfId="0" applyFont="1" applyFill="1" applyBorder="1" applyAlignment="1">
      <alignment vertical="center" wrapText="1"/>
    </xf>
    <xf numFmtId="0" fontId="65" fillId="3" borderId="20" xfId="0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25" fillId="19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16" borderId="18" xfId="0" applyFont="1" applyFill="1" applyBorder="1" applyAlignment="1">
      <alignment horizontal="center" vertical="center" wrapText="1"/>
    </xf>
    <xf numFmtId="0" fontId="0" fillId="16" borderId="20" xfId="0" applyFont="1" applyFill="1" applyBorder="1" applyAlignment="1">
      <alignment horizontal="center" vertical="center" wrapText="1"/>
    </xf>
    <xf numFmtId="0" fontId="62" fillId="3" borderId="10" xfId="0" applyFont="1" applyFill="1" applyBorder="1" applyAlignment="1">
      <alignment vertical="center" wrapText="1"/>
    </xf>
    <xf numFmtId="0" fontId="60" fillId="3" borderId="10" xfId="0" applyFont="1" applyFill="1" applyBorder="1" applyAlignment="1">
      <alignment vertical="center" wrapText="1"/>
    </xf>
    <xf numFmtId="0" fontId="37" fillId="3" borderId="10" xfId="0" applyFont="1" applyFill="1" applyBorder="1" applyAlignment="1">
      <alignment horizontal="center" vertical="center" wrapText="1"/>
    </xf>
    <xf numFmtId="0" fontId="60" fillId="3" borderId="10" xfId="0" applyFont="1" applyFill="1" applyBorder="1" applyAlignment="1">
      <alignment horizontal="left" vertical="center" wrapText="1"/>
    </xf>
    <xf numFmtId="0" fontId="57" fillId="3" borderId="10" xfId="0" applyFont="1" applyFill="1" applyBorder="1" applyAlignment="1">
      <alignment horizontal="center" vertical="center" wrapText="1"/>
    </xf>
    <xf numFmtId="0" fontId="39" fillId="3" borderId="10" xfId="0" applyFont="1" applyFill="1" applyBorder="1" applyAlignment="1">
      <alignment horizontal="left" vertical="center" wrapText="1"/>
    </xf>
    <xf numFmtId="0" fontId="25" fillId="20" borderId="40" xfId="0" applyFont="1" applyFill="1" applyBorder="1" applyAlignment="1">
      <alignment horizontal="left" vertical="center" wrapText="1"/>
    </xf>
    <xf numFmtId="0" fontId="25" fillId="20" borderId="41" xfId="0" applyFont="1" applyFill="1" applyBorder="1" applyAlignment="1">
      <alignment horizontal="left" vertical="center" wrapText="1"/>
    </xf>
    <xf numFmtId="0" fontId="25" fillId="20" borderId="42" xfId="0" applyFont="1" applyFill="1" applyBorder="1" applyAlignment="1">
      <alignment horizontal="left" vertical="center" wrapText="1"/>
    </xf>
    <xf numFmtId="0" fontId="60" fillId="3" borderId="30" xfId="0" applyFont="1" applyFill="1" applyBorder="1" applyAlignment="1">
      <alignment horizontal="left" vertical="top" wrapText="1"/>
    </xf>
    <xf numFmtId="0" fontId="60" fillId="3" borderId="31" xfId="0" applyFont="1" applyFill="1" applyBorder="1" applyAlignment="1">
      <alignment horizontal="left" vertical="top" wrapText="1"/>
    </xf>
    <xf numFmtId="0" fontId="60" fillId="3" borderId="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60" fillId="3" borderId="23" xfId="0" applyFont="1" applyFill="1" applyBorder="1" applyAlignment="1">
      <alignment horizontal="left" vertical="top" wrapText="1"/>
    </xf>
    <xf numFmtId="0" fontId="60" fillId="3" borderId="24" xfId="0" applyFont="1" applyFill="1" applyBorder="1" applyAlignment="1">
      <alignment horizontal="left" vertical="top" wrapText="1"/>
    </xf>
    <xf numFmtId="0" fontId="60" fillId="3" borderId="25" xfId="0" applyFont="1" applyFill="1" applyBorder="1" applyAlignment="1">
      <alignment horizontal="left" vertical="top" wrapText="1"/>
    </xf>
    <xf numFmtId="0" fontId="60" fillId="3" borderId="26" xfId="0" applyFont="1" applyFill="1" applyBorder="1" applyAlignment="1">
      <alignment horizontal="left" vertical="top" wrapText="1"/>
    </xf>
    <xf numFmtId="0" fontId="60" fillId="3" borderId="27" xfId="0" applyFont="1" applyFill="1" applyBorder="1" applyAlignment="1">
      <alignment horizontal="left" vertical="top" wrapText="1"/>
    </xf>
    <xf numFmtId="0" fontId="60" fillId="3" borderId="28" xfId="0" applyFont="1" applyFill="1" applyBorder="1" applyAlignment="1">
      <alignment horizontal="left" vertical="top" wrapText="1"/>
    </xf>
    <xf numFmtId="0" fontId="62" fillId="3" borderId="30" xfId="0" applyFont="1" applyFill="1" applyBorder="1" applyAlignment="1">
      <alignment horizontal="left" vertical="top" wrapText="1"/>
    </xf>
    <xf numFmtId="0" fontId="62" fillId="3" borderId="31" xfId="0" applyFont="1" applyFill="1" applyBorder="1" applyAlignment="1">
      <alignment horizontal="left" vertical="top" wrapText="1"/>
    </xf>
    <xf numFmtId="0" fontId="62" fillId="3" borderId="9" xfId="0" applyFont="1" applyFill="1" applyBorder="1" applyAlignment="1">
      <alignment horizontal="left" vertical="top" wrapText="1"/>
    </xf>
    <xf numFmtId="0" fontId="63" fillId="3" borderId="30" xfId="0" applyFont="1" applyFill="1" applyBorder="1" applyAlignment="1">
      <alignment horizontal="left" vertical="top" wrapText="1"/>
    </xf>
    <xf numFmtId="0" fontId="63" fillId="3" borderId="31" xfId="0" applyFont="1" applyFill="1" applyBorder="1" applyAlignment="1">
      <alignment horizontal="left" vertical="top" wrapText="1"/>
    </xf>
    <xf numFmtId="0" fontId="63" fillId="3" borderId="9" xfId="0" applyFont="1" applyFill="1" applyBorder="1" applyAlignment="1">
      <alignment horizontal="left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25" fillId="20" borderId="26" xfId="0" applyFont="1" applyFill="1" applyBorder="1" applyAlignment="1">
      <alignment horizontal="left" vertical="center" wrapText="1"/>
    </xf>
    <xf numFmtId="0" fontId="25" fillId="20" borderId="27" xfId="0" applyFont="1" applyFill="1" applyBorder="1" applyAlignment="1">
      <alignment horizontal="left" vertical="center" wrapText="1"/>
    </xf>
    <xf numFmtId="0" fontId="25" fillId="20" borderId="28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57" fillId="3" borderId="18" xfId="0" applyFont="1" applyFill="1" applyBorder="1" applyAlignment="1">
      <alignment horizontal="center" vertical="center" wrapText="1"/>
    </xf>
    <xf numFmtId="0" fontId="57" fillId="3" borderId="20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3" fillId="3" borderId="39" xfId="0" applyFont="1" applyFill="1" applyBorder="1" applyAlignment="1">
      <alignment vertical="center" wrapText="1"/>
    </xf>
    <xf numFmtId="0" fontId="31" fillId="3" borderId="37" xfId="0" applyFont="1" applyFill="1" applyBorder="1" applyAlignment="1">
      <alignment horizontal="left" vertical="center" wrapText="1"/>
    </xf>
    <xf numFmtId="0" fontId="31" fillId="3" borderId="38" xfId="0" applyFont="1" applyFill="1" applyBorder="1" applyAlignment="1">
      <alignment horizontal="left" vertical="center" wrapText="1"/>
    </xf>
    <xf numFmtId="0" fontId="31" fillId="3" borderId="39" xfId="0" applyFont="1" applyFill="1" applyBorder="1" applyAlignment="1">
      <alignment horizontal="left" vertical="center" wrapText="1"/>
    </xf>
    <xf numFmtId="0" fontId="31" fillId="3" borderId="40" xfId="0" applyFont="1" applyFill="1" applyBorder="1" applyAlignment="1">
      <alignment horizontal="left" vertical="center" wrapText="1"/>
    </xf>
    <xf numFmtId="0" fontId="31" fillId="3" borderId="41" xfId="0" applyFont="1" applyFill="1" applyBorder="1" applyAlignment="1">
      <alignment horizontal="left" vertical="center" wrapText="1"/>
    </xf>
    <xf numFmtId="0" fontId="31" fillId="3" borderId="42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left" vertical="top" wrapText="1"/>
    </xf>
    <xf numFmtId="0" fontId="31" fillId="3" borderId="19" xfId="0" applyFont="1" applyFill="1" applyBorder="1" applyAlignment="1">
      <alignment horizontal="left" vertical="top" wrapText="1"/>
    </xf>
    <xf numFmtId="0" fontId="31" fillId="3" borderId="20" xfId="0" applyFont="1" applyFill="1" applyBorder="1" applyAlignment="1">
      <alignment horizontal="left" vertical="top" wrapText="1"/>
    </xf>
    <xf numFmtId="0" fontId="61" fillId="3" borderId="19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horizontal="left" vertical="center" wrapText="1"/>
    </xf>
    <xf numFmtId="0" fontId="6" fillId="9" borderId="25" xfId="0" applyFont="1" applyFill="1" applyBorder="1" applyAlignment="1">
      <alignment horizontal="left" vertical="center" wrapText="1"/>
    </xf>
    <xf numFmtId="0" fontId="6" fillId="9" borderId="35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9" borderId="27" xfId="0" applyFont="1" applyFill="1" applyBorder="1" applyAlignment="1">
      <alignment horizontal="left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44" fillId="3" borderId="0" xfId="0" applyFont="1" applyFill="1" applyBorder="1" applyAlignment="1">
      <alignment horizontal="left" vertical="center" wrapText="1"/>
    </xf>
    <xf numFmtId="0" fontId="44" fillId="3" borderId="34" xfId="0" applyFont="1" applyFill="1" applyBorder="1" applyAlignment="1">
      <alignment horizontal="left" vertical="center" wrapText="1"/>
    </xf>
    <xf numFmtId="0" fontId="0" fillId="14" borderId="24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15" borderId="23" xfId="0" applyFont="1" applyFill="1" applyBorder="1" applyAlignment="1">
      <alignment horizontal="center" vertical="center" wrapText="1"/>
    </xf>
    <xf numFmtId="0" fontId="0" fillId="15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16" borderId="23" xfId="0" applyFont="1" applyFill="1" applyBorder="1" applyAlignment="1">
      <alignment horizontal="center" vertical="center" wrapText="1"/>
    </xf>
    <xf numFmtId="0" fontId="0" fillId="16" borderId="25" xfId="0" applyFont="1" applyFill="1" applyBorder="1" applyAlignment="1">
      <alignment horizontal="center" vertical="center" wrapText="1"/>
    </xf>
    <xf numFmtId="0" fontId="46" fillId="17" borderId="1" xfId="0" applyFont="1" applyFill="1" applyBorder="1" applyAlignment="1">
      <alignment horizontal="right" vertical="center" wrapText="1"/>
    </xf>
    <xf numFmtId="0" fontId="54" fillId="9" borderId="1" xfId="0" applyFont="1" applyFill="1" applyBorder="1" applyAlignment="1">
      <alignment horizontal="center" vertical="center" wrapText="1"/>
    </xf>
    <xf numFmtId="168" fontId="46" fillId="17" borderId="1" xfId="0" applyNumberFormat="1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right" vertical="center" wrapText="1"/>
    </xf>
    <xf numFmtId="168" fontId="52" fillId="3" borderId="1" xfId="0" applyNumberFormat="1" applyFont="1" applyFill="1" applyBorder="1" applyAlignment="1">
      <alignment vertical="center"/>
    </xf>
    <xf numFmtId="0" fontId="46" fillId="3" borderId="30" xfId="0" applyFont="1" applyFill="1" applyBorder="1" applyAlignment="1">
      <alignment horizontal="right" vertical="center" wrapText="1"/>
    </xf>
    <xf numFmtId="0" fontId="46" fillId="3" borderId="31" xfId="0" applyFont="1" applyFill="1" applyBorder="1" applyAlignment="1">
      <alignment horizontal="right" vertical="center" wrapText="1"/>
    </xf>
    <xf numFmtId="0" fontId="46" fillId="3" borderId="9" xfId="0" applyFont="1" applyFill="1" applyBorder="1" applyAlignment="1">
      <alignment horizontal="right" vertical="center" wrapText="1"/>
    </xf>
    <xf numFmtId="168" fontId="47" fillId="3" borderId="1" xfId="0" applyNumberFormat="1" applyFont="1" applyFill="1" applyBorder="1" applyAlignment="1">
      <alignment vertical="center"/>
    </xf>
    <xf numFmtId="168" fontId="47" fillId="3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>
      <alignment horizontal="center" vertical="center" wrapText="1"/>
    </xf>
    <xf numFmtId="0" fontId="0" fillId="14" borderId="26" xfId="0" applyFont="1" applyFill="1" applyBorder="1" applyAlignment="1">
      <alignment horizontal="center" vertical="center" wrapText="1"/>
    </xf>
    <xf numFmtId="0" fontId="0" fillId="14" borderId="28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40" fillId="3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16" borderId="26" xfId="0" applyFont="1" applyFill="1" applyBorder="1" applyAlignment="1">
      <alignment horizontal="center" vertical="center" wrapText="1"/>
    </xf>
    <xf numFmtId="0" fontId="0" fillId="16" borderId="28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36" fillId="30" borderId="18" xfId="0" applyFont="1" applyFill="1" applyBorder="1" applyAlignment="1">
      <alignment horizontal="center" vertical="center" wrapText="1"/>
    </xf>
    <xf numFmtId="0" fontId="36" fillId="30" borderId="19" xfId="0" applyFont="1" applyFill="1" applyBorder="1" applyAlignment="1">
      <alignment horizontal="center" vertical="center" wrapText="1"/>
    </xf>
    <xf numFmtId="0" fontId="36" fillId="30" borderId="20" xfId="0" applyFont="1" applyFill="1" applyBorder="1" applyAlignment="1">
      <alignment horizontal="center" vertical="center" wrapText="1"/>
    </xf>
    <xf numFmtId="167" fontId="37" fillId="3" borderId="18" xfId="0" applyNumberFormat="1" applyFont="1" applyFill="1" applyBorder="1" applyAlignment="1">
      <alignment horizontal="center" vertical="center" wrapText="1"/>
    </xf>
    <xf numFmtId="167" fontId="37" fillId="3" borderId="19" xfId="0" applyNumberFormat="1" applyFont="1" applyFill="1" applyBorder="1" applyAlignment="1">
      <alignment horizontal="center" vertical="center" wrapText="1"/>
    </xf>
    <xf numFmtId="167" fontId="37" fillId="3" borderId="20" xfId="0" applyNumberFormat="1" applyFont="1" applyFill="1" applyBorder="1" applyAlignment="1">
      <alignment horizontal="center" vertical="center" wrapText="1"/>
    </xf>
    <xf numFmtId="0" fontId="44" fillId="3" borderId="17" xfId="0" applyFont="1" applyFill="1" applyBorder="1" applyAlignment="1">
      <alignment horizontal="left" vertical="center" wrapText="1"/>
    </xf>
    <xf numFmtId="0" fontId="77" fillId="3" borderId="0" xfId="0" applyFont="1" applyFill="1" applyAlignment="1">
      <alignment horizontal="right" vertical="center" wrapText="1"/>
    </xf>
    <xf numFmtId="0" fontId="87" fillId="0" borderId="0" xfId="0" applyFont="1"/>
    <xf numFmtId="0" fontId="88" fillId="0" borderId="0" xfId="0" applyFont="1"/>
    <xf numFmtId="0" fontId="0" fillId="31" borderId="0" xfId="0" applyFill="1"/>
    <xf numFmtId="0" fontId="87" fillId="31" borderId="0" xfId="0" applyFont="1" applyFill="1"/>
  </cellXfs>
  <cellStyles count="4">
    <cellStyle name="Hipervínculo" xfId="3" builtinId="8"/>
    <cellStyle name="Millares 2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26</xdr:row>
      <xdr:rowOff>9525</xdr:rowOff>
    </xdr:from>
    <xdr:to>
      <xdr:col>9</xdr:col>
      <xdr:colOff>552449</xdr:colOff>
      <xdr:row>27</xdr:row>
      <xdr:rowOff>2115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77000" y="6057900"/>
          <a:ext cx="1142999" cy="500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26</xdr:row>
      <xdr:rowOff>9524</xdr:rowOff>
    </xdr:from>
    <xdr:to>
      <xdr:col>11</xdr:col>
      <xdr:colOff>715668</xdr:colOff>
      <xdr:row>26</xdr:row>
      <xdr:rowOff>480482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057899"/>
          <a:ext cx="1125243" cy="47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9527</xdr:rowOff>
    </xdr:from>
    <xdr:to>
      <xdr:col>5</xdr:col>
      <xdr:colOff>866775</xdr:colOff>
      <xdr:row>26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05100" y="6057902"/>
          <a:ext cx="1647825" cy="464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26</xdr:row>
      <xdr:rowOff>47625</xdr:rowOff>
    </xdr:from>
    <xdr:to>
      <xdr:col>7</xdr:col>
      <xdr:colOff>390525</xdr:colOff>
      <xdr:row>26</xdr:row>
      <xdr:rowOff>490007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6096000"/>
          <a:ext cx="1095375" cy="44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238125</xdr:colOff>
      <xdr:row>36</xdr:row>
      <xdr:rowOff>19050</xdr:rowOff>
    </xdr:from>
    <xdr:ext cx="1142999" cy="493808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48425" y="83724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466725</xdr:colOff>
      <xdr:row>36</xdr:row>
      <xdr:rowOff>9524</xdr:rowOff>
    </xdr:from>
    <xdr:ext cx="1125243" cy="466726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836294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19051</xdr:rowOff>
    </xdr:from>
    <xdr:ext cx="1672370" cy="523874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1" t="1" r="7179" b="10237"/>
        <a:stretch/>
      </xdr:blipFill>
      <xdr:spPr bwMode="auto">
        <a:xfrm>
          <a:off x="2705100" y="8372476"/>
          <a:ext cx="1672370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314325</xdr:colOff>
      <xdr:row>36</xdr:row>
      <xdr:rowOff>57150</xdr:rowOff>
    </xdr:from>
    <xdr:ext cx="1095375" cy="43815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1057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63</xdr:row>
      <xdr:rowOff>19050</xdr:rowOff>
    </xdr:from>
    <xdr:ext cx="1142999" cy="493808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15487650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63</xdr:row>
      <xdr:rowOff>38099</xdr:rowOff>
    </xdr:from>
    <xdr:ext cx="1125243" cy="466726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550669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63</xdr:row>
      <xdr:rowOff>47626</xdr:rowOff>
    </xdr:from>
    <xdr:ext cx="1647826" cy="495299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15516226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63</xdr:row>
      <xdr:rowOff>76200</xdr:rowOff>
    </xdr:from>
    <xdr:ext cx="1095375" cy="43815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5544800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111</xdr:row>
      <xdr:rowOff>19050</xdr:rowOff>
    </xdr:from>
    <xdr:ext cx="1142999" cy="493808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316515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111</xdr:row>
      <xdr:rowOff>38099</xdr:rowOff>
    </xdr:from>
    <xdr:ext cx="1125243" cy="466726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1670624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111</xdr:row>
      <xdr:rowOff>47626</xdr:rowOff>
    </xdr:from>
    <xdr:ext cx="1647826" cy="495299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31680151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111</xdr:row>
      <xdr:rowOff>76200</xdr:rowOff>
    </xdr:from>
    <xdr:ext cx="1095375" cy="4381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170872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0</xdr:rowOff>
    </xdr:from>
    <xdr:ext cx="1125243" cy="466726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2129075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564297</xdr:colOff>
      <xdr:row>134</xdr:row>
      <xdr:rowOff>142874</xdr:rowOff>
    </xdr:from>
    <xdr:to>
      <xdr:col>5</xdr:col>
      <xdr:colOff>861086</xdr:colOff>
      <xdr:row>135</xdr:row>
      <xdr:rowOff>87312</xdr:rowOff>
    </xdr:to>
    <xdr:pic>
      <xdr:nvPicPr>
        <xdr:cNvPr id="20" name="Imagen 19" descr="PRIMAX Perú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397" y="42271949"/>
          <a:ext cx="1077839" cy="32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1031874</xdr:colOff>
      <xdr:row>134</xdr:row>
      <xdr:rowOff>15875</xdr:rowOff>
    </xdr:from>
    <xdr:ext cx="1143001" cy="432261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75" t="1" r="15811" b="10237"/>
        <a:stretch/>
      </xdr:blipFill>
      <xdr:spPr bwMode="auto">
        <a:xfrm>
          <a:off x="5394324" y="42144950"/>
          <a:ext cx="1143001" cy="43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801688</xdr:colOff>
      <xdr:row>134</xdr:row>
      <xdr:rowOff>214312</xdr:rowOff>
    </xdr:from>
    <xdr:to>
      <xdr:col>11</xdr:col>
      <xdr:colOff>976313</xdr:colOff>
      <xdr:row>135</xdr:row>
      <xdr:rowOff>48604</xdr:rowOff>
    </xdr:to>
    <xdr:pic>
      <xdr:nvPicPr>
        <xdr:cNvPr id="22" name="Imagen 21" descr="Resultado de imagen para logo repsol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22" b="40548"/>
        <a:stretch/>
      </xdr:blipFill>
      <xdr:spPr bwMode="auto">
        <a:xfrm>
          <a:off x="8707438" y="42343387"/>
          <a:ext cx="1050925" cy="21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200025</xdr:rowOff>
    </xdr:from>
    <xdr:to>
      <xdr:col>5</xdr:col>
      <xdr:colOff>120889</xdr:colOff>
      <xdr:row>3</xdr:row>
      <xdr:rowOff>42862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00025"/>
          <a:ext cx="3368914" cy="881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fici\AppData\Local\Microsoft\Windows\INetCache\Content.Outlook\UHF3094F\COTIZADOR%20PARTICULAR%20VEH%20LIVIANOS%2006%2006%202018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ON"/>
      <sheetName val="RIMAC"/>
      <sheetName val="Hoja2"/>
      <sheetName val="LA POSITIVA"/>
      <sheetName val="MAPFRE"/>
      <sheetName val="PACIFICO"/>
      <sheetName val="MARCAS - MODELOS"/>
      <sheetName val="MANEJO DESCUENTOS"/>
      <sheetName val="AUTOMAS"/>
      <sheetName val="INFORMACION"/>
    </sheetNames>
    <sheetDataSet>
      <sheetData sheetId="0">
        <row r="1">
          <cell r="V1">
            <v>2018</v>
          </cell>
        </row>
        <row r="2">
          <cell r="O2" t="str">
            <v>HDI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F7">
            <v>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app3.pacificoseguros.com/" TargetMode="External"/><Relationship Id="rId1" Type="http://schemas.openxmlformats.org/officeDocument/2006/relationships/hyperlink" Target="mailto:ccastaneda@cccasesore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rimac.com.pe/corredores/articulo/productos/Ahora-hasta-8-de-descuento-en-gasolina" TargetMode="External"/><Relationship Id="rId1" Type="http://schemas.openxmlformats.org/officeDocument/2006/relationships/hyperlink" Target="https://www.pacifico.com.pe/seguros/autos/primax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T169"/>
  <sheetViews>
    <sheetView tabSelected="1" topLeftCell="A71" zoomScaleNormal="100" workbookViewId="0">
      <selection activeCell="D13" sqref="D13"/>
    </sheetView>
  </sheetViews>
  <sheetFormatPr baseColWidth="10" defaultColWidth="11.42578125" defaultRowHeight="15.95" customHeight="1"/>
  <cols>
    <col min="1" max="1" width="3" style="2" customWidth="1"/>
    <col min="2" max="2" width="20.28515625" style="2" customWidth="1"/>
    <col min="3" max="3" width="10.140625" style="2" customWidth="1"/>
    <col min="4" max="4" width="15.140625" style="2" customWidth="1"/>
    <col min="5" max="5" width="13.140625" style="2" customWidth="1"/>
    <col min="6" max="6" width="4.42578125" style="2" customWidth="1"/>
    <col min="7" max="7" width="16.85546875" style="2" bestFit="1" customWidth="1"/>
    <col min="8" max="8" width="10.42578125" style="2" bestFit="1" customWidth="1"/>
    <col min="9" max="9" width="11.85546875" style="2" bestFit="1" customWidth="1"/>
    <col min="10" max="10" width="15.28515625" style="2" bestFit="1" customWidth="1"/>
    <col min="11" max="11" width="4.85546875" style="2" customWidth="1"/>
    <col min="12" max="12" width="16.42578125" style="2" bestFit="1" customWidth="1"/>
    <col min="13" max="13" width="10.140625" style="2" bestFit="1" customWidth="1"/>
    <col min="14" max="14" width="10.42578125" style="2" bestFit="1" customWidth="1"/>
    <col min="15" max="15" width="12" style="2" bestFit="1" customWidth="1"/>
    <col min="16" max="16" width="4.42578125" style="2" customWidth="1"/>
    <col min="17" max="17" width="14.140625" style="2" customWidth="1"/>
    <col min="18" max="19" width="11.42578125" style="2"/>
    <col min="20" max="20" width="12" style="2" bestFit="1" customWidth="1"/>
    <col min="21" max="16384" width="11.42578125" style="2"/>
  </cols>
  <sheetData>
    <row r="2" spans="2:20" ht="29.25" customHeight="1">
      <c r="B2" s="299" t="s">
        <v>228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</row>
    <row r="4" spans="2:20" ht="15.95" customHeight="1">
      <c r="B4" s="54" t="s">
        <v>229</v>
      </c>
      <c r="G4" s="55" t="s">
        <v>209</v>
      </c>
      <c r="L4" s="56" t="s">
        <v>173</v>
      </c>
      <c r="R4" s="57" t="s">
        <v>182</v>
      </c>
    </row>
    <row r="5" spans="2:20" ht="15.95" customHeight="1">
      <c r="B5" s="243" t="s">
        <v>126</v>
      </c>
      <c r="C5" s="243" t="s">
        <v>0</v>
      </c>
      <c r="D5" s="243" t="s">
        <v>1</v>
      </c>
      <c r="E5" s="243" t="s">
        <v>2</v>
      </c>
      <c r="F5" s="244"/>
      <c r="G5" s="245" t="s">
        <v>169</v>
      </c>
      <c r="H5" s="245" t="s">
        <v>0</v>
      </c>
      <c r="I5" s="245" t="s">
        <v>1</v>
      </c>
      <c r="J5" s="245" t="s">
        <v>2</v>
      </c>
      <c r="L5" s="246" t="s">
        <v>126</v>
      </c>
      <c r="M5" s="246" t="s">
        <v>0</v>
      </c>
      <c r="N5" s="246" t="s">
        <v>1</v>
      </c>
      <c r="O5" s="246" t="s">
        <v>2</v>
      </c>
      <c r="Q5" s="247" t="s">
        <v>126</v>
      </c>
      <c r="R5" s="247" t="s">
        <v>0</v>
      </c>
      <c r="S5" s="247" t="s">
        <v>1</v>
      </c>
      <c r="T5" s="248" t="s">
        <v>2</v>
      </c>
    </row>
    <row r="6" spans="2:20" s="237" customFormat="1" ht="15.95" customHeight="1">
      <c r="B6" s="249" t="str">
        <f t="shared" ref="B6:B14" si="0">+C6&amp;D6</f>
        <v>HONDA CRV</v>
      </c>
      <c r="C6" s="249" t="s">
        <v>88</v>
      </c>
      <c r="D6" s="249" t="s">
        <v>22</v>
      </c>
      <c r="E6" s="249" t="s">
        <v>89</v>
      </c>
      <c r="F6" s="238"/>
      <c r="G6" s="249" t="str">
        <f t="shared" ref="G6:G37" si="1">+H6&amp;I6</f>
        <v>CHEVROLETSAIL</v>
      </c>
      <c r="H6" s="249" t="s">
        <v>57</v>
      </c>
      <c r="I6" s="249" t="s">
        <v>81</v>
      </c>
      <c r="J6" s="249" t="s">
        <v>128</v>
      </c>
      <c r="L6" s="250" t="str">
        <f t="shared" ref="L6:L39" si="2">+M6&amp;N6</f>
        <v>KIAPICANTO</v>
      </c>
      <c r="M6" s="251" t="s">
        <v>59</v>
      </c>
      <c r="N6" s="251" t="s">
        <v>60</v>
      </c>
      <c r="O6" s="250" t="s">
        <v>128</v>
      </c>
      <c r="Q6" s="252" t="str">
        <f>+R6&amp;S6</f>
        <v>AUDIS7</v>
      </c>
      <c r="R6" s="253" t="s">
        <v>150</v>
      </c>
      <c r="S6" s="249" t="s">
        <v>151</v>
      </c>
      <c r="T6" s="254" t="s">
        <v>223</v>
      </c>
    </row>
    <row r="7" spans="2:20" s="237" customFormat="1" ht="15.95" customHeight="1">
      <c r="B7" s="249" t="str">
        <f t="shared" si="0"/>
        <v>NISSANPATROL</v>
      </c>
      <c r="C7" s="249" t="s">
        <v>100</v>
      </c>
      <c r="D7" s="249" t="s">
        <v>104</v>
      </c>
      <c r="E7" s="249" t="s">
        <v>89</v>
      </c>
      <c r="F7" s="238"/>
      <c r="G7" s="249" t="str">
        <f t="shared" si="1"/>
        <v>KIACERATO</v>
      </c>
      <c r="H7" s="255" t="s">
        <v>59</v>
      </c>
      <c r="I7" s="252" t="s">
        <v>94</v>
      </c>
      <c r="J7" s="249" t="s">
        <v>128</v>
      </c>
      <c r="L7" s="250" t="str">
        <f t="shared" si="2"/>
        <v>KIARIO</v>
      </c>
      <c r="M7" s="251" t="s">
        <v>59</v>
      </c>
      <c r="N7" s="256" t="s">
        <v>95</v>
      </c>
      <c r="O7" s="250" t="s">
        <v>128</v>
      </c>
      <c r="Q7" s="252" t="str">
        <f t="shared" ref="Q7:Q70" si="3">+R7&amp;S7</f>
        <v>BMWX1</v>
      </c>
      <c r="R7" s="253" t="s">
        <v>152</v>
      </c>
      <c r="S7" s="249" t="s">
        <v>167</v>
      </c>
      <c r="T7" s="254" t="s">
        <v>223</v>
      </c>
    </row>
    <row r="8" spans="2:20" s="237" customFormat="1" ht="15.95" customHeight="1">
      <c r="B8" s="249" t="str">
        <f t="shared" si="0"/>
        <v>NISSANPATHFINDER</v>
      </c>
      <c r="C8" s="249" t="s">
        <v>100</v>
      </c>
      <c r="D8" s="249" t="s">
        <v>105</v>
      </c>
      <c r="E8" s="249" t="s">
        <v>89</v>
      </c>
      <c r="F8" s="238"/>
      <c r="G8" s="249" t="str">
        <f t="shared" si="1"/>
        <v>KIAPICANTO</v>
      </c>
      <c r="H8" s="255" t="s">
        <v>59</v>
      </c>
      <c r="I8" s="255" t="s">
        <v>60</v>
      </c>
      <c r="J8" s="249" t="s">
        <v>128</v>
      </c>
      <c r="L8" s="257" t="str">
        <f t="shared" si="2"/>
        <v>MAZDA2</v>
      </c>
      <c r="M8" s="258" t="s">
        <v>96</v>
      </c>
      <c r="N8" s="257">
        <v>2</v>
      </c>
      <c r="O8" s="257" t="s">
        <v>128</v>
      </c>
      <c r="Q8" s="252" t="str">
        <f t="shared" si="3"/>
        <v>HONDAFIT</v>
      </c>
      <c r="R8" s="253" t="s">
        <v>174</v>
      </c>
      <c r="S8" s="249" t="s">
        <v>175</v>
      </c>
      <c r="T8" s="254" t="s">
        <v>87</v>
      </c>
    </row>
    <row r="9" spans="2:20" s="237" customFormat="1" ht="15.95" customHeight="1">
      <c r="B9" s="249" t="str">
        <f t="shared" si="0"/>
        <v>SUZUKIGRAND NOMADE</v>
      </c>
      <c r="C9" s="249" t="s">
        <v>68</v>
      </c>
      <c r="D9" s="249" t="s">
        <v>77</v>
      </c>
      <c r="E9" s="249" t="s">
        <v>89</v>
      </c>
      <c r="F9" s="238"/>
      <c r="G9" s="249" t="str">
        <f t="shared" si="1"/>
        <v>KIARIO</v>
      </c>
      <c r="H9" s="255" t="s">
        <v>59</v>
      </c>
      <c r="I9" s="252" t="s">
        <v>95</v>
      </c>
      <c r="J9" s="249" t="s">
        <v>128</v>
      </c>
      <c r="L9" s="257" t="str">
        <f t="shared" si="2"/>
        <v>MAZDA3</v>
      </c>
      <c r="M9" s="258" t="s">
        <v>96</v>
      </c>
      <c r="N9" s="257">
        <v>3</v>
      </c>
      <c r="O9" s="257" t="s">
        <v>128</v>
      </c>
      <c r="Q9" s="252" t="str">
        <f t="shared" si="3"/>
        <v>HYUNDAIACCENT</v>
      </c>
      <c r="R9" s="253" t="s">
        <v>66</v>
      </c>
      <c r="S9" s="249" t="s">
        <v>91</v>
      </c>
      <c r="T9" s="254" t="s">
        <v>87</v>
      </c>
    </row>
    <row r="10" spans="2:20" s="237" customFormat="1" ht="15.95" customHeight="1">
      <c r="B10" s="249" t="str">
        <f t="shared" si="0"/>
        <v>TOYOTALAND CRUISER</v>
      </c>
      <c r="C10" s="249" t="s">
        <v>64</v>
      </c>
      <c r="D10" s="249" t="s">
        <v>114</v>
      </c>
      <c r="E10" s="249" t="s">
        <v>89</v>
      </c>
      <c r="F10" s="238"/>
      <c r="G10" s="249" t="str">
        <f t="shared" si="1"/>
        <v>MAZDA3</v>
      </c>
      <c r="H10" s="252" t="s">
        <v>96</v>
      </c>
      <c r="I10" s="249">
        <v>3</v>
      </c>
      <c r="J10" s="249" t="s">
        <v>128</v>
      </c>
      <c r="L10" s="257" t="str">
        <f t="shared" si="2"/>
        <v>MAZDA3</v>
      </c>
      <c r="M10" s="259" t="s">
        <v>96</v>
      </c>
      <c r="N10" s="258">
        <v>3</v>
      </c>
      <c r="O10" s="257" t="s">
        <v>128</v>
      </c>
      <c r="Q10" s="252" t="str">
        <f t="shared" si="3"/>
        <v>HYUNDAIELANTRA</v>
      </c>
      <c r="R10" s="253" t="s">
        <v>66</v>
      </c>
      <c r="S10" s="249" t="s">
        <v>90</v>
      </c>
      <c r="T10" s="254" t="s">
        <v>87</v>
      </c>
    </row>
    <row r="11" spans="2:20" s="237" customFormat="1" ht="15.95" customHeight="1">
      <c r="B11" s="249" t="str">
        <f t="shared" si="0"/>
        <v>TOYOTALAND CRUISER PRADO</v>
      </c>
      <c r="C11" s="249" t="s">
        <v>64</v>
      </c>
      <c r="D11" s="249" t="s">
        <v>115</v>
      </c>
      <c r="E11" s="249" t="s">
        <v>89</v>
      </c>
      <c r="F11" s="238"/>
      <c r="G11" s="249" t="str">
        <f t="shared" si="1"/>
        <v>NISSANV16</v>
      </c>
      <c r="H11" s="252" t="s">
        <v>100</v>
      </c>
      <c r="I11" s="252" t="s">
        <v>130</v>
      </c>
      <c r="J11" s="249" t="s">
        <v>128</v>
      </c>
      <c r="L11" s="257" t="str">
        <f t="shared" si="2"/>
        <v>MAZDA5</v>
      </c>
      <c r="M11" s="258" t="s">
        <v>96</v>
      </c>
      <c r="N11" s="257">
        <v>5</v>
      </c>
      <c r="O11" s="257" t="s">
        <v>128</v>
      </c>
      <c r="Q11" s="252" t="str">
        <f t="shared" si="3"/>
        <v>HYUNDAIEON</v>
      </c>
      <c r="R11" s="253" t="s">
        <v>66</v>
      </c>
      <c r="S11" s="249" t="s">
        <v>92</v>
      </c>
      <c r="T11" s="254" t="s">
        <v>87</v>
      </c>
    </row>
    <row r="12" spans="2:20" s="237" customFormat="1" ht="15.95" customHeight="1">
      <c r="B12" s="249" t="str">
        <f t="shared" si="0"/>
        <v>TOYOTARAV4</v>
      </c>
      <c r="C12" s="249" t="s">
        <v>64</v>
      </c>
      <c r="D12" s="249" t="s">
        <v>116</v>
      </c>
      <c r="E12" s="249" t="s">
        <v>89</v>
      </c>
      <c r="F12" s="238"/>
      <c r="G12" s="249" t="str">
        <f t="shared" si="1"/>
        <v>NISSANSENTRA 1.6</v>
      </c>
      <c r="H12" s="255" t="s">
        <v>100</v>
      </c>
      <c r="I12" s="255" t="s">
        <v>129</v>
      </c>
      <c r="J12" s="249" t="s">
        <v>128</v>
      </c>
      <c r="L12" s="257" t="str">
        <f t="shared" si="2"/>
        <v>MAZDA6</v>
      </c>
      <c r="M12" s="258" t="s">
        <v>96</v>
      </c>
      <c r="N12" s="257">
        <v>6</v>
      </c>
      <c r="O12" s="257" t="s">
        <v>128</v>
      </c>
      <c r="Q12" s="252" t="str">
        <f t="shared" si="3"/>
        <v>KIACADENZA</v>
      </c>
      <c r="R12" s="253" t="s">
        <v>59</v>
      </c>
      <c r="S12" s="249" t="s">
        <v>176</v>
      </c>
      <c r="T12" s="254" t="s">
        <v>87</v>
      </c>
    </row>
    <row r="13" spans="2:20" s="237" customFormat="1" ht="15.95" customHeight="1">
      <c r="B13" s="249" t="str">
        <f t="shared" si="0"/>
        <v>TOYOTAFJ CRUISER</v>
      </c>
      <c r="C13" s="249" t="s">
        <v>64</v>
      </c>
      <c r="D13" s="249" t="s">
        <v>117</v>
      </c>
      <c r="E13" s="249" t="s">
        <v>89</v>
      </c>
      <c r="F13" s="238"/>
      <c r="G13" s="249" t="str">
        <f t="shared" si="1"/>
        <v>PEUGEOT106</v>
      </c>
      <c r="H13" s="253" t="s">
        <v>108</v>
      </c>
      <c r="I13" s="249">
        <v>106</v>
      </c>
      <c r="J13" s="249" t="s">
        <v>128</v>
      </c>
      <c r="L13" s="257" t="str">
        <f t="shared" si="2"/>
        <v>MAZDA121</v>
      </c>
      <c r="M13" s="258" t="s">
        <v>96</v>
      </c>
      <c r="N13" s="257">
        <v>121</v>
      </c>
      <c r="O13" s="257" t="s">
        <v>128</v>
      </c>
      <c r="Q13" s="252" t="str">
        <f t="shared" si="3"/>
        <v>KIAMOHAVE</v>
      </c>
      <c r="R13" s="253" t="s">
        <v>59</v>
      </c>
      <c r="S13" s="249" t="s">
        <v>177</v>
      </c>
      <c r="T13" s="254" t="s">
        <v>87</v>
      </c>
    </row>
    <row r="14" spans="2:20" s="237" customFormat="1" ht="15.95" customHeight="1">
      <c r="B14" s="249" t="str">
        <f t="shared" si="0"/>
        <v>TOYOTAFORTUNER</v>
      </c>
      <c r="C14" s="249" t="s">
        <v>64</v>
      </c>
      <c r="D14" s="249" t="s">
        <v>118</v>
      </c>
      <c r="E14" s="249" t="s">
        <v>89</v>
      </c>
      <c r="F14" s="238"/>
      <c r="G14" s="249" t="str">
        <f t="shared" si="1"/>
        <v>PEUGEOT205</v>
      </c>
      <c r="H14" s="253" t="s">
        <v>108</v>
      </c>
      <c r="I14" s="249">
        <v>205</v>
      </c>
      <c r="J14" s="249" t="s">
        <v>128</v>
      </c>
      <c r="L14" s="257" t="str">
        <f t="shared" si="2"/>
        <v>MAZDA323</v>
      </c>
      <c r="M14" s="258" t="s">
        <v>96</v>
      </c>
      <c r="N14" s="257">
        <v>323</v>
      </c>
      <c r="O14" s="257" t="s">
        <v>128</v>
      </c>
      <c r="Q14" s="252" t="str">
        <f t="shared" si="3"/>
        <v>PEUGEOT208</v>
      </c>
      <c r="R14" s="253" t="s">
        <v>108</v>
      </c>
      <c r="S14" s="249">
        <v>208</v>
      </c>
      <c r="T14" s="254" t="s">
        <v>87</v>
      </c>
    </row>
    <row r="15" spans="2:20" s="237" customFormat="1" ht="15.95" customHeight="1">
      <c r="B15" s="249"/>
      <c r="C15" s="249"/>
      <c r="D15" s="249"/>
      <c r="E15" s="249"/>
      <c r="F15" s="238"/>
      <c r="G15" s="249" t="str">
        <f t="shared" si="1"/>
        <v>PEUGEOT206</v>
      </c>
      <c r="H15" s="253" t="s">
        <v>108</v>
      </c>
      <c r="I15" s="249">
        <v>206</v>
      </c>
      <c r="J15" s="249" t="s">
        <v>128</v>
      </c>
      <c r="L15" s="257" t="str">
        <f t="shared" si="2"/>
        <v>MAZDA623</v>
      </c>
      <c r="M15" s="258" t="s">
        <v>96</v>
      </c>
      <c r="N15" s="257">
        <v>623</v>
      </c>
      <c r="O15" s="257" t="s">
        <v>128</v>
      </c>
      <c r="Q15" s="252" t="str">
        <f t="shared" si="3"/>
        <v>PEUGEOT2008</v>
      </c>
      <c r="R15" s="253" t="s">
        <v>108</v>
      </c>
      <c r="S15" s="249">
        <v>2008</v>
      </c>
      <c r="T15" s="254" t="s">
        <v>87</v>
      </c>
    </row>
    <row r="16" spans="2:20" s="237" customFormat="1" ht="15.95" customHeight="1">
      <c r="B16" s="249"/>
      <c r="C16" s="249"/>
      <c r="D16" s="249"/>
      <c r="E16" s="249"/>
      <c r="F16" s="238"/>
      <c r="G16" s="249" t="str">
        <f t="shared" si="1"/>
        <v>PEUGEOT207</v>
      </c>
      <c r="H16" s="253" t="s">
        <v>108</v>
      </c>
      <c r="I16" s="249">
        <v>207</v>
      </c>
      <c r="J16" s="249" t="s">
        <v>128</v>
      </c>
      <c r="L16" s="250" t="str">
        <f t="shared" si="2"/>
        <v>NISSANSENTRA</v>
      </c>
      <c r="M16" s="251" t="s">
        <v>100</v>
      </c>
      <c r="N16" s="251" t="s">
        <v>106</v>
      </c>
      <c r="O16" s="250" t="s">
        <v>128</v>
      </c>
      <c r="Q16" s="252" t="str">
        <f t="shared" si="3"/>
        <v>RENAULTSTEPWAY</v>
      </c>
      <c r="R16" s="253" t="s">
        <v>44</v>
      </c>
      <c r="S16" s="249" t="s">
        <v>55</v>
      </c>
      <c r="T16" s="254" t="s">
        <v>87</v>
      </c>
    </row>
    <row r="17" spans="2:20" s="237" customFormat="1" ht="15.95" customHeight="1">
      <c r="B17" s="249"/>
      <c r="C17" s="249"/>
      <c r="D17" s="249"/>
      <c r="E17" s="249"/>
      <c r="F17" s="238"/>
      <c r="G17" s="249" t="str">
        <f t="shared" si="1"/>
        <v>PEUGEOT208</v>
      </c>
      <c r="H17" s="253" t="s">
        <v>108</v>
      </c>
      <c r="I17" s="249">
        <v>208</v>
      </c>
      <c r="J17" s="249" t="s">
        <v>128</v>
      </c>
      <c r="L17" s="250" t="str">
        <f t="shared" si="2"/>
        <v>NISSANTIIDA</v>
      </c>
      <c r="M17" s="256" t="s">
        <v>100</v>
      </c>
      <c r="N17" s="256" t="s">
        <v>107</v>
      </c>
      <c r="O17" s="250" t="s">
        <v>128</v>
      </c>
      <c r="Q17" s="252" t="str">
        <f t="shared" si="3"/>
        <v>SEATALHAMBRA</v>
      </c>
      <c r="R17" s="253" t="s">
        <v>37</v>
      </c>
      <c r="S17" s="249" t="s">
        <v>38</v>
      </c>
      <c r="T17" s="254" t="s">
        <v>87</v>
      </c>
    </row>
    <row r="18" spans="2:20" s="237" customFormat="1" ht="15.95" customHeight="1">
      <c r="B18" s="249"/>
      <c r="C18" s="249"/>
      <c r="D18" s="249"/>
      <c r="E18" s="249"/>
      <c r="F18" s="238"/>
      <c r="G18" s="249" t="str">
        <f t="shared" si="1"/>
        <v>PEUGEOT301</v>
      </c>
      <c r="H18" s="253" t="s">
        <v>108</v>
      </c>
      <c r="I18" s="249">
        <v>301</v>
      </c>
      <c r="J18" s="249" t="s">
        <v>128</v>
      </c>
      <c r="L18" s="250" t="str">
        <f t="shared" si="2"/>
        <v>NISSANV16</v>
      </c>
      <c r="M18" s="256" t="s">
        <v>100</v>
      </c>
      <c r="N18" s="256" t="s">
        <v>130</v>
      </c>
      <c r="O18" s="250" t="s">
        <v>128</v>
      </c>
      <c r="Q18" s="252" t="str">
        <f t="shared" si="3"/>
        <v>SEATATTEA</v>
      </c>
      <c r="R18" s="253" t="s">
        <v>37</v>
      </c>
      <c r="S18" s="249" t="s">
        <v>39</v>
      </c>
      <c r="T18" s="254" t="s">
        <v>87</v>
      </c>
    </row>
    <row r="19" spans="2:20" s="237" customFormat="1" ht="15.95" customHeight="1">
      <c r="B19" s="249"/>
      <c r="C19" s="249"/>
      <c r="D19" s="249"/>
      <c r="E19" s="249"/>
      <c r="F19" s="238"/>
      <c r="G19" s="249" t="str">
        <f t="shared" si="1"/>
        <v>PEUGEOT306</v>
      </c>
      <c r="H19" s="253" t="s">
        <v>108</v>
      </c>
      <c r="I19" s="249">
        <v>306</v>
      </c>
      <c r="J19" s="249" t="s">
        <v>128</v>
      </c>
      <c r="L19" s="250" t="str">
        <f t="shared" si="2"/>
        <v>NISSANVERSA</v>
      </c>
      <c r="M19" s="256" t="s">
        <v>100</v>
      </c>
      <c r="N19" s="256" t="s">
        <v>103</v>
      </c>
      <c r="O19" s="250" t="s">
        <v>128</v>
      </c>
      <c r="Q19" s="252" t="str">
        <f t="shared" si="3"/>
        <v>SEATCORDOVA</v>
      </c>
      <c r="R19" s="253" t="s">
        <v>37</v>
      </c>
      <c r="S19" s="249" t="s">
        <v>40</v>
      </c>
      <c r="T19" s="254" t="s">
        <v>87</v>
      </c>
    </row>
    <row r="20" spans="2:20" s="237" customFormat="1" ht="15.95" customHeight="1">
      <c r="B20" s="249"/>
      <c r="C20" s="249"/>
      <c r="D20" s="249"/>
      <c r="E20" s="249"/>
      <c r="F20" s="238"/>
      <c r="G20" s="249" t="str">
        <f t="shared" si="1"/>
        <v>PEUGEOT307</v>
      </c>
      <c r="H20" s="253" t="s">
        <v>108</v>
      </c>
      <c r="I20" s="249">
        <v>307</v>
      </c>
      <c r="J20" s="249" t="s">
        <v>128</v>
      </c>
      <c r="L20" s="257" t="str">
        <f t="shared" si="2"/>
        <v>RENAULTCLIO</v>
      </c>
      <c r="M20" s="258" t="s">
        <v>44</v>
      </c>
      <c r="N20" s="257" t="s">
        <v>45</v>
      </c>
      <c r="O20" s="257" t="s">
        <v>128</v>
      </c>
      <c r="Q20" s="252" t="str">
        <f t="shared" si="3"/>
        <v>SEATEXEO</v>
      </c>
      <c r="R20" s="253" t="s">
        <v>37</v>
      </c>
      <c r="S20" s="249" t="s">
        <v>41</v>
      </c>
      <c r="T20" s="254" t="s">
        <v>87</v>
      </c>
    </row>
    <row r="21" spans="2:20" s="237" customFormat="1" ht="15.95" customHeight="1">
      <c r="B21" s="249"/>
      <c r="C21" s="249"/>
      <c r="D21" s="249"/>
      <c r="E21" s="249"/>
      <c r="F21" s="238"/>
      <c r="G21" s="249" t="str">
        <f t="shared" si="1"/>
        <v>PEUGEOT308</v>
      </c>
      <c r="H21" s="253" t="s">
        <v>108</v>
      </c>
      <c r="I21" s="249">
        <v>308</v>
      </c>
      <c r="J21" s="249" t="s">
        <v>128</v>
      </c>
      <c r="L21" s="257" t="str">
        <f t="shared" si="2"/>
        <v>RENAULTFLUENCE</v>
      </c>
      <c r="M21" s="258" t="s">
        <v>44</v>
      </c>
      <c r="N21" s="257" t="s">
        <v>47</v>
      </c>
      <c r="O21" s="257" t="s">
        <v>128</v>
      </c>
      <c r="Q21" s="252" t="str">
        <f t="shared" si="3"/>
        <v>SSANGYONGACTYON</v>
      </c>
      <c r="R21" s="253" t="s">
        <v>109</v>
      </c>
      <c r="S21" s="249" t="s">
        <v>110</v>
      </c>
      <c r="T21" s="254" t="s">
        <v>87</v>
      </c>
    </row>
    <row r="22" spans="2:20" s="237" customFormat="1" ht="15.95" customHeight="1">
      <c r="B22" s="249"/>
      <c r="C22" s="249"/>
      <c r="D22" s="249"/>
      <c r="E22" s="249"/>
      <c r="F22" s="238"/>
      <c r="G22" s="249" t="str">
        <f t="shared" si="1"/>
        <v>PEUGEOT405</v>
      </c>
      <c r="H22" s="253" t="s">
        <v>108</v>
      </c>
      <c r="I22" s="249">
        <v>405</v>
      </c>
      <c r="J22" s="249" t="s">
        <v>128</v>
      </c>
      <c r="L22" s="257" t="str">
        <f t="shared" si="2"/>
        <v>RENAULTFLUENCE</v>
      </c>
      <c r="M22" s="258" t="s">
        <v>44</v>
      </c>
      <c r="N22" s="257" t="s">
        <v>47</v>
      </c>
      <c r="O22" s="257" t="s">
        <v>128</v>
      </c>
      <c r="Q22" s="252" t="str">
        <f t="shared" si="3"/>
        <v>SSANGYONGTIVOLI</v>
      </c>
      <c r="R22" s="253" t="s">
        <v>109</v>
      </c>
      <c r="S22" s="249" t="s">
        <v>178</v>
      </c>
      <c r="T22" s="254" t="s">
        <v>87</v>
      </c>
    </row>
    <row r="23" spans="2:20" s="237" customFormat="1" ht="15.95" customHeight="1">
      <c r="B23" s="260" t="s">
        <v>126</v>
      </c>
      <c r="C23" s="260" t="s">
        <v>0</v>
      </c>
      <c r="D23" s="260" t="s">
        <v>1</v>
      </c>
      <c r="E23" s="260" t="s">
        <v>2</v>
      </c>
      <c r="F23" s="261"/>
      <c r="G23" s="249" t="str">
        <f t="shared" si="1"/>
        <v>PEUGEOT406</v>
      </c>
      <c r="H23" s="253" t="s">
        <v>108</v>
      </c>
      <c r="I23" s="249">
        <v>406</v>
      </c>
      <c r="J23" s="249" t="s">
        <v>128</v>
      </c>
      <c r="L23" s="257" t="str">
        <f t="shared" si="2"/>
        <v>RENAULTGRAND SCENIC</v>
      </c>
      <c r="M23" s="258" t="s">
        <v>44</v>
      </c>
      <c r="N23" s="257" t="s">
        <v>48</v>
      </c>
      <c r="O23" s="257" t="s">
        <v>128</v>
      </c>
      <c r="Q23" s="252" t="str">
        <f t="shared" si="3"/>
        <v>TOYOTACOROLLA</v>
      </c>
      <c r="R23" s="253" t="s">
        <v>64</v>
      </c>
      <c r="S23" s="249" t="s">
        <v>119</v>
      </c>
      <c r="T23" s="254" t="s">
        <v>87</v>
      </c>
    </row>
    <row r="24" spans="2:20" s="237" customFormat="1" ht="15.95" customHeight="1">
      <c r="B24" s="249" t="str">
        <f t="shared" ref="B24:B32" si="4">+C24&amp;D24</f>
        <v>MAZDA3</v>
      </c>
      <c r="C24" s="249" t="s">
        <v>96</v>
      </c>
      <c r="D24" s="249">
        <v>3</v>
      </c>
      <c r="E24" s="249" t="s">
        <v>97</v>
      </c>
      <c r="F24" s="238"/>
      <c r="G24" s="249" t="str">
        <f t="shared" si="1"/>
        <v>PEUGEOT407</v>
      </c>
      <c r="H24" s="253" t="s">
        <v>108</v>
      </c>
      <c r="I24" s="249">
        <v>407</v>
      </c>
      <c r="J24" s="249" t="s">
        <v>128</v>
      </c>
      <c r="L24" s="257" t="str">
        <f t="shared" si="2"/>
        <v>RENAULTLOGAN</v>
      </c>
      <c r="M24" s="258" t="s">
        <v>44</v>
      </c>
      <c r="N24" s="257" t="s">
        <v>50</v>
      </c>
      <c r="O24" s="257" t="s">
        <v>128</v>
      </c>
      <c r="Q24" s="252" t="str">
        <f t="shared" si="3"/>
        <v>VOLKSWAGENBORA</v>
      </c>
      <c r="R24" s="253" t="s">
        <v>121</v>
      </c>
      <c r="S24" s="249" t="s">
        <v>124</v>
      </c>
      <c r="T24" s="254" t="s">
        <v>87</v>
      </c>
    </row>
    <row r="25" spans="2:20" s="237" customFormat="1" ht="15.95" customHeight="1">
      <c r="B25" s="249" t="str">
        <f t="shared" si="4"/>
        <v>NISSANSENTRA</v>
      </c>
      <c r="C25" s="249" t="s">
        <v>100</v>
      </c>
      <c r="D25" s="249" t="s">
        <v>106</v>
      </c>
      <c r="E25" s="249" t="s">
        <v>97</v>
      </c>
      <c r="F25" s="238"/>
      <c r="G25" s="249" t="str">
        <f t="shared" si="1"/>
        <v>PEUGEOT508</v>
      </c>
      <c r="H25" s="253" t="s">
        <v>108</v>
      </c>
      <c r="I25" s="249">
        <v>508</v>
      </c>
      <c r="J25" s="249" t="s">
        <v>128</v>
      </c>
      <c r="L25" s="257" t="str">
        <f t="shared" si="2"/>
        <v>RENAULTLOGAN</v>
      </c>
      <c r="M25" s="258" t="s">
        <v>44</v>
      </c>
      <c r="N25" s="257" t="s">
        <v>50</v>
      </c>
      <c r="O25" s="257" t="s">
        <v>128</v>
      </c>
      <c r="Q25" s="252" t="str">
        <f t="shared" si="3"/>
        <v>VOLKSWAGENGOL</v>
      </c>
      <c r="R25" s="253" t="s">
        <v>121</v>
      </c>
      <c r="S25" s="249" t="s">
        <v>122</v>
      </c>
      <c r="T25" s="254" t="s">
        <v>87</v>
      </c>
    </row>
    <row r="26" spans="2:20" s="237" customFormat="1" ht="15.95" customHeight="1">
      <c r="B26" s="249" t="str">
        <f t="shared" si="4"/>
        <v>NISSANTIIDA</v>
      </c>
      <c r="C26" s="249" t="s">
        <v>100</v>
      </c>
      <c r="D26" s="249" t="s">
        <v>107</v>
      </c>
      <c r="E26" s="249" t="s">
        <v>97</v>
      </c>
      <c r="F26" s="238"/>
      <c r="G26" s="249" t="str">
        <f t="shared" si="1"/>
        <v>PEUGEOT607</v>
      </c>
      <c r="H26" s="253" t="s">
        <v>108</v>
      </c>
      <c r="I26" s="249">
        <v>607</v>
      </c>
      <c r="J26" s="249" t="s">
        <v>128</v>
      </c>
      <c r="L26" s="257" t="str">
        <f t="shared" si="2"/>
        <v>RENAULTMEGANE</v>
      </c>
      <c r="M26" s="258" t="s">
        <v>44</v>
      </c>
      <c r="N26" s="257" t="s">
        <v>51</v>
      </c>
      <c r="O26" s="257" t="s">
        <v>128</v>
      </c>
      <c r="Q26" s="252" t="str">
        <f t="shared" si="3"/>
        <v/>
      </c>
      <c r="R26" s="252"/>
      <c r="S26" s="252"/>
      <c r="T26" s="262"/>
    </row>
    <row r="27" spans="2:20" s="237" customFormat="1" ht="15.95" customHeight="1">
      <c r="B27" s="249" t="str">
        <f t="shared" si="4"/>
        <v>SUBARUIMPREZA</v>
      </c>
      <c r="C27" s="249" t="s">
        <v>28</v>
      </c>
      <c r="D27" s="249" t="s">
        <v>30</v>
      </c>
      <c r="E27" s="249" t="s">
        <v>97</v>
      </c>
      <c r="F27" s="238"/>
      <c r="G27" s="249" t="str">
        <f t="shared" si="1"/>
        <v>PEUGEOT2008</v>
      </c>
      <c r="H27" s="253" t="s">
        <v>108</v>
      </c>
      <c r="I27" s="249">
        <v>2008</v>
      </c>
      <c r="J27" s="249" t="s">
        <v>128</v>
      </c>
      <c r="L27" s="257" t="str">
        <f t="shared" si="2"/>
        <v>RENAULTMEGANE</v>
      </c>
      <c r="M27" s="258" t="s">
        <v>44</v>
      </c>
      <c r="N27" s="257" t="s">
        <v>51</v>
      </c>
      <c r="O27" s="257" t="s">
        <v>128</v>
      </c>
      <c r="Q27" s="252" t="str">
        <f t="shared" si="3"/>
        <v/>
      </c>
      <c r="R27" s="252"/>
      <c r="S27" s="252"/>
      <c r="T27" s="262"/>
    </row>
    <row r="28" spans="2:20" s="237" customFormat="1" ht="15.95" customHeight="1">
      <c r="B28" s="249" t="str">
        <f t="shared" si="4"/>
        <v>SUBARUIMPREZA</v>
      </c>
      <c r="C28" s="253" t="s">
        <v>28</v>
      </c>
      <c r="D28" s="249" t="s">
        <v>30</v>
      </c>
      <c r="E28" s="249" t="s">
        <v>97</v>
      </c>
      <c r="F28" s="238"/>
      <c r="G28" s="249" t="str">
        <f t="shared" si="1"/>
        <v>PEUGEOT3008</v>
      </c>
      <c r="H28" s="263" t="s">
        <v>108</v>
      </c>
      <c r="I28" s="238">
        <v>3008</v>
      </c>
      <c r="J28" s="249" t="s">
        <v>128</v>
      </c>
      <c r="L28" s="257" t="str">
        <f t="shared" si="2"/>
        <v>RENAULTR19</v>
      </c>
      <c r="M28" s="258" t="s">
        <v>44</v>
      </c>
      <c r="N28" s="257" t="s">
        <v>52</v>
      </c>
      <c r="O28" s="257" t="s">
        <v>128</v>
      </c>
      <c r="Q28" s="252" t="str">
        <f t="shared" si="3"/>
        <v/>
      </c>
      <c r="R28" s="252"/>
      <c r="S28" s="252"/>
      <c r="T28" s="262"/>
    </row>
    <row r="29" spans="2:20" s="237" customFormat="1" ht="15.95" customHeight="1">
      <c r="B29" s="249" t="str">
        <f t="shared" si="4"/>
        <v>SUBARUIMPREZA STI</v>
      </c>
      <c r="C29" s="253" t="s">
        <v>28</v>
      </c>
      <c r="D29" s="249" t="s">
        <v>31</v>
      </c>
      <c r="E29" s="249" t="s">
        <v>97</v>
      </c>
      <c r="F29" s="238"/>
      <c r="G29" s="249" t="str">
        <f t="shared" si="1"/>
        <v>PEUGEOTACTIVE</v>
      </c>
      <c r="H29" s="253" t="s">
        <v>108</v>
      </c>
      <c r="I29" s="249" t="s">
        <v>148</v>
      </c>
      <c r="J29" s="249" t="s">
        <v>128</v>
      </c>
      <c r="L29" s="257" t="str">
        <f t="shared" si="2"/>
        <v>RENAULTR19</v>
      </c>
      <c r="M29" s="258" t="s">
        <v>44</v>
      </c>
      <c r="N29" s="257" t="s">
        <v>52</v>
      </c>
      <c r="O29" s="257" t="s">
        <v>128</v>
      </c>
      <c r="Q29" s="252" t="str">
        <f t="shared" si="3"/>
        <v/>
      </c>
      <c r="R29" s="252"/>
      <c r="S29" s="252"/>
      <c r="T29" s="262"/>
    </row>
    <row r="30" spans="2:20" s="237" customFormat="1" ht="15.95" customHeight="1">
      <c r="B30" s="249" t="str">
        <f t="shared" si="4"/>
        <v>SUBARUIMPREZA WRX</v>
      </c>
      <c r="C30" s="253" t="s">
        <v>28</v>
      </c>
      <c r="D30" s="249" t="s">
        <v>32</v>
      </c>
      <c r="E30" s="249" t="s">
        <v>97</v>
      </c>
      <c r="F30" s="238"/>
      <c r="G30" s="249" t="str">
        <f t="shared" si="1"/>
        <v>PEUGEOTR19</v>
      </c>
      <c r="H30" s="253" t="s">
        <v>108</v>
      </c>
      <c r="I30" s="249" t="s">
        <v>52</v>
      </c>
      <c r="J30" s="249" t="s">
        <v>128</v>
      </c>
      <c r="L30" s="257" t="str">
        <f t="shared" si="2"/>
        <v>RENAULTSCENIC</v>
      </c>
      <c r="M30" s="258" t="s">
        <v>44</v>
      </c>
      <c r="N30" s="257" t="s">
        <v>54</v>
      </c>
      <c r="O30" s="257" t="s">
        <v>128</v>
      </c>
      <c r="Q30" s="252" t="str">
        <f t="shared" si="3"/>
        <v/>
      </c>
      <c r="R30" s="252"/>
      <c r="S30" s="252"/>
      <c r="T30" s="262"/>
    </row>
    <row r="31" spans="2:20" s="237" customFormat="1" ht="15.95" customHeight="1">
      <c r="B31" s="249" t="str">
        <f t="shared" si="4"/>
        <v>TOYOTACOROLLA</v>
      </c>
      <c r="C31" s="249" t="s">
        <v>64</v>
      </c>
      <c r="D31" s="249" t="s">
        <v>119</v>
      </c>
      <c r="E31" s="249" t="s">
        <v>97</v>
      </c>
      <c r="F31" s="238"/>
      <c r="G31" s="252" t="str">
        <f t="shared" si="1"/>
        <v>RENAULTCAPTUR</v>
      </c>
      <c r="H31" s="253" t="s">
        <v>44</v>
      </c>
      <c r="I31" s="249" t="s">
        <v>61</v>
      </c>
      <c r="J31" s="249" t="s">
        <v>128</v>
      </c>
      <c r="L31" s="257" t="str">
        <f t="shared" si="2"/>
        <v>RENAULTSYMBOL</v>
      </c>
      <c r="M31" s="258" t="s">
        <v>44</v>
      </c>
      <c r="N31" s="257" t="s">
        <v>56</v>
      </c>
      <c r="O31" s="257" t="s">
        <v>128</v>
      </c>
      <c r="Q31" s="252" t="str">
        <f t="shared" si="3"/>
        <v/>
      </c>
      <c r="R31" s="252"/>
      <c r="S31" s="252"/>
      <c r="T31" s="262"/>
    </row>
    <row r="32" spans="2:20" s="237" customFormat="1" ht="15.95" customHeight="1">
      <c r="B32" s="249" t="str">
        <f t="shared" si="4"/>
        <v>TOYOTAYARIS</v>
      </c>
      <c r="C32" s="249" t="s">
        <v>64</v>
      </c>
      <c r="D32" s="249" t="s">
        <v>120</v>
      </c>
      <c r="E32" s="249" t="s">
        <v>97</v>
      </c>
      <c r="F32" s="238"/>
      <c r="G32" s="249" t="str">
        <f t="shared" si="1"/>
        <v>RENAULTCLIO</v>
      </c>
      <c r="H32" s="253" t="s">
        <v>44</v>
      </c>
      <c r="I32" s="249" t="s">
        <v>45</v>
      </c>
      <c r="J32" s="249" t="s">
        <v>128</v>
      </c>
      <c r="L32" s="257" t="str">
        <f t="shared" si="2"/>
        <v>RENAULTSYMBOL</v>
      </c>
      <c r="M32" s="258" t="s">
        <v>44</v>
      </c>
      <c r="N32" s="257" t="s">
        <v>56</v>
      </c>
      <c r="O32" s="257" t="s">
        <v>128</v>
      </c>
      <c r="Q32" s="252" t="str">
        <f t="shared" si="3"/>
        <v/>
      </c>
      <c r="R32" s="252"/>
      <c r="S32" s="252"/>
      <c r="T32" s="262"/>
    </row>
    <row r="33" spans="2:20" s="237" customFormat="1" ht="15.95" customHeight="1">
      <c r="B33" s="249"/>
      <c r="C33" s="249"/>
      <c r="D33" s="249"/>
      <c r="E33" s="249"/>
      <c r="F33" s="238"/>
      <c r="G33" s="249" t="str">
        <f t="shared" si="1"/>
        <v>RENAULTDUSTER</v>
      </c>
      <c r="H33" s="253" t="s">
        <v>44</v>
      </c>
      <c r="I33" s="249" t="s">
        <v>46</v>
      </c>
      <c r="J33" s="249" t="s">
        <v>128</v>
      </c>
      <c r="L33" s="256" t="str">
        <f t="shared" si="2"/>
        <v>SEATLEON</v>
      </c>
      <c r="M33" s="256" t="s">
        <v>37</v>
      </c>
      <c r="N33" s="256" t="s">
        <v>43</v>
      </c>
      <c r="O33" s="250" t="s">
        <v>128</v>
      </c>
      <c r="Q33" s="252" t="str">
        <f t="shared" si="3"/>
        <v/>
      </c>
      <c r="R33" s="252"/>
      <c r="S33" s="252"/>
      <c r="T33" s="262"/>
    </row>
    <row r="34" spans="2:20" s="237" customFormat="1" ht="15.95" customHeight="1">
      <c r="B34" s="249"/>
      <c r="C34" s="249"/>
      <c r="D34" s="249"/>
      <c r="E34" s="249"/>
      <c r="F34" s="238"/>
      <c r="G34" s="249" t="str">
        <f t="shared" si="1"/>
        <v>RENAULTGRAND SCENIC</v>
      </c>
      <c r="H34" s="253" t="s">
        <v>44</v>
      </c>
      <c r="I34" s="249" t="s">
        <v>48</v>
      </c>
      <c r="J34" s="249" t="s">
        <v>128</v>
      </c>
      <c r="L34" s="257" t="str">
        <f t="shared" si="2"/>
        <v>SUBARUIMPREZA</v>
      </c>
      <c r="M34" s="258" t="s">
        <v>28</v>
      </c>
      <c r="N34" s="257" t="s">
        <v>30</v>
      </c>
      <c r="O34" s="257" t="s">
        <v>128</v>
      </c>
      <c r="Q34" s="252" t="str">
        <f t="shared" si="3"/>
        <v>MARCAMODELO</v>
      </c>
      <c r="R34" s="264" t="s">
        <v>0</v>
      </c>
      <c r="S34" s="264" t="s">
        <v>1</v>
      </c>
      <c r="T34" s="265" t="s">
        <v>2</v>
      </c>
    </row>
    <row r="35" spans="2:20" s="237" customFormat="1" ht="15.95" customHeight="1">
      <c r="B35" s="249"/>
      <c r="C35" s="249"/>
      <c r="D35" s="249"/>
      <c r="E35" s="249"/>
      <c r="F35" s="238"/>
      <c r="G35" s="249" t="str">
        <f t="shared" si="1"/>
        <v>RENAULTKOLEOS</v>
      </c>
      <c r="H35" s="253" t="s">
        <v>44</v>
      </c>
      <c r="I35" s="249" t="s">
        <v>49</v>
      </c>
      <c r="J35" s="249" t="s">
        <v>128</v>
      </c>
      <c r="L35" s="257" t="str">
        <f t="shared" si="2"/>
        <v>SUBARUIMPREZA STI</v>
      </c>
      <c r="M35" s="258" t="s">
        <v>28</v>
      </c>
      <c r="N35" s="257" t="s">
        <v>31</v>
      </c>
      <c r="O35" s="257" t="s">
        <v>128</v>
      </c>
      <c r="Q35" s="252" t="str">
        <f t="shared" si="3"/>
        <v>CHEVROLETASTRA</v>
      </c>
      <c r="R35" s="253" t="s">
        <v>57</v>
      </c>
      <c r="S35" s="249" t="s">
        <v>133</v>
      </c>
      <c r="T35" s="254" t="s">
        <v>127</v>
      </c>
    </row>
    <row r="36" spans="2:20" s="237" customFormat="1" ht="15.95" customHeight="1">
      <c r="B36" s="249"/>
      <c r="C36" s="249"/>
      <c r="D36" s="249"/>
      <c r="E36" s="249"/>
      <c r="F36" s="238"/>
      <c r="G36" s="249" t="str">
        <f t="shared" si="1"/>
        <v>RENAULTLOGAN</v>
      </c>
      <c r="H36" s="253" t="s">
        <v>44</v>
      </c>
      <c r="I36" s="249" t="s">
        <v>50</v>
      </c>
      <c r="J36" s="249" t="s">
        <v>128</v>
      </c>
      <c r="L36" s="257" t="str">
        <f t="shared" si="2"/>
        <v>SUBARUIMPREZA WRX</v>
      </c>
      <c r="M36" s="258" t="s">
        <v>28</v>
      </c>
      <c r="N36" s="257" t="s">
        <v>32</v>
      </c>
      <c r="O36" s="257" t="s">
        <v>128</v>
      </c>
      <c r="Q36" s="252" t="str">
        <f t="shared" si="3"/>
        <v>CHEVROLETAVEO</v>
      </c>
      <c r="R36" s="253" t="s">
        <v>57</v>
      </c>
      <c r="S36" s="249" t="s">
        <v>79</v>
      </c>
      <c r="T36" s="254" t="s">
        <v>127</v>
      </c>
    </row>
    <row r="37" spans="2:20" s="237" customFormat="1" ht="15.95" customHeight="1">
      <c r="B37" s="249"/>
      <c r="C37" s="249"/>
      <c r="D37" s="249"/>
      <c r="E37" s="249"/>
      <c r="F37" s="238"/>
      <c r="G37" s="249" t="str">
        <f t="shared" si="1"/>
        <v>RENAULTMEGANE</v>
      </c>
      <c r="H37" s="253" t="s">
        <v>44</v>
      </c>
      <c r="I37" s="249" t="s">
        <v>51</v>
      </c>
      <c r="J37" s="249" t="s">
        <v>128</v>
      </c>
      <c r="L37" s="256" t="str">
        <f t="shared" si="2"/>
        <v>SUZUKISWIFT</v>
      </c>
      <c r="M37" s="266" t="s">
        <v>68</v>
      </c>
      <c r="N37" s="250" t="s">
        <v>112</v>
      </c>
      <c r="O37" s="250" t="s">
        <v>128</v>
      </c>
      <c r="Q37" s="252" t="str">
        <f t="shared" si="3"/>
        <v>CHEVROLETCAVALIER</v>
      </c>
      <c r="R37" s="253" t="s">
        <v>57</v>
      </c>
      <c r="S37" s="249" t="s">
        <v>135</v>
      </c>
      <c r="T37" s="254" t="s">
        <v>127</v>
      </c>
    </row>
    <row r="38" spans="2:20" s="237" customFormat="1" ht="15.95" customHeight="1">
      <c r="B38" s="249"/>
      <c r="C38" s="249"/>
      <c r="D38" s="249"/>
      <c r="E38" s="249"/>
      <c r="F38" s="238"/>
      <c r="G38" s="249" t="str">
        <f t="shared" ref="G38:G58" si="5">+H38&amp;I38</f>
        <v>RENAULTR19</v>
      </c>
      <c r="H38" s="253" t="s">
        <v>44</v>
      </c>
      <c r="I38" s="249" t="s">
        <v>52</v>
      </c>
      <c r="J38" s="249" t="s">
        <v>128</v>
      </c>
      <c r="L38" s="257" t="str">
        <f t="shared" si="2"/>
        <v>TOYOTACOROLLA</v>
      </c>
      <c r="M38" s="267" t="s">
        <v>64</v>
      </c>
      <c r="N38" s="267" t="s">
        <v>119</v>
      </c>
      <c r="O38" s="257" t="s">
        <v>128</v>
      </c>
      <c r="Q38" s="252" t="str">
        <f t="shared" si="3"/>
        <v>CHEVROLETCRUZE</v>
      </c>
      <c r="R38" s="253" t="s">
        <v>57</v>
      </c>
      <c r="S38" s="249" t="s">
        <v>82</v>
      </c>
      <c r="T38" s="254" t="s">
        <v>127</v>
      </c>
    </row>
    <row r="39" spans="2:20" s="237" customFormat="1" ht="15.95" customHeight="1">
      <c r="B39" s="249"/>
      <c r="C39" s="249"/>
      <c r="D39" s="249"/>
      <c r="E39" s="249"/>
      <c r="F39" s="238"/>
      <c r="G39" s="249" t="str">
        <f t="shared" si="5"/>
        <v>RENAULTSANDERO</v>
      </c>
      <c r="H39" s="253" t="s">
        <v>44</v>
      </c>
      <c r="I39" s="249" t="s">
        <v>53</v>
      </c>
      <c r="J39" s="249" t="s">
        <v>128</v>
      </c>
      <c r="L39" s="257" t="str">
        <f t="shared" si="2"/>
        <v>TOYOTAYARIS</v>
      </c>
      <c r="M39" s="259" t="s">
        <v>64</v>
      </c>
      <c r="N39" s="259" t="s">
        <v>120</v>
      </c>
      <c r="O39" s="257" t="s">
        <v>128</v>
      </c>
      <c r="Q39" s="252" t="str">
        <f t="shared" si="3"/>
        <v>CHEVROLETEQUINOX</v>
      </c>
      <c r="R39" s="253" t="s">
        <v>57</v>
      </c>
      <c r="S39" s="249" t="s">
        <v>137</v>
      </c>
      <c r="T39" s="254" t="s">
        <v>127</v>
      </c>
    </row>
    <row r="40" spans="2:20" s="237" customFormat="1" ht="15.95" customHeight="1">
      <c r="B40" s="249"/>
      <c r="C40" s="249"/>
      <c r="D40" s="249"/>
      <c r="E40" s="249"/>
      <c r="F40" s="238"/>
      <c r="G40" s="249" t="str">
        <f t="shared" si="5"/>
        <v>RENAULTSCENIC</v>
      </c>
      <c r="H40" s="253" t="s">
        <v>44</v>
      </c>
      <c r="I40" s="249" t="s">
        <v>54</v>
      </c>
      <c r="J40" s="249" t="s">
        <v>128</v>
      </c>
      <c r="L40" s="267"/>
      <c r="M40" s="267"/>
      <c r="N40" s="267"/>
      <c r="O40" s="267"/>
      <c r="Q40" s="252" t="str">
        <f t="shared" si="3"/>
        <v>CHEVROLETOPTRA</v>
      </c>
      <c r="R40" s="253" t="s">
        <v>57</v>
      </c>
      <c r="S40" s="249" t="s">
        <v>84</v>
      </c>
      <c r="T40" s="254" t="s">
        <v>127</v>
      </c>
    </row>
    <row r="41" spans="2:20" s="237" customFormat="1" ht="15.95" customHeight="1">
      <c r="B41" s="260" t="s">
        <v>126</v>
      </c>
      <c r="C41" s="260" t="s">
        <v>0</v>
      </c>
      <c r="D41" s="260" t="s">
        <v>1</v>
      </c>
      <c r="E41" s="260" t="s">
        <v>2</v>
      </c>
      <c r="F41" s="261"/>
      <c r="G41" s="249" t="str">
        <f t="shared" si="5"/>
        <v>RENAULTSTEPWAY</v>
      </c>
      <c r="H41" s="253" t="s">
        <v>44</v>
      </c>
      <c r="I41" s="249" t="s">
        <v>55</v>
      </c>
      <c r="J41" s="249" t="s">
        <v>128</v>
      </c>
      <c r="L41" s="267"/>
      <c r="M41" s="267"/>
      <c r="N41" s="267"/>
      <c r="O41" s="267"/>
      <c r="Q41" s="252" t="str">
        <f t="shared" si="3"/>
        <v>CHEVROLETRODEO</v>
      </c>
      <c r="R41" s="253" t="s">
        <v>57</v>
      </c>
      <c r="S41" s="249" t="s">
        <v>139</v>
      </c>
      <c r="T41" s="254" t="s">
        <v>127</v>
      </c>
    </row>
    <row r="42" spans="2:20" s="237" customFormat="1" ht="15.95" customHeight="1">
      <c r="B42" s="249" t="str">
        <f t="shared" ref="B42:B73" si="6">+C42&amp;D42</f>
        <v>CHEVROLETAVEO</v>
      </c>
      <c r="C42" s="249" t="s">
        <v>57</v>
      </c>
      <c r="D42" s="249" t="s">
        <v>79</v>
      </c>
      <c r="E42" s="249" t="s">
        <v>80</v>
      </c>
      <c r="F42" s="238"/>
      <c r="G42" s="249" t="str">
        <f t="shared" si="5"/>
        <v>RENAULTSYMBOL</v>
      </c>
      <c r="H42" s="253" t="s">
        <v>44</v>
      </c>
      <c r="I42" s="249" t="s">
        <v>56</v>
      </c>
      <c r="J42" s="249" t="s">
        <v>128</v>
      </c>
      <c r="L42" s="267"/>
      <c r="M42" s="267"/>
      <c r="N42" s="267"/>
      <c r="O42" s="267"/>
      <c r="Q42" s="252" t="str">
        <f t="shared" si="3"/>
        <v>CHEVROLETSAIL</v>
      </c>
      <c r="R42" s="253" t="s">
        <v>57</v>
      </c>
      <c r="S42" s="249" t="s">
        <v>81</v>
      </c>
      <c r="T42" s="254" t="s">
        <v>127</v>
      </c>
    </row>
    <row r="43" spans="2:20" s="237" customFormat="1" ht="15.95" customHeight="1">
      <c r="B43" s="249" t="str">
        <f t="shared" si="6"/>
        <v>CHEVROLETSAIL</v>
      </c>
      <c r="C43" s="249" t="s">
        <v>57</v>
      </c>
      <c r="D43" s="249" t="s">
        <v>81</v>
      </c>
      <c r="E43" s="249" t="s">
        <v>80</v>
      </c>
      <c r="F43" s="238"/>
      <c r="G43" s="249" t="str">
        <f t="shared" si="5"/>
        <v>RENAULTFLUENCE</v>
      </c>
      <c r="H43" s="253" t="s">
        <v>44</v>
      </c>
      <c r="I43" s="249" t="s">
        <v>47</v>
      </c>
      <c r="J43" s="249" t="s">
        <v>128</v>
      </c>
      <c r="L43" s="267"/>
      <c r="M43" s="267"/>
      <c r="N43" s="267"/>
      <c r="O43" s="267"/>
      <c r="Q43" s="252" t="str">
        <f t="shared" si="3"/>
        <v>CHEVROLETSONIC</v>
      </c>
      <c r="R43" s="253" t="s">
        <v>57</v>
      </c>
      <c r="S43" s="249" t="s">
        <v>83</v>
      </c>
      <c r="T43" s="254" t="s">
        <v>127</v>
      </c>
    </row>
    <row r="44" spans="2:20" s="237" customFormat="1" ht="15.95" customHeight="1">
      <c r="B44" s="249" t="str">
        <f t="shared" si="6"/>
        <v>CHEVROLETCRUZE</v>
      </c>
      <c r="C44" s="249" t="s">
        <v>57</v>
      </c>
      <c r="D44" s="249" t="s">
        <v>82</v>
      </c>
      <c r="E44" s="249" t="s">
        <v>80</v>
      </c>
      <c r="F44" s="238"/>
      <c r="G44" s="249" t="str">
        <f t="shared" si="5"/>
        <v>SUBARUFORESTER</v>
      </c>
      <c r="H44" s="253" t="s">
        <v>28</v>
      </c>
      <c r="I44" s="249" t="s">
        <v>29</v>
      </c>
      <c r="J44" s="249" t="s">
        <v>128</v>
      </c>
      <c r="L44" s="267"/>
      <c r="M44" s="267"/>
      <c r="N44" s="267"/>
      <c r="O44" s="267"/>
      <c r="Q44" s="252" t="str">
        <f t="shared" si="3"/>
        <v>CHEVROLETSPARK</v>
      </c>
      <c r="R44" s="253" t="s">
        <v>57</v>
      </c>
      <c r="S44" s="249" t="s">
        <v>58</v>
      </c>
      <c r="T44" s="254" t="s">
        <v>127</v>
      </c>
    </row>
    <row r="45" spans="2:20" s="237" customFormat="1" ht="15.95" customHeight="1">
      <c r="B45" s="249" t="str">
        <f t="shared" si="6"/>
        <v>CHEVROLETSONIC</v>
      </c>
      <c r="C45" s="249" t="s">
        <v>57</v>
      </c>
      <c r="D45" s="249" t="s">
        <v>83</v>
      </c>
      <c r="E45" s="249" t="s">
        <v>80</v>
      </c>
      <c r="F45" s="238"/>
      <c r="G45" s="249" t="str">
        <f t="shared" si="5"/>
        <v>SUBARUIMPREZA STI</v>
      </c>
      <c r="H45" s="253" t="s">
        <v>28</v>
      </c>
      <c r="I45" s="249" t="s">
        <v>31</v>
      </c>
      <c r="J45" s="249" t="s">
        <v>128</v>
      </c>
      <c r="L45" s="267"/>
      <c r="M45" s="267"/>
      <c r="N45" s="267"/>
      <c r="O45" s="267"/>
      <c r="Q45" s="252" t="str">
        <f t="shared" si="3"/>
        <v>CHEVROLETTRACKER</v>
      </c>
      <c r="R45" s="253" t="s">
        <v>57</v>
      </c>
      <c r="S45" s="249" t="s">
        <v>141</v>
      </c>
      <c r="T45" s="254" t="s">
        <v>127</v>
      </c>
    </row>
    <row r="46" spans="2:20" s="237" customFormat="1" ht="15.95" customHeight="1">
      <c r="B46" s="249" t="str">
        <f t="shared" si="6"/>
        <v>CHEVROLETOPTRA</v>
      </c>
      <c r="C46" s="249" t="s">
        <v>57</v>
      </c>
      <c r="D46" s="249" t="s">
        <v>84</v>
      </c>
      <c r="E46" s="249" t="s">
        <v>80</v>
      </c>
      <c r="F46" s="238"/>
      <c r="G46" s="249" t="str">
        <f t="shared" si="5"/>
        <v>SUBARUIMPREZA WRX</v>
      </c>
      <c r="H46" s="253" t="s">
        <v>28</v>
      </c>
      <c r="I46" s="249" t="s">
        <v>32</v>
      </c>
      <c r="J46" s="249" t="s">
        <v>128</v>
      </c>
      <c r="L46" s="267"/>
      <c r="M46" s="267"/>
      <c r="N46" s="267"/>
      <c r="O46" s="267"/>
      <c r="Q46" s="252" t="str">
        <f t="shared" si="3"/>
        <v>CHEVROLETTRAILBLAZER</v>
      </c>
      <c r="R46" s="253" t="s">
        <v>57</v>
      </c>
      <c r="S46" s="249" t="s">
        <v>142</v>
      </c>
      <c r="T46" s="254" t="s">
        <v>127</v>
      </c>
    </row>
    <row r="47" spans="2:20" s="237" customFormat="1" ht="15.95" customHeight="1">
      <c r="B47" s="252" t="str">
        <f t="shared" si="6"/>
        <v>CHEVROLETSPARK</v>
      </c>
      <c r="C47" s="249" t="s">
        <v>57</v>
      </c>
      <c r="D47" s="249" t="s">
        <v>58</v>
      </c>
      <c r="E47" s="249" t="s">
        <v>80</v>
      </c>
      <c r="F47" s="238"/>
      <c r="G47" s="249" t="str">
        <f t="shared" si="5"/>
        <v>SUBARULEGACY</v>
      </c>
      <c r="H47" s="253" t="s">
        <v>28</v>
      </c>
      <c r="I47" s="249" t="s">
        <v>33</v>
      </c>
      <c r="J47" s="249" t="s">
        <v>128</v>
      </c>
      <c r="L47" s="268" t="s">
        <v>126</v>
      </c>
      <c r="M47" s="268" t="s">
        <v>0</v>
      </c>
      <c r="N47" s="268" t="s">
        <v>1</v>
      </c>
      <c r="O47" s="268" t="s">
        <v>2</v>
      </c>
      <c r="Q47" s="252" t="str">
        <f t="shared" si="3"/>
        <v>CHEVROLETVECTRA</v>
      </c>
      <c r="R47" s="253" t="s">
        <v>57</v>
      </c>
      <c r="S47" s="249" t="s">
        <v>144</v>
      </c>
      <c r="T47" s="254" t="s">
        <v>127</v>
      </c>
    </row>
    <row r="48" spans="2:20" s="237" customFormat="1" ht="15.95" customHeight="1">
      <c r="B48" s="252" t="str">
        <f t="shared" si="6"/>
        <v>CHEVROLETSPIN</v>
      </c>
      <c r="C48" s="249" t="s">
        <v>57</v>
      </c>
      <c r="D48" s="249" t="s">
        <v>62</v>
      </c>
      <c r="E48" s="249" t="s">
        <v>80</v>
      </c>
      <c r="F48" s="238"/>
      <c r="G48" s="249" t="str">
        <f t="shared" si="5"/>
        <v>SUBARUXV</v>
      </c>
      <c r="H48" s="253" t="s">
        <v>28</v>
      </c>
      <c r="I48" s="249" t="s">
        <v>36</v>
      </c>
      <c r="J48" s="249" t="s">
        <v>128</v>
      </c>
      <c r="L48" s="257" t="str">
        <f t="shared" ref="L48:L79" si="7">+M48&amp;N48</f>
        <v>CHEVROLETSONIC</v>
      </c>
      <c r="M48" s="257" t="s">
        <v>57</v>
      </c>
      <c r="N48" s="257" t="s">
        <v>83</v>
      </c>
      <c r="O48" s="257" t="s">
        <v>127</v>
      </c>
      <c r="Q48" s="252" t="str">
        <f t="shared" si="3"/>
        <v>CHEVROLETVIVANT</v>
      </c>
      <c r="R48" s="253" t="s">
        <v>57</v>
      </c>
      <c r="S48" s="249" t="s">
        <v>145</v>
      </c>
      <c r="T48" s="254" t="s">
        <v>127</v>
      </c>
    </row>
    <row r="49" spans="2:20" s="237" customFormat="1" ht="15.95" customHeight="1">
      <c r="B49" s="252" t="str">
        <f t="shared" si="6"/>
        <v>CHEVROLETPRIMA</v>
      </c>
      <c r="C49" s="249" t="s">
        <v>57</v>
      </c>
      <c r="D49" s="249" t="s">
        <v>63</v>
      </c>
      <c r="E49" s="249" t="s">
        <v>80</v>
      </c>
      <c r="F49" s="238"/>
      <c r="G49" s="249" t="str">
        <f t="shared" si="5"/>
        <v>SUBARUIMPREZA</v>
      </c>
      <c r="H49" s="253" t="s">
        <v>28</v>
      </c>
      <c r="I49" s="249" t="s">
        <v>30</v>
      </c>
      <c r="J49" s="249" t="s">
        <v>128</v>
      </c>
      <c r="L49" s="257" t="str">
        <f t="shared" si="7"/>
        <v>CHEVROLETAVEO</v>
      </c>
      <c r="M49" s="257" t="s">
        <v>57</v>
      </c>
      <c r="N49" s="257" t="s">
        <v>79</v>
      </c>
      <c r="O49" s="257" t="s">
        <v>127</v>
      </c>
      <c r="Q49" s="252" t="str">
        <f t="shared" si="3"/>
        <v>CHEVROLETZAFIRA</v>
      </c>
      <c r="R49" s="253" t="s">
        <v>57</v>
      </c>
      <c r="S49" s="249" t="s">
        <v>146</v>
      </c>
      <c r="T49" s="254" t="s">
        <v>127</v>
      </c>
    </row>
    <row r="50" spans="2:20" s="237" customFormat="1" ht="15.95" customHeight="1">
      <c r="B50" s="286" t="str">
        <f t="shared" si="6"/>
        <v>FORDFIESTA</v>
      </c>
      <c r="C50" s="285" t="s">
        <v>70</v>
      </c>
      <c r="D50" s="285" t="s">
        <v>71</v>
      </c>
      <c r="E50" s="285" t="s">
        <v>80</v>
      </c>
      <c r="F50" s="238"/>
      <c r="G50" s="249" t="str">
        <f t="shared" si="5"/>
        <v>SUBARUOUTBACK</v>
      </c>
      <c r="H50" s="253" t="s">
        <v>28</v>
      </c>
      <c r="I50" s="249" t="s">
        <v>34</v>
      </c>
      <c r="J50" s="249" t="s">
        <v>128</v>
      </c>
      <c r="L50" s="257" t="str">
        <f t="shared" si="7"/>
        <v>CHEVROLETCRUZE</v>
      </c>
      <c r="M50" s="257" t="s">
        <v>57</v>
      </c>
      <c r="N50" s="257" t="s">
        <v>82</v>
      </c>
      <c r="O50" s="257" t="s">
        <v>127</v>
      </c>
      <c r="Q50" s="252" t="str">
        <f t="shared" si="3"/>
        <v>HYUNDAIi10</v>
      </c>
      <c r="R50" s="253" t="s">
        <v>66</v>
      </c>
      <c r="S50" s="249" t="s">
        <v>7</v>
      </c>
      <c r="T50" s="254" t="s">
        <v>127</v>
      </c>
    </row>
    <row r="51" spans="2:20" s="237" customFormat="1" ht="15.95" customHeight="1">
      <c r="B51" s="249" t="str">
        <f t="shared" si="6"/>
        <v>HYUNDAIELANTRA</v>
      </c>
      <c r="C51" s="249" t="s">
        <v>66</v>
      </c>
      <c r="D51" s="249" t="s">
        <v>90</v>
      </c>
      <c r="E51" s="249" t="s">
        <v>80</v>
      </c>
      <c r="F51" s="238"/>
      <c r="G51" s="249" t="str">
        <f t="shared" si="5"/>
        <v>SUBARUTRIBECA</v>
      </c>
      <c r="H51" s="253" t="s">
        <v>28</v>
      </c>
      <c r="I51" s="249" t="s">
        <v>35</v>
      </c>
      <c r="J51" s="249" t="s">
        <v>128</v>
      </c>
      <c r="L51" s="257" t="str">
        <f t="shared" si="7"/>
        <v>CHEVROLETOPTRA</v>
      </c>
      <c r="M51" s="257" t="s">
        <v>57</v>
      </c>
      <c r="N51" s="257" t="s">
        <v>84</v>
      </c>
      <c r="O51" s="257" t="s">
        <v>127</v>
      </c>
      <c r="Q51" s="252" t="str">
        <f t="shared" si="3"/>
        <v>HYUNDAII30</v>
      </c>
      <c r="R51" s="253" t="s">
        <v>66</v>
      </c>
      <c r="S51" s="249" t="s">
        <v>179</v>
      </c>
      <c r="T51" s="254" t="s">
        <v>127</v>
      </c>
    </row>
    <row r="52" spans="2:20" s="237" customFormat="1" ht="15.95" customHeight="1">
      <c r="B52" s="249" t="str">
        <f t="shared" si="6"/>
        <v>HYUNDAIACCENT</v>
      </c>
      <c r="C52" s="249" t="s">
        <v>66</v>
      </c>
      <c r="D52" s="249" t="s">
        <v>91</v>
      </c>
      <c r="E52" s="249" t="s">
        <v>80</v>
      </c>
      <c r="F52" s="238"/>
      <c r="G52" s="249" t="str">
        <f t="shared" si="5"/>
        <v>TOYOTAAVANZA</v>
      </c>
      <c r="H52" s="252" t="s">
        <v>64</v>
      </c>
      <c r="I52" s="252" t="s">
        <v>131</v>
      </c>
      <c r="J52" s="249" t="s">
        <v>128</v>
      </c>
      <c r="L52" s="257" t="str">
        <f t="shared" si="7"/>
        <v>CHEVROLETSAIL</v>
      </c>
      <c r="M52" s="257" t="s">
        <v>57</v>
      </c>
      <c r="N52" s="257" t="s">
        <v>81</v>
      </c>
      <c r="O52" s="257" t="s">
        <v>127</v>
      </c>
      <c r="Q52" s="252" t="str">
        <f t="shared" si="3"/>
        <v>KIACERATO</v>
      </c>
      <c r="R52" s="253" t="s">
        <v>59</v>
      </c>
      <c r="S52" s="249" t="s">
        <v>94</v>
      </c>
      <c r="T52" s="254" t="s">
        <v>127</v>
      </c>
    </row>
    <row r="53" spans="2:20" s="237" customFormat="1" ht="15.95" customHeight="1">
      <c r="B53" s="249" t="str">
        <f t="shared" si="6"/>
        <v>HYUNDAIEON</v>
      </c>
      <c r="C53" s="249" t="s">
        <v>66</v>
      </c>
      <c r="D53" s="249" t="s">
        <v>92</v>
      </c>
      <c r="E53" s="249" t="s">
        <v>80</v>
      </c>
      <c r="F53" s="238"/>
      <c r="G53" s="249" t="str">
        <f t="shared" si="5"/>
        <v>TOYOTAYARIS</v>
      </c>
      <c r="H53" s="255" t="s">
        <v>64</v>
      </c>
      <c r="I53" s="255" t="s">
        <v>120</v>
      </c>
      <c r="J53" s="249" t="s">
        <v>128</v>
      </c>
      <c r="L53" s="257" t="str">
        <f t="shared" si="7"/>
        <v>CHEVROLETSPARK</v>
      </c>
      <c r="M53" s="257" t="s">
        <v>57</v>
      </c>
      <c r="N53" s="257" t="s">
        <v>58</v>
      </c>
      <c r="O53" s="257" t="s">
        <v>127</v>
      </c>
      <c r="Q53" s="252" t="str">
        <f t="shared" si="3"/>
        <v>KIANEW CERATO</v>
      </c>
      <c r="R53" s="253" t="s">
        <v>59</v>
      </c>
      <c r="S53" s="249" t="s">
        <v>180</v>
      </c>
      <c r="T53" s="254" t="s">
        <v>127</v>
      </c>
    </row>
    <row r="54" spans="2:20" s="237" customFormat="1" ht="15.95" customHeight="1">
      <c r="B54" s="249" t="str">
        <f t="shared" si="6"/>
        <v>HYUNDAII10</v>
      </c>
      <c r="C54" s="249" t="s">
        <v>66</v>
      </c>
      <c r="D54" s="249" t="s">
        <v>93</v>
      </c>
      <c r="E54" s="249" t="s">
        <v>80</v>
      </c>
      <c r="F54" s="238"/>
      <c r="G54" s="249" t="str">
        <f t="shared" si="5"/>
        <v>VOLKSWAGENGOL</v>
      </c>
      <c r="H54" s="255" t="s">
        <v>121</v>
      </c>
      <c r="I54" s="252" t="s">
        <v>122</v>
      </c>
      <c r="J54" s="249" t="s">
        <v>128</v>
      </c>
      <c r="L54" s="257" t="str">
        <f t="shared" si="7"/>
        <v>HYUNDAIACCENT</v>
      </c>
      <c r="M54" s="259" t="s">
        <v>66</v>
      </c>
      <c r="N54" s="259" t="s">
        <v>91</v>
      </c>
      <c r="O54" s="257" t="s">
        <v>127</v>
      </c>
      <c r="Q54" s="252" t="str">
        <f t="shared" si="3"/>
        <v>MAZDA2</v>
      </c>
      <c r="R54" s="253" t="s">
        <v>96</v>
      </c>
      <c r="S54" s="249">
        <v>2</v>
      </c>
      <c r="T54" s="254" t="s">
        <v>127</v>
      </c>
    </row>
    <row r="55" spans="2:20" s="237" customFormat="1" ht="15.95" customHeight="1">
      <c r="B55" s="286" t="str">
        <f t="shared" si="6"/>
        <v>HYUNDAII20</v>
      </c>
      <c r="C55" s="285" t="s">
        <v>66</v>
      </c>
      <c r="D55" s="285" t="s">
        <v>67</v>
      </c>
      <c r="E55" s="285" t="s">
        <v>80</v>
      </c>
      <c r="F55" s="238"/>
      <c r="G55" s="249" t="str">
        <f t="shared" si="5"/>
        <v>VOLKSWAGENBORA</v>
      </c>
      <c r="H55" s="255" t="s">
        <v>121</v>
      </c>
      <c r="I55" s="255" t="s">
        <v>124</v>
      </c>
      <c r="J55" s="249" t="s">
        <v>128</v>
      </c>
      <c r="L55" s="257" t="str">
        <f t="shared" si="7"/>
        <v>HYUNDAIELANTRA</v>
      </c>
      <c r="M55" s="259" t="s">
        <v>66</v>
      </c>
      <c r="N55" s="259" t="s">
        <v>90</v>
      </c>
      <c r="O55" s="257" t="s">
        <v>127</v>
      </c>
      <c r="Q55" s="252" t="str">
        <f t="shared" si="3"/>
        <v>MAZDA3</v>
      </c>
      <c r="R55" s="253" t="s">
        <v>96</v>
      </c>
      <c r="S55" s="249">
        <v>3</v>
      </c>
      <c r="T55" s="254" t="s">
        <v>127</v>
      </c>
    </row>
    <row r="56" spans="2:20" s="237" customFormat="1" ht="15.95" customHeight="1">
      <c r="B56" s="286" t="str">
        <f t="shared" si="6"/>
        <v>HYUNDAICRETA</v>
      </c>
      <c r="C56" s="285" t="s">
        <v>66</v>
      </c>
      <c r="D56" s="285" t="s">
        <v>75</v>
      </c>
      <c r="E56" s="285" t="s">
        <v>80</v>
      </c>
      <c r="F56" s="238"/>
      <c r="G56" s="249" t="str">
        <f t="shared" si="5"/>
        <v>PEUGEOT5008</v>
      </c>
      <c r="H56" s="255" t="s">
        <v>108</v>
      </c>
      <c r="I56" s="255">
        <v>5008</v>
      </c>
      <c r="J56" s="249" t="s">
        <v>128</v>
      </c>
      <c r="L56" s="267" t="str">
        <f t="shared" si="7"/>
        <v>HYUNDAII10</v>
      </c>
      <c r="M56" s="258" t="s">
        <v>66</v>
      </c>
      <c r="N56" s="257" t="s">
        <v>93</v>
      </c>
      <c r="O56" s="257" t="s">
        <v>127</v>
      </c>
      <c r="Q56" s="252" t="str">
        <f t="shared" si="3"/>
        <v>NISSANALMERA</v>
      </c>
      <c r="R56" s="253" t="s">
        <v>100</v>
      </c>
      <c r="S56" s="249" t="s">
        <v>101</v>
      </c>
      <c r="T56" s="254" t="s">
        <v>127</v>
      </c>
    </row>
    <row r="57" spans="2:20" s="237" customFormat="1" ht="15.95" customHeight="1">
      <c r="B57" s="249" t="str">
        <f t="shared" si="6"/>
        <v>KIACERATO</v>
      </c>
      <c r="C57" s="249" t="s">
        <v>59</v>
      </c>
      <c r="D57" s="249" t="s">
        <v>94</v>
      </c>
      <c r="E57" s="249" t="s">
        <v>80</v>
      </c>
      <c r="F57" s="238"/>
      <c r="G57" s="249" t="str">
        <f t="shared" si="5"/>
        <v>SUBARUWRX</v>
      </c>
      <c r="H57" s="255" t="s">
        <v>28</v>
      </c>
      <c r="I57" s="255" t="s">
        <v>711</v>
      </c>
      <c r="J57" s="249" t="s">
        <v>128</v>
      </c>
      <c r="L57" s="267" t="str">
        <f t="shared" si="7"/>
        <v>HYUNDAIEON</v>
      </c>
      <c r="M57" s="258" t="s">
        <v>66</v>
      </c>
      <c r="N57" s="257" t="s">
        <v>92</v>
      </c>
      <c r="O57" s="257" t="s">
        <v>127</v>
      </c>
      <c r="Q57" s="252" t="str">
        <f t="shared" si="3"/>
        <v>NISSANQASHGAI</v>
      </c>
      <c r="R57" s="253" t="s">
        <v>100</v>
      </c>
      <c r="S57" s="249" t="s">
        <v>181</v>
      </c>
      <c r="T57" s="254" t="s">
        <v>127</v>
      </c>
    </row>
    <row r="58" spans="2:20" s="237" customFormat="1" ht="15.95" customHeight="1">
      <c r="B58" s="249" t="str">
        <f t="shared" si="6"/>
        <v>KIARIO</v>
      </c>
      <c r="C58" s="249" t="s">
        <v>59</v>
      </c>
      <c r="D58" s="249" t="s">
        <v>95</v>
      </c>
      <c r="E58" s="249" t="s">
        <v>80</v>
      </c>
      <c r="F58" s="238"/>
      <c r="G58" s="249" t="str">
        <f t="shared" si="5"/>
        <v>SUZUKIS-CROSS</v>
      </c>
      <c r="H58" s="255" t="s">
        <v>68</v>
      </c>
      <c r="I58" s="255" t="s">
        <v>712</v>
      </c>
      <c r="J58" s="249" t="s">
        <v>128</v>
      </c>
      <c r="L58" s="267" t="str">
        <f t="shared" si="7"/>
        <v>HYUNDAIVELOSTER</v>
      </c>
      <c r="M58" s="258" t="s">
        <v>66</v>
      </c>
      <c r="N58" s="257" t="s">
        <v>170</v>
      </c>
      <c r="O58" s="257" t="s">
        <v>127</v>
      </c>
      <c r="Q58" s="252" t="str">
        <f t="shared" si="3"/>
        <v>NISSANTIIDA</v>
      </c>
      <c r="R58" s="253" t="s">
        <v>100</v>
      </c>
      <c r="S58" s="249" t="s">
        <v>107</v>
      </c>
      <c r="T58" s="254" t="s">
        <v>127</v>
      </c>
    </row>
    <row r="59" spans="2:20" s="237" customFormat="1" ht="15.95" customHeight="1">
      <c r="B59" s="252" t="str">
        <f t="shared" si="6"/>
        <v>KIAPICANTO</v>
      </c>
      <c r="C59" s="249" t="s">
        <v>59</v>
      </c>
      <c r="D59" s="249" t="s">
        <v>60</v>
      </c>
      <c r="E59" s="249" t="s">
        <v>80</v>
      </c>
      <c r="F59" s="238"/>
      <c r="G59" s="249"/>
      <c r="H59" s="255"/>
      <c r="I59" s="255"/>
      <c r="J59" s="249"/>
      <c r="L59" s="267" t="str">
        <f t="shared" si="7"/>
        <v>HYUNDAIi30</v>
      </c>
      <c r="M59" s="258" t="s">
        <v>66</v>
      </c>
      <c r="N59" s="257" t="s">
        <v>171</v>
      </c>
      <c r="O59" s="257" t="s">
        <v>127</v>
      </c>
      <c r="Q59" s="252" t="str">
        <f t="shared" si="3"/>
        <v>NISSANVERSA</v>
      </c>
      <c r="R59" s="253" t="s">
        <v>100</v>
      </c>
      <c r="S59" s="249" t="s">
        <v>103</v>
      </c>
      <c r="T59" s="254" t="s">
        <v>127</v>
      </c>
    </row>
    <row r="60" spans="2:20" s="237" customFormat="1" ht="15.95" customHeight="1">
      <c r="B60" s="249" t="str">
        <f t="shared" si="6"/>
        <v>MAZDA2</v>
      </c>
      <c r="C60" s="249" t="s">
        <v>96</v>
      </c>
      <c r="D60" s="249">
        <v>2</v>
      </c>
      <c r="E60" s="249" t="s">
        <v>80</v>
      </c>
      <c r="F60" s="238"/>
      <c r="G60" s="249"/>
      <c r="H60" s="255"/>
      <c r="I60" s="255"/>
      <c r="J60" s="249"/>
      <c r="L60" s="257" t="str">
        <f t="shared" si="7"/>
        <v>KIACERATO</v>
      </c>
      <c r="M60" s="259" t="s">
        <v>59</v>
      </c>
      <c r="N60" s="267" t="s">
        <v>94</v>
      </c>
      <c r="O60" s="257" t="s">
        <v>127</v>
      </c>
      <c r="Q60" s="252" t="str">
        <f t="shared" si="3"/>
        <v>RENAULTCLIO</v>
      </c>
      <c r="R60" s="253" t="s">
        <v>44</v>
      </c>
      <c r="S60" s="249" t="s">
        <v>45</v>
      </c>
      <c r="T60" s="254" t="s">
        <v>127</v>
      </c>
    </row>
    <row r="61" spans="2:20" s="237" customFormat="1" ht="15.95" customHeight="1">
      <c r="B61" s="249" t="str">
        <f t="shared" si="6"/>
        <v>MITSUBISHILANCER</v>
      </c>
      <c r="C61" s="249" t="s">
        <v>98</v>
      </c>
      <c r="D61" s="249" t="s">
        <v>99</v>
      </c>
      <c r="E61" s="249" t="s">
        <v>80</v>
      </c>
      <c r="F61" s="238"/>
      <c r="G61" s="249"/>
      <c r="H61" s="255"/>
      <c r="I61" s="255"/>
      <c r="J61" s="249"/>
      <c r="L61" s="257" t="str">
        <f t="shared" si="7"/>
        <v>MAZDACX-5</v>
      </c>
      <c r="M61" s="258" t="s">
        <v>96</v>
      </c>
      <c r="N61" s="257" t="s">
        <v>154</v>
      </c>
      <c r="O61" s="257" t="s">
        <v>127</v>
      </c>
      <c r="Q61" s="252" t="str">
        <f t="shared" si="3"/>
        <v>RENAULTGRAND SCENIC</v>
      </c>
      <c r="R61" s="253" t="s">
        <v>44</v>
      </c>
      <c r="S61" s="249" t="s">
        <v>48</v>
      </c>
      <c r="T61" s="254" t="s">
        <v>127</v>
      </c>
    </row>
    <row r="62" spans="2:20" s="237" customFormat="1" ht="15.95" customHeight="1">
      <c r="B62" s="249" t="str">
        <f t="shared" si="6"/>
        <v>NISSANALMERA</v>
      </c>
      <c r="C62" s="249" t="s">
        <v>100</v>
      </c>
      <c r="D62" s="249" t="s">
        <v>101</v>
      </c>
      <c r="E62" s="249" t="s">
        <v>80</v>
      </c>
      <c r="F62" s="238"/>
      <c r="G62" s="249"/>
      <c r="H62" s="255"/>
      <c r="I62" s="255"/>
      <c r="J62" s="249"/>
      <c r="L62" s="257" t="str">
        <f t="shared" si="7"/>
        <v>MAZDACX-7</v>
      </c>
      <c r="M62" s="258" t="s">
        <v>96</v>
      </c>
      <c r="N62" s="257" t="s">
        <v>155</v>
      </c>
      <c r="O62" s="257" t="s">
        <v>127</v>
      </c>
      <c r="Q62" s="252" t="str">
        <f t="shared" si="3"/>
        <v>RENAULTLOGAN</v>
      </c>
      <c r="R62" s="253" t="s">
        <v>44</v>
      </c>
      <c r="S62" s="249" t="s">
        <v>50</v>
      </c>
      <c r="T62" s="254" t="s">
        <v>127</v>
      </c>
    </row>
    <row r="63" spans="2:20" s="237" customFormat="1" ht="15.95" customHeight="1">
      <c r="B63" s="249" t="str">
        <f t="shared" si="6"/>
        <v>NISSANQASHQAI</v>
      </c>
      <c r="C63" s="249" t="s">
        <v>100</v>
      </c>
      <c r="D63" s="249" t="s">
        <v>102</v>
      </c>
      <c r="E63" s="249" t="s">
        <v>80</v>
      </c>
      <c r="F63" s="238"/>
      <c r="G63" s="249"/>
      <c r="H63" s="255"/>
      <c r="I63" s="255"/>
      <c r="J63" s="249"/>
      <c r="L63" s="257" t="str">
        <f t="shared" si="7"/>
        <v>MAZDACX-9</v>
      </c>
      <c r="M63" s="258" t="s">
        <v>96</v>
      </c>
      <c r="N63" s="257" t="s">
        <v>156</v>
      </c>
      <c r="O63" s="257" t="s">
        <v>127</v>
      </c>
      <c r="Q63" s="252" t="str">
        <f t="shared" si="3"/>
        <v>RENAULTMEGANE</v>
      </c>
      <c r="R63" s="253" t="s">
        <v>44</v>
      </c>
      <c r="S63" s="249" t="s">
        <v>51</v>
      </c>
      <c r="T63" s="254" t="s">
        <v>127</v>
      </c>
    </row>
    <row r="64" spans="2:20" s="237" customFormat="1" ht="15.95" customHeight="1">
      <c r="B64" s="249" t="str">
        <f t="shared" si="6"/>
        <v>NISSANVERSA</v>
      </c>
      <c r="C64" s="249" t="s">
        <v>100</v>
      </c>
      <c r="D64" s="249" t="s">
        <v>103</v>
      </c>
      <c r="E64" s="249" t="s">
        <v>80</v>
      </c>
      <c r="F64" s="238"/>
      <c r="G64" s="249"/>
      <c r="H64" s="255"/>
      <c r="I64" s="255"/>
      <c r="J64" s="249"/>
      <c r="L64" s="257" t="str">
        <f t="shared" si="7"/>
        <v>MAZDAMX-5</v>
      </c>
      <c r="M64" s="258" t="s">
        <v>96</v>
      </c>
      <c r="N64" s="257" t="s">
        <v>157</v>
      </c>
      <c r="O64" s="257" t="s">
        <v>127</v>
      </c>
      <c r="Q64" s="252" t="str">
        <f t="shared" si="3"/>
        <v>RENAULTR19</v>
      </c>
      <c r="R64" s="253" t="s">
        <v>44</v>
      </c>
      <c r="S64" s="249" t="s">
        <v>52</v>
      </c>
      <c r="T64" s="254" t="s">
        <v>127</v>
      </c>
    </row>
    <row r="65" spans="2:20" s="237" customFormat="1" ht="15.95" customHeight="1">
      <c r="B65" s="249" t="str">
        <f t="shared" si="6"/>
        <v>PEUGEOT206</v>
      </c>
      <c r="C65" s="249" t="s">
        <v>108</v>
      </c>
      <c r="D65" s="249">
        <v>206</v>
      </c>
      <c r="E65" s="249" t="s">
        <v>80</v>
      </c>
      <c r="F65" s="238"/>
      <c r="G65" s="269" t="s">
        <v>169</v>
      </c>
      <c r="H65" s="269" t="s">
        <v>0</v>
      </c>
      <c r="I65" s="269" t="s">
        <v>1</v>
      </c>
      <c r="J65" s="269" t="s">
        <v>2</v>
      </c>
      <c r="L65" s="257" t="str">
        <f t="shared" si="7"/>
        <v>MAZDATRIBUTE</v>
      </c>
      <c r="M65" s="258" t="s">
        <v>96</v>
      </c>
      <c r="N65" s="257" t="s">
        <v>158</v>
      </c>
      <c r="O65" s="257" t="s">
        <v>127</v>
      </c>
      <c r="Q65" s="252" t="str">
        <f t="shared" si="3"/>
        <v>RENAULTSANDERO</v>
      </c>
      <c r="R65" s="253" t="s">
        <v>44</v>
      </c>
      <c r="S65" s="249" t="s">
        <v>53</v>
      </c>
      <c r="T65" s="254" t="s">
        <v>127</v>
      </c>
    </row>
    <row r="66" spans="2:20" s="237" customFormat="1" ht="15.95" customHeight="1">
      <c r="B66" s="249" t="str">
        <f t="shared" si="6"/>
        <v>PEUGEOT207</v>
      </c>
      <c r="C66" s="249" t="s">
        <v>108</v>
      </c>
      <c r="D66" s="249">
        <v>207</v>
      </c>
      <c r="E66" s="249" t="s">
        <v>80</v>
      </c>
      <c r="F66" s="238"/>
      <c r="G66" s="249" t="str">
        <f t="shared" ref="G66:G97" si="8">+H66&amp;I66</f>
        <v>CHEVROLETASTRA</v>
      </c>
      <c r="H66" s="249" t="s">
        <v>57</v>
      </c>
      <c r="I66" s="249" t="s">
        <v>133</v>
      </c>
      <c r="J66" s="249" t="s">
        <v>127</v>
      </c>
      <c r="L66" s="267" t="str">
        <f t="shared" si="7"/>
        <v>MITSUBISHILANCER</v>
      </c>
      <c r="M66" s="267" t="s">
        <v>98</v>
      </c>
      <c r="N66" s="267" t="s">
        <v>99</v>
      </c>
      <c r="O66" s="257" t="s">
        <v>127</v>
      </c>
      <c r="Q66" s="252" t="str">
        <f t="shared" si="3"/>
        <v>RENAULTSCENIC</v>
      </c>
      <c r="R66" s="253" t="s">
        <v>44</v>
      </c>
      <c r="S66" s="249" t="s">
        <v>54</v>
      </c>
      <c r="T66" s="254" t="s">
        <v>127</v>
      </c>
    </row>
    <row r="67" spans="2:20" s="237" customFormat="1" ht="15.95" customHeight="1">
      <c r="B67" s="249" t="str">
        <f t="shared" si="6"/>
        <v>PEUGEOT307</v>
      </c>
      <c r="C67" s="249" t="s">
        <v>108</v>
      </c>
      <c r="D67" s="249">
        <v>307</v>
      </c>
      <c r="E67" s="249" t="s">
        <v>80</v>
      </c>
      <c r="F67" s="238"/>
      <c r="G67" s="249" t="str">
        <f t="shared" si="8"/>
        <v>CHEVROLETAVEO</v>
      </c>
      <c r="H67" s="249" t="s">
        <v>57</v>
      </c>
      <c r="I67" s="249" t="s">
        <v>79</v>
      </c>
      <c r="J67" s="249" t="s">
        <v>127</v>
      </c>
      <c r="L67" s="267" t="str">
        <f t="shared" si="7"/>
        <v>MITSUBISHIMIRAGE</v>
      </c>
      <c r="M67" s="267" t="s">
        <v>98</v>
      </c>
      <c r="N67" s="267" t="s">
        <v>172</v>
      </c>
      <c r="O67" s="257" t="s">
        <v>127</v>
      </c>
      <c r="Q67" s="252" t="str">
        <f t="shared" si="3"/>
        <v>RENAULTSYMBOL</v>
      </c>
      <c r="R67" s="253" t="s">
        <v>44</v>
      </c>
      <c r="S67" s="249" t="s">
        <v>56</v>
      </c>
      <c r="T67" s="254" t="s">
        <v>127</v>
      </c>
    </row>
    <row r="68" spans="2:20" s="237" customFormat="1" ht="15.95" customHeight="1">
      <c r="B68" s="249" t="str">
        <f t="shared" si="6"/>
        <v>RENAULTCLIO</v>
      </c>
      <c r="C68" s="253" t="s">
        <v>44</v>
      </c>
      <c r="D68" s="249" t="s">
        <v>45</v>
      </c>
      <c r="E68" s="249" t="s">
        <v>80</v>
      </c>
      <c r="F68" s="238"/>
      <c r="G68" s="249" t="str">
        <f t="shared" si="8"/>
        <v>CHEVROLETCAPTIVA</v>
      </c>
      <c r="H68" s="249" t="s">
        <v>57</v>
      </c>
      <c r="I68" s="249" t="s">
        <v>134</v>
      </c>
      <c r="J68" s="249" t="s">
        <v>127</v>
      </c>
      <c r="L68" s="257" t="str">
        <f t="shared" si="7"/>
        <v>PEUGEOT106</v>
      </c>
      <c r="M68" s="258" t="s">
        <v>108</v>
      </c>
      <c r="N68" s="257">
        <v>106</v>
      </c>
      <c r="O68" s="257" t="s">
        <v>127</v>
      </c>
      <c r="Q68" s="252" t="str">
        <f t="shared" si="3"/>
        <v>SUBARUFORESTER</v>
      </c>
      <c r="R68" s="253" t="s">
        <v>28</v>
      </c>
      <c r="S68" s="249" t="s">
        <v>29</v>
      </c>
      <c r="T68" s="254" t="s">
        <v>127</v>
      </c>
    </row>
    <row r="69" spans="2:20" s="237" customFormat="1" ht="15.95" customHeight="1">
      <c r="B69" s="249" t="str">
        <f t="shared" si="6"/>
        <v>RENAULTDUSTER</v>
      </c>
      <c r="C69" s="253" t="s">
        <v>44</v>
      </c>
      <c r="D69" s="249" t="s">
        <v>46</v>
      </c>
      <c r="E69" s="249" t="s">
        <v>80</v>
      </c>
      <c r="F69" s="238"/>
      <c r="G69" s="249" t="str">
        <f t="shared" si="8"/>
        <v>CHEVROLETCAVALIER</v>
      </c>
      <c r="H69" s="249" t="s">
        <v>57</v>
      </c>
      <c r="I69" s="249" t="s">
        <v>135</v>
      </c>
      <c r="J69" s="249" t="s">
        <v>127</v>
      </c>
      <c r="L69" s="257" t="str">
        <f t="shared" si="7"/>
        <v>PEUGEOT2008</v>
      </c>
      <c r="M69" s="258" t="s">
        <v>108</v>
      </c>
      <c r="N69" s="257">
        <v>2008</v>
      </c>
      <c r="O69" s="257" t="s">
        <v>127</v>
      </c>
      <c r="Q69" s="252" t="str">
        <f t="shared" si="3"/>
        <v>SUBARUIMPREZA</v>
      </c>
      <c r="R69" s="253" t="s">
        <v>28</v>
      </c>
      <c r="S69" s="249" t="s">
        <v>30</v>
      </c>
      <c r="T69" s="254" t="s">
        <v>127</v>
      </c>
    </row>
    <row r="70" spans="2:20" s="237" customFormat="1" ht="15.95" customHeight="1">
      <c r="B70" s="249" t="str">
        <f t="shared" si="6"/>
        <v>RENAULTFLUENCE</v>
      </c>
      <c r="C70" s="253" t="s">
        <v>44</v>
      </c>
      <c r="D70" s="249" t="s">
        <v>47</v>
      </c>
      <c r="E70" s="249" t="s">
        <v>80</v>
      </c>
      <c r="F70" s="238"/>
      <c r="G70" s="249" t="str">
        <f t="shared" si="8"/>
        <v>CHEVROLETCORSA</v>
      </c>
      <c r="H70" s="249" t="s">
        <v>57</v>
      </c>
      <c r="I70" s="249" t="s">
        <v>136</v>
      </c>
      <c r="J70" s="249" t="s">
        <v>127</v>
      </c>
      <c r="L70" s="257" t="str">
        <f t="shared" si="7"/>
        <v>PEUGEOT205</v>
      </c>
      <c r="M70" s="258" t="s">
        <v>108</v>
      </c>
      <c r="N70" s="257">
        <v>205</v>
      </c>
      <c r="O70" s="257" t="s">
        <v>127</v>
      </c>
      <c r="Q70" s="252" t="str">
        <f t="shared" si="3"/>
        <v>SUBARULEGACY</v>
      </c>
      <c r="R70" s="253" t="s">
        <v>28</v>
      </c>
      <c r="S70" s="249" t="s">
        <v>33</v>
      </c>
      <c r="T70" s="254" t="s">
        <v>127</v>
      </c>
    </row>
    <row r="71" spans="2:20" s="237" customFormat="1" ht="15.95" customHeight="1">
      <c r="B71" s="249" t="str">
        <f t="shared" si="6"/>
        <v>RENAULTGRAND SCENIC</v>
      </c>
      <c r="C71" s="253" t="s">
        <v>44</v>
      </c>
      <c r="D71" s="249" t="s">
        <v>48</v>
      </c>
      <c r="E71" s="249" t="s">
        <v>80</v>
      </c>
      <c r="F71" s="238"/>
      <c r="G71" s="249" t="str">
        <f t="shared" si="8"/>
        <v>CHEVROLETEQUINOX</v>
      </c>
      <c r="H71" s="249" t="s">
        <v>57</v>
      </c>
      <c r="I71" s="249" t="s">
        <v>137</v>
      </c>
      <c r="J71" s="249" t="s">
        <v>127</v>
      </c>
      <c r="L71" s="257" t="str">
        <f t="shared" si="7"/>
        <v>PEUGEOT208</v>
      </c>
      <c r="M71" s="258" t="s">
        <v>108</v>
      </c>
      <c r="N71" s="257">
        <v>208</v>
      </c>
      <c r="O71" s="257" t="s">
        <v>127</v>
      </c>
      <c r="Q71" s="252" t="str">
        <f t="shared" ref="Q71:Q98" si="9">+R71&amp;S71</f>
        <v>SUBARUOUTBACK</v>
      </c>
      <c r="R71" s="253" t="s">
        <v>28</v>
      </c>
      <c r="S71" s="249" t="s">
        <v>34</v>
      </c>
      <c r="T71" s="254" t="s">
        <v>127</v>
      </c>
    </row>
    <row r="72" spans="2:20" s="237" customFormat="1" ht="15.95" customHeight="1">
      <c r="B72" s="249" t="str">
        <f t="shared" si="6"/>
        <v>RENAULTKOLEOS</v>
      </c>
      <c r="C72" s="253" t="s">
        <v>44</v>
      </c>
      <c r="D72" s="249" t="s">
        <v>49</v>
      </c>
      <c r="E72" s="249" t="s">
        <v>80</v>
      </c>
      <c r="F72" s="238"/>
      <c r="G72" s="249" t="str">
        <f t="shared" si="8"/>
        <v>CHEVROLETN200</v>
      </c>
      <c r="H72" s="249" t="s">
        <v>57</v>
      </c>
      <c r="I72" s="249" t="s">
        <v>132</v>
      </c>
      <c r="J72" s="249" t="s">
        <v>127</v>
      </c>
      <c r="L72" s="257" t="str">
        <f t="shared" si="7"/>
        <v>PEUGEOT206</v>
      </c>
      <c r="M72" s="258" t="s">
        <v>108</v>
      </c>
      <c r="N72" s="257">
        <v>206</v>
      </c>
      <c r="O72" s="257" t="s">
        <v>127</v>
      </c>
      <c r="Q72" s="252" t="str">
        <f t="shared" si="9"/>
        <v>SUBARUTRIBECA</v>
      </c>
      <c r="R72" s="253" t="s">
        <v>28</v>
      </c>
      <c r="S72" s="249" t="s">
        <v>35</v>
      </c>
      <c r="T72" s="254" t="s">
        <v>127</v>
      </c>
    </row>
    <row r="73" spans="2:20" s="237" customFormat="1" ht="15.95" customHeight="1">
      <c r="B73" s="249" t="str">
        <f t="shared" si="6"/>
        <v>RENAULTLOGAN</v>
      </c>
      <c r="C73" s="253" t="s">
        <v>44</v>
      </c>
      <c r="D73" s="249" t="s">
        <v>50</v>
      </c>
      <c r="E73" s="249" t="s">
        <v>80</v>
      </c>
      <c r="F73" s="238"/>
      <c r="G73" s="249" t="str">
        <f t="shared" si="8"/>
        <v>CHEVROLETOPTRA</v>
      </c>
      <c r="H73" s="249" t="s">
        <v>57</v>
      </c>
      <c r="I73" s="249" t="s">
        <v>84</v>
      </c>
      <c r="J73" s="249" t="s">
        <v>127</v>
      </c>
      <c r="L73" s="257" t="str">
        <f t="shared" si="7"/>
        <v>PEUGEOT207</v>
      </c>
      <c r="M73" s="258" t="s">
        <v>108</v>
      </c>
      <c r="N73" s="257">
        <v>207</v>
      </c>
      <c r="O73" s="257" t="s">
        <v>127</v>
      </c>
      <c r="Q73" s="252" t="str">
        <f t="shared" si="9"/>
        <v>SUBARUXV</v>
      </c>
      <c r="R73" s="253" t="s">
        <v>28</v>
      </c>
      <c r="S73" s="249" t="s">
        <v>36</v>
      </c>
      <c r="T73" s="254" t="s">
        <v>127</v>
      </c>
    </row>
    <row r="74" spans="2:20" s="237" customFormat="1" ht="15.95" customHeight="1">
      <c r="B74" s="249" t="str">
        <f t="shared" ref="B74:B105" si="10">+C74&amp;D74</f>
        <v>RENAULTMEGANE</v>
      </c>
      <c r="C74" s="253" t="s">
        <v>44</v>
      </c>
      <c r="D74" s="249" t="s">
        <v>51</v>
      </c>
      <c r="E74" s="249" t="s">
        <v>80</v>
      </c>
      <c r="F74" s="238"/>
      <c r="G74" s="249" t="str">
        <f t="shared" si="8"/>
        <v>CHEVROLETORLANDO</v>
      </c>
      <c r="H74" s="249" t="s">
        <v>57</v>
      </c>
      <c r="I74" s="249" t="s">
        <v>138</v>
      </c>
      <c r="J74" s="249" t="s">
        <v>127</v>
      </c>
      <c r="L74" s="257" t="str">
        <f t="shared" si="7"/>
        <v>PEUGEOT3008</v>
      </c>
      <c r="M74" s="258" t="s">
        <v>108</v>
      </c>
      <c r="N74" s="257">
        <v>3008</v>
      </c>
      <c r="O74" s="257" t="s">
        <v>127</v>
      </c>
      <c r="Q74" s="252" t="str">
        <f t="shared" si="9"/>
        <v>SUZUKIAEREO</v>
      </c>
      <c r="R74" s="253" t="s">
        <v>68</v>
      </c>
      <c r="S74" s="249" t="s">
        <v>161</v>
      </c>
      <c r="T74" s="254" t="s">
        <v>127</v>
      </c>
    </row>
    <row r="75" spans="2:20" s="237" customFormat="1" ht="15.95" customHeight="1">
      <c r="B75" s="249" t="str">
        <f t="shared" si="10"/>
        <v>RENAULTR19</v>
      </c>
      <c r="C75" s="253" t="s">
        <v>44</v>
      </c>
      <c r="D75" s="249" t="s">
        <v>52</v>
      </c>
      <c r="E75" s="249" t="s">
        <v>80</v>
      </c>
      <c r="F75" s="238"/>
      <c r="G75" s="249" t="str">
        <f t="shared" si="8"/>
        <v>CHEVROLETPRISMA</v>
      </c>
      <c r="H75" s="249" t="s">
        <v>57</v>
      </c>
      <c r="I75" s="249" t="s">
        <v>147</v>
      </c>
      <c r="J75" s="249" t="s">
        <v>127</v>
      </c>
      <c r="L75" s="257" t="str">
        <f t="shared" si="7"/>
        <v>PEUGEOT306</v>
      </c>
      <c r="M75" s="258" t="s">
        <v>108</v>
      </c>
      <c r="N75" s="257">
        <v>306</v>
      </c>
      <c r="O75" s="257" t="s">
        <v>127</v>
      </c>
      <c r="Q75" s="252" t="str">
        <f t="shared" si="9"/>
        <v>SUZUKIALTO</v>
      </c>
      <c r="R75" s="253" t="s">
        <v>68</v>
      </c>
      <c r="S75" s="249" t="s">
        <v>111</v>
      </c>
      <c r="T75" s="254" t="s">
        <v>127</v>
      </c>
    </row>
    <row r="76" spans="2:20" s="237" customFormat="1" ht="15.95" customHeight="1">
      <c r="B76" s="249" t="str">
        <f t="shared" si="10"/>
        <v>RENAULTSANDERO</v>
      </c>
      <c r="C76" s="253" t="s">
        <v>44</v>
      </c>
      <c r="D76" s="249" t="s">
        <v>53</v>
      </c>
      <c r="E76" s="249" t="s">
        <v>80</v>
      </c>
      <c r="F76" s="238"/>
      <c r="G76" s="249" t="str">
        <f t="shared" si="8"/>
        <v>CHEVROLETRODEO</v>
      </c>
      <c r="H76" s="249" t="s">
        <v>57</v>
      </c>
      <c r="I76" s="249" t="s">
        <v>139</v>
      </c>
      <c r="J76" s="249" t="s">
        <v>127</v>
      </c>
      <c r="L76" s="257" t="str">
        <f t="shared" si="7"/>
        <v>PEUGEOT307</v>
      </c>
      <c r="M76" s="258" t="s">
        <v>108</v>
      </c>
      <c r="N76" s="257">
        <v>307</v>
      </c>
      <c r="O76" s="257" t="s">
        <v>127</v>
      </c>
      <c r="Q76" s="252" t="str">
        <f t="shared" si="9"/>
        <v>SUZUKIBALENO</v>
      </c>
      <c r="R76" s="253" t="s">
        <v>68</v>
      </c>
      <c r="S76" s="249" t="s">
        <v>76</v>
      </c>
      <c r="T76" s="254" t="s">
        <v>127</v>
      </c>
    </row>
    <row r="77" spans="2:20" s="237" customFormat="1" ht="15.95" customHeight="1">
      <c r="B77" s="249" t="str">
        <f t="shared" si="10"/>
        <v>RENAULTSCENIC</v>
      </c>
      <c r="C77" s="253" t="s">
        <v>44</v>
      </c>
      <c r="D77" s="249" t="s">
        <v>54</v>
      </c>
      <c r="E77" s="249" t="s">
        <v>80</v>
      </c>
      <c r="F77" s="238"/>
      <c r="G77" s="249" t="str">
        <f t="shared" si="8"/>
        <v>CHEVROLETSONIC</v>
      </c>
      <c r="H77" s="249" t="s">
        <v>57</v>
      </c>
      <c r="I77" s="249" t="s">
        <v>83</v>
      </c>
      <c r="J77" s="249" t="s">
        <v>127</v>
      </c>
      <c r="L77" s="257" t="str">
        <f t="shared" si="7"/>
        <v>PEUGEOT308</v>
      </c>
      <c r="M77" s="258" t="s">
        <v>108</v>
      </c>
      <c r="N77" s="257">
        <v>308</v>
      </c>
      <c r="O77" s="257" t="s">
        <v>127</v>
      </c>
      <c r="Q77" s="252" t="str">
        <f t="shared" si="9"/>
        <v>SUZUKICELERIO</v>
      </c>
      <c r="R77" s="253" t="s">
        <v>68</v>
      </c>
      <c r="S77" s="249" t="s">
        <v>113</v>
      </c>
      <c r="T77" s="254" t="s">
        <v>127</v>
      </c>
    </row>
    <row r="78" spans="2:20" s="237" customFormat="1" ht="15.95" customHeight="1">
      <c r="B78" s="249" t="str">
        <f t="shared" si="10"/>
        <v>RENAULTSTEPWAY</v>
      </c>
      <c r="C78" s="253" t="s">
        <v>44</v>
      </c>
      <c r="D78" s="249" t="s">
        <v>55</v>
      </c>
      <c r="E78" s="249" t="s">
        <v>80</v>
      </c>
      <c r="F78" s="238"/>
      <c r="G78" s="249" t="str">
        <f t="shared" si="8"/>
        <v>CHEVROLETSPARK</v>
      </c>
      <c r="H78" s="249" t="s">
        <v>57</v>
      </c>
      <c r="I78" s="249" t="s">
        <v>58</v>
      </c>
      <c r="J78" s="249" t="s">
        <v>127</v>
      </c>
      <c r="L78" s="257" t="str">
        <f t="shared" si="7"/>
        <v>PEUGEOT405</v>
      </c>
      <c r="M78" s="258" t="s">
        <v>108</v>
      </c>
      <c r="N78" s="257">
        <v>405</v>
      </c>
      <c r="O78" s="257" t="s">
        <v>127</v>
      </c>
      <c r="Q78" s="252" t="str">
        <f t="shared" si="9"/>
        <v>SUZUKIIGNIS</v>
      </c>
      <c r="R78" s="253" t="s">
        <v>68</v>
      </c>
      <c r="S78" s="249" t="s">
        <v>78</v>
      </c>
      <c r="T78" s="254" t="s">
        <v>127</v>
      </c>
    </row>
    <row r="79" spans="2:20" s="237" customFormat="1" ht="15.95" customHeight="1">
      <c r="B79" s="249" t="str">
        <f t="shared" si="10"/>
        <v>RENAULTSYMBOL</v>
      </c>
      <c r="C79" s="253" t="s">
        <v>44</v>
      </c>
      <c r="D79" s="249" t="s">
        <v>56</v>
      </c>
      <c r="E79" s="249" t="s">
        <v>80</v>
      </c>
      <c r="F79" s="238"/>
      <c r="G79" s="249" t="str">
        <f t="shared" si="8"/>
        <v>CHEVROLETTRACKER</v>
      </c>
      <c r="H79" s="249" t="s">
        <v>57</v>
      </c>
      <c r="I79" s="249" t="s">
        <v>141</v>
      </c>
      <c r="J79" s="249" t="s">
        <v>127</v>
      </c>
      <c r="L79" s="257" t="str">
        <f t="shared" si="7"/>
        <v>PEUGEOT406</v>
      </c>
      <c r="M79" s="258" t="s">
        <v>108</v>
      </c>
      <c r="N79" s="257">
        <v>406</v>
      </c>
      <c r="O79" s="257" t="s">
        <v>127</v>
      </c>
      <c r="Q79" s="252" t="str">
        <f t="shared" si="9"/>
        <v>SUZUKIJIMMY</v>
      </c>
      <c r="R79" s="253" t="s">
        <v>68</v>
      </c>
      <c r="S79" s="249" t="s">
        <v>165</v>
      </c>
      <c r="T79" s="254" t="s">
        <v>127</v>
      </c>
    </row>
    <row r="80" spans="2:20" s="237" customFormat="1" ht="15.95" customHeight="1">
      <c r="B80" s="252" t="str">
        <f t="shared" si="10"/>
        <v>RENAULTCAPTUR</v>
      </c>
      <c r="C80" s="249" t="s">
        <v>44</v>
      </c>
      <c r="D80" s="249" t="s">
        <v>61</v>
      </c>
      <c r="E80" s="249" t="s">
        <v>80</v>
      </c>
      <c r="F80" s="238"/>
      <c r="G80" s="249" t="str">
        <f t="shared" si="8"/>
        <v>CHEVROLETTRAILBLAZER</v>
      </c>
      <c r="H80" s="249" t="s">
        <v>57</v>
      </c>
      <c r="I80" s="249" t="s">
        <v>142</v>
      </c>
      <c r="J80" s="249" t="s">
        <v>127</v>
      </c>
      <c r="L80" s="257" t="str">
        <f t="shared" ref="L80:L98" si="11">+M80&amp;N80</f>
        <v>PEUGEOT407</v>
      </c>
      <c r="M80" s="258" t="s">
        <v>108</v>
      </c>
      <c r="N80" s="257">
        <v>407</v>
      </c>
      <c r="O80" s="257" t="s">
        <v>127</v>
      </c>
      <c r="Q80" s="252" t="str">
        <f t="shared" si="9"/>
        <v>SUZUKISX4</v>
      </c>
      <c r="R80" s="253" t="s">
        <v>68</v>
      </c>
      <c r="S80" s="249" t="s">
        <v>72</v>
      </c>
      <c r="T80" s="254" t="s">
        <v>127</v>
      </c>
    </row>
    <row r="81" spans="2:20" s="237" customFormat="1" ht="15.95" customHeight="1">
      <c r="B81" s="249" t="str">
        <f t="shared" si="10"/>
        <v>SEATALHAMBRA</v>
      </c>
      <c r="C81" s="253" t="s">
        <v>37</v>
      </c>
      <c r="D81" s="249" t="s">
        <v>38</v>
      </c>
      <c r="E81" s="249" t="s">
        <v>80</v>
      </c>
      <c r="F81" s="238"/>
      <c r="G81" s="249" t="str">
        <f t="shared" si="8"/>
        <v>CHEVROLETVECTRA</v>
      </c>
      <c r="H81" s="249" t="s">
        <v>57</v>
      </c>
      <c r="I81" s="249" t="s">
        <v>144</v>
      </c>
      <c r="J81" s="249" t="s">
        <v>127</v>
      </c>
      <c r="L81" s="257" t="str">
        <f t="shared" si="11"/>
        <v>PEUGEOT607</v>
      </c>
      <c r="M81" s="258" t="s">
        <v>108</v>
      </c>
      <c r="N81" s="257">
        <v>607</v>
      </c>
      <c r="O81" s="257" t="s">
        <v>127</v>
      </c>
      <c r="Q81" s="252" t="str">
        <f t="shared" si="9"/>
        <v/>
      </c>
      <c r="R81" s="252"/>
      <c r="S81" s="252"/>
      <c r="T81" s="262"/>
    </row>
    <row r="82" spans="2:20" s="237" customFormat="1" ht="15.95" customHeight="1">
      <c r="B82" s="249" t="str">
        <f t="shared" si="10"/>
        <v>SEATATTEA</v>
      </c>
      <c r="C82" s="253" t="s">
        <v>37</v>
      </c>
      <c r="D82" s="249" t="s">
        <v>39</v>
      </c>
      <c r="E82" s="249" t="s">
        <v>80</v>
      </c>
      <c r="F82" s="238"/>
      <c r="G82" s="249" t="str">
        <f t="shared" si="8"/>
        <v>CHEVROLETVIVANT</v>
      </c>
      <c r="H82" s="249" t="s">
        <v>57</v>
      </c>
      <c r="I82" s="249" t="s">
        <v>145</v>
      </c>
      <c r="J82" s="249" t="s">
        <v>127</v>
      </c>
      <c r="L82" s="257" t="str">
        <f t="shared" si="11"/>
        <v>PEUGEOT508</v>
      </c>
      <c r="M82" s="258" t="s">
        <v>108</v>
      </c>
      <c r="N82" s="257">
        <v>508</v>
      </c>
      <c r="O82" s="257" t="s">
        <v>127</v>
      </c>
      <c r="Q82" s="252" t="str">
        <f t="shared" si="9"/>
        <v/>
      </c>
      <c r="R82" s="252"/>
      <c r="S82" s="252"/>
      <c r="T82" s="262"/>
    </row>
    <row r="83" spans="2:20" s="237" customFormat="1" ht="15.95" customHeight="1">
      <c r="B83" s="249" t="str">
        <f t="shared" si="10"/>
        <v>SEATCORDOVA</v>
      </c>
      <c r="C83" s="253" t="s">
        <v>37</v>
      </c>
      <c r="D83" s="249" t="s">
        <v>40</v>
      </c>
      <c r="E83" s="249" t="s">
        <v>80</v>
      </c>
      <c r="F83" s="238"/>
      <c r="G83" s="249" t="str">
        <f t="shared" si="8"/>
        <v>CHEVROLETZAFIRA</v>
      </c>
      <c r="H83" s="249" t="s">
        <v>57</v>
      </c>
      <c r="I83" s="249" t="s">
        <v>146</v>
      </c>
      <c r="J83" s="249" t="s">
        <v>127</v>
      </c>
      <c r="L83" s="257" t="str">
        <f t="shared" si="11"/>
        <v>RENAULTDUSTER</v>
      </c>
      <c r="M83" s="258" t="s">
        <v>44</v>
      </c>
      <c r="N83" s="257" t="s">
        <v>46</v>
      </c>
      <c r="O83" s="257" t="s">
        <v>127</v>
      </c>
      <c r="Q83" s="252" t="str">
        <f t="shared" si="9"/>
        <v/>
      </c>
      <c r="R83" s="252"/>
      <c r="S83" s="252"/>
      <c r="T83" s="262"/>
    </row>
    <row r="84" spans="2:20" s="237" customFormat="1" ht="15.95" customHeight="1">
      <c r="B84" s="249" t="str">
        <f t="shared" si="10"/>
        <v>SEATEXEO</v>
      </c>
      <c r="C84" s="253" t="s">
        <v>37</v>
      </c>
      <c r="D84" s="249" t="s">
        <v>41</v>
      </c>
      <c r="E84" s="249" t="s">
        <v>80</v>
      </c>
      <c r="F84" s="238"/>
      <c r="G84" s="249" t="str">
        <f t="shared" si="8"/>
        <v>CHEVROLETCRUZE</v>
      </c>
      <c r="H84" s="249" t="s">
        <v>57</v>
      </c>
      <c r="I84" s="249" t="s">
        <v>82</v>
      </c>
      <c r="J84" s="249" t="s">
        <v>127</v>
      </c>
      <c r="L84" s="257" t="str">
        <f t="shared" si="11"/>
        <v>RENAULTGRAND SCENIC</v>
      </c>
      <c r="M84" s="258" t="s">
        <v>44</v>
      </c>
      <c r="N84" s="257" t="s">
        <v>48</v>
      </c>
      <c r="O84" s="257" t="s">
        <v>127</v>
      </c>
      <c r="Q84" s="252" t="str">
        <f t="shared" si="9"/>
        <v/>
      </c>
      <c r="R84" s="252"/>
      <c r="S84" s="252"/>
      <c r="T84" s="262"/>
    </row>
    <row r="85" spans="2:20" s="237" customFormat="1" ht="15.95" customHeight="1">
      <c r="B85" s="249" t="str">
        <f t="shared" si="10"/>
        <v>SEATIBIZA</v>
      </c>
      <c r="C85" s="253" t="s">
        <v>37</v>
      </c>
      <c r="D85" s="249" t="s">
        <v>42</v>
      </c>
      <c r="E85" s="249" t="s">
        <v>80</v>
      </c>
      <c r="F85" s="238"/>
      <c r="G85" s="249" t="str">
        <f t="shared" si="8"/>
        <v>CHEVROLETTAHOE</v>
      </c>
      <c r="H85" s="249" t="s">
        <v>57</v>
      </c>
      <c r="I85" s="249" t="s">
        <v>140</v>
      </c>
      <c r="J85" s="249" t="s">
        <v>127</v>
      </c>
      <c r="L85" s="257" t="str">
        <f t="shared" si="11"/>
        <v>RENAULTKOLEOS</v>
      </c>
      <c r="M85" s="258" t="s">
        <v>44</v>
      </c>
      <c r="N85" s="257" t="s">
        <v>49</v>
      </c>
      <c r="O85" s="257" t="s">
        <v>127</v>
      </c>
      <c r="Q85" s="252" t="str">
        <f t="shared" si="9"/>
        <v/>
      </c>
      <c r="R85" s="252"/>
      <c r="S85" s="252"/>
      <c r="T85" s="262"/>
    </row>
    <row r="86" spans="2:20" s="237" customFormat="1" ht="15.95" customHeight="1">
      <c r="B86" s="249" t="str">
        <f t="shared" si="10"/>
        <v>SEATLEON</v>
      </c>
      <c r="C86" s="253" t="s">
        <v>37</v>
      </c>
      <c r="D86" s="249" t="s">
        <v>43</v>
      </c>
      <c r="E86" s="249" t="s">
        <v>80</v>
      </c>
      <c r="F86" s="238"/>
      <c r="G86" s="249" t="str">
        <f t="shared" si="8"/>
        <v>CHEVROLETTRAVERSE</v>
      </c>
      <c r="H86" s="249" t="s">
        <v>57</v>
      </c>
      <c r="I86" s="249" t="s">
        <v>143</v>
      </c>
      <c r="J86" s="249" t="s">
        <v>127</v>
      </c>
      <c r="L86" s="257" t="str">
        <f t="shared" si="11"/>
        <v>RENAULTSANDERO</v>
      </c>
      <c r="M86" s="258" t="s">
        <v>44</v>
      </c>
      <c r="N86" s="257" t="s">
        <v>53</v>
      </c>
      <c r="O86" s="257" t="s">
        <v>127</v>
      </c>
      <c r="Q86" s="252" t="str">
        <f t="shared" si="9"/>
        <v/>
      </c>
      <c r="R86" s="252"/>
      <c r="S86" s="252"/>
      <c r="T86" s="262"/>
    </row>
    <row r="87" spans="2:20" s="237" customFormat="1" ht="15.95" customHeight="1">
      <c r="B87" s="249" t="str">
        <f t="shared" si="10"/>
        <v>SUBARUFORESTER</v>
      </c>
      <c r="C87" s="253" t="s">
        <v>28</v>
      </c>
      <c r="D87" s="249" t="s">
        <v>29</v>
      </c>
      <c r="E87" s="249" t="s">
        <v>80</v>
      </c>
      <c r="F87" s="238"/>
      <c r="G87" s="249" t="str">
        <f t="shared" si="8"/>
        <v>HYUNDAIACCENT</v>
      </c>
      <c r="H87" s="255" t="s">
        <v>66</v>
      </c>
      <c r="I87" s="255" t="s">
        <v>91</v>
      </c>
      <c r="J87" s="249" t="s">
        <v>127</v>
      </c>
      <c r="L87" s="257" t="str">
        <f t="shared" si="11"/>
        <v>RENAULTSCENIC</v>
      </c>
      <c r="M87" s="258" t="s">
        <v>44</v>
      </c>
      <c r="N87" s="257" t="s">
        <v>54</v>
      </c>
      <c r="O87" s="257" t="s">
        <v>127</v>
      </c>
      <c r="Q87" s="252" t="str">
        <f t="shared" si="9"/>
        <v/>
      </c>
      <c r="R87" s="252"/>
      <c r="S87" s="252"/>
      <c r="T87" s="262"/>
    </row>
    <row r="88" spans="2:20" s="237" customFormat="1" ht="15.95" customHeight="1">
      <c r="B88" s="249" t="str">
        <f t="shared" si="10"/>
        <v>SUBARULEGACY</v>
      </c>
      <c r="C88" s="253" t="s">
        <v>28</v>
      </c>
      <c r="D88" s="249" t="s">
        <v>33</v>
      </c>
      <c r="E88" s="249" t="s">
        <v>80</v>
      </c>
      <c r="F88" s="238"/>
      <c r="G88" s="249" t="str">
        <f t="shared" si="8"/>
        <v>HYUNDAIELANTRA</v>
      </c>
      <c r="H88" s="255" t="s">
        <v>66</v>
      </c>
      <c r="I88" s="255" t="s">
        <v>90</v>
      </c>
      <c r="J88" s="249" t="s">
        <v>127</v>
      </c>
      <c r="L88" s="257" t="str">
        <f t="shared" si="11"/>
        <v>RENAULTSTEPWAY</v>
      </c>
      <c r="M88" s="258" t="s">
        <v>44</v>
      </c>
      <c r="N88" s="257" t="s">
        <v>55</v>
      </c>
      <c r="O88" s="257" t="s">
        <v>127</v>
      </c>
      <c r="Q88" s="252" t="str">
        <f t="shared" si="9"/>
        <v/>
      </c>
      <c r="R88" s="252"/>
      <c r="S88" s="252"/>
      <c r="T88" s="262"/>
    </row>
    <row r="89" spans="2:20" s="237" customFormat="1" ht="15.95" customHeight="1">
      <c r="B89" s="249" t="str">
        <f t="shared" si="10"/>
        <v>SUBARUOUTBACK</v>
      </c>
      <c r="C89" s="253" t="s">
        <v>28</v>
      </c>
      <c r="D89" s="249" t="s">
        <v>34</v>
      </c>
      <c r="E89" s="249" t="s">
        <v>80</v>
      </c>
      <c r="F89" s="238"/>
      <c r="G89" s="238" t="str">
        <f t="shared" si="8"/>
        <v>MAZDA2</v>
      </c>
      <c r="H89" s="263" t="s">
        <v>96</v>
      </c>
      <c r="I89" s="238">
        <v>2</v>
      </c>
      <c r="J89" s="249" t="s">
        <v>127</v>
      </c>
      <c r="L89" s="257" t="str">
        <f t="shared" si="11"/>
        <v>RENAULTDUSTER</v>
      </c>
      <c r="M89" s="258" t="s">
        <v>44</v>
      </c>
      <c r="N89" s="257" t="s">
        <v>46</v>
      </c>
      <c r="O89" s="257" t="s">
        <v>127</v>
      </c>
      <c r="Q89" s="252" t="str">
        <f t="shared" si="9"/>
        <v/>
      </c>
      <c r="R89" s="252"/>
      <c r="S89" s="252"/>
      <c r="T89" s="262"/>
    </row>
    <row r="90" spans="2:20" s="237" customFormat="1" ht="15.95" customHeight="1">
      <c r="B90" s="249" t="str">
        <f t="shared" si="10"/>
        <v>SUBARUTRIBECA</v>
      </c>
      <c r="C90" s="253" t="s">
        <v>28</v>
      </c>
      <c r="D90" s="249" t="s">
        <v>35</v>
      </c>
      <c r="E90" s="249" t="s">
        <v>80</v>
      </c>
      <c r="F90" s="238"/>
      <c r="G90" s="249" t="str">
        <f t="shared" si="8"/>
        <v>MAZDA5</v>
      </c>
      <c r="H90" s="253" t="s">
        <v>96</v>
      </c>
      <c r="I90" s="249">
        <v>5</v>
      </c>
      <c r="J90" s="249" t="s">
        <v>127</v>
      </c>
      <c r="L90" s="257" t="str">
        <f t="shared" si="11"/>
        <v>RENAULTKOLEOS</v>
      </c>
      <c r="M90" s="258" t="s">
        <v>44</v>
      </c>
      <c r="N90" s="257" t="s">
        <v>49</v>
      </c>
      <c r="O90" s="257" t="s">
        <v>127</v>
      </c>
      <c r="Q90" s="252" t="str">
        <f t="shared" si="9"/>
        <v/>
      </c>
      <c r="R90" s="252"/>
      <c r="S90" s="252"/>
      <c r="T90" s="262"/>
    </row>
    <row r="91" spans="2:20" s="237" customFormat="1" ht="15.95" customHeight="1">
      <c r="B91" s="249" t="str">
        <f t="shared" si="10"/>
        <v>SUBARUXV</v>
      </c>
      <c r="C91" s="253" t="s">
        <v>28</v>
      </c>
      <c r="D91" s="249" t="s">
        <v>36</v>
      </c>
      <c r="E91" s="249" t="s">
        <v>80</v>
      </c>
      <c r="F91" s="238"/>
      <c r="G91" s="249" t="str">
        <f t="shared" si="8"/>
        <v>MAZDA6</v>
      </c>
      <c r="H91" s="253" t="s">
        <v>96</v>
      </c>
      <c r="I91" s="249">
        <v>6</v>
      </c>
      <c r="J91" s="249" t="s">
        <v>127</v>
      </c>
      <c r="L91" s="257" t="str">
        <f t="shared" si="11"/>
        <v>RENAULTSANDERO</v>
      </c>
      <c r="M91" s="258" t="s">
        <v>44</v>
      </c>
      <c r="N91" s="257" t="s">
        <v>53</v>
      </c>
      <c r="O91" s="257" t="s">
        <v>127</v>
      </c>
      <c r="Q91" s="252" t="str">
        <f t="shared" si="9"/>
        <v/>
      </c>
      <c r="R91" s="252"/>
      <c r="S91" s="252"/>
      <c r="T91" s="262"/>
    </row>
    <row r="92" spans="2:20" s="237" customFormat="1" ht="15.95" customHeight="1">
      <c r="B92" s="285" t="str">
        <f t="shared" si="10"/>
        <v>SUZUKIALTO</v>
      </c>
      <c r="C92" s="285" t="s">
        <v>68</v>
      </c>
      <c r="D92" s="285" t="s">
        <v>111</v>
      </c>
      <c r="E92" s="285" t="s">
        <v>80</v>
      </c>
      <c r="F92" s="238"/>
      <c r="G92" s="249" t="str">
        <f t="shared" si="8"/>
        <v>MAZDA121</v>
      </c>
      <c r="H92" s="253" t="s">
        <v>96</v>
      </c>
      <c r="I92" s="249">
        <v>121</v>
      </c>
      <c r="J92" s="249" t="s">
        <v>127</v>
      </c>
      <c r="L92" s="257" t="str">
        <f t="shared" si="11"/>
        <v>RENAULTSTEPWAY</v>
      </c>
      <c r="M92" s="258" t="s">
        <v>44</v>
      </c>
      <c r="N92" s="257" t="s">
        <v>55</v>
      </c>
      <c r="O92" s="257" t="s">
        <v>127</v>
      </c>
      <c r="Q92" s="252" t="str">
        <f t="shared" si="9"/>
        <v/>
      </c>
      <c r="R92" s="252"/>
      <c r="S92" s="252"/>
      <c r="T92" s="262"/>
    </row>
    <row r="93" spans="2:20" s="237" customFormat="1" ht="15.95" customHeight="1">
      <c r="B93" s="285" t="str">
        <f t="shared" si="10"/>
        <v>SUZUKISWIFT</v>
      </c>
      <c r="C93" s="285" t="s">
        <v>68</v>
      </c>
      <c r="D93" s="285" t="s">
        <v>112</v>
      </c>
      <c r="E93" s="285" t="s">
        <v>80</v>
      </c>
      <c r="F93" s="238"/>
      <c r="G93" s="249" t="str">
        <f t="shared" si="8"/>
        <v>MAZDA323</v>
      </c>
      <c r="H93" s="253" t="s">
        <v>96</v>
      </c>
      <c r="I93" s="249">
        <v>323</v>
      </c>
      <c r="J93" s="249" t="s">
        <v>127</v>
      </c>
      <c r="L93" s="267" t="str">
        <f t="shared" si="11"/>
        <v>RENAULTCAPTUR</v>
      </c>
      <c r="M93" s="267" t="s">
        <v>44</v>
      </c>
      <c r="N93" s="267" t="s">
        <v>61</v>
      </c>
      <c r="O93" s="257" t="s">
        <v>127</v>
      </c>
      <c r="Q93" s="252" t="str">
        <f t="shared" si="9"/>
        <v/>
      </c>
      <c r="R93" s="252"/>
      <c r="S93" s="252"/>
      <c r="T93" s="262"/>
    </row>
    <row r="94" spans="2:20" s="237" customFormat="1" ht="15.95" customHeight="1">
      <c r="B94" s="285" t="str">
        <f t="shared" si="10"/>
        <v>SUZUKICELERIO</v>
      </c>
      <c r="C94" s="285" t="s">
        <v>68</v>
      </c>
      <c r="D94" s="285" t="s">
        <v>113</v>
      </c>
      <c r="E94" s="285" t="s">
        <v>80</v>
      </c>
      <c r="F94" s="238"/>
      <c r="G94" s="249" t="str">
        <f t="shared" si="8"/>
        <v>MAZDA623</v>
      </c>
      <c r="H94" s="253" t="s">
        <v>96</v>
      </c>
      <c r="I94" s="249">
        <v>623</v>
      </c>
      <c r="J94" s="249" t="s">
        <v>127</v>
      </c>
      <c r="L94" s="267" t="str">
        <f t="shared" si="11"/>
        <v>SUZUKIALTO</v>
      </c>
      <c r="M94" s="258" t="s">
        <v>68</v>
      </c>
      <c r="N94" s="257" t="s">
        <v>111</v>
      </c>
      <c r="O94" s="257" t="s">
        <v>127</v>
      </c>
      <c r="Q94" s="252" t="str">
        <f t="shared" si="9"/>
        <v/>
      </c>
      <c r="R94" s="252"/>
      <c r="S94" s="252"/>
      <c r="T94" s="262"/>
    </row>
    <row r="95" spans="2:20" s="237" customFormat="1" ht="15.95" customHeight="1">
      <c r="B95" s="286" t="str">
        <f t="shared" si="10"/>
        <v>SUZUKIJUMMY</v>
      </c>
      <c r="C95" s="285" t="s">
        <v>68</v>
      </c>
      <c r="D95" s="285" t="s">
        <v>69</v>
      </c>
      <c r="E95" s="285" t="s">
        <v>80</v>
      </c>
      <c r="F95" s="238"/>
      <c r="G95" s="249" t="str">
        <f t="shared" si="8"/>
        <v>MAZDACX-3</v>
      </c>
      <c r="H95" s="253" t="s">
        <v>96</v>
      </c>
      <c r="I95" s="249" t="s">
        <v>153</v>
      </c>
      <c r="J95" s="249" t="s">
        <v>127</v>
      </c>
      <c r="L95" s="267" t="str">
        <f t="shared" si="11"/>
        <v>SUZUKISX4</v>
      </c>
      <c r="M95" s="258" t="s">
        <v>68</v>
      </c>
      <c r="N95" s="257" t="s">
        <v>72</v>
      </c>
      <c r="O95" s="257" t="s">
        <v>127</v>
      </c>
      <c r="Q95" s="252" t="str">
        <f t="shared" si="9"/>
        <v/>
      </c>
      <c r="R95" s="252"/>
      <c r="S95" s="252"/>
      <c r="T95" s="262"/>
    </row>
    <row r="96" spans="2:20" s="237" customFormat="1" ht="15.95" customHeight="1">
      <c r="B96" s="286" t="str">
        <f t="shared" si="10"/>
        <v>SUZUKISX4</v>
      </c>
      <c r="C96" s="285" t="s">
        <v>68</v>
      </c>
      <c r="D96" s="285" t="s">
        <v>72</v>
      </c>
      <c r="E96" s="285" t="s">
        <v>80</v>
      </c>
      <c r="F96" s="238"/>
      <c r="G96" s="249" t="str">
        <f t="shared" si="8"/>
        <v>MAZDACX-5</v>
      </c>
      <c r="H96" s="253" t="s">
        <v>96</v>
      </c>
      <c r="I96" s="249" t="s">
        <v>154</v>
      </c>
      <c r="J96" s="249" t="s">
        <v>127</v>
      </c>
      <c r="L96" s="267" t="str">
        <f t="shared" si="11"/>
        <v>SUZUKICELERIO</v>
      </c>
      <c r="M96" s="258" t="s">
        <v>68</v>
      </c>
      <c r="N96" s="257" t="s">
        <v>113</v>
      </c>
      <c r="O96" s="257" t="s">
        <v>127</v>
      </c>
      <c r="Q96" s="252" t="str">
        <f t="shared" si="9"/>
        <v/>
      </c>
      <c r="R96" s="252"/>
      <c r="S96" s="252"/>
      <c r="T96" s="262"/>
    </row>
    <row r="97" spans="2:20" s="237" customFormat="1" ht="15.95" customHeight="1">
      <c r="B97" s="286" t="str">
        <f t="shared" si="10"/>
        <v>SUZUKIXL-7</v>
      </c>
      <c r="C97" s="285" t="s">
        <v>68</v>
      </c>
      <c r="D97" s="285" t="s">
        <v>73</v>
      </c>
      <c r="E97" s="285" t="s">
        <v>80</v>
      </c>
      <c r="F97" s="238"/>
      <c r="G97" s="249" t="str">
        <f t="shared" si="8"/>
        <v>MAZDACX-7</v>
      </c>
      <c r="H97" s="253" t="s">
        <v>96</v>
      </c>
      <c r="I97" s="249" t="s">
        <v>155</v>
      </c>
      <c r="J97" s="249" t="s">
        <v>127</v>
      </c>
      <c r="L97" s="257" t="str">
        <f t="shared" si="11"/>
        <v>VOLKSWAGENBORA</v>
      </c>
      <c r="M97" s="259" t="s">
        <v>121</v>
      </c>
      <c r="N97" s="259" t="s">
        <v>124</v>
      </c>
      <c r="O97" s="257" t="s">
        <v>127</v>
      </c>
      <c r="Q97" s="252" t="str">
        <f t="shared" si="9"/>
        <v/>
      </c>
      <c r="R97" s="252"/>
      <c r="S97" s="252"/>
      <c r="T97" s="262"/>
    </row>
    <row r="98" spans="2:20" s="237" customFormat="1" ht="15.95" customHeight="1">
      <c r="B98" s="286" t="str">
        <f t="shared" si="10"/>
        <v>SUZUKICIAZ</v>
      </c>
      <c r="C98" s="285" t="s">
        <v>68</v>
      </c>
      <c r="D98" s="285" t="s">
        <v>74</v>
      </c>
      <c r="E98" s="285" t="s">
        <v>80</v>
      </c>
      <c r="F98" s="238"/>
      <c r="G98" s="249" t="str">
        <f t="shared" ref="G98:G125" si="12">+H98&amp;I98</f>
        <v>MAZDACX-9</v>
      </c>
      <c r="H98" s="253" t="s">
        <v>96</v>
      </c>
      <c r="I98" s="249" t="s">
        <v>156</v>
      </c>
      <c r="J98" s="249" t="s">
        <v>127</v>
      </c>
      <c r="L98" s="257" t="str">
        <f t="shared" si="11"/>
        <v>PEGEOT5008</v>
      </c>
      <c r="M98" s="237" t="s">
        <v>715</v>
      </c>
      <c r="N98" s="290">
        <v>5008</v>
      </c>
      <c r="O98" s="237" t="s">
        <v>127</v>
      </c>
      <c r="Q98" s="252" t="str">
        <f t="shared" si="9"/>
        <v/>
      </c>
      <c r="R98" s="252"/>
      <c r="S98" s="252"/>
      <c r="T98" s="262"/>
    </row>
    <row r="99" spans="2:20" s="237" customFormat="1" ht="15.95" customHeight="1">
      <c r="B99" s="286" t="str">
        <f t="shared" si="10"/>
        <v>SUZUKIBALENO</v>
      </c>
      <c r="C99" s="285" t="s">
        <v>68</v>
      </c>
      <c r="D99" s="285" t="s">
        <v>76</v>
      </c>
      <c r="E99" s="285" t="s">
        <v>80</v>
      </c>
      <c r="F99" s="238"/>
      <c r="G99" s="249" t="str">
        <f t="shared" si="12"/>
        <v>MAZDAMX-5</v>
      </c>
      <c r="H99" s="253" t="s">
        <v>96</v>
      </c>
      <c r="I99" s="249" t="s">
        <v>157</v>
      </c>
      <c r="J99" s="249" t="s">
        <v>127</v>
      </c>
      <c r="L99" s="291" t="str">
        <f>+M99&amp;N99</f>
        <v>VOLKSWAGENGOL</v>
      </c>
      <c r="M99" s="292" t="s">
        <v>121</v>
      </c>
      <c r="N99" s="293" t="s">
        <v>122</v>
      </c>
      <c r="O99" s="291" t="s">
        <v>127</v>
      </c>
    </row>
    <row r="100" spans="2:20" s="237" customFormat="1" ht="15.95" customHeight="1">
      <c r="B100" s="286" t="str">
        <f t="shared" si="10"/>
        <v>SUZUKIGRAND NOMADE</v>
      </c>
      <c r="C100" s="285" t="s">
        <v>68</v>
      </c>
      <c r="D100" s="285" t="s">
        <v>77</v>
      </c>
      <c r="E100" s="285" t="s">
        <v>80</v>
      </c>
      <c r="F100" s="238"/>
      <c r="G100" s="249" t="str">
        <f t="shared" si="12"/>
        <v>MAZDATRIBUTE</v>
      </c>
      <c r="H100" s="253" t="s">
        <v>96</v>
      </c>
      <c r="I100" s="249" t="s">
        <v>158</v>
      </c>
      <c r="J100" s="249" t="s">
        <v>127</v>
      </c>
      <c r="L100" s="294" t="str">
        <f>+M100&amp;N100</f>
        <v>VOLKSWAGENVOYAGE</v>
      </c>
      <c r="M100" s="295" t="s">
        <v>121</v>
      </c>
      <c r="N100" s="295" t="s">
        <v>125</v>
      </c>
      <c r="O100" s="294" t="s">
        <v>127</v>
      </c>
    </row>
    <row r="101" spans="2:20" s="237" customFormat="1" ht="15.95" customHeight="1">
      <c r="B101" s="286" t="str">
        <f t="shared" si="10"/>
        <v>SUZUKIIGNIS</v>
      </c>
      <c r="C101" s="285" t="s">
        <v>68</v>
      </c>
      <c r="D101" s="285" t="s">
        <v>78</v>
      </c>
      <c r="E101" s="285" t="s">
        <v>80</v>
      </c>
      <c r="F101" s="238"/>
      <c r="G101" s="249" t="str">
        <f t="shared" si="12"/>
        <v>MAZDAMX6</v>
      </c>
      <c r="H101" s="253" t="s">
        <v>96</v>
      </c>
      <c r="I101" s="249" t="s">
        <v>159</v>
      </c>
      <c r="J101" s="249" t="s">
        <v>127</v>
      </c>
      <c r="L101" s="294" t="str">
        <f>+M101&amp;N101</f>
        <v>MAZDACX-3</v>
      </c>
      <c r="M101" s="295" t="s">
        <v>96</v>
      </c>
      <c r="N101" s="295" t="s">
        <v>153</v>
      </c>
      <c r="O101" s="295" t="s">
        <v>127</v>
      </c>
    </row>
    <row r="102" spans="2:20" s="237" customFormat="1" ht="15.95" customHeight="1">
      <c r="B102" s="286" t="str">
        <f t="shared" si="10"/>
        <v>TOYOTAETIOS</v>
      </c>
      <c r="C102" s="285" t="s">
        <v>64</v>
      </c>
      <c r="D102" s="285" t="s">
        <v>65</v>
      </c>
      <c r="E102" s="285" t="s">
        <v>80</v>
      </c>
      <c r="F102" s="238"/>
      <c r="G102" s="249" t="str">
        <f t="shared" si="12"/>
        <v>MAZDACX3</v>
      </c>
      <c r="H102" s="253" t="s">
        <v>96</v>
      </c>
      <c r="I102" s="249" t="s">
        <v>160</v>
      </c>
      <c r="J102" s="249" t="s">
        <v>127</v>
      </c>
    </row>
    <row r="103" spans="2:20" s="237" customFormat="1" ht="15.95" customHeight="1">
      <c r="B103" s="249" t="str">
        <f t="shared" si="10"/>
        <v>VOLKSWAGENGOL</v>
      </c>
      <c r="C103" s="249" t="s">
        <v>121</v>
      </c>
      <c r="D103" s="249" t="s">
        <v>122</v>
      </c>
      <c r="E103" s="249" t="s">
        <v>80</v>
      </c>
      <c r="F103" s="238"/>
      <c r="G103" s="249" t="str">
        <f t="shared" si="12"/>
        <v>NISSANTIIDA</v>
      </c>
      <c r="H103" s="252" t="s">
        <v>100</v>
      </c>
      <c r="I103" s="252" t="s">
        <v>107</v>
      </c>
      <c r="J103" s="249" t="s">
        <v>127</v>
      </c>
    </row>
    <row r="104" spans="2:20" s="237" customFormat="1" ht="15.95" customHeight="1">
      <c r="B104" s="249" t="str">
        <f t="shared" si="10"/>
        <v>VOLKSWAGENPOLO</v>
      </c>
      <c r="C104" s="249" t="s">
        <v>121</v>
      </c>
      <c r="D104" s="249" t="s">
        <v>123</v>
      </c>
      <c r="E104" s="249" t="s">
        <v>80</v>
      </c>
      <c r="F104" s="238"/>
      <c r="G104" s="249" t="str">
        <f t="shared" si="12"/>
        <v>NISSANVERSA</v>
      </c>
      <c r="H104" s="252" t="s">
        <v>100</v>
      </c>
      <c r="I104" s="252" t="s">
        <v>103</v>
      </c>
      <c r="J104" s="249" t="s">
        <v>127</v>
      </c>
    </row>
    <row r="105" spans="2:20" s="237" customFormat="1" ht="15.95" customHeight="1">
      <c r="B105" s="249" t="str">
        <f t="shared" si="10"/>
        <v>VOLKSWAGENBORA</v>
      </c>
      <c r="C105" s="249" t="s">
        <v>121</v>
      </c>
      <c r="D105" s="249" t="s">
        <v>124</v>
      </c>
      <c r="E105" s="249" t="s">
        <v>80</v>
      </c>
      <c r="F105" s="238"/>
      <c r="G105" s="249" t="str">
        <f t="shared" si="12"/>
        <v>NISSANSENTRA 1.8</v>
      </c>
      <c r="H105" s="253" t="s">
        <v>100</v>
      </c>
      <c r="I105" s="249" t="s">
        <v>149</v>
      </c>
      <c r="J105" s="249" t="s">
        <v>127</v>
      </c>
    </row>
    <row r="106" spans="2:20" s="237" customFormat="1" ht="15.95" customHeight="1">
      <c r="B106" s="249" t="str">
        <f t="shared" ref="B106" si="13">+C106&amp;D106</f>
        <v>VOLKSWAGENVOYAGE</v>
      </c>
      <c r="C106" s="249" t="s">
        <v>121</v>
      </c>
      <c r="D106" s="249" t="s">
        <v>125</v>
      </c>
      <c r="E106" s="249" t="s">
        <v>80</v>
      </c>
      <c r="F106" s="238"/>
      <c r="G106" s="249" t="str">
        <f t="shared" si="12"/>
        <v>SUZUKIAEREO</v>
      </c>
      <c r="H106" s="253" t="s">
        <v>68</v>
      </c>
      <c r="I106" s="249" t="s">
        <v>161</v>
      </c>
      <c r="J106" s="249" t="s">
        <v>127</v>
      </c>
    </row>
    <row r="107" spans="2:20" s="237" customFormat="1" ht="15.95" customHeight="1">
      <c r="B107" s="249"/>
      <c r="C107" s="249"/>
      <c r="D107" s="249"/>
      <c r="E107" s="249"/>
      <c r="F107" s="238"/>
      <c r="G107" s="249" t="str">
        <f t="shared" si="12"/>
        <v>SUZUKIALTO</v>
      </c>
      <c r="H107" s="253" t="s">
        <v>68</v>
      </c>
      <c r="I107" s="249" t="s">
        <v>111</v>
      </c>
      <c r="J107" s="249" t="s">
        <v>127</v>
      </c>
    </row>
    <row r="108" spans="2:20" s="237" customFormat="1" ht="15.95" customHeight="1">
      <c r="B108" s="249"/>
      <c r="C108" s="249"/>
      <c r="D108" s="249"/>
      <c r="E108" s="249"/>
      <c r="F108" s="238"/>
      <c r="G108" s="249" t="str">
        <f t="shared" si="12"/>
        <v>SUZUKIBALENO</v>
      </c>
      <c r="H108" s="253" t="s">
        <v>68</v>
      </c>
      <c r="I108" s="249" t="s">
        <v>76</v>
      </c>
      <c r="J108" s="249" t="s">
        <v>127</v>
      </c>
    </row>
    <row r="109" spans="2:20" s="237" customFormat="1" ht="15.95" customHeight="1">
      <c r="B109" s="252"/>
      <c r="C109" s="252"/>
      <c r="D109" s="252"/>
      <c r="E109" s="252"/>
      <c r="F109" s="239"/>
      <c r="G109" s="249" t="str">
        <f t="shared" si="12"/>
        <v>SUZUKICELERIO</v>
      </c>
      <c r="H109" s="253" t="s">
        <v>68</v>
      </c>
      <c r="I109" s="249" t="s">
        <v>113</v>
      </c>
      <c r="J109" s="249" t="s">
        <v>127</v>
      </c>
    </row>
    <row r="110" spans="2:20" s="237" customFormat="1" ht="15.95" customHeight="1">
      <c r="B110" s="252"/>
      <c r="C110" s="252"/>
      <c r="D110" s="252"/>
      <c r="E110" s="252"/>
      <c r="F110" s="239"/>
      <c r="G110" s="249" t="str">
        <f t="shared" si="12"/>
        <v>SUZUKICROSS</v>
      </c>
      <c r="H110" s="253" t="s">
        <v>68</v>
      </c>
      <c r="I110" s="249" t="s">
        <v>162</v>
      </c>
      <c r="J110" s="249" t="s">
        <v>127</v>
      </c>
    </row>
    <row r="111" spans="2:20" s="237" customFormat="1" ht="15.95" customHeight="1">
      <c r="B111" s="252"/>
      <c r="C111" s="252"/>
      <c r="D111" s="252"/>
      <c r="E111" s="252"/>
      <c r="F111" s="239"/>
      <c r="G111" s="249" t="str">
        <f t="shared" si="12"/>
        <v>SUZUKIERTIGA</v>
      </c>
      <c r="H111" s="253" t="s">
        <v>68</v>
      </c>
      <c r="I111" s="249" t="s">
        <v>163</v>
      </c>
      <c r="J111" s="249" t="s">
        <v>127</v>
      </c>
    </row>
    <row r="112" spans="2:20" s="237" customFormat="1" ht="15.95" customHeight="1">
      <c r="F112" s="238"/>
      <c r="G112" s="249" t="str">
        <f t="shared" si="12"/>
        <v>SUZUKIGRAND NOMADE</v>
      </c>
      <c r="H112" s="253" t="s">
        <v>68</v>
      </c>
      <c r="I112" s="249" t="s">
        <v>77</v>
      </c>
      <c r="J112" s="249" t="s">
        <v>127</v>
      </c>
    </row>
    <row r="113" spans="6:13" s="237" customFormat="1" ht="15.95" customHeight="1">
      <c r="F113" s="238"/>
      <c r="G113" s="249" t="str">
        <f t="shared" si="12"/>
        <v>SUZUKIGRAND VITARA</v>
      </c>
      <c r="H113" s="253" t="s">
        <v>68</v>
      </c>
      <c r="I113" s="249" t="s">
        <v>164</v>
      </c>
      <c r="J113" s="249" t="s">
        <v>127</v>
      </c>
    </row>
    <row r="114" spans="6:13" s="237" customFormat="1" ht="15.95" customHeight="1">
      <c r="F114" s="238"/>
      <c r="G114" s="249" t="str">
        <f t="shared" si="12"/>
        <v>SUZUKIIGNIS</v>
      </c>
      <c r="H114" s="253" t="s">
        <v>68</v>
      </c>
      <c r="I114" s="249" t="s">
        <v>78</v>
      </c>
      <c r="J114" s="249" t="s">
        <v>127</v>
      </c>
      <c r="M114" s="270"/>
    </row>
    <row r="115" spans="6:13" s="237" customFormat="1" ht="15.95" customHeight="1">
      <c r="F115" s="238"/>
      <c r="G115" s="249" t="str">
        <f t="shared" si="12"/>
        <v>SUZUKIJIMMY</v>
      </c>
      <c r="H115" s="253" t="s">
        <v>68</v>
      </c>
      <c r="I115" s="249" t="s">
        <v>165</v>
      </c>
      <c r="J115" s="249" t="s">
        <v>127</v>
      </c>
    </row>
    <row r="116" spans="6:13" s="237" customFormat="1" ht="15.95" customHeight="1">
      <c r="F116" s="238"/>
      <c r="G116" s="271" t="str">
        <f t="shared" si="12"/>
        <v>CHEVROLETONIX</v>
      </c>
      <c r="H116" s="272" t="s">
        <v>57</v>
      </c>
      <c r="I116" s="270" t="s">
        <v>697</v>
      </c>
      <c r="J116" s="271" t="s">
        <v>127</v>
      </c>
    </row>
    <row r="117" spans="6:13" s="237" customFormat="1" ht="15.95" customHeight="1">
      <c r="F117" s="238"/>
      <c r="G117" s="271" t="str">
        <f t="shared" si="12"/>
        <v>CHEVROLETCOBALT</v>
      </c>
      <c r="H117" s="272" t="s">
        <v>57</v>
      </c>
      <c r="I117" s="270" t="s">
        <v>698</v>
      </c>
      <c r="J117" s="271" t="s">
        <v>127</v>
      </c>
    </row>
    <row r="118" spans="6:13" s="237" customFormat="1" ht="15.95" customHeight="1">
      <c r="F118" s="238"/>
      <c r="G118" s="271" t="str">
        <f t="shared" si="12"/>
        <v>CHEVROLETSUBURBAN</v>
      </c>
      <c r="H118" s="272" t="s">
        <v>57</v>
      </c>
      <c r="I118" s="270" t="s">
        <v>699</v>
      </c>
      <c r="J118" s="271" t="s">
        <v>127</v>
      </c>
    </row>
    <row r="119" spans="6:13" s="237" customFormat="1" ht="15.95" customHeight="1">
      <c r="F119" s="238"/>
      <c r="G119" s="249" t="str">
        <f t="shared" si="12"/>
        <v>SUZUKISWIFT</v>
      </c>
      <c r="H119" s="253" t="s">
        <v>68</v>
      </c>
      <c r="I119" s="249" t="s">
        <v>112</v>
      </c>
      <c r="J119" s="249" t="s">
        <v>127</v>
      </c>
    </row>
    <row r="120" spans="6:13" s="237" customFormat="1" ht="15.95" customHeight="1">
      <c r="F120" s="238"/>
      <c r="G120" s="249" t="str">
        <f t="shared" si="12"/>
        <v>SUZUKISX4</v>
      </c>
      <c r="H120" s="253" t="s">
        <v>68</v>
      </c>
      <c r="I120" s="249" t="s">
        <v>72</v>
      </c>
      <c r="J120" s="249" t="s">
        <v>127</v>
      </c>
    </row>
    <row r="121" spans="6:13" s="237" customFormat="1" ht="15.95" customHeight="1">
      <c r="F121" s="238"/>
      <c r="G121" s="249" t="str">
        <f t="shared" si="12"/>
        <v>SUZUKIVITARA</v>
      </c>
      <c r="H121" s="253" t="s">
        <v>68</v>
      </c>
      <c r="I121" s="249" t="s">
        <v>166</v>
      </c>
      <c r="J121" s="249" t="s">
        <v>127</v>
      </c>
    </row>
    <row r="122" spans="6:13" s="237" customFormat="1" ht="15.95" customHeight="1">
      <c r="F122" s="238"/>
      <c r="G122" s="249" t="str">
        <f t="shared" si="12"/>
        <v>SUZUKIXL-7</v>
      </c>
      <c r="H122" s="253" t="s">
        <v>68</v>
      </c>
      <c r="I122" s="249" t="s">
        <v>73</v>
      </c>
      <c r="J122" s="249" t="s">
        <v>127</v>
      </c>
    </row>
    <row r="123" spans="6:13" s="237" customFormat="1" ht="15.95" customHeight="1">
      <c r="F123" s="238"/>
      <c r="G123" s="249" t="str">
        <f t="shared" si="12"/>
        <v>SUZUKICIAZ</v>
      </c>
      <c r="H123" s="253" t="s">
        <v>68</v>
      </c>
      <c r="I123" s="249" t="s">
        <v>74</v>
      </c>
      <c r="J123" s="249" t="s">
        <v>127</v>
      </c>
    </row>
    <row r="124" spans="6:13" s="237" customFormat="1" ht="15.95" customHeight="1">
      <c r="F124" s="238"/>
      <c r="G124" s="249" t="str">
        <f t="shared" si="12"/>
        <v>TOYOTACOROLLA</v>
      </c>
      <c r="H124" s="253" t="s">
        <v>64</v>
      </c>
      <c r="I124" s="249" t="s">
        <v>119</v>
      </c>
      <c r="J124" s="249" t="s">
        <v>127</v>
      </c>
    </row>
    <row r="125" spans="6:13" s="237" customFormat="1" ht="15.95" customHeight="1">
      <c r="F125" s="238"/>
      <c r="G125" s="252" t="str">
        <f t="shared" si="12"/>
        <v>CHEVROLETSPIN</v>
      </c>
      <c r="H125" s="249" t="s">
        <v>57</v>
      </c>
      <c r="I125" s="249" t="s">
        <v>62</v>
      </c>
      <c r="J125" s="249" t="s">
        <v>127</v>
      </c>
    </row>
    <row r="126" spans="6:13" s="237" customFormat="1" ht="15.95" customHeight="1">
      <c r="F126" s="238"/>
    </row>
    <row r="127" spans="6:13" s="237" customFormat="1" ht="15.95" customHeight="1">
      <c r="F127" s="238"/>
    </row>
    <row r="128" spans="6:13" s="237" customFormat="1" ht="15.95" customHeight="1">
      <c r="F128" s="238"/>
    </row>
    <row r="129" spans="6:6" s="237" customFormat="1" ht="15.95" customHeight="1">
      <c r="F129" s="238"/>
    </row>
    <row r="130" spans="6:6" s="237" customFormat="1" ht="15.95" customHeight="1">
      <c r="F130" s="238"/>
    </row>
    <row r="131" spans="6:6" s="237" customFormat="1" ht="15.95" customHeight="1">
      <c r="F131" s="238"/>
    </row>
    <row r="132" spans="6:6" s="237" customFormat="1" ht="15.95" customHeight="1">
      <c r="F132" s="238"/>
    </row>
    <row r="133" spans="6:6" s="237" customFormat="1" ht="15.95" customHeight="1">
      <c r="F133" s="238"/>
    </row>
    <row r="134" spans="6:6" s="237" customFormat="1" ht="15.95" customHeight="1">
      <c r="F134" s="238"/>
    </row>
    <row r="135" spans="6:6" s="237" customFormat="1" ht="15.95" customHeight="1">
      <c r="F135" s="238"/>
    </row>
    <row r="136" spans="6:6" s="237" customFormat="1" ht="15.95" customHeight="1">
      <c r="F136" s="238"/>
    </row>
    <row r="137" spans="6:6" s="237" customFormat="1" ht="15.95" customHeight="1">
      <c r="F137" s="238"/>
    </row>
    <row r="138" spans="6:6" s="237" customFormat="1" ht="15.95" customHeight="1">
      <c r="F138" s="238"/>
    </row>
    <row r="139" spans="6:6" s="237" customFormat="1" ht="15.95" customHeight="1">
      <c r="F139" s="238"/>
    </row>
    <row r="140" spans="6:6" s="237" customFormat="1" ht="15.95" customHeight="1">
      <c r="F140" s="238"/>
    </row>
    <row r="141" spans="6:6" s="237" customFormat="1" ht="15.95" customHeight="1">
      <c r="F141" s="238"/>
    </row>
    <row r="142" spans="6:6" s="237" customFormat="1" ht="15.95" customHeight="1">
      <c r="F142" s="238"/>
    </row>
    <row r="143" spans="6:6" s="237" customFormat="1" ht="15.95" customHeight="1">
      <c r="F143" s="238"/>
    </row>
    <row r="144" spans="6:6" s="237" customFormat="1" ht="15.95" customHeight="1">
      <c r="F144" s="238"/>
    </row>
    <row r="145" spans="6:9" s="237" customFormat="1" ht="15.95" customHeight="1">
      <c r="F145" s="238"/>
    </row>
    <row r="146" spans="6:9" s="237" customFormat="1" ht="15.95" customHeight="1">
      <c r="F146" s="238"/>
    </row>
    <row r="147" spans="6:9" s="237" customFormat="1" ht="15.95" customHeight="1">
      <c r="F147" s="238"/>
    </row>
    <row r="148" spans="6:9" s="237" customFormat="1" ht="15.95" customHeight="1">
      <c r="F148" s="238"/>
    </row>
    <row r="149" spans="6:9" s="237" customFormat="1" ht="15.95" customHeight="1">
      <c r="F149" s="238"/>
      <c r="G149" s="238"/>
      <c r="H149" s="238"/>
      <c r="I149" s="273"/>
    </row>
    <row r="150" spans="6:9" s="237" customFormat="1" ht="15.95" customHeight="1">
      <c r="F150" s="238"/>
      <c r="G150" s="238"/>
      <c r="H150" s="238"/>
      <c r="I150" s="273"/>
    </row>
    <row r="151" spans="6:9" s="237" customFormat="1" ht="15.95" customHeight="1">
      <c r="F151" s="238"/>
      <c r="G151" s="238"/>
      <c r="H151" s="238"/>
      <c r="I151" s="273"/>
    </row>
    <row r="152" spans="6:9" s="237" customFormat="1" ht="15.95" customHeight="1">
      <c r="F152" s="238"/>
      <c r="G152" s="238"/>
      <c r="H152" s="239"/>
      <c r="I152" s="273"/>
    </row>
    <row r="153" spans="6:9" s="237" customFormat="1" ht="15.95" customHeight="1">
      <c r="F153" s="238"/>
      <c r="G153" s="238"/>
      <c r="H153" s="239"/>
      <c r="I153" s="273"/>
    </row>
    <row r="154" spans="6:9" s="237" customFormat="1" ht="15.95" customHeight="1">
      <c r="F154" s="238"/>
      <c r="G154" s="238"/>
      <c r="H154" s="239"/>
      <c r="I154" s="274"/>
    </row>
    <row r="155" spans="6:9" s="237" customFormat="1" ht="15.95" customHeight="1">
      <c r="F155" s="238"/>
      <c r="G155" s="239"/>
      <c r="H155" s="239"/>
      <c r="I155" s="238"/>
    </row>
    <row r="156" spans="6:9" s="237" customFormat="1" ht="15.95" customHeight="1">
      <c r="F156" s="238"/>
      <c r="G156" s="239"/>
      <c r="H156" s="239"/>
      <c r="I156" s="238"/>
    </row>
    <row r="157" spans="6:9" s="237" customFormat="1" ht="15.95" customHeight="1">
      <c r="F157" s="238"/>
      <c r="G157" s="239"/>
      <c r="H157" s="239"/>
      <c r="I157" s="238"/>
    </row>
    <row r="158" spans="6:9" s="237" customFormat="1" ht="15.95" customHeight="1">
      <c r="F158" s="238"/>
      <c r="G158" s="239"/>
      <c r="H158" s="239"/>
      <c r="I158" s="238"/>
    </row>
    <row r="159" spans="6:9" s="237" customFormat="1" ht="15.95" customHeight="1">
      <c r="F159" s="238"/>
      <c r="G159" s="239"/>
      <c r="H159" s="239"/>
      <c r="I159" s="238"/>
    </row>
    <row r="160" spans="6:9" s="237" customFormat="1" ht="15.95" customHeight="1">
      <c r="F160" s="238"/>
      <c r="G160" s="239"/>
      <c r="H160" s="239"/>
      <c r="I160" s="238"/>
    </row>
    <row r="161" spans="2:9" s="237" customFormat="1" ht="15.95" customHeight="1">
      <c r="F161" s="238"/>
      <c r="G161" s="239"/>
      <c r="H161" s="239"/>
      <c r="I161" s="238"/>
    </row>
    <row r="162" spans="2:9" s="241" customFormat="1" ht="15.95" customHeight="1">
      <c r="F162" s="240"/>
      <c r="G162" s="242"/>
      <c r="H162" s="242"/>
      <c r="I162" s="240"/>
    </row>
    <row r="163" spans="2:9" s="241" customFormat="1" ht="15.95" customHeight="1">
      <c r="F163" s="240"/>
      <c r="G163" s="242"/>
      <c r="H163" s="242"/>
      <c r="I163" s="240"/>
    </row>
    <row r="164" spans="2:9" s="241" customFormat="1" ht="15.95" customHeight="1">
      <c r="F164" s="240"/>
      <c r="G164" s="242"/>
      <c r="H164" s="242"/>
      <c r="I164" s="242"/>
    </row>
    <row r="165" spans="2:9" s="241" customFormat="1" ht="15.95" customHeight="1">
      <c r="F165" s="240"/>
      <c r="G165" s="242"/>
      <c r="H165" s="242"/>
      <c r="I165" s="242"/>
    </row>
    <row r="166" spans="2:9" ht="15.95" customHeight="1">
      <c r="F166" s="50"/>
      <c r="G166" s="52"/>
      <c r="H166" s="52"/>
      <c r="I166" s="52"/>
    </row>
    <row r="167" spans="2:9" ht="15.95" customHeight="1">
      <c r="F167" s="50"/>
      <c r="G167" s="52"/>
      <c r="H167" s="52"/>
      <c r="I167" s="52"/>
    </row>
    <row r="168" spans="2:9" ht="15.95" customHeight="1">
      <c r="F168" s="50"/>
      <c r="G168" s="52"/>
      <c r="H168" s="52"/>
      <c r="I168" s="52"/>
    </row>
    <row r="169" spans="2:9" ht="15.95" customHeight="1">
      <c r="B169" s="52"/>
      <c r="C169" s="52"/>
      <c r="D169" s="52"/>
      <c r="E169" s="52"/>
      <c r="F169" s="52"/>
      <c r="G169" s="52"/>
      <c r="H169" s="52"/>
      <c r="I169" s="52"/>
    </row>
  </sheetData>
  <sortState xmlns:xlrd2="http://schemas.microsoft.com/office/spreadsheetml/2017/richdata2" ref="G56:K76">
    <sortCondition ref="H56:H76"/>
  </sortState>
  <mergeCells count="1">
    <mergeCell ref="B2:T2"/>
  </mergeCells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34"/>
  <sheetViews>
    <sheetView workbookViewId="0">
      <selection activeCell="G20" sqref="G20"/>
    </sheetView>
  </sheetViews>
  <sheetFormatPr baseColWidth="10" defaultColWidth="11.42578125" defaultRowHeight="15"/>
  <cols>
    <col min="1" max="1" width="0.42578125" style="142" customWidth="1"/>
    <col min="2" max="2" width="11.42578125" style="142"/>
    <col min="3" max="3" width="7.28515625" style="142" customWidth="1"/>
    <col min="4" max="4" width="9.28515625" style="142" customWidth="1"/>
    <col min="5" max="5" width="8.42578125" style="142" customWidth="1"/>
    <col min="6" max="8" width="11.42578125" style="142"/>
    <col min="9" max="9" width="9.42578125" style="142" customWidth="1"/>
    <col min="10" max="10" width="7.7109375" style="142" customWidth="1"/>
    <col min="11" max="12" width="8.28515625" style="142" customWidth="1"/>
    <col min="13" max="13" width="13" style="142" customWidth="1"/>
    <col min="14" max="16" width="11.42578125" style="142"/>
    <col min="17" max="17" width="8.140625" style="142" customWidth="1"/>
    <col min="18" max="16384" width="11.42578125" style="142"/>
  </cols>
  <sheetData>
    <row r="2" spans="2:20" ht="26.25">
      <c r="B2" s="141" t="s">
        <v>229</v>
      </c>
      <c r="H2" s="306" t="s">
        <v>234</v>
      </c>
      <c r="I2" s="306"/>
      <c r="J2" s="307">
        <f>+'INGRESO DE INFORMACION'!D32</f>
        <v>935.25029999999992</v>
      </c>
      <c r="K2" s="307"/>
      <c r="L2" s="143"/>
      <c r="N2" s="142" t="s">
        <v>414</v>
      </c>
      <c r="O2" s="142" t="str">
        <f>+'INGRESO DE INFORMACION'!H11</f>
        <v>NATURAL</v>
      </c>
    </row>
    <row r="4" spans="2:20" s="147" customFormat="1" ht="22.5">
      <c r="B4" s="144" t="s">
        <v>415</v>
      </c>
      <c r="C4" s="144" t="s">
        <v>416</v>
      </c>
      <c r="D4" s="144" t="s">
        <v>417</v>
      </c>
      <c r="E4" s="144" t="s">
        <v>418</v>
      </c>
      <c r="F4" s="308" t="s">
        <v>419</v>
      </c>
      <c r="G4" s="308"/>
      <c r="H4" s="308"/>
      <c r="I4" s="308"/>
      <c r="J4" s="308" t="s">
        <v>420</v>
      </c>
      <c r="K4" s="308"/>
      <c r="L4" s="145"/>
      <c r="M4" s="146" t="s">
        <v>126</v>
      </c>
      <c r="N4" s="146" t="s">
        <v>274</v>
      </c>
      <c r="O4" s="146" t="s">
        <v>414</v>
      </c>
      <c r="P4" s="146" t="s">
        <v>420</v>
      </c>
      <c r="R4" s="144" t="s">
        <v>416</v>
      </c>
      <c r="S4" s="148" t="s">
        <v>420</v>
      </c>
      <c r="T4" s="149"/>
    </row>
    <row r="5" spans="2:20" s="147" customFormat="1" ht="11.25">
      <c r="B5" s="309" t="s">
        <v>421</v>
      </c>
      <c r="C5" s="30">
        <v>1</v>
      </c>
      <c r="D5" s="30" t="s">
        <v>422</v>
      </c>
      <c r="E5" s="30" t="s">
        <v>275</v>
      </c>
      <c r="F5" s="304" t="s">
        <v>423</v>
      </c>
      <c r="G5" s="304"/>
      <c r="H5" s="304"/>
      <c r="I5" s="304"/>
      <c r="J5" s="305">
        <f>+J2</f>
        <v>935.25029999999992</v>
      </c>
      <c r="K5" s="305"/>
      <c r="L5" s="150"/>
      <c r="M5" s="30" t="str">
        <f>+N5&amp;O5</f>
        <v>1NATURAL</v>
      </c>
      <c r="N5" s="30">
        <v>1</v>
      </c>
      <c r="O5" s="30" t="s">
        <v>424</v>
      </c>
      <c r="P5" s="151">
        <f t="shared" ref="P5:P16" si="0">+J5</f>
        <v>935.25029999999992</v>
      </c>
      <c r="R5" s="30">
        <v>1</v>
      </c>
      <c r="S5" s="152">
        <f>+VLOOKUP(R5&amp;$O$2,$M$4:$P$28,4,0)</f>
        <v>935.25029999999992</v>
      </c>
    </row>
    <row r="6" spans="2:20" s="147" customFormat="1" ht="11.25">
      <c r="B6" s="310"/>
      <c r="C6" s="30">
        <v>2</v>
      </c>
      <c r="D6" s="30" t="s">
        <v>422</v>
      </c>
      <c r="E6" s="30" t="s">
        <v>275</v>
      </c>
      <c r="F6" s="304" t="s">
        <v>423</v>
      </c>
      <c r="G6" s="304"/>
      <c r="H6" s="304"/>
      <c r="I6" s="304"/>
      <c r="J6" s="305">
        <f>+$J$2/C6</f>
        <v>467.62514999999996</v>
      </c>
      <c r="K6" s="305"/>
      <c r="L6" s="150"/>
      <c r="M6" s="30" t="str">
        <f t="shared" ref="M6:M28" si="1">+N6&amp;O6</f>
        <v>2NATURAL</v>
      </c>
      <c r="N6" s="30">
        <v>2</v>
      </c>
      <c r="O6" s="30" t="s">
        <v>424</v>
      </c>
      <c r="P6" s="151">
        <f t="shared" si="0"/>
        <v>467.62514999999996</v>
      </c>
      <c r="R6" s="30">
        <v>2</v>
      </c>
      <c r="S6" s="152">
        <f t="shared" ref="S6:S16" si="2">+VLOOKUP(R6&amp;$O$2,$M$4:$P$28,4,0)</f>
        <v>467.62514999999996</v>
      </c>
    </row>
    <row r="7" spans="2:20" s="147" customFormat="1" ht="11.25">
      <c r="B7" s="310"/>
      <c r="C7" s="30">
        <v>3</v>
      </c>
      <c r="D7" s="30" t="s">
        <v>422</v>
      </c>
      <c r="E7" s="30" t="s">
        <v>275</v>
      </c>
      <c r="F7" s="304" t="s">
        <v>423</v>
      </c>
      <c r="G7" s="304"/>
      <c r="H7" s="304"/>
      <c r="I7" s="304"/>
      <c r="J7" s="305">
        <f t="shared" ref="J7:J16" si="3">+$J$2/C7</f>
        <v>311.75009999999997</v>
      </c>
      <c r="K7" s="305"/>
      <c r="L7" s="150"/>
      <c r="M7" s="30" t="str">
        <f t="shared" si="1"/>
        <v>3NATURAL</v>
      </c>
      <c r="N7" s="30">
        <v>3</v>
      </c>
      <c r="O7" s="30" t="s">
        <v>424</v>
      </c>
      <c r="P7" s="151">
        <f t="shared" si="0"/>
        <v>311.75009999999997</v>
      </c>
      <c r="R7" s="30">
        <v>3</v>
      </c>
      <c r="S7" s="152">
        <f t="shared" si="2"/>
        <v>311.75009999999997</v>
      </c>
    </row>
    <row r="8" spans="2:20" s="147" customFormat="1" ht="11.25">
      <c r="B8" s="310"/>
      <c r="C8" s="30">
        <v>4</v>
      </c>
      <c r="D8" s="30" t="s">
        <v>422</v>
      </c>
      <c r="E8" s="30" t="s">
        <v>275</v>
      </c>
      <c r="F8" s="304" t="s">
        <v>423</v>
      </c>
      <c r="G8" s="304"/>
      <c r="H8" s="304"/>
      <c r="I8" s="304"/>
      <c r="J8" s="305">
        <f t="shared" si="3"/>
        <v>233.81257499999998</v>
      </c>
      <c r="K8" s="305"/>
      <c r="L8" s="150"/>
      <c r="M8" s="30" t="str">
        <f t="shared" si="1"/>
        <v>4NATURAL</v>
      </c>
      <c r="N8" s="30">
        <v>4</v>
      </c>
      <c r="O8" s="30" t="s">
        <v>424</v>
      </c>
      <c r="P8" s="151">
        <f t="shared" si="0"/>
        <v>233.81257499999998</v>
      </c>
      <c r="R8" s="30">
        <v>4</v>
      </c>
      <c r="S8" s="152">
        <f t="shared" si="2"/>
        <v>233.81257499999998</v>
      </c>
    </row>
    <row r="9" spans="2:20" s="147" customFormat="1" ht="11.25">
      <c r="B9" s="310"/>
      <c r="C9" s="30">
        <v>5</v>
      </c>
      <c r="D9" s="30" t="s">
        <v>422</v>
      </c>
      <c r="E9" s="30" t="s">
        <v>275</v>
      </c>
      <c r="F9" s="304" t="s">
        <v>423</v>
      </c>
      <c r="G9" s="304"/>
      <c r="H9" s="304"/>
      <c r="I9" s="304"/>
      <c r="J9" s="305">
        <f t="shared" si="3"/>
        <v>187.05005999999997</v>
      </c>
      <c r="K9" s="305"/>
      <c r="L9" s="150"/>
      <c r="M9" s="30" t="str">
        <f t="shared" si="1"/>
        <v>5NATURAL</v>
      </c>
      <c r="N9" s="30">
        <v>5</v>
      </c>
      <c r="O9" s="30" t="s">
        <v>424</v>
      </c>
      <c r="P9" s="151">
        <f t="shared" si="0"/>
        <v>187.05005999999997</v>
      </c>
      <c r="R9" s="30">
        <v>5</v>
      </c>
      <c r="S9" s="152">
        <f t="shared" si="2"/>
        <v>187.05005999999997</v>
      </c>
    </row>
    <row r="10" spans="2:20" s="147" customFormat="1" ht="11.25">
      <c r="B10" s="310"/>
      <c r="C10" s="30">
        <v>6</v>
      </c>
      <c r="D10" s="30" t="s">
        <v>422</v>
      </c>
      <c r="E10" s="30" t="s">
        <v>275</v>
      </c>
      <c r="F10" s="304" t="s">
        <v>423</v>
      </c>
      <c r="G10" s="304"/>
      <c r="H10" s="304"/>
      <c r="I10" s="304"/>
      <c r="J10" s="305">
        <f t="shared" si="3"/>
        <v>155.87504999999999</v>
      </c>
      <c r="K10" s="305"/>
      <c r="L10" s="150"/>
      <c r="M10" s="30" t="str">
        <f t="shared" si="1"/>
        <v>6NATURAL</v>
      </c>
      <c r="N10" s="30">
        <v>6</v>
      </c>
      <c r="O10" s="30" t="s">
        <v>424</v>
      </c>
      <c r="P10" s="151">
        <f t="shared" si="0"/>
        <v>155.87504999999999</v>
      </c>
      <c r="R10" s="30">
        <v>6</v>
      </c>
      <c r="S10" s="152">
        <f t="shared" si="2"/>
        <v>155.87504999999999</v>
      </c>
    </row>
    <row r="11" spans="2:20" s="147" customFormat="1" ht="11.25">
      <c r="B11" s="310"/>
      <c r="C11" s="30">
        <v>7</v>
      </c>
      <c r="D11" s="30" t="s">
        <v>422</v>
      </c>
      <c r="E11" s="30" t="s">
        <v>275</v>
      </c>
      <c r="F11" s="304" t="s">
        <v>425</v>
      </c>
      <c r="G11" s="304"/>
      <c r="H11" s="304"/>
      <c r="I11" s="304"/>
      <c r="J11" s="305">
        <f t="shared" si="3"/>
        <v>133.60718571428569</v>
      </c>
      <c r="K11" s="305"/>
      <c r="L11" s="150"/>
      <c r="M11" s="30" t="str">
        <f t="shared" si="1"/>
        <v>7NATURAL</v>
      </c>
      <c r="N11" s="30">
        <v>7</v>
      </c>
      <c r="O11" s="30" t="s">
        <v>424</v>
      </c>
      <c r="P11" s="151">
        <f t="shared" si="0"/>
        <v>133.60718571428569</v>
      </c>
      <c r="R11" s="30">
        <v>7</v>
      </c>
      <c r="S11" s="152">
        <f t="shared" si="2"/>
        <v>133.60718571428569</v>
      </c>
    </row>
    <row r="12" spans="2:20" s="147" customFormat="1" ht="11.25">
      <c r="B12" s="310"/>
      <c r="C12" s="30">
        <v>8</v>
      </c>
      <c r="D12" s="30" t="s">
        <v>422</v>
      </c>
      <c r="E12" s="30" t="s">
        <v>275</v>
      </c>
      <c r="F12" s="304" t="s">
        <v>425</v>
      </c>
      <c r="G12" s="304"/>
      <c r="H12" s="304"/>
      <c r="I12" s="304"/>
      <c r="J12" s="305">
        <f t="shared" si="3"/>
        <v>116.90628749999999</v>
      </c>
      <c r="K12" s="305"/>
      <c r="L12" s="150"/>
      <c r="M12" s="30" t="str">
        <f t="shared" si="1"/>
        <v>8NATURAL</v>
      </c>
      <c r="N12" s="30">
        <v>8</v>
      </c>
      <c r="O12" s="30" t="s">
        <v>424</v>
      </c>
      <c r="P12" s="151">
        <f t="shared" si="0"/>
        <v>116.90628749999999</v>
      </c>
      <c r="R12" s="30">
        <v>8</v>
      </c>
      <c r="S12" s="152">
        <f t="shared" si="2"/>
        <v>116.90628749999999</v>
      </c>
    </row>
    <row r="13" spans="2:20" s="147" customFormat="1" ht="11.25">
      <c r="B13" s="310"/>
      <c r="C13" s="30">
        <v>9</v>
      </c>
      <c r="D13" s="30" t="s">
        <v>422</v>
      </c>
      <c r="E13" s="30" t="s">
        <v>275</v>
      </c>
      <c r="F13" s="304" t="s">
        <v>426</v>
      </c>
      <c r="G13" s="304"/>
      <c r="H13" s="304"/>
      <c r="I13" s="304"/>
      <c r="J13" s="305">
        <f t="shared" si="3"/>
        <v>103.91669999999999</v>
      </c>
      <c r="K13" s="305"/>
      <c r="L13" s="150"/>
      <c r="M13" s="30" t="str">
        <f t="shared" si="1"/>
        <v>9NATURAL</v>
      </c>
      <c r="N13" s="30">
        <v>9</v>
      </c>
      <c r="O13" s="30" t="s">
        <v>424</v>
      </c>
      <c r="P13" s="151">
        <f t="shared" si="0"/>
        <v>103.91669999999999</v>
      </c>
      <c r="R13" s="30">
        <v>9</v>
      </c>
      <c r="S13" s="152">
        <f t="shared" si="2"/>
        <v>103.91669999999999</v>
      </c>
    </row>
    <row r="14" spans="2:20" s="147" customFormat="1" ht="11.25">
      <c r="B14" s="310"/>
      <c r="C14" s="30">
        <v>10</v>
      </c>
      <c r="D14" s="30" t="s">
        <v>422</v>
      </c>
      <c r="E14" s="30" t="s">
        <v>275</v>
      </c>
      <c r="F14" s="304" t="s">
        <v>426</v>
      </c>
      <c r="G14" s="304"/>
      <c r="H14" s="304"/>
      <c r="I14" s="304"/>
      <c r="J14" s="305">
        <f t="shared" si="3"/>
        <v>93.525029999999987</v>
      </c>
      <c r="K14" s="305"/>
      <c r="L14" s="150"/>
      <c r="M14" s="30" t="str">
        <f t="shared" si="1"/>
        <v>10NATURAL</v>
      </c>
      <c r="N14" s="30">
        <v>10</v>
      </c>
      <c r="O14" s="30" t="s">
        <v>424</v>
      </c>
      <c r="P14" s="151">
        <f t="shared" si="0"/>
        <v>93.525029999999987</v>
      </c>
      <c r="R14" s="30">
        <v>10</v>
      </c>
      <c r="S14" s="152">
        <f t="shared" si="2"/>
        <v>93.525029999999987</v>
      </c>
    </row>
    <row r="15" spans="2:20" s="147" customFormat="1" ht="11.25">
      <c r="B15" s="310"/>
      <c r="C15" s="30">
        <v>11</v>
      </c>
      <c r="D15" s="30" t="s">
        <v>422</v>
      </c>
      <c r="E15" s="30" t="s">
        <v>275</v>
      </c>
      <c r="F15" s="304" t="s">
        <v>426</v>
      </c>
      <c r="G15" s="304"/>
      <c r="H15" s="304"/>
      <c r="I15" s="304"/>
      <c r="J15" s="305">
        <f t="shared" si="3"/>
        <v>85.022754545454532</v>
      </c>
      <c r="K15" s="305"/>
      <c r="L15" s="150"/>
      <c r="M15" s="30" t="str">
        <f t="shared" si="1"/>
        <v>11NATURAL</v>
      </c>
      <c r="N15" s="30">
        <v>11</v>
      </c>
      <c r="O15" s="30" t="s">
        <v>424</v>
      </c>
      <c r="P15" s="151">
        <f t="shared" si="0"/>
        <v>85.022754545454532</v>
      </c>
      <c r="R15" s="30">
        <v>11</v>
      </c>
      <c r="S15" s="152">
        <f t="shared" si="2"/>
        <v>85.022754545454532</v>
      </c>
    </row>
    <row r="16" spans="2:20" s="147" customFormat="1" ht="11.25">
      <c r="B16" s="311"/>
      <c r="C16" s="30">
        <v>12</v>
      </c>
      <c r="D16" s="30" t="s">
        <v>422</v>
      </c>
      <c r="E16" s="30" t="s">
        <v>275</v>
      </c>
      <c r="F16" s="304" t="s">
        <v>426</v>
      </c>
      <c r="G16" s="304"/>
      <c r="H16" s="304"/>
      <c r="I16" s="304"/>
      <c r="J16" s="305">
        <f t="shared" si="3"/>
        <v>77.937524999999994</v>
      </c>
      <c r="K16" s="305"/>
      <c r="L16" s="150"/>
      <c r="M16" s="30" t="str">
        <f t="shared" si="1"/>
        <v>12NATURAL</v>
      </c>
      <c r="N16" s="30">
        <v>12</v>
      </c>
      <c r="O16" s="30" t="s">
        <v>424</v>
      </c>
      <c r="P16" s="151">
        <f t="shared" si="0"/>
        <v>77.937524999999994</v>
      </c>
      <c r="R16" s="30">
        <v>12</v>
      </c>
      <c r="S16" s="152">
        <f t="shared" si="2"/>
        <v>77.937524999999994</v>
      </c>
    </row>
    <row r="17" spans="12:16" s="147" customFormat="1" ht="11.25">
      <c r="L17" s="69"/>
      <c r="M17" s="30" t="str">
        <f t="shared" si="1"/>
        <v>1JURÍDICA</v>
      </c>
      <c r="N17" s="30">
        <v>1</v>
      </c>
      <c r="O17" s="30" t="s">
        <v>427</v>
      </c>
      <c r="P17" s="151">
        <f t="shared" ref="P17:P23" si="4">+J5</f>
        <v>935.25029999999992</v>
      </c>
    </row>
    <row r="18" spans="12:16" s="147" customFormat="1" ht="11.25">
      <c r="M18" s="30" t="str">
        <f t="shared" si="1"/>
        <v>2JURÍDICA</v>
      </c>
      <c r="N18" s="30">
        <v>2</v>
      </c>
      <c r="O18" s="30" t="s">
        <v>427</v>
      </c>
      <c r="P18" s="151">
        <f t="shared" si="4"/>
        <v>467.62514999999996</v>
      </c>
    </row>
    <row r="19" spans="12:16" s="147" customFormat="1" ht="11.25">
      <c r="M19" s="30" t="str">
        <f t="shared" si="1"/>
        <v>3JURÍDICA</v>
      </c>
      <c r="N19" s="30">
        <v>3</v>
      </c>
      <c r="O19" s="30" t="s">
        <v>427</v>
      </c>
      <c r="P19" s="151">
        <f t="shared" si="4"/>
        <v>311.75009999999997</v>
      </c>
    </row>
    <row r="20" spans="12:16" s="147" customFormat="1" ht="11.25">
      <c r="M20" s="30" t="str">
        <f t="shared" si="1"/>
        <v>4JURÍDICA</v>
      </c>
      <c r="N20" s="30">
        <v>4</v>
      </c>
      <c r="O20" s="30" t="s">
        <v>427</v>
      </c>
      <c r="P20" s="151">
        <f t="shared" si="4"/>
        <v>233.81257499999998</v>
      </c>
    </row>
    <row r="21" spans="12:16" s="147" customFormat="1" ht="11.25">
      <c r="M21" s="30" t="str">
        <f t="shared" si="1"/>
        <v>5JURÍDICA</v>
      </c>
      <c r="N21" s="30">
        <v>5</v>
      </c>
      <c r="O21" s="30" t="s">
        <v>427</v>
      </c>
      <c r="P21" s="151">
        <f t="shared" si="4"/>
        <v>187.05005999999997</v>
      </c>
    </row>
    <row r="22" spans="12:16" s="147" customFormat="1" ht="11.25">
      <c r="M22" s="30" t="str">
        <f t="shared" si="1"/>
        <v>6JURÍDICA</v>
      </c>
      <c r="N22" s="30">
        <v>6</v>
      </c>
      <c r="O22" s="30" t="s">
        <v>427</v>
      </c>
      <c r="P22" s="151">
        <f t="shared" si="4"/>
        <v>155.87504999999999</v>
      </c>
    </row>
    <row r="23" spans="12:16" s="147" customFormat="1" ht="11.25">
      <c r="M23" s="30" t="str">
        <f t="shared" si="1"/>
        <v>7JURÍDICA</v>
      </c>
      <c r="N23" s="30">
        <v>7</v>
      </c>
      <c r="O23" s="30" t="s">
        <v>427</v>
      </c>
      <c r="P23" s="151">
        <f t="shared" si="4"/>
        <v>133.60718571428569</v>
      </c>
    </row>
    <row r="24" spans="12:16" s="147" customFormat="1" ht="11.25">
      <c r="M24" s="30" t="str">
        <f t="shared" si="1"/>
        <v>8JURÍDICA</v>
      </c>
      <c r="N24" s="30">
        <v>8</v>
      </c>
      <c r="O24" s="30" t="s">
        <v>427</v>
      </c>
      <c r="P24" s="153">
        <f>+IF(J12&lt;60," ",J12)</f>
        <v>116.90628749999999</v>
      </c>
    </row>
    <row r="25" spans="12:16" s="147" customFormat="1" ht="11.25">
      <c r="M25" s="30" t="str">
        <f t="shared" si="1"/>
        <v>9JURÍDICA</v>
      </c>
      <c r="N25" s="30">
        <v>9</v>
      </c>
      <c r="O25" s="30" t="s">
        <v>427</v>
      </c>
      <c r="P25" s="153">
        <f>+IF(J13&lt;60," ",J13)</f>
        <v>103.91669999999999</v>
      </c>
    </row>
    <row r="26" spans="12:16" s="147" customFormat="1" ht="11.25">
      <c r="M26" s="30" t="str">
        <f t="shared" si="1"/>
        <v>10JURÍDICA</v>
      </c>
      <c r="N26" s="30">
        <v>10</v>
      </c>
      <c r="O26" s="30" t="s">
        <v>427</v>
      </c>
      <c r="P26" s="153">
        <f>+IF(J14&lt;60," ",J14)</f>
        <v>93.525029999999987</v>
      </c>
    </row>
    <row r="27" spans="12:16" s="147" customFormat="1" ht="11.25">
      <c r="M27" s="30" t="str">
        <f t="shared" si="1"/>
        <v>11JURÍDICA</v>
      </c>
      <c r="N27" s="30">
        <v>11</v>
      </c>
      <c r="O27" s="30" t="s">
        <v>427</v>
      </c>
      <c r="P27" s="153">
        <f>+IF(J15&lt;60," ",J15)</f>
        <v>85.022754545454532</v>
      </c>
    </row>
    <row r="28" spans="12:16" s="147" customFormat="1" ht="11.25">
      <c r="M28" s="30" t="str">
        <f t="shared" si="1"/>
        <v>12JURÍDICA</v>
      </c>
      <c r="N28" s="30">
        <v>12</v>
      </c>
      <c r="O28" s="30" t="s">
        <v>427</v>
      </c>
      <c r="P28" s="153">
        <f>+IF(J16&lt;60," ",J16)</f>
        <v>77.937524999999994</v>
      </c>
    </row>
    <row r="29" spans="12:16" s="147" customFormat="1" ht="11.25"/>
    <row r="30" spans="12:16" s="147" customFormat="1" ht="11.25"/>
    <row r="31" spans="12:16" s="147" customFormat="1" ht="11.25"/>
    <row r="32" spans="12:16" s="147" customFormat="1" ht="11.25"/>
    <row r="33" s="147" customFormat="1" ht="11.25"/>
    <row r="34" s="147" customFormat="1" ht="11.25"/>
    <row r="35" s="147" customFormat="1" ht="11.25"/>
    <row r="36" s="147" customFormat="1" ht="11.25"/>
    <row r="37" s="147" customFormat="1" ht="11.25"/>
    <row r="38" s="147" customFormat="1" ht="11.25"/>
    <row r="39" s="147" customFormat="1" ht="11.25"/>
    <row r="40" s="147" customFormat="1" ht="11.25"/>
    <row r="41" s="147" customFormat="1" ht="11.25"/>
    <row r="42" s="147" customFormat="1" ht="11.25"/>
    <row r="43" s="147" customFormat="1" ht="11.25"/>
    <row r="44" s="147" customFormat="1" ht="11.25"/>
    <row r="45" s="147" customFormat="1" ht="11.25"/>
    <row r="46" s="147" customFormat="1" ht="11.25"/>
    <row r="47" s="147" customFormat="1" ht="11.25"/>
    <row r="48" s="147" customFormat="1" ht="11.25"/>
    <row r="49" s="147" customFormat="1" ht="11.25"/>
    <row r="50" s="147" customFormat="1" ht="11.25"/>
    <row r="51" s="147" customFormat="1" ht="11.25"/>
    <row r="52" s="147" customFormat="1" ht="11.25"/>
    <row r="53" s="147" customFormat="1" ht="11.25"/>
    <row r="54" s="147" customFormat="1" ht="11.25"/>
    <row r="55" s="147" customFormat="1" ht="11.25"/>
    <row r="56" s="154" customFormat="1" ht="12"/>
    <row r="57" s="154" customFormat="1" ht="12"/>
    <row r="58" s="154" customFormat="1" ht="12"/>
    <row r="59" s="154" customFormat="1" ht="12"/>
    <row r="60" s="154" customFormat="1" ht="12"/>
    <row r="61" s="154" customFormat="1" ht="12"/>
    <row r="62" s="154" customFormat="1" ht="12"/>
    <row r="63" s="154" customFormat="1" ht="12"/>
    <row r="64" s="154" customFormat="1" ht="12"/>
    <row r="65" s="154" customFormat="1" ht="12"/>
    <row r="66" s="154" customFormat="1" ht="12"/>
    <row r="67" s="154" customFormat="1" ht="12"/>
    <row r="68" s="154" customFormat="1" ht="12"/>
    <row r="69" s="154" customFormat="1" ht="12"/>
    <row r="70" s="154" customFormat="1" ht="12"/>
    <row r="71" s="154" customFormat="1" ht="12"/>
    <row r="72" s="154" customFormat="1" ht="12"/>
    <row r="73" s="154" customFormat="1" ht="12"/>
    <row r="74" s="154" customFormat="1" ht="12"/>
    <row r="75" s="154" customFormat="1" ht="12"/>
    <row r="76" s="154" customFormat="1" ht="12"/>
    <row r="77" s="154" customFormat="1" ht="12"/>
    <row r="78" s="154" customFormat="1" ht="12"/>
    <row r="79" s="154" customFormat="1" ht="12"/>
    <row r="80" s="154" customFormat="1" ht="12"/>
    <row r="81" s="154" customFormat="1" ht="12"/>
    <row r="82" s="154" customFormat="1" ht="12"/>
    <row r="83" s="154" customFormat="1" ht="12"/>
    <row r="84" s="154" customFormat="1" ht="12"/>
    <row r="85" s="154" customFormat="1" ht="12"/>
    <row r="86" s="154" customFormat="1" ht="12"/>
    <row r="87" s="154" customFormat="1" ht="12"/>
    <row r="88" s="154" customFormat="1" ht="12"/>
    <row r="89" s="154" customFormat="1" ht="12"/>
    <row r="90" s="154" customFormat="1" ht="12"/>
    <row r="91" s="154" customFormat="1" ht="12"/>
    <row r="92" s="154" customFormat="1" ht="12"/>
    <row r="93" s="154" customFormat="1" ht="12"/>
    <row r="94" s="154" customFormat="1" ht="12"/>
    <row r="95" s="154" customFormat="1" ht="12"/>
    <row r="96" s="154" customFormat="1" ht="12"/>
    <row r="97" s="154" customFormat="1" ht="12"/>
    <row r="98" s="154" customFormat="1" ht="12"/>
    <row r="99" s="154" customFormat="1" ht="12"/>
    <row r="100" s="154" customFormat="1" ht="12"/>
    <row r="101" s="154" customFormat="1" ht="12"/>
    <row r="102" s="154" customFormat="1" ht="12"/>
    <row r="103" s="154" customFormat="1" ht="12"/>
    <row r="104" s="154" customFormat="1" ht="12"/>
    <row r="105" s="154" customFormat="1" ht="12"/>
    <row r="106" s="154" customFormat="1" ht="12"/>
    <row r="107" s="154" customFormat="1" ht="12"/>
    <row r="108" s="154" customFormat="1" ht="12"/>
    <row r="109" s="154" customFormat="1" ht="12"/>
    <row r="110" s="154" customFormat="1" ht="12"/>
    <row r="111" s="154" customFormat="1" ht="12"/>
    <row r="112" s="154" customFormat="1" ht="12"/>
    <row r="113" s="154" customFormat="1" ht="12"/>
    <row r="114" s="154" customFormat="1" ht="12"/>
    <row r="115" s="154" customFormat="1" ht="12"/>
    <row r="116" s="154" customFormat="1" ht="12"/>
    <row r="117" s="154" customFormat="1" ht="12"/>
    <row r="118" s="154" customFormat="1" ht="12"/>
    <row r="119" s="154" customFormat="1" ht="12"/>
    <row r="120" s="154" customFormat="1" ht="12"/>
    <row r="121" s="154" customFormat="1" ht="12"/>
    <row r="122" s="154" customFormat="1" ht="12"/>
    <row r="123" s="154" customFormat="1" ht="12"/>
    <row r="124" s="154" customFormat="1" ht="12"/>
    <row r="125" s="154" customFormat="1" ht="12"/>
    <row r="126" s="154" customFormat="1" ht="12"/>
    <row r="127" s="154" customFormat="1" ht="12"/>
    <row r="128" s="154" customFormat="1" ht="12"/>
    <row r="129" s="154" customFormat="1" ht="12"/>
    <row r="130" s="154" customFormat="1" ht="12"/>
    <row r="131" s="154" customFormat="1" ht="12"/>
    <row r="132" s="154" customFormat="1" ht="12"/>
    <row r="133" s="154" customFormat="1" ht="12"/>
    <row r="134" s="154" customFormat="1" ht="12"/>
  </sheetData>
  <mergeCells count="29">
    <mergeCell ref="B5:B16"/>
    <mergeCell ref="F5:I5"/>
    <mergeCell ref="J5:K5"/>
    <mergeCell ref="F6:I6"/>
    <mergeCell ref="J6:K6"/>
    <mergeCell ref="F7:I7"/>
    <mergeCell ref="F10:I10"/>
    <mergeCell ref="J10:K10"/>
    <mergeCell ref="F8:I8"/>
    <mergeCell ref="J8:K8"/>
    <mergeCell ref="F9:I9"/>
    <mergeCell ref="J9:K9"/>
    <mergeCell ref="F11:I11"/>
    <mergeCell ref="J11:K11"/>
    <mergeCell ref="F12:I12"/>
    <mergeCell ref="J12:K12"/>
    <mergeCell ref="H2:I2"/>
    <mergeCell ref="J2:K2"/>
    <mergeCell ref="F4:I4"/>
    <mergeCell ref="J4:K4"/>
    <mergeCell ref="J7:K7"/>
    <mergeCell ref="F16:I16"/>
    <mergeCell ref="J16:K16"/>
    <mergeCell ref="F13:I13"/>
    <mergeCell ref="J13:K13"/>
    <mergeCell ref="F14:I14"/>
    <mergeCell ref="J14:K14"/>
    <mergeCell ref="F15:I15"/>
    <mergeCell ref="J15:K1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P36"/>
  <sheetViews>
    <sheetView topLeftCell="A13" zoomScale="110" zoomScaleNormal="110" workbookViewId="0">
      <selection activeCell="F40" sqref="F40"/>
    </sheetView>
  </sheetViews>
  <sheetFormatPr baseColWidth="10" defaultColWidth="15" defaultRowHeight="12"/>
  <cols>
    <col min="1" max="1" width="2.28515625" style="35" customWidth="1"/>
    <col min="2" max="2" width="19.7109375" style="35" customWidth="1"/>
    <col min="3" max="3" width="15.85546875" style="35" customWidth="1"/>
    <col min="4" max="4" width="19" style="35" customWidth="1"/>
    <col min="5" max="5" width="15" style="35" customWidth="1"/>
    <col min="6" max="6" width="3.42578125" style="35" customWidth="1"/>
    <col min="7" max="7" width="11.140625" style="35" customWidth="1"/>
    <col min="8" max="8" width="14" style="35" customWidth="1"/>
    <col min="9" max="9" width="18.42578125" style="35" customWidth="1"/>
    <col min="10" max="10" width="9.42578125" style="35" customWidth="1"/>
    <col min="11" max="12" width="15" style="35"/>
    <col min="13" max="13" width="5.140625" style="35" customWidth="1"/>
    <col min="14" max="14" width="15" style="35"/>
    <col min="15" max="15" width="18.42578125" style="35" customWidth="1"/>
    <col min="16" max="16" width="16.85546875" style="35" customWidth="1"/>
    <col min="17" max="16384" width="15" style="35"/>
  </cols>
  <sheetData>
    <row r="1" spans="2:13" ht="3" customHeight="1"/>
    <row r="2" spans="2:13" ht="26.25" customHeight="1">
      <c r="B2" s="312" t="s">
        <v>240</v>
      </c>
      <c r="C2" s="312"/>
      <c r="D2" s="312"/>
      <c r="E2" s="312"/>
      <c r="F2" s="312"/>
      <c r="G2" s="312"/>
      <c r="H2" s="312"/>
      <c r="I2" s="312"/>
    </row>
    <row r="3" spans="2:13">
      <c r="C3" s="99"/>
    </row>
    <row r="4" spans="2:13" ht="12.75" hidden="1">
      <c r="B4" s="97" t="s">
        <v>189</v>
      </c>
      <c r="C4" s="98">
        <f ca="1">+YEAR(D4)</f>
        <v>2019</v>
      </c>
      <c r="D4" s="99">
        <f ca="1">+TODAY()</f>
        <v>43483</v>
      </c>
      <c r="E4" s="155"/>
      <c r="F4" s="155"/>
      <c r="G4" s="155"/>
      <c r="H4" s="155"/>
      <c r="I4" s="155"/>
    </row>
    <row r="5" spans="2:13" ht="12.75" hidden="1">
      <c r="B5" s="97" t="s">
        <v>680</v>
      </c>
      <c r="C5" s="98">
        <f ca="1">+IFERROR((C4-E11),0)</f>
        <v>0</v>
      </c>
    </row>
    <row r="6" spans="2:13" ht="15" customHeight="1">
      <c r="B6" s="384" t="s">
        <v>245</v>
      </c>
      <c r="C6" s="384"/>
      <c r="D6" s="313"/>
      <c r="E6" s="314"/>
      <c r="F6" s="314"/>
      <c r="G6" s="314"/>
      <c r="H6" s="314"/>
      <c r="I6" s="314"/>
    </row>
    <row r="7" spans="2:13" ht="9" customHeight="1">
      <c r="B7" s="213"/>
      <c r="C7" s="214"/>
    </row>
    <row r="8" spans="2:13" ht="12.75" hidden="1">
      <c r="B8" s="211"/>
      <c r="C8" s="212"/>
    </row>
    <row r="9" spans="2:13" ht="6.75" hidden="1" customHeight="1"/>
    <row r="10" spans="2:13" ht="23.25" customHeight="1">
      <c r="B10" s="234" t="s">
        <v>0</v>
      </c>
      <c r="C10" s="234" t="s">
        <v>1</v>
      </c>
      <c r="D10" s="234" t="s">
        <v>429</v>
      </c>
      <c r="E10" s="234" t="s">
        <v>222</v>
      </c>
      <c r="F10" s="343" t="s">
        <v>190</v>
      </c>
      <c r="G10" s="343"/>
      <c r="H10" s="234" t="s">
        <v>428</v>
      </c>
      <c r="I10" s="234" t="s">
        <v>722</v>
      </c>
      <c r="J10" s="213"/>
      <c r="K10" s="345" t="s">
        <v>683</v>
      </c>
      <c r="L10" s="345"/>
    </row>
    <row r="11" spans="2:13" ht="18" customHeight="1">
      <c r="B11" s="235" t="s">
        <v>152</v>
      </c>
      <c r="C11" s="235" t="s">
        <v>499</v>
      </c>
      <c r="D11" s="235" t="s">
        <v>721</v>
      </c>
      <c r="E11" s="235" t="s">
        <v>727</v>
      </c>
      <c r="F11" s="344">
        <v>22500</v>
      </c>
      <c r="G11" s="344"/>
      <c r="H11" s="236" t="s">
        <v>424</v>
      </c>
      <c r="I11" s="275" t="s">
        <v>723</v>
      </c>
      <c r="J11" s="233"/>
      <c r="K11" s="345"/>
      <c r="L11" s="345"/>
      <c r="M11" s="101"/>
    </row>
    <row r="12" spans="2:13" ht="18" hidden="1" customHeight="1">
      <c r="C12" s="232"/>
      <c r="D12" s="232"/>
      <c r="E12" s="232"/>
      <c r="F12" s="233"/>
      <c r="G12" s="233"/>
      <c r="H12" s="233"/>
      <c r="K12" s="229"/>
      <c r="L12" s="229"/>
      <c r="M12" s="101"/>
    </row>
    <row r="13" spans="2:13" ht="18" customHeight="1">
      <c r="C13" s="232"/>
      <c r="D13" s="232"/>
      <c r="E13" s="232"/>
      <c r="F13" s="233"/>
      <c r="G13" s="233"/>
      <c r="H13" s="233"/>
      <c r="K13" s="229"/>
      <c r="L13" s="229"/>
      <c r="M13" s="101"/>
    </row>
    <row r="14" spans="2:13" ht="16.5" customHeight="1">
      <c r="F14" s="35" t="s">
        <v>253</v>
      </c>
    </row>
    <row r="15" spans="2:13" ht="18" customHeight="1">
      <c r="B15" s="323"/>
      <c r="C15" s="324"/>
      <c r="D15" s="48" t="s">
        <v>168</v>
      </c>
      <c r="E15" s="335" t="s">
        <v>169</v>
      </c>
      <c r="F15" s="336"/>
      <c r="G15" s="331" t="s">
        <v>173</v>
      </c>
      <c r="H15" s="331"/>
      <c r="I15" s="49" t="s">
        <v>182</v>
      </c>
    </row>
    <row r="16" spans="2:13" ht="16.5" customHeight="1">
      <c r="B16" s="321" t="s">
        <v>183</v>
      </c>
      <c r="C16" s="322"/>
      <c r="D16" s="223" t="str">
        <f>+IFERROR(VLOOKUP('INGRESO DE INFORMACION'!B11&amp;'INGRESO DE INFORMACION'!C11,'V1 GPS'!A2:H35,8,0),"NO")</f>
        <v>NO</v>
      </c>
      <c r="E16" s="355" t="str">
        <f>+IFERROR(VLOOKUP(B11&amp;C11,'V1 GPS'!J2:Q35,8,0),"NO")</f>
        <v>NO</v>
      </c>
      <c r="F16" s="356"/>
      <c r="G16" s="332" t="str">
        <f>+IFERROR(VLOOKUP(B11&amp;C11,'V1 GPS'!S2:Z35,8,0),"NO")</f>
        <v>NO</v>
      </c>
      <c r="H16" s="332"/>
      <c r="I16" s="224" t="str">
        <f>+IFERROR(VLOOKUP(B11&amp;C11,'V1 GPS'!AB2:AI35,8,0),"NO")</f>
        <v>NO</v>
      </c>
      <c r="K16" s="346" t="s">
        <v>257</v>
      </c>
      <c r="L16" s="347"/>
      <c r="M16" s="348"/>
    </row>
    <row r="17" spans="1:16" ht="3" customHeight="1">
      <c r="B17" s="385"/>
      <c r="C17" s="386"/>
      <c r="D17" s="225"/>
      <c r="E17" s="382"/>
      <c r="F17" s="383"/>
      <c r="G17" s="330"/>
      <c r="H17" s="330"/>
      <c r="I17" s="226"/>
      <c r="K17" s="193"/>
      <c r="L17" s="194"/>
      <c r="M17" s="195"/>
    </row>
    <row r="18" spans="1:16" ht="14.25" customHeight="1">
      <c r="B18" s="321" t="s">
        <v>2</v>
      </c>
      <c r="C18" s="322"/>
      <c r="D18" s="223" t="str">
        <f>+IFERROR(VLOOKUP(B11&amp;C11,'V1 -CLA'!B5:E111,4,0),"BAJORIESGO2")</f>
        <v>BAJORIESGO2</v>
      </c>
      <c r="E18" s="355" t="str">
        <f>+IFERROR(VLOOKUP(B11&amp;C11,'V1 -CLA'!G5:J125,4,0),"BAJORIESGO")</f>
        <v>BAJORIESGO</v>
      </c>
      <c r="F18" s="356"/>
      <c r="G18" s="332" t="str">
        <f>+IFERROR(VLOOKUP(B11&amp;C11,'V1 -CLA'!L5:O101,4,0),"BAJORIESGO")</f>
        <v>BAJORIESGO</v>
      </c>
      <c r="H18" s="332"/>
      <c r="I18" s="223" t="str">
        <f>+IFERROR(VLOOKUP(B11&amp;C11,'V1 -CLA'!Q5:T98,4,0),"BAJORIESGO1")</f>
        <v>BAJORIESGO1</v>
      </c>
      <c r="K18" s="349" t="s">
        <v>264</v>
      </c>
      <c r="L18" s="350"/>
      <c r="M18" s="351"/>
    </row>
    <row r="19" spans="1:16" ht="3" customHeight="1">
      <c r="B19" s="196"/>
      <c r="C19" s="196"/>
      <c r="D19" s="48"/>
      <c r="E19" s="335"/>
      <c r="F19" s="336"/>
      <c r="G19" s="331"/>
      <c r="H19" s="331"/>
      <c r="I19" s="49"/>
      <c r="K19" s="193"/>
      <c r="L19" s="194"/>
      <c r="M19" s="195"/>
    </row>
    <row r="20" spans="1:16" ht="23.25" customHeight="1">
      <c r="B20" s="367" t="s">
        <v>716</v>
      </c>
      <c r="C20" s="368"/>
      <c r="D20" s="210">
        <f>+VLOOKUP(D18&amp;E11,'V1 TASAS'!B1:E81,4,0)</f>
        <v>3.5999999999999997E-2</v>
      </c>
      <c r="E20" s="374">
        <f>+VLOOKUP(E18&amp;E11,'V1 TASAS'!G1:J61,4,0)</f>
        <v>3.7999999999999999E-2</v>
      </c>
      <c r="F20" s="375"/>
      <c r="G20" s="352">
        <f>+VLOOKUP(G21&amp;$G$18&amp;$E$11,'V1 TASAS'!$L$1:$P$181,5,0)</f>
        <v>3.2500000000000001E-2</v>
      </c>
      <c r="H20" s="352"/>
      <c r="I20" s="210">
        <f>+VLOOKUP(I18&amp;E11,'V1 TASAS'!R1:U81,4,0)</f>
        <v>3.5999999999999997E-2</v>
      </c>
      <c r="K20" s="193"/>
      <c r="L20" s="194"/>
      <c r="M20" s="195"/>
    </row>
    <row r="21" spans="1:16" ht="27.75" customHeight="1">
      <c r="B21" s="372" t="s">
        <v>718</v>
      </c>
      <c r="C21" s="373"/>
      <c r="D21" s="192">
        <v>0.2</v>
      </c>
      <c r="E21" s="376">
        <v>0.2</v>
      </c>
      <c r="F21" s="377"/>
      <c r="G21" s="360">
        <v>0.2</v>
      </c>
      <c r="H21" s="360"/>
      <c r="I21" s="192">
        <v>0.2</v>
      </c>
      <c r="K21" s="193"/>
      <c r="L21" s="194"/>
      <c r="M21" s="195"/>
      <c r="O21" s="215"/>
      <c r="P21" s="216"/>
    </row>
    <row r="22" spans="1:16" ht="27.75" customHeight="1">
      <c r="B22" s="369" t="s">
        <v>717</v>
      </c>
      <c r="C22" s="370"/>
      <c r="D22" s="371"/>
      <c r="E22" s="376" t="str">
        <f>+VLOOKUP(E18,O22:P24,2,0)</f>
        <v>BR</v>
      </c>
      <c r="F22" s="377"/>
      <c r="G22" s="353"/>
      <c r="H22" s="354"/>
      <c r="I22" s="209"/>
      <c r="K22" s="193"/>
      <c r="L22" s="194"/>
      <c r="M22" s="195"/>
      <c r="O22" s="217" t="s">
        <v>217</v>
      </c>
      <c r="P22" s="218" t="s">
        <v>706</v>
      </c>
    </row>
    <row r="23" spans="1:16" ht="22.5" customHeight="1">
      <c r="B23" s="325" t="s">
        <v>236</v>
      </c>
      <c r="C23" s="326"/>
      <c r="D23" s="199">
        <v>0.05</v>
      </c>
      <c r="E23" s="378">
        <v>0</v>
      </c>
      <c r="F23" s="379"/>
      <c r="G23" s="364" t="s">
        <v>225</v>
      </c>
      <c r="H23" s="364"/>
      <c r="I23" s="199" t="s">
        <v>225</v>
      </c>
      <c r="K23" s="337" t="s">
        <v>267</v>
      </c>
      <c r="L23" s="338"/>
      <c r="M23" s="339"/>
      <c r="O23" s="217" t="s">
        <v>127</v>
      </c>
      <c r="P23" s="218" t="s">
        <v>707</v>
      </c>
    </row>
    <row r="24" spans="1:16" ht="5.25" hidden="1" customHeight="1">
      <c r="A24" s="90" t="s">
        <v>235</v>
      </c>
      <c r="B24" s="327" t="s">
        <v>231</v>
      </c>
      <c r="C24" s="328"/>
      <c r="D24" s="230">
        <f>+D20*(100%-D23)</f>
        <v>3.4199999999999994E-2</v>
      </c>
      <c r="E24" s="374">
        <f>+E20*(100%-E23)</f>
        <v>3.7999999999999999E-2</v>
      </c>
      <c r="F24" s="375"/>
      <c r="G24" s="352">
        <f>+G20</f>
        <v>3.2500000000000001E-2</v>
      </c>
      <c r="H24" s="352"/>
      <c r="I24" s="230">
        <f>+I20</f>
        <v>3.5999999999999997E-2</v>
      </c>
      <c r="K24" s="193"/>
      <c r="L24" s="194"/>
      <c r="M24" s="195"/>
      <c r="O24" s="219" t="s">
        <v>128</v>
      </c>
      <c r="P24" s="220" t="s">
        <v>708</v>
      </c>
    </row>
    <row r="25" spans="1:16" ht="21" customHeight="1">
      <c r="B25" s="325" t="s">
        <v>238</v>
      </c>
      <c r="C25" s="326"/>
      <c r="D25" s="199">
        <v>0.2</v>
      </c>
      <c r="E25" s="378">
        <v>0.2</v>
      </c>
      <c r="F25" s="379"/>
      <c r="G25" s="363">
        <v>0.15</v>
      </c>
      <c r="H25" s="363"/>
      <c r="I25" s="199" t="s">
        <v>225</v>
      </c>
      <c r="K25" s="340" t="s">
        <v>270</v>
      </c>
      <c r="L25" s="341"/>
      <c r="M25" s="342"/>
    </row>
    <row r="26" spans="1:16" ht="15.75" customHeight="1">
      <c r="B26" s="387" t="s">
        <v>237</v>
      </c>
      <c r="C26" s="388"/>
      <c r="D26" s="91">
        <f>+VLOOKUP(D25,'V1 Desccuentos Contra Comsiones'!B5:C16,2,0)</f>
        <v>0</v>
      </c>
      <c r="E26" s="380">
        <f>+VLOOKUP(E25,'V1 Desccuentos Contra Comsiones'!M5:N26,2,0)</f>
        <v>0</v>
      </c>
      <c r="F26" s="381"/>
      <c r="G26" s="361">
        <f>+(G20-G27)/G20</f>
        <v>7.6923076923076983E-2</v>
      </c>
      <c r="H26" s="362"/>
      <c r="I26" s="92" t="s">
        <v>225</v>
      </c>
    </row>
    <row r="27" spans="1:16" ht="14.25" customHeight="1">
      <c r="B27" s="387" t="s">
        <v>684</v>
      </c>
      <c r="C27" s="388"/>
      <c r="D27" s="91">
        <f>+D24*(100%-D26)</f>
        <v>3.4199999999999994E-2</v>
      </c>
      <c r="E27" s="380">
        <f>E20*(100%-(E23+E26))</f>
        <v>3.7999999999999999E-2</v>
      </c>
      <c r="F27" s="381"/>
      <c r="G27" s="361">
        <f>+VLOOKUP(G25&amp;G18&amp;E11,'V1 TASAS'!L1:P181,5,0)</f>
        <v>0.03</v>
      </c>
      <c r="H27" s="361"/>
      <c r="I27" s="91" t="s">
        <v>225</v>
      </c>
    </row>
    <row r="28" spans="1:16" ht="3" customHeight="1">
      <c r="B28" s="323"/>
      <c r="C28" s="324"/>
      <c r="D28" s="48"/>
      <c r="E28" s="335"/>
      <c r="F28" s="336"/>
      <c r="G28" s="331"/>
      <c r="H28" s="331"/>
      <c r="I28" s="49"/>
    </row>
    <row r="29" spans="1:16" ht="20.25" hidden="1" customHeight="1">
      <c r="B29" s="197" t="s">
        <v>63</v>
      </c>
      <c r="C29" s="197"/>
      <c r="D29" s="95">
        <f>+$F$11*D27</f>
        <v>769.49999999999989</v>
      </c>
      <c r="E29" s="315">
        <f>+$F$11*E27</f>
        <v>855</v>
      </c>
      <c r="F29" s="316"/>
      <c r="G29" s="357">
        <f>+$F$11*G27</f>
        <v>675</v>
      </c>
      <c r="H29" s="357"/>
      <c r="I29" s="95">
        <f>+F11*I24</f>
        <v>809.99999999999989</v>
      </c>
    </row>
    <row r="30" spans="1:16" ht="15" hidden="1" customHeight="1">
      <c r="A30" s="90" t="s">
        <v>239</v>
      </c>
      <c r="B30" s="198" t="s">
        <v>233</v>
      </c>
      <c r="C30" s="198"/>
      <c r="D30" s="94">
        <v>350</v>
      </c>
      <c r="E30" s="317">
        <v>350</v>
      </c>
      <c r="F30" s="318"/>
      <c r="G30" s="329">
        <v>350</v>
      </c>
      <c r="H30" s="329"/>
      <c r="I30" s="94">
        <v>360</v>
      </c>
    </row>
    <row r="31" spans="1:16" ht="15" hidden="1" customHeight="1">
      <c r="A31" s="90" t="s">
        <v>239</v>
      </c>
      <c r="B31" s="198" t="s">
        <v>232</v>
      </c>
      <c r="C31" s="198"/>
      <c r="D31" s="231">
        <f>+MAX(D29:D30)</f>
        <v>769.49999999999989</v>
      </c>
      <c r="E31" s="319">
        <f>+MAX(E29:E30)</f>
        <v>855</v>
      </c>
      <c r="F31" s="320"/>
      <c r="G31" s="358">
        <f>+MAX(G29:G30)</f>
        <v>675</v>
      </c>
      <c r="H31" s="358"/>
      <c r="I31" s="231">
        <f>+MAX(I29:I30)</f>
        <v>809.99999999999989</v>
      </c>
    </row>
    <row r="32" spans="1:16" ht="20.25" customHeight="1">
      <c r="B32" s="365" t="s">
        <v>234</v>
      </c>
      <c r="C32" s="366"/>
      <c r="D32" s="89">
        <f>+D31*1.2154</f>
        <v>935.25029999999992</v>
      </c>
      <c r="E32" s="333">
        <f>+E31*1.2154</f>
        <v>1039.1670000000001</v>
      </c>
      <c r="F32" s="334"/>
      <c r="G32" s="359">
        <f>+G31*1.2154</f>
        <v>820.39499999999998</v>
      </c>
      <c r="H32" s="359"/>
      <c r="I32" s="200">
        <v>1122.9100000000001</v>
      </c>
    </row>
    <row r="33" spans="2:9" ht="4.5" customHeight="1">
      <c r="B33" s="96"/>
      <c r="C33" s="96"/>
      <c r="D33" s="48"/>
      <c r="E33" s="335"/>
      <c r="F33" s="336"/>
      <c r="G33" s="331"/>
      <c r="H33" s="331"/>
      <c r="I33" s="49"/>
    </row>
    <row r="34" spans="2:9" ht="18" customHeight="1"/>
    <row r="35" spans="2:9" ht="18" customHeight="1"/>
    <row r="36" spans="2:9" ht="18" customHeight="1"/>
  </sheetData>
  <protectedRanges>
    <protectedRange sqref="D6" name="Rango6"/>
    <protectedRange sqref="I32" name="Rango4"/>
    <protectedRange sqref="I16" name="Rango3"/>
    <protectedRange sqref="I10:J11 C11:H13 B11" name="Rango1"/>
    <protectedRange sqref="D23:D25 I23:I25 E25:E26 G23:H25" name="Rango2"/>
    <protectedRange sqref="I23:I25 G23:H25 D23:E25" name="Rango5"/>
  </protectedRanges>
  <mergeCells count="62">
    <mergeCell ref="E17:F17"/>
    <mergeCell ref="E18:F18"/>
    <mergeCell ref="E19:F19"/>
    <mergeCell ref="B6:C6"/>
    <mergeCell ref="B28:C28"/>
    <mergeCell ref="B17:C17"/>
    <mergeCell ref="B26:C26"/>
    <mergeCell ref="B27:C27"/>
    <mergeCell ref="G33:H33"/>
    <mergeCell ref="B32:C32"/>
    <mergeCell ref="G24:H24"/>
    <mergeCell ref="B23:C23"/>
    <mergeCell ref="B20:C20"/>
    <mergeCell ref="B22:D22"/>
    <mergeCell ref="B21:C2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G16:H16"/>
    <mergeCell ref="G21:H21"/>
    <mergeCell ref="G27:H27"/>
    <mergeCell ref="G26:H26"/>
    <mergeCell ref="G25:H25"/>
    <mergeCell ref="G23:H23"/>
    <mergeCell ref="E32:F32"/>
    <mergeCell ref="E33:F33"/>
    <mergeCell ref="K23:M23"/>
    <mergeCell ref="K25:M25"/>
    <mergeCell ref="F10:G10"/>
    <mergeCell ref="F11:G11"/>
    <mergeCell ref="K10:L11"/>
    <mergeCell ref="K16:M16"/>
    <mergeCell ref="K18:M18"/>
    <mergeCell ref="G20:H20"/>
    <mergeCell ref="G22:H22"/>
    <mergeCell ref="E15:F15"/>
    <mergeCell ref="E16:F16"/>
    <mergeCell ref="G29:H29"/>
    <mergeCell ref="G31:H31"/>
    <mergeCell ref="G32:H32"/>
    <mergeCell ref="B2:I2"/>
    <mergeCell ref="D6:I6"/>
    <mergeCell ref="E29:F29"/>
    <mergeCell ref="E30:F30"/>
    <mergeCell ref="E31:F31"/>
    <mergeCell ref="B16:C16"/>
    <mergeCell ref="B18:C18"/>
    <mergeCell ref="B15:C15"/>
    <mergeCell ref="B25:C25"/>
    <mergeCell ref="B24:C24"/>
    <mergeCell ref="G30:H30"/>
    <mergeCell ref="G17:H17"/>
    <mergeCell ref="G19:H19"/>
    <mergeCell ref="G28:H28"/>
    <mergeCell ref="G15:H15"/>
    <mergeCell ref="G18:H18"/>
  </mergeCells>
  <dataValidations count="10">
    <dataValidation type="list" allowBlank="1" showInputMessage="1" showErrorMessage="1" sqref="D23" xr:uid="{00000000-0002-0000-0900-000000000000}">
      <formula1>INDIRECT($D$18)</formula1>
    </dataValidation>
    <dataValidation type="list" allowBlank="1" showInputMessage="1" showErrorMessage="1" sqref="G25:H25" xr:uid="{00000000-0002-0000-0900-000001000000}">
      <formula1>"20%, 18%, 15%"</formula1>
    </dataValidation>
    <dataValidation type="list" allowBlank="1" showInputMessage="1" showErrorMessage="1" sqref="I25 I23 G23:H23" xr:uid="{00000000-0002-0000-0900-000002000000}">
      <formula1>"Sin Descuento"</formula1>
    </dataValidation>
    <dataValidation type="list" allowBlank="1" showInputMessage="1" showErrorMessage="1" sqref="H11" xr:uid="{00000000-0002-0000-0900-000003000000}">
      <formula1>"NATURAL, JURÍDICA"</formula1>
    </dataValidation>
    <dataValidation type="list" allowBlank="1" showInputMessage="1" showErrorMessage="1" sqref="D11" xr:uid="{00000000-0002-0000-0900-000004000000}">
      <formula1>"AUTOMOVIL, CMTA. RURAL"</formula1>
    </dataValidation>
    <dataValidation type="list" allowBlank="1" showInputMessage="1" showErrorMessage="1" sqref="C11" xr:uid="{00000000-0002-0000-0900-000005000000}">
      <formula1>INDIRECT($B$11)</formula1>
    </dataValidation>
    <dataValidation type="list" allowBlank="1" showInputMessage="1" showErrorMessage="1" sqref="E25" xr:uid="{00000000-0002-0000-0900-000006000000}">
      <formula1>INDIRECT($E$22)</formula1>
    </dataValidation>
    <dataValidation type="list" allowBlank="1" showInputMessage="1" showErrorMessage="1" sqref="E23" xr:uid="{00000000-0002-0000-0900-000007000000}">
      <formula1>INDIRECT($E$18)</formula1>
    </dataValidation>
    <dataValidation type="list" allowBlank="1" showInputMessage="1" showErrorMessage="1" sqref="J11" xr:uid="{00000000-0002-0000-0900-000008000000}">
      <formula1>"LA POSITIVA,MAPRE,RIMAC,PACIFICO"</formula1>
    </dataValidation>
    <dataValidation type="list" allowBlank="1" showInputMessage="1" showErrorMessage="1" sqref="I11" xr:uid="{00000000-0002-0000-0900-000009000000}">
      <formula1>"LA POSITIVA,MAPRE,RIMAC,PACIFICO,NINGUNA"</formula1>
    </dataValidation>
  </dataValidations>
  <hyperlinks>
    <hyperlink ref="K23" r:id="rId1" display="mailto:ccastaneda@cccasesores.com" xr:uid="{00000000-0004-0000-0900-000000000000}"/>
    <hyperlink ref="K18" r:id="rId2" xr:uid="{00000000-0004-0000-0900-000001000000}"/>
  </hyperlinks>
  <pageMargins left="0.7" right="0.7" top="0.75" bottom="0.75" header="0.3" footer="0.3"/>
  <pageSetup paperSize="9" orientation="portrait" horizontalDpi="4294967292" verticalDpi="36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A000000}">
          <x14:formula1>
            <xm:f>'V1 Desccuentos Contra Comsiones'!$B$6:$B$16</xm:f>
          </x14:formula1>
          <xm:sqref>D25</xm:sqref>
        </x14:dataValidation>
        <x14:dataValidation type="list" allowBlank="1" showInputMessage="1" showErrorMessage="1" xr:uid="{00000000-0002-0000-0900-00000B000000}">
          <x14:formula1>
            <xm:f>'V1 MARCAS - MODELOS'!$A$1:$AB$1</xm:f>
          </x14:formula1>
          <xm:sqref>B11</xm:sqref>
        </x14:dataValidation>
        <x14:dataValidation type="list" allowBlank="1" showInputMessage="1" showErrorMessage="1" xr:uid="{00000000-0002-0000-0900-00000C000000}">
          <x14:formula1>
            <xm:f>'V1 TASAS'!$O$2:$O$21</xm:f>
          </x14:formula1>
          <xm:sqref>E11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N146"/>
  <sheetViews>
    <sheetView topLeftCell="A3" zoomScaleNormal="100" zoomScaleSheetLayoutView="70" zoomScalePageLayoutView="60" workbookViewId="0">
      <selection activeCell="E30" sqref="E30:F30"/>
    </sheetView>
  </sheetViews>
  <sheetFormatPr baseColWidth="10" defaultColWidth="11.42578125" defaultRowHeight="15"/>
  <cols>
    <col min="1" max="1" width="3" style="100" customWidth="1"/>
    <col min="2" max="2" width="16.85546875" style="100" customWidth="1"/>
    <col min="3" max="3" width="10.140625" style="101" customWidth="1"/>
    <col min="4" max="4" width="12.140625" style="101" customWidth="1"/>
    <col min="5" max="5" width="11.7109375" style="101" customWidth="1"/>
    <col min="6" max="6" width="13.140625" style="101" customWidth="1"/>
    <col min="7" max="7" width="15.42578125" style="101" customWidth="1"/>
    <col min="8" max="8" width="12.140625" style="101" customWidth="1"/>
    <col min="9" max="9" width="12.85546875" style="101" customWidth="1"/>
    <col min="10" max="10" width="12.42578125" style="101" customWidth="1"/>
    <col min="11" max="11" width="13.140625" style="101" customWidth="1"/>
    <col min="12" max="12" width="15.85546875" style="101" customWidth="1"/>
    <col min="13" max="13" width="7.140625" style="101" customWidth="1"/>
    <col min="14" max="14" width="12.7109375" style="102" customWidth="1"/>
    <col min="15" max="15" width="11.42578125" style="102" hidden="1" customWidth="1"/>
    <col min="16" max="17" width="0" style="101" hidden="1" customWidth="1"/>
    <col min="18" max="19" width="11.42578125" style="101" hidden="1" customWidth="1"/>
    <col min="20" max="20" width="0" style="101" hidden="1" customWidth="1"/>
    <col min="21" max="27" width="11.42578125" style="101"/>
    <col min="28" max="28" width="29.42578125" style="101" customWidth="1"/>
    <col min="29" max="29" width="24.42578125" style="101" customWidth="1"/>
    <col min="30" max="31" width="11.42578125" style="101"/>
    <col min="32" max="34" width="11.42578125" style="101" customWidth="1"/>
    <col min="35" max="16384" width="11.42578125" style="101"/>
  </cols>
  <sheetData>
    <row r="1" spans="1:18" ht="30" customHeight="1">
      <c r="P1" s="103" t="s">
        <v>241</v>
      </c>
      <c r="Q1" s="553">
        <v>2018</v>
      </c>
      <c r="R1" s="553"/>
    </row>
    <row r="2" spans="1:18" ht="30" customHeight="1">
      <c r="A2" s="101"/>
      <c r="B2" s="101"/>
      <c r="C2" s="104"/>
      <c r="F2" s="554"/>
      <c r="G2" s="554"/>
      <c r="H2" s="554"/>
      <c r="I2" s="554"/>
      <c r="J2" s="554"/>
      <c r="K2" s="554"/>
      <c r="L2" s="554"/>
      <c r="M2" s="100"/>
    </row>
    <row r="3" spans="1:18" ht="21.75" customHeight="1">
      <c r="A3" s="101"/>
      <c r="B3" s="101"/>
      <c r="C3" s="104"/>
      <c r="M3" s="100"/>
      <c r="N3" s="105"/>
    </row>
    <row r="4" spans="1:18" ht="21.75" customHeight="1">
      <c r="A4" s="101"/>
      <c r="B4" s="101"/>
      <c r="C4" s="104"/>
      <c r="M4" s="100"/>
      <c r="N4" s="105"/>
    </row>
    <row r="5" spans="1:18" ht="21.75" customHeight="1">
      <c r="A5" s="101"/>
      <c r="B5" s="101"/>
      <c r="C5" s="104"/>
      <c r="M5" s="100"/>
      <c r="N5" s="105"/>
    </row>
    <row r="6" spans="1:18" ht="21" customHeight="1">
      <c r="A6" s="101"/>
      <c r="B6" s="555" t="s">
        <v>242</v>
      </c>
      <c r="C6" s="555"/>
      <c r="D6" s="555"/>
      <c r="E6" s="555"/>
      <c r="F6" s="555"/>
      <c r="G6" s="555"/>
      <c r="H6" s="555"/>
      <c r="I6" s="555"/>
      <c r="J6" s="555"/>
      <c r="K6" s="555"/>
      <c r="L6" s="555"/>
      <c r="M6" s="100"/>
      <c r="N6" s="105"/>
    </row>
    <row r="7" spans="1:18" ht="29.25" customHeight="1">
      <c r="A7" s="101"/>
      <c r="I7" s="567" t="s">
        <v>681</v>
      </c>
      <c r="J7" s="567"/>
      <c r="K7" s="567"/>
      <c r="L7" s="567"/>
      <c r="M7" s="100"/>
      <c r="N7" s="105"/>
    </row>
    <row r="8" spans="1:18" s="100" customFormat="1" ht="19.5" customHeight="1">
      <c r="C8" s="106"/>
      <c r="N8" s="111"/>
      <c r="O8" s="110"/>
    </row>
    <row r="9" spans="1:18" s="100" customFormat="1" ht="19.5" customHeight="1">
      <c r="C9" s="106"/>
      <c r="I9" s="107" t="s">
        <v>243</v>
      </c>
      <c r="J9" s="108">
        <f ca="1">+TODAY()</f>
        <v>43483</v>
      </c>
      <c r="K9" s="109" t="s">
        <v>244</v>
      </c>
      <c r="L9" s="108">
        <f ca="1">+J9+7</f>
        <v>43490</v>
      </c>
      <c r="N9" s="111"/>
      <c r="O9" s="110"/>
    </row>
    <row r="10" spans="1:18" s="100" customFormat="1" ht="11.25" customHeight="1" thickBot="1">
      <c r="M10" s="112"/>
      <c r="N10" s="111"/>
      <c r="O10" s="110"/>
    </row>
    <row r="11" spans="1:18" s="100" customFormat="1" ht="6" customHeight="1" thickTop="1"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N11" s="111"/>
      <c r="O11" s="110"/>
    </row>
    <row r="12" spans="1:18" s="100" customFormat="1" ht="15" customHeight="1">
      <c r="B12" s="556" t="s">
        <v>245</v>
      </c>
      <c r="C12" s="556"/>
      <c r="D12" s="556"/>
      <c r="E12" s="556" t="s">
        <v>726</v>
      </c>
      <c r="F12" s="556"/>
      <c r="G12" s="556"/>
      <c r="N12" s="111"/>
      <c r="O12" s="110"/>
    </row>
    <row r="13" spans="1:18" s="100" customFormat="1" ht="15" customHeight="1">
      <c r="B13" s="556" t="s">
        <v>246</v>
      </c>
      <c r="C13" s="556"/>
      <c r="D13" s="556"/>
      <c r="E13" s="556" t="str">
        <f>+'INGRESO DE INFORMACION'!H11</f>
        <v>NATURAL</v>
      </c>
      <c r="F13" s="556"/>
      <c r="G13" s="556"/>
      <c r="N13" s="111"/>
      <c r="O13" s="110"/>
    </row>
    <row r="14" spans="1:18" s="100" customFormat="1" ht="4.5" customHeight="1" thickBot="1">
      <c r="B14" s="556"/>
      <c r="C14" s="556"/>
      <c r="D14" s="556"/>
      <c r="N14" s="111"/>
      <c r="O14" s="110"/>
    </row>
    <row r="15" spans="1:18" ht="23.25" customHeight="1" thickTop="1">
      <c r="B15" s="566"/>
      <c r="C15" s="566"/>
      <c r="D15" s="566"/>
      <c r="E15" s="113"/>
      <c r="F15" s="113"/>
      <c r="G15" s="113"/>
      <c r="H15" s="113"/>
      <c r="I15" s="113"/>
      <c r="J15" s="113"/>
      <c r="K15" s="113"/>
      <c r="L15" s="113"/>
      <c r="N15" s="105"/>
    </row>
    <row r="16" spans="1:18" s="100" customFormat="1" ht="15" hidden="1" customHeight="1">
      <c r="N16" s="111"/>
      <c r="O16" s="110"/>
    </row>
    <row r="17" spans="2:30" ht="15" customHeight="1">
      <c r="B17" s="520" t="s">
        <v>247</v>
      </c>
      <c r="C17" s="520"/>
      <c r="D17" s="520"/>
      <c r="N17" s="114"/>
      <c r="S17" s="101">
        <v>2179.6799999999998</v>
      </c>
    </row>
    <row r="18" spans="2:30" ht="3.75" customHeight="1">
      <c r="N18" s="114"/>
    </row>
    <row r="19" spans="2:30" ht="19.5" customHeight="1">
      <c r="B19" s="559" t="s">
        <v>248</v>
      </c>
      <c r="C19" s="559"/>
      <c r="D19" s="559" t="s">
        <v>249</v>
      </c>
      <c r="E19" s="559"/>
      <c r="F19" s="559" t="s">
        <v>250</v>
      </c>
      <c r="G19" s="559"/>
      <c r="H19" s="559" t="s">
        <v>251</v>
      </c>
      <c r="I19" s="559"/>
      <c r="J19" s="560" t="s">
        <v>252</v>
      </c>
      <c r="K19" s="561"/>
      <c r="L19" s="562"/>
      <c r="N19" s="114"/>
    </row>
    <row r="20" spans="2:30" ht="27" customHeight="1">
      <c r="B20" s="449" t="str">
        <f>+'INGRESO DE INFORMACION'!D11</f>
        <v>AUTOMOVIL</v>
      </c>
      <c r="C20" s="449"/>
      <c r="D20" s="449" t="str">
        <f>+'INGRESO DE INFORMACION'!B11</f>
        <v>BMW</v>
      </c>
      <c r="E20" s="449"/>
      <c r="F20" s="449" t="str">
        <f>+'INGRESO DE INFORMACION'!C11</f>
        <v>120i</v>
      </c>
      <c r="G20" s="449"/>
      <c r="H20" s="449" t="str">
        <f>+'INGRESO DE INFORMACION'!E11</f>
        <v>NUEVO 2018</v>
      </c>
      <c r="I20" s="449"/>
      <c r="J20" s="563">
        <f>+'INGRESO DE INFORMACION'!F11</f>
        <v>22500</v>
      </c>
      <c r="K20" s="564"/>
      <c r="L20" s="565"/>
      <c r="N20" s="105"/>
    </row>
    <row r="21" spans="2:30" ht="11.25" customHeight="1">
      <c r="B21" s="115"/>
      <c r="C21" s="115"/>
      <c r="D21" s="115"/>
      <c r="E21" s="115"/>
      <c r="F21" s="115"/>
      <c r="G21" s="115"/>
      <c r="H21" s="115"/>
      <c r="I21" s="115"/>
      <c r="J21" s="116" t="s">
        <v>253</v>
      </c>
      <c r="K21" s="116"/>
      <c r="L21" s="116"/>
      <c r="N21" s="105"/>
    </row>
    <row r="22" spans="2:30" ht="23.25" customHeight="1">
      <c r="B22" s="115"/>
      <c r="C22" s="115"/>
      <c r="D22" s="115"/>
      <c r="E22" s="115"/>
      <c r="F22" s="115"/>
      <c r="G22" s="115"/>
      <c r="H22" s="115"/>
      <c r="I22" s="115"/>
      <c r="J22" s="116"/>
      <c r="K22" s="116"/>
      <c r="L22" s="116"/>
      <c r="N22" s="105"/>
    </row>
    <row r="23" spans="2:30" ht="23.25" customHeight="1">
      <c r="B23" s="115"/>
      <c r="C23" s="115"/>
      <c r="D23" s="115"/>
      <c r="E23" s="115"/>
      <c r="F23" s="115"/>
      <c r="G23" s="115"/>
      <c r="H23" s="115"/>
      <c r="I23" s="115"/>
      <c r="J23" s="116"/>
      <c r="K23" s="116"/>
      <c r="L23" s="116"/>
      <c r="N23" s="105"/>
    </row>
    <row r="24" spans="2:30" ht="23.25" customHeight="1" thickBot="1">
      <c r="B24" s="520" t="s">
        <v>254</v>
      </c>
      <c r="C24" s="520"/>
      <c r="D24" s="520"/>
    </row>
    <row r="25" spans="2:30" ht="23.25" customHeight="1" thickTop="1"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</row>
    <row r="26" spans="2:30" ht="23.25" customHeight="1"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30" ht="40.5" customHeight="1">
      <c r="B27" s="540"/>
      <c r="C27" s="541"/>
      <c r="D27" s="542"/>
      <c r="E27" s="546"/>
      <c r="F27" s="523"/>
      <c r="G27" s="524"/>
      <c r="H27" s="525"/>
      <c r="I27" s="526"/>
      <c r="J27" s="527"/>
      <c r="K27" s="528"/>
      <c r="L27" s="529"/>
      <c r="N27" s="105"/>
      <c r="O27" s="101"/>
    </row>
    <row r="28" spans="2:30" ht="0.75" customHeight="1">
      <c r="B28" s="543"/>
      <c r="C28" s="544"/>
      <c r="D28" s="545"/>
      <c r="E28" s="547"/>
      <c r="F28" s="548"/>
      <c r="G28" s="549"/>
      <c r="H28" s="550"/>
      <c r="I28" s="551"/>
      <c r="J28" s="552"/>
      <c r="K28" s="557"/>
      <c r="L28" s="558"/>
      <c r="N28" s="105"/>
      <c r="O28" s="101"/>
    </row>
    <row r="29" spans="2:30" ht="24.95" hidden="1" customHeight="1">
      <c r="B29" s="535" t="s">
        <v>255</v>
      </c>
      <c r="C29" s="536"/>
      <c r="D29" s="537"/>
      <c r="E29" s="538" t="e">
        <f>+#REF!</f>
        <v>#REF!</v>
      </c>
      <c r="F29" s="538"/>
      <c r="G29" s="539" t="e">
        <f>+#REF!</f>
        <v>#REF!</v>
      </c>
      <c r="H29" s="539"/>
      <c r="I29" s="539">
        <f>+I30*1.2</f>
        <v>984.47399999999993</v>
      </c>
      <c r="J29" s="539"/>
      <c r="N29" s="105"/>
      <c r="O29" s="101"/>
    </row>
    <row r="30" spans="2:30" ht="25.5" customHeight="1">
      <c r="B30" s="530" t="s">
        <v>256</v>
      </c>
      <c r="C30" s="530"/>
      <c r="D30" s="530"/>
      <c r="E30" s="532">
        <f>+'INGRESO DE INFORMACION'!D32</f>
        <v>935.25029999999992</v>
      </c>
      <c r="F30" s="532"/>
      <c r="G30" s="532">
        <f>+'INGRESO DE INFORMACION'!E32</f>
        <v>1039.1670000000001</v>
      </c>
      <c r="H30" s="532"/>
      <c r="I30" s="532">
        <f>+'INGRESO DE INFORMACION'!G32</f>
        <v>820.39499999999998</v>
      </c>
      <c r="J30" s="532"/>
      <c r="K30" s="532">
        <f>+'INGRESO DE INFORMACION'!I32</f>
        <v>1122.9100000000001</v>
      </c>
      <c r="L30" s="532"/>
      <c r="N30" s="101"/>
      <c r="O30" s="101"/>
      <c r="AB30" s="157"/>
      <c r="AC30" s="157"/>
      <c r="AD30" s="100"/>
    </row>
    <row r="31" spans="2:30" ht="24.95" hidden="1" customHeight="1" thickBot="1">
      <c r="B31" s="533" t="s">
        <v>260</v>
      </c>
      <c r="C31" s="533"/>
      <c r="D31" s="533"/>
      <c r="E31" s="534" t="e">
        <f>+E29-E30</f>
        <v>#REF!</v>
      </c>
      <c r="F31" s="534"/>
      <c r="G31" s="534" t="e">
        <f>+G29-G30</f>
        <v>#REF!</v>
      </c>
      <c r="H31" s="534"/>
      <c r="I31" s="534">
        <f>+I29-I30</f>
        <v>164.07899999999995</v>
      </c>
      <c r="J31" s="534"/>
      <c r="K31" s="534" t="e">
        <f>+#REF!-K30</f>
        <v>#REF!</v>
      </c>
      <c r="L31" s="534"/>
      <c r="N31" s="101"/>
      <c r="O31" s="101"/>
      <c r="AB31" s="156"/>
      <c r="AC31" s="156"/>
      <c r="AD31" s="100"/>
    </row>
    <row r="32" spans="2:30" ht="24.95" customHeight="1">
      <c r="B32" s="530" t="s">
        <v>263</v>
      </c>
      <c r="C32" s="530"/>
      <c r="D32" s="530"/>
      <c r="E32" s="531" t="str">
        <f>+'INGRESO DE INFORMACION'!D16</f>
        <v>NO</v>
      </c>
      <c r="F32" s="531"/>
      <c r="G32" s="531" t="str">
        <f>+'INGRESO DE INFORMACION'!E16</f>
        <v>NO</v>
      </c>
      <c r="H32" s="531"/>
      <c r="I32" s="531" t="str">
        <f>+'INGRESO DE INFORMACION'!G16</f>
        <v>NO</v>
      </c>
      <c r="J32" s="531"/>
      <c r="K32" s="531" t="str">
        <f>+'INGRESO DE INFORMACION'!I16</f>
        <v>NO</v>
      </c>
      <c r="L32" s="531"/>
      <c r="N32" s="101"/>
      <c r="O32" s="101"/>
      <c r="AB32" s="156"/>
      <c r="AC32" s="156"/>
      <c r="AD32" s="100"/>
    </row>
    <row r="33" spans="2:30" ht="24.95" customHeight="1">
      <c r="B33" s="117"/>
      <c r="C33" s="117"/>
      <c r="D33" s="117"/>
      <c r="E33" s="118"/>
      <c r="F33" s="118"/>
      <c r="G33" s="118"/>
      <c r="H33" s="118"/>
      <c r="I33" s="118"/>
      <c r="J33" s="118"/>
      <c r="K33" s="118"/>
      <c r="L33" s="118"/>
      <c r="N33" s="101"/>
      <c r="O33" s="101"/>
      <c r="AB33" s="156"/>
      <c r="AC33" s="156"/>
      <c r="AD33" s="100"/>
    </row>
    <row r="34" spans="2:30" ht="20.100000000000001" customHeight="1">
      <c r="B34" s="101"/>
      <c r="N34" s="101"/>
      <c r="O34" s="101"/>
      <c r="AB34" s="156"/>
      <c r="AC34" s="156"/>
      <c r="AD34" s="100"/>
    </row>
    <row r="35" spans="2:30" ht="20.100000000000001" customHeight="1" thickBot="1">
      <c r="B35" s="521" t="s">
        <v>273</v>
      </c>
      <c r="C35" s="521"/>
      <c r="D35" s="521"/>
      <c r="E35" s="521"/>
      <c r="F35" s="521"/>
      <c r="G35" s="100"/>
      <c r="H35" s="100"/>
      <c r="I35" s="100"/>
      <c r="J35" s="100"/>
      <c r="K35" s="100"/>
      <c r="L35" s="100"/>
      <c r="N35" s="101"/>
      <c r="O35" s="101"/>
    </row>
    <row r="36" spans="2:30" ht="15.75" thickTop="1"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N36" s="101"/>
      <c r="O36" s="101"/>
    </row>
    <row r="37" spans="2:30" ht="42.75" customHeight="1">
      <c r="C37" s="100"/>
      <c r="D37" s="119" t="s">
        <v>274</v>
      </c>
      <c r="E37" s="522"/>
      <c r="F37" s="523"/>
      <c r="G37" s="524"/>
      <c r="H37" s="525"/>
      <c r="I37" s="526"/>
      <c r="J37" s="527"/>
      <c r="K37" s="528"/>
      <c r="L37" s="529"/>
      <c r="M37" s="100"/>
      <c r="N37" s="101"/>
      <c r="O37" s="101"/>
    </row>
    <row r="38" spans="2:30" ht="21.95" customHeight="1">
      <c r="D38" s="120">
        <v>1</v>
      </c>
      <c r="E38" s="121" t="s">
        <v>275</v>
      </c>
      <c r="F38" s="122">
        <f>+'V1 FINANCIAMIENTOS'!S5</f>
        <v>935.25029999999992</v>
      </c>
      <c r="G38" s="121" t="s">
        <v>275</v>
      </c>
      <c r="H38" s="122">
        <f>+G30</f>
        <v>1039.1670000000001</v>
      </c>
      <c r="I38" s="121" t="s">
        <v>275</v>
      </c>
      <c r="J38" s="122">
        <f>+I30</f>
        <v>820.39499999999998</v>
      </c>
      <c r="K38" s="121" t="s">
        <v>275</v>
      </c>
      <c r="L38" s="122">
        <f>+K30</f>
        <v>1122.9100000000001</v>
      </c>
      <c r="N38" s="101"/>
      <c r="O38" s="101"/>
    </row>
    <row r="39" spans="2:30" ht="21.95" customHeight="1">
      <c r="D39" s="182">
        <v>2</v>
      </c>
      <c r="E39" s="183" t="s">
        <v>275</v>
      </c>
      <c r="F39" s="184">
        <f>+'V1 FINANCIAMIENTOS'!S6</f>
        <v>467.62514999999996</v>
      </c>
      <c r="G39" s="183" t="s">
        <v>275</v>
      </c>
      <c r="H39" s="184">
        <f>+$H$38/D39</f>
        <v>519.58350000000007</v>
      </c>
      <c r="I39" s="183" t="s">
        <v>276</v>
      </c>
      <c r="J39" s="184">
        <f>+I30/2</f>
        <v>410.19749999999999</v>
      </c>
      <c r="K39" s="183" t="s">
        <v>275</v>
      </c>
      <c r="L39" s="184">
        <f>+L38/2</f>
        <v>561.45500000000004</v>
      </c>
      <c r="N39" s="101"/>
      <c r="O39" s="101"/>
    </row>
    <row r="40" spans="2:30" ht="21.95" customHeight="1">
      <c r="D40" s="120">
        <v>3</v>
      </c>
      <c r="E40" s="121" t="s">
        <v>275</v>
      </c>
      <c r="F40" s="122">
        <f>+'V1 FINANCIAMIENTOS'!S7</f>
        <v>311.75009999999997</v>
      </c>
      <c r="G40" s="121" t="s">
        <v>275</v>
      </c>
      <c r="H40" s="122">
        <f t="shared" ref="H40:H43" si="0">+$H$38/D40</f>
        <v>346.38900000000007</v>
      </c>
      <c r="I40" s="121" t="s">
        <v>277</v>
      </c>
      <c r="J40" s="122">
        <f>+I30*102.77%/3</f>
        <v>281.03998050000001</v>
      </c>
      <c r="K40" s="123"/>
      <c r="L40" s="124"/>
      <c r="N40" s="101"/>
      <c r="O40" s="101"/>
    </row>
    <row r="41" spans="2:30" ht="21.95" customHeight="1">
      <c r="D41" s="182">
        <v>4</v>
      </c>
      <c r="E41" s="183" t="s">
        <v>278</v>
      </c>
      <c r="F41" s="184">
        <f>+'V1 FINANCIAMIENTOS'!S8</f>
        <v>233.81257499999998</v>
      </c>
      <c r="G41" s="183" t="s">
        <v>275</v>
      </c>
      <c r="H41" s="184">
        <f t="shared" si="0"/>
        <v>259.79175000000004</v>
      </c>
      <c r="I41" s="183" t="s">
        <v>279</v>
      </c>
      <c r="J41" s="184">
        <f>+I30/4</f>
        <v>205.09875</v>
      </c>
      <c r="K41" s="185" t="s">
        <v>278</v>
      </c>
      <c r="L41" s="186">
        <f>+L38/4</f>
        <v>280.72750000000002</v>
      </c>
      <c r="N41" s="101"/>
      <c r="O41" s="101"/>
    </row>
    <row r="42" spans="2:30" ht="21.95" customHeight="1">
      <c r="B42" s="125"/>
      <c r="D42" s="120">
        <v>5</v>
      </c>
      <c r="E42" s="121" t="s">
        <v>278</v>
      </c>
      <c r="F42" s="122">
        <f>+'V1 FINANCIAMIENTOS'!S9</f>
        <v>187.05005999999997</v>
      </c>
      <c r="G42" s="121" t="s">
        <v>275</v>
      </c>
      <c r="H42" s="122">
        <f t="shared" si="0"/>
        <v>207.83340000000004</v>
      </c>
      <c r="I42" s="123"/>
      <c r="J42" s="124"/>
      <c r="K42" s="123"/>
      <c r="L42" s="124"/>
      <c r="N42" s="101"/>
      <c r="O42" s="101"/>
    </row>
    <row r="43" spans="2:30" ht="21.95" customHeight="1">
      <c r="D43" s="182">
        <v>6</v>
      </c>
      <c r="E43" s="183" t="s">
        <v>278</v>
      </c>
      <c r="F43" s="184">
        <f>+'V1 FINANCIAMIENTOS'!S10</f>
        <v>155.87504999999999</v>
      </c>
      <c r="G43" s="183" t="s">
        <v>275</v>
      </c>
      <c r="H43" s="184">
        <f t="shared" si="0"/>
        <v>173.19450000000003</v>
      </c>
      <c r="I43" s="183"/>
      <c r="J43" s="184"/>
      <c r="K43" s="183"/>
      <c r="L43" s="184"/>
      <c r="N43" s="101"/>
      <c r="O43" s="101"/>
    </row>
    <row r="44" spans="2:30" ht="21.95" customHeight="1">
      <c r="D44" s="120">
        <v>7</v>
      </c>
      <c r="E44" s="121" t="s">
        <v>278</v>
      </c>
      <c r="F44" s="122">
        <f>+'V1 FINANCIAMIENTOS'!S11</f>
        <v>133.60718571428569</v>
      </c>
      <c r="G44" s="121"/>
      <c r="H44" s="122"/>
      <c r="I44" s="123"/>
      <c r="J44" s="124"/>
      <c r="K44" s="123"/>
      <c r="L44" s="124"/>
      <c r="N44" s="101"/>
      <c r="O44" s="101"/>
    </row>
    <row r="45" spans="2:30" ht="21.95" customHeight="1">
      <c r="D45" s="182">
        <v>8</v>
      </c>
      <c r="E45" s="183" t="str">
        <f>+IF(F45=" "," ","Mensua*")</f>
        <v>Mensua*</v>
      </c>
      <c r="F45" s="184">
        <f>+'V1 FINANCIAMIENTOS'!S12</f>
        <v>116.90628749999999</v>
      </c>
      <c r="G45" s="183"/>
      <c r="H45" s="184"/>
      <c r="I45" s="185"/>
      <c r="J45" s="186"/>
      <c r="K45" s="185"/>
      <c r="L45" s="186"/>
      <c r="N45" s="101"/>
      <c r="O45" s="101"/>
    </row>
    <row r="46" spans="2:30" ht="21.95" customHeight="1">
      <c r="D46" s="120">
        <v>9</v>
      </c>
      <c r="E46" s="121" t="str">
        <f>+IF(F46=" "," ","Mensual*")</f>
        <v>Mensual*</v>
      </c>
      <c r="F46" s="122">
        <f>+'V1 FINANCIAMIENTOS'!S13</f>
        <v>103.91669999999999</v>
      </c>
      <c r="G46" s="123"/>
      <c r="H46" s="124"/>
      <c r="I46" s="123"/>
      <c r="J46" s="124"/>
      <c r="K46" s="123"/>
      <c r="L46" s="124"/>
      <c r="N46" s="101"/>
      <c r="O46" s="101"/>
    </row>
    <row r="47" spans="2:30" ht="21.95" customHeight="1">
      <c r="D47" s="182">
        <v>10</v>
      </c>
      <c r="E47" s="183" t="str">
        <f>+IF(F47=" "," ","Mensual*")</f>
        <v>Mensual*</v>
      </c>
      <c r="F47" s="184">
        <f>+'V1 FINANCIAMIENTOS'!S14</f>
        <v>93.525029999999987</v>
      </c>
      <c r="G47" s="185"/>
      <c r="H47" s="186"/>
      <c r="I47" s="183"/>
      <c r="J47" s="184"/>
      <c r="K47" s="185"/>
      <c r="L47" s="186"/>
      <c r="N47" s="101"/>
      <c r="O47" s="101"/>
    </row>
    <row r="48" spans="2:30" ht="21.95" customHeight="1">
      <c r="D48" s="120">
        <v>11</v>
      </c>
      <c r="E48" s="121" t="str">
        <f>+IF(F48=" "," ","Mensual*")</f>
        <v>Mensual*</v>
      </c>
      <c r="F48" s="122">
        <f>+'V1 FINANCIAMIENTOS'!S15</f>
        <v>85.022754545454532</v>
      </c>
      <c r="G48" s="123"/>
      <c r="H48" s="124"/>
      <c r="I48" s="121"/>
      <c r="J48" s="122"/>
      <c r="K48" s="121"/>
      <c r="L48" s="122"/>
      <c r="N48" s="101"/>
      <c r="O48" s="101"/>
    </row>
    <row r="49" spans="2:19" ht="21.95" customHeight="1">
      <c r="D49" s="182">
        <v>12</v>
      </c>
      <c r="E49" s="183" t="str">
        <f>+IF(F49=" "," ","Mensual*")</f>
        <v>Mensual*</v>
      </c>
      <c r="F49" s="184">
        <f>+'V1 FINANCIAMIENTOS'!S16</f>
        <v>77.937524999999994</v>
      </c>
      <c r="G49" s="183" t="str">
        <f>+IF(H49=" "," ","Mensual**")</f>
        <v>Mensual**</v>
      </c>
      <c r="H49" s="184">
        <f>+IF(E13="jurídica"," ",H38/D49)</f>
        <v>86.597250000000017</v>
      </c>
      <c r="I49" s="183" t="s">
        <v>725</v>
      </c>
      <c r="J49" s="184">
        <f>+I30/12</f>
        <v>68.366249999999994</v>
      </c>
      <c r="K49" s="183" t="s">
        <v>724</v>
      </c>
      <c r="L49" s="184">
        <f>+K30/12</f>
        <v>93.575833333333335</v>
      </c>
      <c r="N49" s="101"/>
      <c r="O49" s="101"/>
    </row>
    <row r="50" spans="2:19" ht="8.25" customHeight="1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N50" s="101"/>
      <c r="O50" s="101"/>
    </row>
    <row r="51" spans="2:19" ht="14.1" customHeight="1">
      <c r="C51" s="100"/>
      <c r="D51" s="508" t="s">
        <v>280</v>
      </c>
      <c r="E51" s="509"/>
      <c r="F51" s="509"/>
      <c r="G51" s="509"/>
      <c r="H51" s="509"/>
      <c r="I51" s="509"/>
      <c r="J51" s="509"/>
      <c r="K51" s="509"/>
      <c r="L51" s="510"/>
      <c r="N51" s="101"/>
      <c r="O51" s="101"/>
    </row>
    <row r="52" spans="2:19" ht="14.1" customHeight="1">
      <c r="C52" s="100"/>
      <c r="D52" s="511" t="s">
        <v>281</v>
      </c>
      <c r="E52" s="512"/>
      <c r="F52" s="512"/>
      <c r="G52" s="512"/>
      <c r="H52" s="512"/>
      <c r="I52" s="512"/>
      <c r="J52" s="512"/>
      <c r="K52" s="512"/>
      <c r="L52" s="513"/>
      <c r="N52" s="101"/>
      <c r="O52" s="101"/>
    </row>
    <row r="53" spans="2:19" ht="14.1" customHeight="1">
      <c r="C53" s="100"/>
      <c r="D53" s="514" t="s">
        <v>282</v>
      </c>
      <c r="E53" s="515"/>
      <c r="F53" s="515"/>
      <c r="G53" s="515"/>
      <c r="H53" s="515"/>
      <c r="I53" s="515"/>
      <c r="J53" s="515"/>
      <c r="K53" s="515"/>
      <c r="L53" s="516"/>
      <c r="N53" s="101"/>
      <c r="O53" s="101"/>
    </row>
    <row r="54" spans="2:19" ht="14.1" customHeight="1">
      <c r="C54" s="100"/>
      <c r="D54" s="126"/>
      <c r="E54" s="126"/>
      <c r="F54" s="126"/>
      <c r="G54" s="126"/>
      <c r="H54" s="126"/>
      <c r="I54" s="126"/>
      <c r="J54" s="126"/>
      <c r="K54" s="126"/>
      <c r="L54" s="126"/>
      <c r="N54" s="101"/>
      <c r="O54" s="101"/>
    </row>
    <row r="55" spans="2:19" ht="20.100000000000001" customHeight="1">
      <c r="C55" s="100"/>
      <c r="D55" s="127"/>
      <c r="E55" s="100"/>
      <c r="F55" s="100"/>
      <c r="G55" s="100"/>
      <c r="H55" s="100"/>
      <c r="I55" s="100"/>
      <c r="J55" s="100"/>
      <c r="K55" s="100"/>
      <c r="L55" s="100"/>
      <c r="N55" s="101"/>
      <c r="O55" s="101"/>
    </row>
    <row r="56" spans="2:19" ht="20.100000000000001" customHeight="1">
      <c r="C56" s="100"/>
      <c r="D56" s="127"/>
      <c r="E56" s="100"/>
      <c r="F56" s="100"/>
      <c r="G56" s="100"/>
      <c r="H56" s="100"/>
      <c r="I56" s="100"/>
      <c r="J56" s="100"/>
      <c r="K56" s="100"/>
      <c r="L56" s="100"/>
      <c r="N56" s="101"/>
      <c r="O56" s="101"/>
    </row>
    <row r="57" spans="2:19" ht="81" customHeight="1">
      <c r="B57" s="517" t="s">
        <v>283</v>
      </c>
      <c r="C57" s="518"/>
      <c r="D57" s="518"/>
      <c r="E57" s="518"/>
      <c r="F57" s="518"/>
      <c r="G57" s="518"/>
      <c r="H57" s="518"/>
      <c r="I57" s="518"/>
      <c r="J57" s="518"/>
      <c r="K57" s="518"/>
      <c r="L57" s="519"/>
      <c r="N57" s="105"/>
      <c r="O57" s="101"/>
    </row>
    <row r="58" spans="2:19" ht="12.75" customHeight="1">
      <c r="D58" s="127"/>
      <c r="N58" s="105"/>
      <c r="O58" s="101"/>
    </row>
    <row r="59" spans="2:19" ht="12.75" customHeight="1">
      <c r="D59" s="127"/>
      <c r="N59" s="105"/>
      <c r="O59" s="101"/>
    </row>
    <row r="60" spans="2:19" ht="12.75" customHeight="1">
      <c r="D60" s="127"/>
      <c r="N60" s="105"/>
      <c r="O60" s="101"/>
    </row>
    <row r="61" spans="2:19" ht="12.75" customHeight="1">
      <c r="D61" s="127"/>
      <c r="N61" s="105"/>
      <c r="O61" s="101"/>
    </row>
    <row r="62" spans="2:19" ht="16.5" customHeight="1">
      <c r="B62" s="520" t="s">
        <v>284</v>
      </c>
      <c r="C62" s="520"/>
      <c r="D62" s="520"/>
      <c r="E62" s="520"/>
      <c r="F62" s="520"/>
      <c r="G62" s="520"/>
      <c r="H62" s="520"/>
      <c r="I62" s="520"/>
      <c r="J62" s="520"/>
      <c r="K62" s="520"/>
      <c r="L62" s="520"/>
      <c r="N62" s="101"/>
      <c r="O62" s="101"/>
    </row>
    <row r="63" spans="2:19" ht="6.75" customHeight="1"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N63" s="101"/>
      <c r="O63" s="101"/>
    </row>
    <row r="64" spans="2:19" ht="44.25" customHeight="1">
      <c r="B64" s="441" t="s">
        <v>285</v>
      </c>
      <c r="C64" s="441"/>
      <c r="D64" s="441"/>
      <c r="E64" s="129"/>
      <c r="F64" s="129"/>
      <c r="G64" s="442"/>
      <c r="H64" s="442"/>
      <c r="I64" s="443"/>
      <c r="J64" s="444"/>
      <c r="K64" s="445"/>
      <c r="L64" s="446"/>
      <c r="N64" s="101"/>
      <c r="O64" s="101"/>
      <c r="R64" s="130"/>
      <c r="S64" s="131"/>
    </row>
    <row r="65" spans="2:34" ht="20.25" customHeight="1">
      <c r="B65" s="401" t="s">
        <v>371</v>
      </c>
      <c r="C65" s="401"/>
      <c r="D65" s="401"/>
      <c r="E65" s="402" t="s">
        <v>430</v>
      </c>
      <c r="F65" s="402"/>
      <c r="G65" s="402" t="s">
        <v>321</v>
      </c>
      <c r="H65" s="402"/>
      <c r="I65" s="402" t="s">
        <v>431</v>
      </c>
      <c r="J65" s="402"/>
      <c r="K65" s="402" t="s">
        <v>432</v>
      </c>
      <c r="L65" s="402"/>
      <c r="N65" s="101"/>
      <c r="O65" s="101"/>
      <c r="R65" s="130"/>
      <c r="S65" s="131"/>
    </row>
    <row r="66" spans="2:34" ht="18" customHeight="1">
      <c r="B66" s="401" t="s">
        <v>286</v>
      </c>
      <c r="C66" s="401"/>
      <c r="D66" s="401"/>
      <c r="E66" s="402" t="s">
        <v>287</v>
      </c>
      <c r="F66" s="402"/>
      <c r="G66" s="402" t="s">
        <v>287</v>
      </c>
      <c r="H66" s="402"/>
      <c r="I66" s="402" t="s">
        <v>287</v>
      </c>
      <c r="J66" s="402"/>
      <c r="K66" s="402" t="s">
        <v>287</v>
      </c>
      <c r="L66" s="402"/>
      <c r="N66" s="101"/>
      <c r="O66" s="101"/>
    </row>
    <row r="67" spans="2:34" ht="36" customHeight="1">
      <c r="B67" s="498" t="s">
        <v>288</v>
      </c>
      <c r="C67" s="499"/>
      <c r="D67" s="500"/>
      <c r="E67" s="402" t="s">
        <v>289</v>
      </c>
      <c r="F67" s="402"/>
      <c r="G67" s="402" t="s">
        <v>290</v>
      </c>
      <c r="H67" s="402"/>
      <c r="I67" s="402" t="s">
        <v>290</v>
      </c>
      <c r="J67" s="402"/>
      <c r="K67" s="402" t="s">
        <v>291</v>
      </c>
      <c r="L67" s="402"/>
      <c r="N67" s="101"/>
      <c r="O67" s="101"/>
    </row>
    <row r="68" spans="2:34" ht="0.75" customHeight="1">
      <c r="B68" s="501"/>
      <c r="C68" s="502"/>
      <c r="D68" s="503"/>
      <c r="E68" s="402"/>
      <c r="F68" s="402"/>
      <c r="G68" s="402"/>
      <c r="H68" s="402"/>
      <c r="I68" s="402"/>
      <c r="J68" s="402"/>
      <c r="K68" s="402"/>
      <c r="L68" s="402"/>
      <c r="N68" s="101"/>
      <c r="O68" s="101"/>
    </row>
    <row r="69" spans="2:34" ht="18" customHeight="1">
      <c r="B69" s="504" t="s">
        <v>292</v>
      </c>
      <c r="C69" s="505"/>
      <c r="D69" s="506"/>
      <c r="E69" s="421"/>
      <c r="F69" s="507"/>
      <c r="G69" s="507"/>
      <c r="H69" s="507"/>
      <c r="I69" s="507"/>
      <c r="J69" s="507"/>
      <c r="K69" s="507"/>
      <c r="L69" s="422"/>
      <c r="N69" s="101"/>
      <c r="O69" s="101"/>
    </row>
    <row r="70" spans="2:34" ht="17.25" customHeight="1">
      <c r="B70" s="495" t="s">
        <v>293</v>
      </c>
      <c r="C70" s="496"/>
      <c r="D70" s="497"/>
      <c r="E70" s="488" t="s">
        <v>294</v>
      </c>
      <c r="F70" s="489"/>
      <c r="G70" s="488" t="s">
        <v>295</v>
      </c>
      <c r="H70" s="489"/>
      <c r="I70" s="420" t="s">
        <v>294</v>
      </c>
      <c r="J70" s="420"/>
      <c r="K70" s="402" t="s">
        <v>294</v>
      </c>
      <c r="L70" s="402"/>
      <c r="N70" s="101"/>
      <c r="O70" s="101"/>
      <c r="AF70" s="132" t="s">
        <v>296</v>
      </c>
      <c r="AG70" s="132" t="s">
        <v>297</v>
      </c>
      <c r="AH70" s="132"/>
    </row>
    <row r="71" spans="2:34" ht="16.5" customHeight="1">
      <c r="B71" s="485" t="s">
        <v>298</v>
      </c>
      <c r="C71" s="486"/>
      <c r="D71" s="487"/>
      <c r="E71" s="488" t="s">
        <v>299</v>
      </c>
      <c r="F71" s="489"/>
      <c r="G71" s="488" t="s">
        <v>300</v>
      </c>
      <c r="H71" s="489"/>
      <c r="I71" s="420" t="s">
        <v>299</v>
      </c>
      <c r="J71" s="420"/>
      <c r="K71" s="402" t="s">
        <v>300</v>
      </c>
      <c r="L71" s="402"/>
      <c r="N71" s="101"/>
      <c r="O71" s="101"/>
      <c r="AF71" s="133" t="e">
        <f>+R64/#REF!</f>
        <v>#REF!</v>
      </c>
      <c r="AG71" s="133">
        <v>0.2</v>
      </c>
      <c r="AH71" s="133" t="e">
        <f>+AF75/R64</f>
        <v>#REF!</v>
      </c>
    </row>
    <row r="72" spans="2:34" ht="18" customHeight="1">
      <c r="B72" s="485" t="s">
        <v>301</v>
      </c>
      <c r="C72" s="486"/>
      <c r="D72" s="487"/>
      <c r="E72" s="488" t="s">
        <v>302</v>
      </c>
      <c r="F72" s="489"/>
      <c r="G72" s="488" t="s">
        <v>303</v>
      </c>
      <c r="H72" s="489"/>
      <c r="I72" s="420" t="s">
        <v>302</v>
      </c>
      <c r="J72" s="420"/>
      <c r="K72" s="402" t="s">
        <v>302</v>
      </c>
      <c r="L72" s="402"/>
      <c r="N72" s="101"/>
      <c r="O72" s="101"/>
      <c r="AF72" s="102"/>
      <c r="AG72" s="102"/>
      <c r="AH72" s="102"/>
    </row>
    <row r="73" spans="2:34" ht="18" customHeight="1">
      <c r="B73" s="490" t="s">
        <v>304</v>
      </c>
      <c r="C73" s="491"/>
      <c r="D73" s="492"/>
      <c r="E73" s="488" t="s">
        <v>305</v>
      </c>
      <c r="F73" s="489"/>
      <c r="G73" s="488" t="s">
        <v>306</v>
      </c>
      <c r="H73" s="489"/>
      <c r="I73" s="493" t="s">
        <v>307</v>
      </c>
      <c r="J73" s="494"/>
      <c r="K73" s="402" t="s">
        <v>306</v>
      </c>
      <c r="L73" s="402"/>
      <c r="N73" s="101"/>
      <c r="O73" s="101"/>
      <c r="AF73" s="102"/>
      <c r="AG73" s="102"/>
      <c r="AH73" s="102"/>
    </row>
    <row r="74" spans="2:34" ht="18.75" customHeight="1">
      <c r="B74" s="482" t="s">
        <v>308</v>
      </c>
      <c r="C74" s="483"/>
      <c r="D74" s="483"/>
      <c r="E74" s="483"/>
      <c r="F74" s="483"/>
      <c r="G74" s="483"/>
      <c r="H74" s="483"/>
      <c r="I74" s="483"/>
      <c r="J74" s="483"/>
      <c r="K74" s="483"/>
      <c r="L74" s="484"/>
      <c r="AF74" s="134"/>
      <c r="AG74" s="102"/>
      <c r="AH74" s="102"/>
    </row>
    <row r="75" spans="2:34" ht="15" customHeight="1">
      <c r="B75" s="456" t="s">
        <v>309</v>
      </c>
      <c r="C75" s="457"/>
      <c r="D75" s="458"/>
      <c r="E75" s="459" t="s">
        <v>310</v>
      </c>
      <c r="F75" s="460"/>
      <c r="G75" s="459" t="s">
        <v>311</v>
      </c>
      <c r="H75" s="460"/>
      <c r="I75" s="462" t="s">
        <v>306</v>
      </c>
      <c r="J75" s="463"/>
      <c r="K75" s="462" t="s">
        <v>306</v>
      </c>
      <c r="L75" s="463"/>
      <c r="AF75" s="135" t="e">
        <f>+#REF!-#REF!</f>
        <v>#REF!</v>
      </c>
      <c r="AG75" s="102"/>
      <c r="AH75" s="102"/>
    </row>
    <row r="76" spans="2:34" ht="15" customHeight="1">
      <c r="B76" s="472" t="s">
        <v>312</v>
      </c>
      <c r="C76" s="473"/>
      <c r="D76" s="474"/>
      <c r="E76" s="459" t="s">
        <v>313</v>
      </c>
      <c r="F76" s="460"/>
      <c r="G76" s="459" t="s">
        <v>314</v>
      </c>
      <c r="H76" s="460"/>
      <c r="I76" s="480"/>
      <c r="J76" s="481"/>
      <c r="K76" s="480"/>
      <c r="L76" s="481"/>
    </row>
    <row r="77" spans="2:34" ht="24" customHeight="1">
      <c r="B77" s="472" t="s">
        <v>315</v>
      </c>
      <c r="C77" s="473"/>
      <c r="D77" s="474"/>
      <c r="E77" s="462" t="s">
        <v>316</v>
      </c>
      <c r="F77" s="463"/>
      <c r="G77" s="462" t="s">
        <v>316</v>
      </c>
      <c r="H77" s="463"/>
      <c r="I77" s="480"/>
      <c r="J77" s="481"/>
      <c r="K77" s="480"/>
      <c r="L77" s="481"/>
    </row>
    <row r="78" spans="2:34" ht="24.75" customHeight="1">
      <c r="B78" s="472" t="s">
        <v>317</v>
      </c>
      <c r="C78" s="473"/>
      <c r="D78" s="474"/>
      <c r="E78" s="478"/>
      <c r="F78" s="479"/>
      <c r="G78" s="480"/>
      <c r="H78" s="481"/>
      <c r="I78" s="480"/>
      <c r="J78" s="481"/>
      <c r="K78" s="480"/>
      <c r="L78" s="481"/>
    </row>
    <row r="79" spans="2:34" ht="36" customHeight="1">
      <c r="B79" s="472" t="s">
        <v>318</v>
      </c>
      <c r="C79" s="473"/>
      <c r="D79" s="474"/>
      <c r="E79" s="462" t="s">
        <v>306</v>
      </c>
      <c r="F79" s="463"/>
      <c r="G79" s="480"/>
      <c r="H79" s="481"/>
      <c r="I79" s="480"/>
      <c r="J79" s="481"/>
      <c r="K79" s="480"/>
      <c r="L79" s="481"/>
    </row>
    <row r="80" spans="2:34" ht="26.25" customHeight="1">
      <c r="B80" s="472" t="s">
        <v>319</v>
      </c>
      <c r="C80" s="473"/>
      <c r="D80" s="474"/>
      <c r="E80" s="478"/>
      <c r="F80" s="479"/>
      <c r="G80" s="478"/>
      <c r="H80" s="479"/>
      <c r="I80" s="478"/>
      <c r="J80" s="479"/>
      <c r="K80" s="478"/>
      <c r="L80" s="479"/>
    </row>
    <row r="81" spans="1:40" ht="29.25" customHeight="1">
      <c r="B81" s="472" t="s">
        <v>320</v>
      </c>
      <c r="C81" s="473"/>
      <c r="D81" s="474"/>
      <c r="E81" s="459" t="s">
        <v>310</v>
      </c>
      <c r="F81" s="460"/>
      <c r="G81" s="459" t="s">
        <v>311</v>
      </c>
      <c r="H81" s="460"/>
      <c r="I81" s="461" t="s">
        <v>310</v>
      </c>
      <c r="J81" s="461"/>
      <c r="K81" s="461" t="s">
        <v>321</v>
      </c>
      <c r="L81" s="461"/>
    </row>
    <row r="82" spans="1:40" s="102" customFormat="1" ht="27.75" customHeight="1">
      <c r="A82" s="100"/>
      <c r="B82" s="475" t="s">
        <v>322</v>
      </c>
      <c r="C82" s="476"/>
      <c r="D82" s="477"/>
      <c r="E82" s="459" t="s">
        <v>314</v>
      </c>
      <c r="F82" s="460"/>
      <c r="G82" s="459" t="s">
        <v>314</v>
      </c>
      <c r="H82" s="460"/>
      <c r="I82" s="461" t="s">
        <v>323</v>
      </c>
      <c r="J82" s="461"/>
      <c r="K82" s="461" t="s">
        <v>314</v>
      </c>
      <c r="L82" s="461"/>
      <c r="M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</row>
    <row r="83" spans="1:40" s="102" customFormat="1" ht="22.5" customHeight="1">
      <c r="A83" s="100"/>
      <c r="B83" s="472" t="s">
        <v>324</v>
      </c>
      <c r="C83" s="473"/>
      <c r="D83" s="474"/>
      <c r="E83" s="459" t="s">
        <v>325</v>
      </c>
      <c r="F83" s="460"/>
      <c r="G83" s="459" t="s">
        <v>325</v>
      </c>
      <c r="H83" s="460"/>
      <c r="I83" s="459" t="s">
        <v>326</v>
      </c>
      <c r="J83" s="460"/>
      <c r="K83" s="461" t="s">
        <v>325</v>
      </c>
      <c r="L83" s="461"/>
      <c r="M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</row>
    <row r="84" spans="1:40" s="102" customFormat="1" ht="30" customHeight="1">
      <c r="A84" s="100"/>
      <c r="B84" s="456" t="s">
        <v>327</v>
      </c>
      <c r="C84" s="457"/>
      <c r="D84" s="458"/>
      <c r="E84" s="459" t="s">
        <v>310</v>
      </c>
      <c r="F84" s="460"/>
      <c r="G84" s="459" t="s">
        <v>311</v>
      </c>
      <c r="H84" s="460"/>
      <c r="I84" s="461" t="str">
        <f>I81</f>
        <v>Valor Pactado</v>
      </c>
      <c r="J84" s="461"/>
      <c r="K84" s="461" t="s">
        <v>321</v>
      </c>
      <c r="L84" s="461"/>
      <c r="M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</row>
    <row r="85" spans="1:40" s="102" customFormat="1" ht="30" customHeight="1">
      <c r="A85" s="100"/>
      <c r="B85" s="456" t="s">
        <v>328</v>
      </c>
      <c r="C85" s="457"/>
      <c r="D85" s="458"/>
      <c r="E85" s="459" t="s">
        <v>329</v>
      </c>
      <c r="F85" s="460"/>
      <c r="G85" s="459" t="s">
        <v>329</v>
      </c>
      <c r="H85" s="460"/>
      <c r="I85" s="461" t="s">
        <v>329</v>
      </c>
      <c r="J85" s="461"/>
      <c r="K85" s="461" t="s">
        <v>329</v>
      </c>
      <c r="L85" s="461"/>
      <c r="M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</row>
    <row r="86" spans="1:40" s="102" customFormat="1" ht="35.25" customHeight="1">
      <c r="A86" s="100"/>
      <c r="B86" s="466" t="s">
        <v>330</v>
      </c>
      <c r="C86" s="467"/>
      <c r="D86" s="468"/>
      <c r="E86" s="461" t="s">
        <v>455</v>
      </c>
      <c r="F86" s="461"/>
      <c r="G86" s="462" t="s">
        <v>331</v>
      </c>
      <c r="H86" s="463"/>
      <c r="I86" s="461" t="s">
        <v>455</v>
      </c>
      <c r="J86" s="461"/>
      <c r="K86" s="461" t="s">
        <v>331</v>
      </c>
      <c r="L86" s="461"/>
      <c r="M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</row>
    <row r="87" spans="1:40" s="102" customFormat="1" ht="30" customHeight="1">
      <c r="A87" s="100"/>
      <c r="B87" s="469"/>
      <c r="C87" s="470"/>
      <c r="D87" s="471"/>
      <c r="E87" s="461" t="s">
        <v>332</v>
      </c>
      <c r="F87" s="461"/>
      <c r="G87" s="464"/>
      <c r="H87" s="465"/>
      <c r="I87" s="461" t="s">
        <v>332</v>
      </c>
      <c r="J87" s="461"/>
      <c r="K87" s="461" t="s">
        <v>333</v>
      </c>
      <c r="L87" s="461"/>
      <c r="M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</row>
    <row r="88" spans="1:40" s="102" customFormat="1" ht="21.75" customHeight="1">
      <c r="A88" s="100"/>
      <c r="B88" s="453" t="s">
        <v>334</v>
      </c>
      <c r="C88" s="454"/>
      <c r="D88" s="454"/>
      <c r="E88" s="454"/>
      <c r="F88" s="454"/>
      <c r="G88" s="454"/>
      <c r="H88" s="454"/>
      <c r="I88" s="454"/>
      <c r="J88" s="454"/>
      <c r="K88" s="454"/>
      <c r="L88" s="455"/>
      <c r="M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</row>
    <row r="89" spans="1:40" s="102" customFormat="1" ht="33" customHeight="1">
      <c r="A89" s="100"/>
      <c r="B89" s="452" t="s">
        <v>335</v>
      </c>
      <c r="C89" s="452"/>
      <c r="D89" s="452"/>
      <c r="E89" s="402" t="s">
        <v>336</v>
      </c>
      <c r="F89" s="402"/>
      <c r="G89" s="402" t="s">
        <v>337</v>
      </c>
      <c r="H89" s="402"/>
      <c r="I89" s="402" t="s">
        <v>337</v>
      </c>
      <c r="J89" s="402"/>
      <c r="K89" s="402" t="s">
        <v>337</v>
      </c>
      <c r="L89" s="402"/>
      <c r="M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</row>
    <row r="90" spans="1:40" s="102" customFormat="1" ht="36.75" customHeight="1">
      <c r="A90" s="100"/>
      <c r="B90" s="452" t="s">
        <v>338</v>
      </c>
      <c r="C90" s="452"/>
      <c r="D90" s="452"/>
      <c r="E90" s="402" t="s">
        <v>339</v>
      </c>
      <c r="F90" s="402"/>
      <c r="G90" s="402" t="s">
        <v>339</v>
      </c>
      <c r="H90" s="402"/>
      <c r="I90" s="402" t="s">
        <v>682</v>
      </c>
      <c r="J90" s="402"/>
      <c r="K90" s="402" t="s">
        <v>340</v>
      </c>
      <c r="L90" s="402"/>
      <c r="M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</row>
    <row r="91" spans="1:40" s="102" customFormat="1" ht="19.5" customHeight="1">
      <c r="A91" s="100"/>
      <c r="B91" s="452" t="s">
        <v>341</v>
      </c>
      <c r="C91" s="452"/>
      <c r="D91" s="452"/>
      <c r="E91" s="402" t="s">
        <v>342</v>
      </c>
      <c r="F91" s="402"/>
      <c r="G91" s="402" t="s">
        <v>342</v>
      </c>
      <c r="H91" s="402"/>
      <c r="I91" s="451" t="s">
        <v>343</v>
      </c>
      <c r="J91" s="451"/>
      <c r="K91" s="402" t="s">
        <v>342</v>
      </c>
      <c r="L91" s="402"/>
      <c r="M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</row>
    <row r="92" spans="1:40" s="102" customFormat="1" ht="63" customHeight="1">
      <c r="A92" s="100"/>
      <c r="B92" s="450" t="s">
        <v>344</v>
      </c>
      <c r="C92" s="450"/>
      <c r="D92" s="450"/>
      <c r="E92" s="402" t="s">
        <v>345</v>
      </c>
      <c r="F92" s="402"/>
      <c r="G92" s="402" t="s">
        <v>345</v>
      </c>
      <c r="H92" s="402"/>
      <c r="I92" s="451" t="s">
        <v>346</v>
      </c>
      <c r="J92" s="451"/>
      <c r="K92" s="402" t="s">
        <v>345</v>
      </c>
      <c r="L92" s="402"/>
      <c r="M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</row>
    <row r="93" spans="1:40" s="102" customFormat="1" ht="28.5" customHeight="1">
      <c r="A93" s="100"/>
      <c r="B93" s="450" t="s">
        <v>347</v>
      </c>
      <c r="C93" s="450"/>
      <c r="D93" s="450"/>
      <c r="E93" s="402" t="s">
        <v>348</v>
      </c>
      <c r="F93" s="402"/>
      <c r="G93" s="402" t="s">
        <v>348</v>
      </c>
      <c r="H93" s="402"/>
      <c r="I93" s="451" t="s">
        <v>349</v>
      </c>
      <c r="J93" s="451"/>
      <c r="K93" s="402" t="s">
        <v>348</v>
      </c>
      <c r="L93" s="402"/>
      <c r="M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</row>
    <row r="94" spans="1:40" s="102" customFormat="1" ht="29.25" customHeight="1">
      <c r="A94" s="100"/>
      <c r="B94" s="450" t="s">
        <v>350</v>
      </c>
      <c r="C94" s="450"/>
      <c r="D94" s="450"/>
      <c r="E94" s="402" t="s">
        <v>348</v>
      </c>
      <c r="F94" s="402"/>
      <c r="G94" s="402" t="s">
        <v>348</v>
      </c>
      <c r="H94" s="402"/>
      <c r="I94" s="451" t="s">
        <v>349</v>
      </c>
      <c r="J94" s="451"/>
      <c r="K94" s="402" t="s">
        <v>348</v>
      </c>
      <c r="L94" s="402"/>
      <c r="M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</row>
    <row r="95" spans="1:40" s="102" customFormat="1" ht="42.75" customHeight="1">
      <c r="A95" s="100"/>
      <c r="B95" s="450" t="s">
        <v>351</v>
      </c>
      <c r="C95" s="450"/>
      <c r="D95" s="450"/>
      <c r="E95" s="402" t="s">
        <v>348</v>
      </c>
      <c r="F95" s="402"/>
      <c r="G95" s="402" t="s">
        <v>348</v>
      </c>
      <c r="H95" s="402"/>
      <c r="I95" s="451" t="s">
        <v>352</v>
      </c>
      <c r="J95" s="451"/>
      <c r="K95" s="402" t="s">
        <v>348</v>
      </c>
      <c r="L95" s="402"/>
      <c r="M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</row>
    <row r="96" spans="1:40" s="102" customFormat="1" ht="29.25" customHeight="1">
      <c r="A96" s="100"/>
      <c r="B96" s="450" t="s">
        <v>353</v>
      </c>
      <c r="C96" s="450"/>
      <c r="D96" s="450"/>
      <c r="E96" s="402" t="s">
        <v>348</v>
      </c>
      <c r="F96" s="402"/>
      <c r="G96" s="402" t="s">
        <v>348</v>
      </c>
      <c r="H96" s="402"/>
      <c r="I96" s="451" t="s">
        <v>354</v>
      </c>
      <c r="J96" s="451"/>
      <c r="K96" s="402" t="s">
        <v>348</v>
      </c>
      <c r="L96" s="402"/>
      <c r="M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</row>
    <row r="97" spans="1:40" s="102" customFormat="1" ht="23.25" customHeight="1">
      <c r="A97" s="100"/>
      <c r="B97" s="448" t="s">
        <v>355</v>
      </c>
      <c r="C97" s="448"/>
      <c r="D97" s="448"/>
      <c r="E97" s="449" t="s">
        <v>356</v>
      </c>
      <c r="F97" s="449"/>
      <c r="G97" s="449" t="s">
        <v>357</v>
      </c>
      <c r="H97" s="449"/>
      <c r="I97" s="449" t="s">
        <v>358</v>
      </c>
      <c r="J97" s="449"/>
      <c r="K97" s="449" t="s">
        <v>359</v>
      </c>
      <c r="L97" s="449"/>
      <c r="M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</row>
    <row r="98" spans="1:40" ht="18" customHeight="1">
      <c r="B98" s="447" t="s">
        <v>360</v>
      </c>
      <c r="C98" s="447"/>
      <c r="D98" s="447"/>
      <c r="E98" s="402" t="s">
        <v>361</v>
      </c>
      <c r="F98" s="402"/>
      <c r="G98" s="402" t="s">
        <v>306</v>
      </c>
      <c r="H98" s="402"/>
      <c r="I98" s="402" t="s">
        <v>361</v>
      </c>
      <c r="J98" s="402"/>
      <c r="K98" s="402" t="s">
        <v>345</v>
      </c>
      <c r="L98" s="402"/>
    </row>
    <row r="99" spans="1:40" ht="17.25" customHeight="1">
      <c r="B99" s="447" t="s">
        <v>362</v>
      </c>
      <c r="C99" s="447"/>
      <c r="D99" s="447"/>
      <c r="E99" s="402" t="s">
        <v>363</v>
      </c>
      <c r="F99" s="402"/>
      <c r="G99" s="402" t="s">
        <v>306</v>
      </c>
      <c r="H99" s="402"/>
      <c r="I99" s="402" t="s">
        <v>363</v>
      </c>
      <c r="J99" s="402"/>
      <c r="K99" s="402" t="s">
        <v>302</v>
      </c>
      <c r="L99" s="402"/>
    </row>
    <row r="100" spans="1:40" ht="15" customHeight="1">
      <c r="B100" s="447" t="s">
        <v>364</v>
      </c>
      <c r="C100" s="447"/>
      <c r="D100" s="447"/>
      <c r="E100" s="447"/>
      <c r="F100" s="447"/>
      <c r="G100" s="447"/>
      <c r="H100" s="447"/>
      <c r="I100" s="447"/>
      <c r="J100" s="447"/>
      <c r="K100" s="447"/>
      <c r="L100" s="447"/>
    </row>
    <row r="101" spans="1:40" ht="16.5" customHeight="1">
      <c r="B101" s="447" t="s">
        <v>365</v>
      </c>
      <c r="C101" s="447"/>
      <c r="D101" s="447"/>
      <c r="E101" s="447"/>
      <c r="F101" s="447"/>
      <c r="G101" s="447"/>
      <c r="H101" s="447"/>
      <c r="I101" s="447"/>
      <c r="J101" s="447"/>
      <c r="K101" s="447"/>
      <c r="L101" s="447"/>
    </row>
    <row r="102" spans="1:40" ht="15.75" customHeight="1">
      <c r="B102" s="447" t="s">
        <v>366</v>
      </c>
      <c r="C102" s="447"/>
      <c r="D102" s="447"/>
      <c r="E102" s="447"/>
      <c r="F102" s="447"/>
      <c r="G102" s="447"/>
      <c r="H102" s="447"/>
      <c r="I102" s="447"/>
      <c r="J102" s="447"/>
      <c r="K102" s="447"/>
      <c r="L102" s="447"/>
    </row>
    <row r="103" spans="1:40" ht="18" customHeight="1">
      <c r="B103" s="447" t="s">
        <v>367</v>
      </c>
      <c r="C103" s="447"/>
      <c r="D103" s="447"/>
      <c r="E103" s="447"/>
      <c r="F103" s="447"/>
      <c r="G103" s="447"/>
      <c r="H103" s="447"/>
      <c r="I103" s="447"/>
      <c r="J103" s="447"/>
      <c r="K103" s="447"/>
      <c r="L103" s="447"/>
    </row>
    <row r="104" spans="1:40" s="100" customFormat="1" ht="9.75" customHeight="1"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N104" s="110"/>
      <c r="O104" s="110"/>
    </row>
    <row r="105" spans="1:40" s="100" customFormat="1" ht="72" customHeight="1">
      <c r="B105" s="438" t="s">
        <v>283</v>
      </c>
      <c r="C105" s="439"/>
      <c r="D105" s="439"/>
      <c r="E105" s="439"/>
      <c r="F105" s="439"/>
      <c r="G105" s="439"/>
      <c r="H105" s="439"/>
      <c r="I105" s="439"/>
      <c r="J105" s="439"/>
      <c r="K105" s="439"/>
      <c r="L105" s="440"/>
      <c r="N105" s="110"/>
      <c r="O105" s="110"/>
    </row>
    <row r="106" spans="1:40" s="100" customFormat="1" ht="18" customHeight="1"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N106" s="110"/>
      <c r="O106" s="110"/>
    </row>
    <row r="107" spans="1:40" s="100" customFormat="1" ht="18" customHeight="1"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N107" s="110"/>
      <c r="O107" s="110"/>
    </row>
    <row r="108" spans="1:40" s="100" customFormat="1" ht="18" customHeight="1"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N108" s="110"/>
      <c r="O108" s="110"/>
    </row>
    <row r="109" spans="1:40" s="100" customFormat="1" ht="18" customHeight="1"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N109" s="110"/>
      <c r="O109" s="110"/>
    </row>
    <row r="110" spans="1:40" s="100" customFormat="1" ht="18" hidden="1" customHeight="1"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N110" s="110"/>
      <c r="O110" s="110"/>
    </row>
    <row r="111" spans="1:40" s="100" customFormat="1" ht="18" customHeight="1"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N111" s="110"/>
      <c r="O111" s="110"/>
    </row>
    <row r="112" spans="1:40" ht="44.25" customHeight="1">
      <c r="B112" s="441" t="s">
        <v>368</v>
      </c>
      <c r="C112" s="441"/>
      <c r="D112" s="441"/>
      <c r="E112" s="129"/>
      <c r="F112" s="129"/>
      <c r="G112" s="442"/>
      <c r="H112" s="442"/>
      <c r="I112" s="443"/>
      <c r="J112" s="444"/>
      <c r="K112" s="445"/>
      <c r="L112" s="446"/>
      <c r="N112" s="101"/>
      <c r="O112" s="101"/>
      <c r="R112" s="130"/>
      <c r="S112" s="131"/>
    </row>
    <row r="113" spans="2:12" ht="96" customHeight="1">
      <c r="B113" s="431" t="s">
        <v>286</v>
      </c>
      <c r="C113" s="432"/>
      <c r="D113" s="433"/>
      <c r="E113" s="403" t="str">
        <f>+E114</f>
        <v xml:space="preserve">Talleres Afiliados
15.00% mínimo US$ 200.00
Talleres Afiliados Multimarca
10.00% mínimo US$ 150.00 </v>
      </c>
      <c r="F113" s="403"/>
      <c r="G113" s="421" t="s">
        <v>369</v>
      </c>
      <c r="H113" s="422"/>
      <c r="I113" s="420" t="str">
        <f>+VLOOKUP(B113&amp;'INGRESO DE INFORMACION'!G18,DEDUCIBLES!H5:K17,4,0)</f>
        <v>Preferente: 10% mínimo US$ 150.00
Afiliado Concesionario : 15% mínimo US$ 150.00
No Afiliado: 20% mínimo US$ 300.00</v>
      </c>
      <c r="J113" s="420"/>
      <c r="K113" s="423" t="s">
        <v>370</v>
      </c>
      <c r="L113" s="423"/>
    </row>
    <row r="114" spans="2:12" ht="60" customHeight="1">
      <c r="B114" s="431" t="s">
        <v>371</v>
      </c>
      <c r="C114" s="432"/>
      <c r="D114" s="433"/>
      <c r="E114" s="403" t="str">
        <f>+VLOOKUP(B114&amp;'INGRESO DE INFORMACION'!$D$18,DEDUCIBLES!$B$5:$E$13,4,0)</f>
        <v xml:space="preserve">Talleres Afiliados
15.00% mínimo US$ 200.00
Talleres Afiliados Multimarca
10.00% mínimo US$ 150.00 </v>
      </c>
      <c r="F114" s="403"/>
      <c r="G114" s="427" t="str">
        <f>+VLOOKUP(B114&amp;'INGRESO DE INFORMACION'!E22,DEDUCIBLES!B17:E20,4,0)</f>
        <v xml:space="preserve">Talleres Afiliados
15% mínimo US$ 150.00
Talleres Afiliados Multimarca
10% mínimo US$ 150.00 </v>
      </c>
      <c r="H114" s="428"/>
      <c r="I114" s="427" t="str">
        <f>+I113</f>
        <v>Preferente: 10% mínimo US$ 150.00
Afiliado Concesionario : 15% mínimo US$ 150.00
No Afiliado: 20% mínimo US$ 300.00</v>
      </c>
      <c r="J114" s="428"/>
      <c r="K114" s="423" t="s">
        <v>453</v>
      </c>
      <c r="L114" s="423"/>
    </row>
    <row r="115" spans="2:12" ht="69.75" customHeight="1">
      <c r="B115" s="411"/>
      <c r="C115" s="412"/>
      <c r="D115" s="413"/>
      <c r="E115" s="434" t="s">
        <v>372</v>
      </c>
      <c r="F115" s="416"/>
      <c r="G115" s="429"/>
      <c r="H115" s="430"/>
      <c r="I115" s="429"/>
      <c r="J115" s="430"/>
      <c r="K115" s="423"/>
      <c r="L115" s="423"/>
    </row>
    <row r="116" spans="2:12" ht="18.75" customHeight="1">
      <c r="B116" s="411" t="s">
        <v>373</v>
      </c>
      <c r="C116" s="412"/>
      <c r="D116" s="413"/>
      <c r="E116" s="403" t="str">
        <f>+VLOOKUP(B116&amp;'INGRESO DE INFORMACION'!$D$18,DEDUCIBLES!$B$5:$E$13,4,0)</f>
        <v>20.00% mínimo US$ 200.00</v>
      </c>
      <c r="F116" s="403"/>
      <c r="G116" s="415"/>
      <c r="H116" s="416"/>
      <c r="I116" s="415"/>
      <c r="J116" s="416"/>
      <c r="K116" s="423"/>
      <c r="L116" s="423"/>
    </row>
    <row r="117" spans="2:12" ht="85.5" customHeight="1">
      <c r="B117" s="435" t="s">
        <v>374</v>
      </c>
      <c r="C117" s="436"/>
      <c r="D117" s="437"/>
      <c r="E117" s="420" t="s">
        <v>375</v>
      </c>
      <c r="F117" s="420"/>
      <c r="G117" s="421" t="s">
        <v>376</v>
      </c>
      <c r="H117" s="422"/>
      <c r="I117" s="427" t="str">
        <f>VLOOKUP(B117&amp;'INGRESO DE INFORMACION'!G18&amp;H18,DEDUCIBLES!H12:K14,4,0)</f>
        <v>Sin deducible</v>
      </c>
      <c r="J117" s="428"/>
      <c r="K117" s="423" t="s">
        <v>375</v>
      </c>
      <c r="L117" s="423"/>
    </row>
    <row r="118" spans="2:12" ht="18.75" customHeight="1">
      <c r="B118" s="417" t="s">
        <v>377</v>
      </c>
      <c r="C118" s="418"/>
      <c r="D118" s="419"/>
      <c r="E118" s="420" t="s">
        <v>378</v>
      </c>
      <c r="F118" s="420"/>
      <c r="G118" s="421" t="s">
        <v>379</v>
      </c>
      <c r="H118" s="422"/>
      <c r="I118" s="420" t="s">
        <v>378</v>
      </c>
      <c r="J118" s="420"/>
      <c r="K118" s="423" t="s">
        <v>378</v>
      </c>
      <c r="L118" s="423"/>
    </row>
    <row r="119" spans="2:12" ht="16.5" customHeight="1">
      <c r="B119" s="417" t="s">
        <v>380</v>
      </c>
      <c r="C119" s="418"/>
      <c r="D119" s="419"/>
      <c r="E119" s="420" t="s">
        <v>370</v>
      </c>
      <c r="F119" s="420"/>
      <c r="G119" s="421" t="s">
        <v>370</v>
      </c>
      <c r="H119" s="422"/>
      <c r="I119" s="420" t="s">
        <v>370</v>
      </c>
      <c r="J119" s="420"/>
      <c r="K119" s="423" t="s">
        <v>370</v>
      </c>
      <c r="L119" s="423"/>
    </row>
    <row r="120" spans="2:12" ht="62.25" customHeight="1">
      <c r="B120" s="417" t="s">
        <v>381</v>
      </c>
      <c r="C120" s="418"/>
      <c r="D120" s="419"/>
      <c r="E120" s="420" t="s">
        <v>382</v>
      </c>
      <c r="F120" s="420"/>
      <c r="G120" s="421" t="s">
        <v>382</v>
      </c>
      <c r="H120" s="422"/>
      <c r="I120" s="420" t="s">
        <v>383</v>
      </c>
      <c r="J120" s="420"/>
      <c r="K120" s="423" t="s">
        <v>383</v>
      </c>
      <c r="L120" s="423"/>
    </row>
    <row r="121" spans="2:12" ht="28.5" customHeight="1">
      <c r="B121" s="417" t="s">
        <v>384</v>
      </c>
      <c r="C121" s="418"/>
      <c r="D121" s="419"/>
      <c r="E121" s="420" t="s">
        <v>385</v>
      </c>
      <c r="F121" s="420"/>
      <c r="G121" s="421" t="s">
        <v>385</v>
      </c>
      <c r="H121" s="422"/>
      <c r="I121" s="420" t="s">
        <v>383</v>
      </c>
      <c r="J121" s="420"/>
      <c r="K121" s="423" t="s">
        <v>383</v>
      </c>
      <c r="L121" s="423"/>
    </row>
    <row r="122" spans="2:12" ht="17.25" customHeight="1">
      <c r="B122" s="417" t="s">
        <v>386</v>
      </c>
      <c r="C122" s="418"/>
      <c r="D122" s="419"/>
      <c r="E122" s="420" t="s">
        <v>387</v>
      </c>
      <c r="F122" s="420"/>
      <c r="G122" s="427" t="s">
        <v>387</v>
      </c>
      <c r="H122" s="428"/>
      <c r="I122" s="420" t="s">
        <v>388</v>
      </c>
      <c r="J122" s="420"/>
      <c r="K122" s="423" t="s">
        <v>389</v>
      </c>
      <c r="L122" s="423"/>
    </row>
    <row r="123" spans="2:12" ht="45" customHeight="1">
      <c r="B123" s="417" t="s">
        <v>390</v>
      </c>
      <c r="C123" s="418"/>
      <c r="D123" s="419"/>
      <c r="E123" s="420"/>
      <c r="F123" s="420"/>
      <c r="G123" s="429"/>
      <c r="H123" s="430"/>
      <c r="I123" s="420"/>
      <c r="J123" s="420"/>
      <c r="K123" s="423"/>
      <c r="L123" s="423"/>
    </row>
    <row r="124" spans="2:12" ht="21" customHeight="1">
      <c r="B124" s="431" t="s">
        <v>391</v>
      </c>
      <c r="C124" s="432"/>
      <c r="D124" s="433"/>
      <c r="E124" s="403"/>
      <c r="F124" s="403"/>
      <c r="G124" s="429"/>
      <c r="H124" s="430"/>
      <c r="I124" s="403"/>
      <c r="J124" s="403"/>
      <c r="K124" s="426"/>
      <c r="L124" s="426"/>
    </row>
    <row r="125" spans="2:12" ht="18.75" customHeight="1">
      <c r="B125" s="424" t="s">
        <v>392</v>
      </c>
      <c r="C125" s="424"/>
      <c r="D125" s="424"/>
      <c r="E125" s="403" t="s">
        <v>393</v>
      </c>
      <c r="F125" s="403"/>
      <c r="G125" s="403" t="s">
        <v>394</v>
      </c>
      <c r="H125" s="403"/>
      <c r="I125" s="403" t="s">
        <v>393</v>
      </c>
      <c r="J125" s="403"/>
      <c r="K125" s="426" t="s">
        <v>394</v>
      </c>
      <c r="L125" s="426"/>
    </row>
    <row r="126" spans="2:12" ht="63.75" customHeight="1">
      <c r="B126" s="425"/>
      <c r="C126" s="425"/>
      <c r="D126" s="425"/>
      <c r="E126" s="414" t="s">
        <v>395</v>
      </c>
      <c r="F126" s="414"/>
      <c r="G126" s="414" t="s">
        <v>396</v>
      </c>
      <c r="H126" s="414"/>
      <c r="I126" s="427" t="str">
        <f>+VLOOKUP('INGRESO DE INFORMACION'!G18,DEDUCIBLES!J15:K17,2,0)</f>
        <v>15% del monto del siniestro, mínimo US$ 300.00</v>
      </c>
      <c r="J126" s="428"/>
      <c r="K126" s="414" t="s">
        <v>397</v>
      </c>
      <c r="L126" s="414"/>
    </row>
    <row r="127" spans="2:12" ht="18.75" customHeight="1">
      <c r="B127" s="411" t="s">
        <v>398</v>
      </c>
      <c r="C127" s="412"/>
      <c r="D127" s="413"/>
      <c r="E127" s="414" t="s">
        <v>399</v>
      </c>
      <c r="F127" s="414"/>
      <c r="G127" s="415" t="s">
        <v>400</v>
      </c>
      <c r="H127" s="416"/>
      <c r="I127" s="414" t="s">
        <v>401</v>
      </c>
      <c r="J127" s="414"/>
      <c r="K127" s="414" t="s">
        <v>402</v>
      </c>
      <c r="L127" s="414"/>
    </row>
    <row r="128" spans="2:12" ht="41.25" customHeight="1">
      <c r="B128" s="417" t="s">
        <v>403</v>
      </c>
      <c r="C128" s="418"/>
      <c r="D128" s="419"/>
      <c r="E128" s="420" t="s">
        <v>376</v>
      </c>
      <c r="F128" s="420"/>
      <c r="G128" s="421" t="s">
        <v>376</v>
      </c>
      <c r="H128" s="422"/>
      <c r="I128" s="420" t="s">
        <v>404</v>
      </c>
      <c r="J128" s="420"/>
      <c r="K128" s="423" t="s">
        <v>405</v>
      </c>
      <c r="L128" s="423"/>
    </row>
    <row r="129" spans="2:12" ht="18.75" customHeight="1">
      <c r="B129" s="417" t="s">
        <v>344</v>
      </c>
      <c r="C129" s="418"/>
      <c r="D129" s="419"/>
      <c r="E129" s="420" t="s">
        <v>345</v>
      </c>
      <c r="F129" s="420"/>
      <c r="G129" s="421" t="s">
        <v>345</v>
      </c>
      <c r="H129" s="422"/>
      <c r="I129" s="420" t="s">
        <v>376</v>
      </c>
      <c r="J129" s="420"/>
      <c r="K129" s="423" t="s">
        <v>383</v>
      </c>
      <c r="L129" s="423"/>
    </row>
    <row r="130" spans="2:12" ht="23.25" customHeight="1">
      <c r="B130" s="417" t="s">
        <v>406</v>
      </c>
      <c r="C130" s="418"/>
      <c r="D130" s="419"/>
      <c r="E130" s="420" t="s">
        <v>356</v>
      </c>
      <c r="F130" s="420"/>
      <c r="G130" s="421" t="s">
        <v>357</v>
      </c>
      <c r="H130" s="422"/>
      <c r="I130" s="420" t="s">
        <v>358</v>
      </c>
      <c r="J130" s="420"/>
      <c r="K130" s="423" t="s">
        <v>359</v>
      </c>
      <c r="L130" s="423"/>
    </row>
    <row r="131" spans="2:12" ht="5.25" customHeight="1">
      <c r="C131" s="137"/>
      <c r="D131" s="138"/>
      <c r="E131" s="138"/>
      <c r="F131" s="138"/>
      <c r="G131" s="138"/>
      <c r="H131" s="138"/>
      <c r="I131" s="138"/>
      <c r="J131" s="138"/>
      <c r="K131" s="138"/>
      <c r="L131" s="138"/>
    </row>
    <row r="132" spans="2:12" ht="3" customHeight="1"/>
    <row r="133" spans="2:12" ht="20.25" customHeight="1">
      <c r="B133" s="410" t="s">
        <v>407</v>
      </c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</row>
    <row r="134" spans="2:12" ht="30" customHeight="1">
      <c r="B134" s="407" t="s">
        <v>408</v>
      </c>
      <c r="C134" s="407"/>
      <c r="D134" s="139"/>
      <c r="E134" s="139"/>
      <c r="F134" s="139"/>
      <c r="G134" s="139"/>
      <c r="H134" s="139"/>
      <c r="I134" s="139"/>
      <c r="J134" s="139"/>
      <c r="K134" s="139"/>
      <c r="L134" s="139"/>
    </row>
    <row r="135" spans="2:12" ht="30" customHeight="1">
      <c r="B135" s="140"/>
      <c r="C135" s="140"/>
      <c r="D135" s="139"/>
      <c r="E135" s="139"/>
      <c r="F135" s="139"/>
      <c r="G135" s="139"/>
      <c r="H135" s="139"/>
      <c r="I135" s="139"/>
      <c r="J135"/>
      <c r="K135" s="139"/>
      <c r="L135" s="139"/>
    </row>
    <row r="136" spans="2:12" ht="15.75">
      <c r="C136" s="100"/>
      <c r="D136" s="408"/>
      <c r="E136" s="408"/>
      <c r="F136" s="408"/>
      <c r="G136" s="100"/>
      <c r="H136" s="100"/>
      <c r="I136" s="100"/>
      <c r="J136" s="100"/>
      <c r="K136" s="100"/>
      <c r="L136" s="100"/>
    </row>
    <row r="137" spans="2:12" ht="15" customHeight="1">
      <c r="B137" s="409" t="s">
        <v>258</v>
      </c>
      <c r="C137" s="409"/>
      <c r="D137" s="409" t="s">
        <v>259</v>
      </c>
      <c r="E137" s="409"/>
      <c r="F137" s="409"/>
      <c r="H137" s="409" t="s">
        <v>258</v>
      </c>
      <c r="I137" s="409"/>
      <c r="J137" s="409" t="s">
        <v>259</v>
      </c>
      <c r="K137" s="409"/>
      <c r="L137" s="409"/>
    </row>
    <row r="138" spans="2:12">
      <c r="B138" s="404" t="s">
        <v>261</v>
      </c>
      <c r="C138" s="404"/>
      <c r="D138" s="404" t="s">
        <v>262</v>
      </c>
      <c r="E138" s="404"/>
      <c r="F138" s="404"/>
      <c r="H138" s="404" t="s">
        <v>261</v>
      </c>
      <c r="I138" s="404"/>
      <c r="J138" s="405">
        <v>0.08</v>
      </c>
      <c r="K138" s="406"/>
      <c r="L138" s="406"/>
    </row>
    <row r="139" spans="2:12">
      <c r="B139" s="404" t="s">
        <v>265</v>
      </c>
      <c r="C139" s="404"/>
      <c r="D139" s="404" t="s">
        <v>266</v>
      </c>
      <c r="E139" s="404"/>
      <c r="F139" s="404"/>
      <c r="H139" s="404" t="s">
        <v>265</v>
      </c>
      <c r="I139" s="404"/>
      <c r="J139" s="405">
        <v>0.08</v>
      </c>
      <c r="K139" s="406"/>
      <c r="L139" s="406"/>
    </row>
    <row r="140" spans="2:12">
      <c r="B140" s="404" t="s">
        <v>268</v>
      </c>
      <c r="C140" s="404"/>
      <c r="D140" s="404" t="s">
        <v>269</v>
      </c>
      <c r="E140" s="404"/>
      <c r="F140" s="404"/>
      <c r="H140" s="404" t="s">
        <v>268</v>
      </c>
      <c r="I140" s="404"/>
      <c r="J140" s="405">
        <v>0.05</v>
      </c>
      <c r="K140" s="406"/>
      <c r="L140" s="406"/>
    </row>
    <row r="141" spans="2:12">
      <c r="B141" s="404" t="s">
        <v>271</v>
      </c>
      <c r="C141" s="404"/>
      <c r="D141" s="404" t="s">
        <v>272</v>
      </c>
      <c r="E141" s="404"/>
      <c r="F141" s="404"/>
      <c r="H141" s="404" t="s">
        <v>409</v>
      </c>
      <c r="I141" s="404"/>
      <c r="J141" s="405">
        <v>0.04</v>
      </c>
      <c r="K141" s="406"/>
      <c r="L141" s="406"/>
    </row>
    <row r="142" spans="2:12" ht="11.25" customHeight="1"/>
    <row r="143" spans="2:12" ht="18" customHeight="1">
      <c r="B143" s="389" t="s">
        <v>410</v>
      </c>
      <c r="C143" s="390"/>
      <c r="D143" s="390"/>
      <c r="E143" s="390"/>
      <c r="F143" s="391"/>
      <c r="H143" s="392" t="s">
        <v>411</v>
      </c>
      <c r="I143" s="393"/>
      <c r="J143" s="393"/>
      <c r="K143" s="393"/>
      <c r="L143" s="394"/>
    </row>
    <row r="144" spans="2:12" ht="24.75" customHeight="1">
      <c r="B144" s="395" t="s">
        <v>412</v>
      </c>
      <c r="C144" s="396"/>
      <c r="D144" s="396"/>
      <c r="E144" s="396"/>
      <c r="F144" s="397"/>
      <c r="H144" s="398" t="s">
        <v>413</v>
      </c>
      <c r="I144" s="399"/>
      <c r="J144" s="399"/>
      <c r="K144" s="399"/>
      <c r="L144" s="400"/>
    </row>
    <row r="145" spans="2:12" ht="15.75" thickBot="1"/>
    <row r="146" spans="2:12" ht="15.75" thickTop="1"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</row>
  </sheetData>
  <protectedRanges>
    <protectedRange sqref="K30:L32" name="Rango3"/>
    <protectedRange sqref="B20:L20" name="Rango2"/>
    <protectedRange sqref="E12:J13" name="Rango1"/>
  </protectedRanges>
  <mergeCells count="315">
    <mergeCell ref="Q1:R1"/>
    <mergeCell ref="F2:L2"/>
    <mergeCell ref="B6:L6"/>
    <mergeCell ref="B12:D12"/>
    <mergeCell ref="E12:G12"/>
    <mergeCell ref="B13:D13"/>
    <mergeCell ref="E13:G13"/>
    <mergeCell ref="K27:L28"/>
    <mergeCell ref="H19:I19"/>
    <mergeCell ref="J19:L19"/>
    <mergeCell ref="B20:C20"/>
    <mergeCell ref="D20:E20"/>
    <mergeCell ref="F20:G20"/>
    <mergeCell ref="H20:I20"/>
    <mergeCell ref="J20:L20"/>
    <mergeCell ref="B14:D14"/>
    <mergeCell ref="B15:D15"/>
    <mergeCell ref="B17:D17"/>
    <mergeCell ref="B19:C19"/>
    <mergeCell ref="D19:E19"/>
    <mergeCell ref="F19:G19"/>
    <mergeCell ref="I7:L7"/>
    <mergeCell ref="B29:D29"/>
    <mergeCell ref="E29:F29"/>
    <mergeCell ref="G29:H29"/>
    <mergeCell ref="I29:J29"/>
    <mergeCell ref="B30:D30"/>
    <mergeCell ref="E30:F30"/>
    <mergeCell ref="G30:H30"/>
    <mergeCell ref="I30:J30"/>
    <mergeCell ref="B24:D24"/>
    <mergeCell ref="B27:D28"/>
    <mergeCell ref="E27:F28"/>
    <mergeCell ref="G27:H28"/>
    <mergeCell ref="I27:J28"/>
    <mergeCell ref="B32:D32"/>
    <mergeCell ref="E32:F32"/>
    <mergeCell ref="G32:H32"/>
    <mergeCell ref="I32:J32"/>
    <mergeCell ref="K32:L32"/>
    <mergeCell ref="K30:L30"/>
    <mergeCell ref="B31:D31"/>
    <mergeCell ref="E31:F31"/>
    <mergeCell ref="G31:H31"/>
    <mergeCell ref="I31:J31"/>
    <mergeCell ref="K31:L31"/>
    <mergeCell ref="D51:L51"/>
    <mergeCell ref="D52:L52"/>
    <mergeCell ref="D53:L53"/>
    <mergeCell ref="B57:L57"/>
    <mergeCell ref="B62:D62"/>
    <mergeCell ref="E62:G62"/>
    <mergeCell ref="H62:J62"/>
    <mergeCell ref="K62:L62"/>
    <mergeCell ref="B35:F35"/>
    <mergeCell ref="E37:F37"/>
    <mergeCell ref="G37:H37"/>
    <mergeCell ref="I37:J37"/>
    <mergeCell ref="K37:L37"/>
    <mergeCell ref="B67:D68"/>
    <mergeCell ref="E67:F68"/>
    <mergeCell ref="G67:H68"/>
    <mergeCell ref="I67:J68"/>
    <mergeCell ref="K67:L68"/>
    <mergeCell ref="B69:D69"/>
    <mergeCell ref="E69:L69"/>
    <mergeCell ref="B64:D64"/>
    <mergeCell ref="G64:H64"/>
    <mergeCell ref="I64:J64"/>
    <mergeCell ref="K64:L64"/>
    <mergeCell ref="B66:D66"/>
    <mergeCell ref="E66:F66"/>
    <mergeCell ref="G66:H66"/>
    <mergeCell ref="I66:J66"/>
    <mergeCell ref="K66:L66"/>
    <mergeCell ref="B70:D70"/>
    <mergeCell ref="E70:F70"/>
    <mergeCell ref="G70:H70"/>
    <mergeCell ref="I70:J70"/>
    <mergeCell ref="K70:L70"/>
    <mergeCell ref="B71:D71"/>
    <mergeCell ref="E71:F71"/>
    <mergeCell ref="G71:H71"/>
    <mergeCell ref="I71:J71"/>
    <mergeCell ref="K71:L71"/>
    <mergeCell ref="B72:D72"/>
    <mergeCell ref="E72:F72"/>
    <mergeCell ref="G72:H72"/>
    <mergeCell ref="I72:J72"/>
    <mergeCell ref="K72:L72"/>
    <mergeCell ref="B73:D73"/>
    <mergeCell ref="E73:F73"/>
    <mergeCell ref="G73:H73"/>
    <mergeCell ref="I73:J73"/>
    <mergeCell ref="K73:L73"/>
    <mergeCell ref="E77:F78"/>
    <mergeCell ref="G77:H80"/>
    <mergeCell ref="B78:D78"/>
    <mergeCell ref="B79:D79"/>
    <mergeCell ref="E79:F80"/>
    <mergeCell ref="B80:D80"/>
    <mergeCell ref="B74:L74"/>
    <mergeCell ref="B75:D75"/>
    <mergeCell ref="E75:F75"/>
    <mergeCell ref="G75:H75"/>
    <mergeCell ref="I75:J80"/>
    <mergeCell ref="K75:L80"/>
    <mergeCell ref="B76:D76"/>
    <mergeCell ref="E76:F76"/>
    <mergeCell ref="G76:H76"/>
    <mergeCell ref="B77:D77"/>
    <mergeCell ref="B81:D81"/>
    <mergeCell ref="E81:F81"/>
    <mergeCell ref="G81:H81"/>
    <mergeCell ref="I81:J81"/>
    <mergeCell ref="K81:L81"/>
    <mergeCell ref="B82:D82"/>
    <mergeCell ref="E82:F82"/>
    <mergeCell ref="G82:H82"/>
    <mergeCell ref="I82:J82"/>
    <mergeCell ref="K82:L82"/>
    <mergeCell ref="B83:D83"/>
    <mergeCell ref="E83:F83"/>
    <mergeCell ref="G83:H83"/>
    <mergeCell ref="I83:J83"/>
    <mergeCell ref="K83:L83"/>
    <mergeCell ref="B84:D84"/>
    <mergeCell ref="E84:F84"/>
    <mergeCell ref="G84:H84"/>
    <mergeCell ref="I84:J84"/>
    <mergeCell ref="K84:L84"/>
    <mergeCell ref="B85:D85"/>
    <mergeCell ref="E85:F85"/>
    <mergeCell ref="G85:H85"/>
    <mergeCell ref="I85:J85"/>
    <mergeCell ref="K85:L85"/>
    <mergeCell ref="E86:F86"/>
    <mergeCell ref="G86:H87"/>
    <mergeCell ref="I86:J86"/>
    <mergeCell ref="K86:L86"/>
    <mergeCell ref="E87:F87"/>
    <mergeCell ref="I87:J87"/>
    <mergeCell ref="K87:L87"/>
    <mergeCell ref="B86:D87"/>
    <mergeCell ref="B88:L88"/>
    <mergeCell ref="B89:D89"/>
    <mergeCell ref="E89:F89"/>
    <mergeCell ref="G89:H89"/>
    <mergeCell ref="I89:J89"/>
    <mergeCell ref="K89:L89"/>
    <mergeCell ref="B90:D90"/>
    <mergeCell ref="E90:F90"/>
    <mergeCell ref="G90:H90"/>
    <mergeCell ref="I90:J90"/>
    <mergeCell ref="K90:L90"/>
    <mergeCell ref="B91:D91"/>
    <mergeCell ref="E91:F91"/>
    <mergeCell ref="G91:H91"/>
    <mergeCell ref="I91:J91"/>
    <mergeCell ref="K91:L91"/>
    <mergeCell ref="B92:D92"/>
    <mergeCell ref="E92:F92"/>
    <mergeCell ref="G92:H92"/>
    <mergeCell ref="I92:J92"/>
    <mergeCell ref="K92:L92"/>
    <mergeCell ref="B93:D93"/>
    <mergeCell ref="E93:F93"/>
    <mergeCell ref="G93:H93"/>
    <mergeCell ref="I93:J93"/>
    <mergeCell ref="K93:L93"/>
    <mergeCell ref="B94:D94"/>
    <mergeCell ref="E94:F94"/>
    <mergeCell ref="G94:H94"/>
    <mergeCell ref="I94:J94"/>
    <mergeCell ref="K94:L94"/>
    <mergeCell ref="B95:D95"/>
    <mergeCell ref="E95:F95"/>
    <mergeCell ref="G95:H95"/>
    <mergeCell ref="I95:J95"/>
    <mergeCell ref="K95:L95"/>
    <mergeCell ref="B96:D96"/>
    <mergeCell ref="E96:F96"/>
    <mergeCell ref="G96:H96"/>
    <mergeCell ref="I96:J96"/>
    <mergeCell ref="K96:L96"/>
    <mergeCell ref="B97:D97"/>
    <mergeCell ref="E97:F97"/>
    <mergeCell ref="G97:H97"/>
    <mergeCell ref="I97:J97"/>
    <mergeCell ref="K97:L97"/>
    <mergeCell ref="B98:D98"/>
    <mergeCell ref="E98:F98"/>
    <mergeCell ref="G98:H98"/>
    <mergeCell ref="I98:J98"/>
    <mergeCell ref="K98:L98"/>
    <mergeCell ref="B99:D99"/>
    <mergeCell ref="E99:F99"/>
    <mergeCell ref="G99:H99"/>
    <mergeCell ref="I99:J99"/>
    <mergeCell ref="K99:L99"/>
    <mergeCell ref="B100:L100"/>
    <mergeCell ref="B101:L101"/>
    <mergeCell ref="B102:L102"/>
    <mergeCell ref="B103:L103"/>
    <mergeCell ref="B105:L105"/>
    <mergeCell ref="B112:D112"/>
    <mergeCell ref="G112:H112"/>
    <mergeCell ref="I112:J112"/>
    <mergeCell ref="K112:L112"/>
    <mergeCell ref="B113:D113"/>
    <mergeCell ref="E114:F114"/>
    <mergeCell ref="G113:H113"/>
    <mergeCell ref="I113:J113"/>
    <mergeCell ref="K113:L113"/>
    <mergeCell ref="B114:D115"/>
    <mergeCell ref="G114:H116"/>
    <mergeCell ref="I114:J116"/>
    <mergeCell ref="K114:L116"/>
    <mergeCell ref="I117:J117"/>
    <mergeCell ref="K117:L117"/>
    <mergeCell ref="B118:D118"/>
    <mergeCell ref="E118:F118"/>
    <mergeCell ref="G118:H118"/>
    <mergeCell ref="I118:J118"/>
    <mergeCell ref="K118:L118"/>
    <mergeCell ref="E115:F115"/>
    <mergeCell ref="B116:D116"/>
    <mergeCell ref="E116:F116"/>
    <mergeCell ref="B117:D117"/>
    <mergeCell ref="E117:F117"/>
    <mergeCell ref="G117:H117"/>
    <mergeCell ref="B119:D119"/>
    <mergeCell ref="E119:F119"/>
    <mergeCell ref="G119:H119"/>
    <mergeCell ref="I119:J119"/>
    <mergeCell ref="K119:L119"/>
    <mergeCell ref="B120:D120"/>
    <mergeCell ref="E120:F120"/>
    <mergeCell ref="G120:H120"/>
    <mergeCell ref="I120:J120"/>
    <mergeCell ref="K120:L120"/>
    <mergeCell ref="B125:D126"/>
    <mergeCell ref="E125:F125"/>
    <mergeCell ref="G125:H125"/>
    <mergeCell ref="I125:J125"/>
    <mergeCell ref="B121:D121"/>
    <mergeCell ref="E121:F121"/>
    <mergeCell ref="G121:H121"/>
    <mergeCell ref="I121:J121"/>
    <mergeCell ref="K125:L125"/>
    <mergeCell ref="E126:F126"/>
    <mergeCell ref="G126:H126"/>
    <mergeCell ref="I126:J126"/>
    <mergeCell ref="K126:L126"/>
    <mergeCell ref="K121:L121"/>
    <mergeCell ref="B122:D122"/>
    <mergeCell ref="E122:F124"/>
    <mergeCell ref="G122:H124"/>
    <mergeCell ref="I122:J124"/>
    <mergeCell ref="K122:L124"/>
    <mergeCell ref="B123:D123"/>
    <mergeCell ref="B124:D124"/>
    <mergeCell ref="B127:D127"/>
    <mergeCell ref="E127:F127"/>
    <mergeCell ref="G127:H127"/>
    <mergeCell ref="I127:J127"/>
    <mergeCell ref="K127:L127"/>
    <mergeCell ref="B130:D130"/>
    <mergeCell ref="E130:F130"/>
    <mergeCell ref="G130:H130"/>
    <mergeCell ref="I130:J130"/>
    <mergeCell ref="K130:L130"/>
    <mergeCell ref="B128:D128"/>
    <mergeCell ref="E128:F128"/>
    <mergeCell ref="G128:H128"/>
    <mergeCell ref="I128:J128"/>
    <mergeCell ref="K128:L128"/>
    <mergeCell ref="B129:D129"/>
    <mergeCell ref="E129:F129"/>
    <mergeCell ref="G129:H129"/>
    <mergeCell ref="I129:J129"/>
    <mergeCell ref="K129:L129"/>
    <mergeCell ref="H139:I139"/>
    <mergeCell ref="J139:L139"/>
    <mergeCell ref="B134:C134"/>
    <mergeCell ref="D136:F136"/>
    <mergeCell ref="B137:C137"/>
    <mergeCell ref="D137:F137"/>
    <mergeCell ref="H137:I137"/>
    <mergeCell ref="J137:L137"/>
    <mergeCell ref="B133:L133"/>
    <mergeCell ref="B143:F143"/>
    <mergeCell ref="H143:L143"/>
    <mergeCell ref="B144:F144"/>
    <mergeCell ref="H144:L144"/>
    <mergeCell ref="B65:D65"/>
    <mergeCell ref="E65:F65"/>
    <mergeCell ref="G65:H65"/>
    <mergeCell ref="I65:J65"/>
    <mergeCell ref="K65:L65"/>
    <mergeCell ref="E113:F113"/>
    <mergeCell ref="B140:C140"/>
    <mergeCell ref="D140:F140"/>
    <mergeCell ref="H140:I140"/>
    <mergeCell ref="J140:L140"/>
    <mergeCell ref="B141:C141"/>
    <mergeCell ref="D141:F141"/>
    <mergeCell ref="H141:I141"/>
    <mergeCell ref="J141:L141"/>
    <mergeCell ref="B138:C138"/>
    <mergeCell ref="D138:F138"/>
    <mergeCell ref="H138:I138"/>
    <mergeCell ref="J138:L138"/>
    <mergeCell ref="B139:C139"/>
    <mergeCell ref="D139:F139"/>
  </mergeCells>
  <dataValidations disablePrompts="1" count="1">
    <dataValidation type="list" allowBlank="1" showInputMessage="1" showErrorMessage="1" sqref="Q1:R1" xr:uid="{00000000-0002-0000-0A00-000000000000}">
      <formula1>"2017, 2018, 2019, 2020"</formula1>
    </dataValidation>
  </dataValidations>
  <hyperlinks>
    <hyperlink ref="B144" r:id="rId1" xr:uid="{00000000-0004-0000-0A00-000000000000}"/>
    <hyperlink ref="H144" r:id="rId2" xr:uid="{00000000-0004-0000-0A00-000001000000}"/>
  </hyperlinks>
  <printOptions horizontalCentered="1" verticalCentered="1"/>
  <pageMargins left="0.25" right="0.25" top="0.75" bottom="0.75" header="0.3" footer="0.3"/>
  <pageSetup paperSize="9" scale="6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312"/>
  <sheetViews>
    <sheetView zoomScaleNormal="100" workbookViewId="0">
      <selection activeCell="A4" sqref="A4"/>
    </sheetView>
  </sheetViews>
  <sheetFormatPr baseColWidth="10" defaultColWidth="11.42578125" defaultRowHeight="18" customHeight="1"/>
  <cols>
    <col min="1" max="1" width="18.42578125" style="2" bestFit="1" customWidth="1"/>
    <col min="2" max="2" width="8.42578125" style="2" bestFit="1" customWidth="1"/>
    <col min="3" max="3" width="15.140625" style="2" bestFit="1" customWidth="1"/>
    <col min="4" max="4" width="3.7109375" style="2" customWidth="1"/>
    <col min="5" max="5" width="6" style="2" customWidth="1"/>
    <col min="6" max="6" width="6.7109375" style="2" customWidth="1"/>
    <col min="7" max="7" width="6.42578125" style="2" customWidth="1"/>
    <col min="8" max="8" width="3.42578125" style="2" bestFit="1" customWidth="1"/>
    <col min="9" max="9" width="2.7109375" style="2" customWidth="1"/>
    <col min="10" max="10" width="20.28515625" style="2" bestFit="1" customWidth="1"/>
    <col min="11" max="11" width="10.140625" style="2" bestFit="1" customWidth="1"/>
    <col min="12" max="12" width="15.140625" style="2" bestFit="1" customWidth="1"/>
    <col min="13" max="13" width="3.7109375" style="2" customWidth="1"/>
    <col min="14" max="14" width="6" style="2" customWidth="1"/>
    <col min="15" max="15" width="6.7109375" style="2" customWidth="1"/>
    <col min="16" max="16" width="5.28515625" style="2" customWidth="1"/>
    <col min="17" max="17" width="3.42578125" style="2" bestFit="1" customWidth="1"/>
    <col min="18" max="18" width="2" style="2" customWidth="1"/>
    <col min="19" max="19" width="20.28515625" style="2" bestFit="1" customWidth="1"/>
    <col min="20" max="20" width="10.140625" style="2" bestFit="1" customWidth="1"/>
    <col min="21" max="21" width="11.42578125" style="2" customWidth="1"/>
    <col min="22" max="22" width="8.28515625" style="11" customWidth="1"/>
    <col min="23" max="23" width="5.28515625" style="2" customWidth="1"/>
    <col min="24" max="24" width="6.7109375" style="2" customWidth="1"/>
    <col min="25" max="25" width="6.140625" style="2" customWidth="1"/>
    <col min="26" max="26" width="3.42578125" style="2" bestFit="1" customWidth="1"/>
    <col min="27" max="27" width="3" style="2" customWidth="1"/>
    <col min="28" max="28" width="18.42578125" style="2" bestFit="1" customWidth="1"/>
    <col min="29" max="29" width="9.42578125" style="2" bestFit="1" customWidth="1"/>
    <col min="30" max="30" width="13.7109375" style="2" bestFit="1" customWidth="1"/>
    <col min="31" max="31" width="3.42578125" style="2" customWidth="1"/>
    <col min="32" max="32" width="6.42578125" style="2" customWidth="1"/>
    <col min="33" max="33" width="7" style="2" customWidth="1"/>
    <col min="34" max="34" width="7.28515625" style="2" customWidth="1"/>
    <col min="35" max="35" width="5.28515625" style="2" customWidth="1"/>
    <col min="36" max="16384" width="11.42578125" style="2"/>
  </cols>
  <sheetData>
    <row r="1" spans="1:35" ht="18" customHeight="1">
      <c r="A1" s="3" t="s">
        <v>168</v>
      </c>
      <c r="B1" s="300"/>
      <c r="C1" s="300"/>
      <c r="D1" s="300"/>
      <c r="E1" s="300"/>
      <c r="F1" s="300"/>
      <c r="G1" s="300"/>
      <c r="H1" s="300"/>
      <c r="J1" s="8" t="s">
        <v>209</v>
      </c>
      <c r="K1" s="10"/>
      <c r="L1" s="10"/>
      <c r="M1" s="10"/>
      <c r="N1" s="10"/>
      <c r="O1" s="10"/>
      <c r="P1" s="10"/>
      <c r="Q1" s="10"/>
      <c r="S1" s="16" t="s">
        <v>173</v>
      </c>
      <c r="T1" s="16"/>
      <c r="U1" s="16"/>
      <c r="V1" s="16"/>
      <c r="W1" s="16"/>
      <c r="X1" s="16"/>
      <c r="Y1" s="16"/>
      <c r="Z1" s="16"/>
      <c r="AB1" s="17" t="s">
        <v>182</v>
      </c>
      <c r="AC1" s="17"/>
      <c r="AD1" s="17"/>
      <c r="AE1" s="17"/>
      <c r="AF1" s="17"/>
      <c r="AG1" s="17"/>
      <c r="AH1" s="17"/>
      <c r="AI1" s="17"/>
    </row>
    <row r="2" spans="1:35" ht="28.5" customHeight="1">
      <c r="A2" s="6" t="s">
        <v>126</v>
      </c>
      <c r="B2" s="6" t="s">
        <v>0</v>
      </c>
      <c r="C2" s="6" t="s">
        <v>1</v>
      </c>
      <c r="D2" s="7" t="s">
        <v>191</v>
      </c>
      <c r="E2" s="7" t="s">
        <v>192</v>
      </c>
      <c r="F2" s="7" t="s">
        <v>194</v>
      </c>
      <c r="G2" s="7" t="s">
        <v>193</v>
      </c>
      <c r="H2" s="7" t="s">
        <v>183</v>
      </c>
      <c r="J2" s="8" t="s">
        <v>126</v>
      </c>
      <c r="K2" s="8" t="s">
        <v>0</v>
      </c>
      <c r="L2" s="8" t="s">
        <v>1</v>
      </c>
      <c r="M2" s="9" t="s">
        <v>191</v>
      </c>
      <c r="N2" s="9" t="s">
        <v>192</v>
      </c>
      <c r="O2" s="9" t="s">
        <v>194</v>
      </c>
      <c r="P2" s="9" t="s">
        <v>193</v>
      </c>
      <c r="Q2" s="9" t="s">
        <v>183</v>
      </c>
      <c r="S2" s="12" t="s">
        <v>126</v>
      </c>
      <c r="T2" s="12" t="s">
        <v>0</v>
      </c>
      <c r="U2" s="12" t="s">
        <v>1</v>
      </c>
      <c r="V2" s="13" t="s">
        <v>191</v>
      </c>
      <c r="W2" s="13" t="s">
        <v>192</v>
      </c>
      <c r="X2" s="13" t="s">
        <v>194</v>
      </c>
      <c r="Y2" s="13" t="s">
        <v>193</v>
      </c>
      <c r="Z2" s="13" t="s">
        <v>183</v>
      </c>
      <c r="AB2" s="14" t="s">
        <v>126</v>
      </c>
      <c r="AC2" s="14" t="s">
        <v>0</v>
      </c>
      <c r="AD2" s="14" t="s">
        <v>1</v>
      </c>
      <c r="AE2" s="15" t="s">
        <v>191</v>
      </c>
      <c r="AF2" s="15" t="s">
        <v>192</v>
      </c>
      <c r="AG2" s="15" t="s">
        <v>194</v>
      </c>
      <c r="AH2" s="15" t="s">
        <v>193</v>
      </c>
      <c r="AI2" s="15" t="s">
        <v>183</v>
      </c>
    </row>
    <row r="3" spans="1:35" s="237" customFormat="1" ht="18" customHeight="1">
      <c r="A3" s="252" t="str">
        <f>+B3&amp;C3</f>
        <v>HONDACRV</v>
      </c>
      <c r="B3" s="276" t="s">
        <v>174</v>
      </c>
      <c r="C3" s="277" t="s">
        <v>22</v>
      </c>
      <c r="D3" s="278">
        <v>2</v>
      </c>
      <c r="E3" s="278">
        <v>50000</v>
      </c>
      <c r="F3" s="279" t="str">
        <f ca="1">+IF('INGRESO DE INFORMACION'!$C$5&gt;'V1 GPS'!D3,"NO","SI")</f>
        <v>SI</v>
      </c>
      <c r="G3" s="279" t="str">
        <f>+IF('INGRESO DE INFORMACION'!$F$11&gt;'V1 GPS'!E3,"SI","NO")</f>
        <v>NO</v>
      </c>
      <c r="H3" s="280" t="str">
        <f t="shared" ref="H3:H27" ca="1" si="0">IF(OR(F3="SI",G3="SI"),"SI","NO")</f>
        <v>SI</v>
      </c>
      <c r="J3" s="252" t="str">
        <f>+K3&amp;L3</f>
        <v>CHEVROLETAVEO</v>
      </c>
      <c r="K3" s="249" t="s">
        <v>57</v>
      </c>
      <c r="L3" s="249" t="s">
        <v>79</v>
      </c>
      <c r="M3" s="278">
        <v>3</v>
      </c>
      <c r="N3" s="278">
        <v>50000</v>
      </c>
      <c r="O3" s="279" t="str">
        <f ca="1">+IF('INGRESO DE INFORMACION'!$C$5&gt;'V1 GPS'!M3,"NO","SI")</f>
        <v>SI</v>
      </c>
      <c r="P3" s="279" t="str">
        <f>+IF('INGRESO DE INFORMACION'!$F$11&gt;'V1 GPS'!N3,"SI","NO")</f>
        <v>NO</v>
      </c>
      <c r="Q3" s="280" t="str">
        <f t="shared" ref="Q3:Q25" ca="1" si="1">IF(OR(O3="SI",P3="SI"),"SI","NO")</f>
        <v>SI</v>
      </c>
      <c r="S3" s="252" t="str">
        <f t="shared" ref="S3:S25" si="2">+T3&amp;U3</f>
        <v>HONDACRV</v>
      </c>
      <c r="T3" s="252" t="s">
        <v>174</v>
      </c>
      <c r="U3" s="252" t="s">
        <v>22</v>
      </c>
      <c r="V3" s="278">
        <v>2</v>
      </c>
      <c r="W3" s="252">
        <v>49999</v>
      </c>
      <c r="X3" s="279" t="str">
        <f ca="1">+IF('INGRESO DE INFORMACION'!$C$5&gt;'V1 GPS'!V3,"NO","SI")</f>
        <v>SI</v>
      </c>
      <c r="Y3" s="279" t="str">
        <f>+IF('INGRESO DE INFORMACION'!$F$11&gt;'V1 GPS'!W3,"SI","NO")</f>
        <v>NO</v>
      </c>
      <c r="Z3" s="280" t="str">
        <f t="shared" ref="Z3:Z25" ca="1" si="3">IF(OR(X3="SI",Y3="SI"),"SI","NO")</f>
        <v>SI</v>
      </c>
      <c r="AB3" s="252" t="str">
        <f>+AC3&amp;AD3</f>
        <v>Hyundai Veloster</v>
      </c>
      <c r="AC3" s="281" t="s">
        <v>210</v>
      </c>
      <c r="AD3" s="281" t="s">
        <v>211</v>
      </c>
      <c r="AE3" s="278">
        <v>1</v>
      </c>
      <c r="AF3" s="252">
        <v>50000</v>
      </c>
      <c r="AG3" s="279" t="str">
        <f ca="1">+IF('INGRESO DE INFORMACION'!$C$5&gt;'V1 GPS'!AE3,"NO","SI")</f>
        <v>SI</v>
      </c>
      <c r="AH3" s="279" t="str">
        <f>+IF('INGRESO DE INFORMACION'!$F$11&gt;'V1 GPS'!AF3,"SI","NO")</f>
        <v>NO</v>
      </c>
      <c r="AI3" s="280" t="str">
        <f t="shared" ref="AI3:AI24" ca="1" si="4">IF(OR(AG3="SI",AH3="SI"),"SI","NO")</f>
        <v>SI</v>
      </c>
    </row>
    <row r="4" spans="1:35" s="237" customFormat="1" ht="18" customHeight="1">
      <c r="A4" s="252" t="str">
        <f t="shared" ref="A4:A27" si="5">+B4&amp;C4</f>
        <v>HONDARIDGELINE</v>
      </c>
      <c r="B4" s="276" t="s">
        <v>174</v>
      </c>
      <c r="C4" s="277" t="s">
        <v>195</v>
      </c>
      <c r="D4" s="278">
        <v>2</v>
      </c>
      <c r="E4" s="278">
        <v>50000</v>
      </c>
      <c r="F4" s="279" t="str">
        <f ca="1">+IF('INGRESO DE INFORMACION'!$C$5&gt;'V1 GPS'!D4,"NO","SI")</f>
        <v>SI</v>
      </c>
      <c r="G4" s="279" t="str">
        <f>+IF('INGRESO DE INFORMACION'!$F$11&gt;'V1 GPS'!E4,"SI","NO")</f>
        <v>NO</v>
      </c>
      <c r="H4" s="280" t="str">
        <f t="shared" ca="1" si="0"/>
        <v>SI</v>
      </c>
      <c r="J4" s="252" t="str">
        <f t="shared" ref="J4:J22" si="6">+K4&amp;L4</f>
        <v>CHEVROLETSAIL</v>
      </c>
      <c r="K4" s="249" t="s">
        <v>57</v>
      </c>
      <c r="L4" s="249" t="s">
        <v>81</v>
      </c>
      <c r="M4" s="278">
        <v>3</v>
      </c>
      <c r="N4" s="278">
        <v>50000</v>
      </c>
      <c r="O4" s="279" t="str">
        <f ca="1">+IF('INGRESO DE INFORMACION'!$C$5&gt;'V1 GPS'!M4,"NO","SI")</f>
        <v>SI</v>
      </c>
      <c r="P4" s="279" t="str">
        <f>+IF('INGRESO DE INFORMACION'!$F$11&gt;'V1 GPS'!N4,"SI","NO")</f>
        <v>NO</v>
      </c>
      <c r="Q4" s="280" t="str">
        <f t="shared" ca="1" si="1"/>
        <v>SI</v>
      </c>
      <c r="S4" s="252" t="str">
        <f t="shared" si="2"/>
        <v>HYUNDAIACCENT</v>
      </c>
      <c r="T4" s="249" t="s">
        <v>66</v>
      </c>
      <c r="U4" s="249" t="s">
        <v>91</v>
      </c>
      <c r="V4" s="278">
        <v>2</v>
      </c>
      <c r="W4" s="252">
        <v>49999</v>
      </c>
      <c r="X4" s="279" t="str">
        <f ca="1">+IF('INGRESO DE INFORMACION'!$C$5&gt;'V1 GPS'!V4,"NO","SI")</f>
        <v>SI</v>
      </c>
      <c r="Y4" s="279" t="str">
        <f>+IF('INGRESO DE INFORMACION'!$F$11&gt;'V1 GPS'!W4,"SI","NO")</f>
        <v>NO</v>
      </c>
      <c r="Z4" s="280" t="str">
        <f t="shared" ca="1" si="3"/>
        <v>SI</v>
      </c>
      <c r="AB4" s="252" t="str">
        <f t="shared" ref="AB4:AB27" si="7">+AC4&amp;AD4</f>
        <v>KiaPicanto</v>
      </c>
      <c r="AC4" s="281" t="s">
        <v>9</v>
      </c>
      <c r="AD4" s="281" t="s">
        <v>212</v>
      </c>
      <c r="AE4" s="278">
        <v>1</v>
      </c>
      <c r="AF4" s="252">
        <v>50000</v>
      </c>
      <c r="AG4" s="279" t="str">
        <f ca="1">+IF('INGRESO DE INFORMACION'!$C$5&gt;'V1 GPS'!AE4,"NO","SI")</f>
        <v>SI</v>
      </c>
      <c r="AH4" s="279" t="str">
        <f>+IF('INGRESO DE INFORMACION'!$F$11&gt;'V1 GPS'!AF4,"SI","NO")</f>
        <v>NO</v>
      </c>
      <c r="AI4" s="280" t="str">
        <f t="shared" ca="1" si="4"/>
        <v>SI</v>
      </c>
    </row>
    <row r="5" spans="1:35" s="237" customFormat="1" ht="18" customHeight="1">
      <c r="A5" s="252" t="str">
        <f t="shared" si="5"/>
        <v>HYUNDAIACCENT</v>
      </c>
      <c r="B5" s="276" t="s">
        <v>66</v>
      </c>
      <c r="C5" s="277" t="s">
        <v>91</v>
      </c>
      <c r="D5" s="278">
        <v>2</v>
      </c>
      <c r="E5" s="278">
        <v>50000</v>
      </c>
      <c r="F5" s="279" t="str">
        <f ca="1">+IF('INGRESO DE INFORMACION'!$C$5&gt;'V1 GPS'!D5,"NO","SI")</f>
        <v>SI</v>
      </c>
      <c r="G5" s="279" t="str">
        <f>+IF('INGRESO DE INFORMACION'!$F$11&gt;'V1 GPS'!E5,"SI","NO")</f>
        <v>NO</v>
      </c>
      <c r="H5" s="280" t="str">
        <f t="shared" ca="1" si="0"/>
        <v>SI</v>
      </c>
      <c r="J5" s="252" t="str">
        <f t="shared" si="6"/>
        <v>KIARIO</v>
      </c>
      <c r="K5" s="249" t="s">
        <v>59</v>
      </c>
      <c r="L5" s="249" t="s">
        <v>95</v>
      </c>
      <c r="M5" s="278">
        <v>3</v>
      </c>
      <c r="N5" s="278">
        <v>50000</v>
      </c>
      <c r="O5" s="279" t="str">
        <f ca="1">+IF('INGRESO DE INFORMACION'!$C$5&gt;'V1 GPS'!M5,"NO","SI")</f>
        <v>SI</v>
      </c>
      <c r="P5" s="279" t="str">
        <f>+IF('INGRESO DE INFORMACION'!$F$11&gt;'V1 GPS'!N5,"SI","NO")</f>
        <v>NO</v>
      </c>
      <c r="Q5" s="280" t="str">
        <f t="shared" ca="1" si="1"/>
        <v>SI</v>
      </c>
      <c r="S5" s="252" t="str">
        <f t="shared" si="2"/>
        <v>HYUNDAIELANTRA</v>
      </c>
      <c r="T5" s="249" t="s">
        <v>66</v>
      </c>
      <c r="U5" s="249" t="s">
        <v>90</v>
      </c>
      <c r="V5" s="278">
        <v>2</v>
      </c>
      <c r="W5" s="252">
        <v>49999</v>
      </c>
      <c r="X5" s="279" t="str">
        <f ca="1">+IF('INGRESO DE INFORMACION'!$C$5&gt;'V1 GPS'!V5,"NO","SI")</f>
        <v>SI</v>
      </c>
      <c r="Y5" s="279" t="str">
        <f>+IF('INGRESO DE INFORMACION'!$F$11&gt;'V1 GPS'!W5,"SI","NO")</f>
        <v>NO</v>
      </c>
      <c r="Z5" s="280" t="str">
        <f t="shared" ca="1" si="3"/>
        <v>SI</v>
      </c>
      <c r="AB5" s="252" t="str">
        <f t="shared" si="7"/>
        <v>Chevroletspark</v>
      </c>
      <c r="AC5" s="281" t="s">
        <v>3</v>
      </c>
      <c r="AD5" s="281" t="s">
        <v>213</v>
      </c>
      <c r="AE5" s="278">
        <v>2</v>
      </c>
      <c r="AF5" s="252">
        <v>50000</v>
      </c>
      <c r="AG5" s="279" t="str">
        <f ca="1">+IF('INGRESO DE INFORMACION'!$C$5&gt;'V1 GPS'!AE5,"NO","SI")</f>
        <v>SI</v>
      </c>
      <c r="AH5" s="279" t="str">
        <f>+IF('INGRESO DE INFORMACION'!$F$11&gt;'V1 GPS'!AF5,"SI","NO")</f>
        <v>NO</v>
      </c>
      <c r="AI5" s="280" t="str">
        <f t="shared" ca="1" si="4"/>
        <v>SI</v>
      </c>
    </row>
    <row r="6" spans="1:35" s="237" customFormat="1" ht="18" customHeight="1">
      <c r="A6" s="252" t="str">
        <f t="shared" si="5"/>
        <v>HYUNDAIELANTRA</v>
      </c>
      <c r="B6" s="276" t="s">
        <v>66</v>
      </c>
      <c r="C6" s="277" t="s">
        <v>90</v>
      </c>
      <c r="D6" s="278">
        <v>2</v>
      </c>
      <c r="E6" s="278">
        <v>50000</v>
      </c>
      <c r="F6" s="279" t="str">
        <f ca="1">+IF('INGRESO DE INFORMACION'!$C$5&gt;'V1 GPS'!D6,"NO","SI")</f>
        <v>SI</v>
      </c>
      <c r="G6" s="279" t="str">
        <f>+IF('INGRESO DE INFORMACION'!$F$11&gt;'V1 GPS'!E6,"SI","NO")</f>
        <v>NO</v>
      </c>
      <c r="H6" s="280" t="str">
        <f t="shared" ca="1" si="0"/>
        <v>SI</v>
      </c>
      <c r="J6" s="252" t="str">
        <f t="shared" si="6"/>
        <v>KIACERATO</v>
      </c>
      <c r="K6" s="249" t="s">
        <v>59</v>
      </c>
      <c r="L6" s="249" t="s">
        <v>94</v>
      </c>
      <c r="M6" s="278">
        <v>3</v>
      </c>
      <c r="N6" s="278">
        <v>50000</v>
      </c>
      <c r="O6" s="279" t="str">
        <f ca="1">+IF('INGRESO DE INFORMACION'!$C$5&gt;'V1 GPS'!M6,"NO","SI")</f>
        <v>SI</v>
      </c>
      <c r="P6" s="279" t="str">
        <f>+IF('INGRESO DE INFORMACION'!$F$11&gt;'V1 GPS'!N6,"SI","NO")</f>
        <v>NO</v>
      </c>
      <c r="Q6" s="280" t="str">
        <f t="shared" ca="1" si="1"/>
        <v>SI</v>
      </c>
      <c r="S6" s="252" t="str">
        <f t="shared" si="2"/>
        <v>HYUNDAISANTA FE</v>
      </c>
      <c r="T6" s="252" t="s">
        <v>66</v>
      </c>
      <c r="U6" s="252" t="s">
        <v>196</v>
      </c>
      <c r="V6" s="278">
        <v>2</v>
      </c>
      <c r="W6" s="252">
        <v>49999</v>
      </c>
      <c r="X6" s="279" t="str">
        <f ca="1">+IF('INGRESO DE INFORMACION'!$C$5&gt;'V1 GPS'!V6,"NO","SI")</f>
        <v>SI</v>
      </c>
      <c r="Y6" s="279" t="str">
        <f>+IF('INGRESO DE INFORMACION'!$F$11&gt;'V1 GPS'!W6,"SI","NO")</f>
        <v>NO</v>
      </c>
      <c r="Z6" s="280" t="str">
        <f t="shared" ca="1" si="3"/>
        <v>SI</v>
      </c>
      <c r="AB6" s="252" t="str">
        <f t="shared" si="7"/>
        <v>HondaCRV</v>
      </c>
      <c r="AC6" s="281" t="s">
        <v>184</v>
      </c>
      <c r="AD6" s="281" t="s">
        <v>22</v>
      </c>
      <c r="AE6" s="278">
        <v>2</v>
      </c>
      <c r="AF6" s="252">
        <v>50000</v>
      </c>
      <c r="AG6" s="279" t="str">
        <f ca="1">+IF('INGRESO DE INFORMACION'!$C$5&gt;'V1 GPS'!AE6,"NO","SI")</f>
        <v>SI</v>
      </c>
      <c r="AH6" s="279" t="str">
        <f>+IF('INGRESO DE INFORMACION'!$F$11&gt;'V1 GPS'!AF6,"SI","NO")</f>
        <v>NO</v>
      </c>
      <c r="AI6" s="280" t="str">
        <f t="shared" ca="1" si="4"/>
        <v>SI</v>
      </c>
    </row>
    <row r="7" spans="1:35" s="237" customFormat="1" ht="18" customHeight="1">
      <c r="A7" s="252" t="str">
        <f t="shared" si="5"/>
        <v>HYUNDAISANTA FE</v>
      </c>
      <c r="B7" s="276" t="s">
        <v>66</v>
      </c>
      <c r="C7" s="277" t="s">
        <v>196</v>
      </c>
      <c r="D7" s="278">
        <v>2</v>
      </c>
      <c r="E7" s="278">
        <v>50000</v>
      </c>
      <c r="F7" s="279" t="str">
        <f ca="1">+IF('INGRESO DE INFORMACION'!$C$5&gt;'V1 GPS'!D7,"NO","SI")</f>
        <v>SI</v>
      </c>
      <c r="G7" s="279" t="str">
        <f>+IF('INGRESO DE INFORMACION'!$F$11&gt;'V1 GPS'!E7,"SI","NO")</f>
        <v>NO</v>
      </c>
      <c r="H7" s="280" t="str">
        <f t="shared" ca="1" si="0"/>
        <v>SI</v>
      </c>
      <c r="J7" s="252" t="str">
        <f t="shared" si="6"/>
        <v>MAZDA3</v>
      </c>
      <c r="K7" s="249" t="s">
        <v>96</v>
      </c>
      <c r="L7" s="249">
        <v>3</v>
      </c>
      <c r="M7" s="278">
        <v>3</v>
      </c>
      <c r="N7" s="278">
        <v>50000</v>
      </c>
      <c r="O7" s="279" t="str">
        <f ca="1">+IF('INGRESO DE INFORMACION'!$C$5&gt;'V1 GPS'!M7,"NO","SI")</f>
        <v>SI</v>
      </c>
      <c r="P7" s="279" t="str">
        <f>+IF('INGRESO DE INFORMACION'!$F$11&gt;'V1 GPS'!N7,"SI","NO")</f>
        <v>NO</v>
      </c>
      <c r="Q7" s="280" t="str">
        <f t="shared" ca="1" si="1"/>
        <v>SI</v>
      </c>
      <c r="S7" s="252" t="str">
        <f t="shared" si="2"/>
        <v>HYUNDAITUCSON</v>
      </c>
      <c r="T7" s="252" t="s">
        <v>66</v>
      </c>
      <c r="U7" s="252" t="s">
        <v>197</v>
      </c>
      <c r="V7" s="278">
        <v>2</v>
      </c>
      <c r="W7" s="252">
        <v>49999</v>
      </c>
      <c r="X7" s="279" t="str">
        <f ca="1">+IF('INGRESO DE INFORMACION'!$C$5&gt;'V1 GPS'!V7,"NO","SI")</f>
        <v>SI</v>
      </c>
      <c r="Y7" s="279" t="str">
        <f>+IF('INGRESO DE INFORMACION'!$F$11&gt;'V1 GPS'!W7,"SI","NO")</f>
        <v>NO</v>
      </c>
      <c r="Z7" s="280" t="str">
        <f t="shared" ca="1" si="3"/>
        <v>SI</v>
      </c>
      <c r="AB7" s="252" t="str">
        <f t="shared" si="7"/>
        <v>Hyundai Accent</v>
      </c>
      <c r="AC7" s="281" t="s">
        <v>210</v>
      </c>
      <c r="AD7" s="281" t="s">
        <v>6</v>
      </c>
      <c r="AE7" s="278">
        <v>2</v>
      </c>
      <c r="AF7" s="252">
        <v>50000</v>
      </c>
      <c r="AG7" s="279" t="str">
        <f ca="1">+IF('INGRESO DE INFORMACION'!$C$5&gt;'V1 GPS'!AE7,"NO","SI")</f>
        <v>SI</v>
      </c>
      <c r="AH7" s="279" t="str">
        <f>+IF('INGRESO DE INFORMACION'!$F$11&gt;'V1 GPS'!AF7,"SI","NO")</f>
        <v>NO</v>
      </c>
      <c r="AI7" s="280" t="str">
        <f t="shared" ca="1" si="4"/>
        <v>SI</v>
      </c>
    </row>
    <row r="8" spans="1:35" s="237" customFormat="1" ht="18" customHeight="1">
      <c r="A8" s="252" t="str">
        <f t="shared" si="5"/>
        <v>HYUNDAITUCSON</v>
      </c>
      <c r="B8" s="276" t="s">
        <v>66</v>
      </c>
      <c r="C8" s="277" t="s">
        <v>197</v>
      </c>
      <c r="D8" s="278">
        <v>2</v>
      </c>
      <c r="E8" s="278">
        <v>50000</v>
      </c>
      <c r="F8" s="279" t="str">
        <f ca="1">+IF('INGRESO DE INFORMACION'!$C$5&gt;'V1 GPS'!D8,"NO","SI")</f>
        <v>SI</v>
      </c>
      <c r="G8" s="279" t="str">
        <f>+IF('INGRESO DE INFORMACION'!$F$11&gt;'V1 GPS'!E8,"SI","NO")</f>
        <v>NO</v>
      </c>
      <c r="H8" s="280" t="str">
        <f t="shared" ca="1" si="0"/>
        <v>SI</v>
      </c>
      <c r="J8" s="252" t="str">
        <f t="shared" si="6"/>
        <v>NISSANSENTRA</v>
      </c>
      <c r="K8" s="249" t="s">
        <v>100</v>
      </c>
      <c r="L8" s="249" t="s">
        <v>106</v>
      </c>
      <c r="M8" s="278">
        <v>3</v>
      </c>
      <c r="N8" s="278">
        <v>50000</v>
      </c>
      <c r="O8" s="279" t="str">
        <f ca="1">+IF('INGRESO DE INFORMACION'!$C$5&gt;'V1 GPS'!M8,"NO","SI")</f>
        <v>SI</v>
      </c>
      <c r="P8" s="279" t="str">
        <f>+IF('INGRESO DE INFORMACION'!$F$11&gt;'V1 GPS'!N8,"SI","NO")</f>
        <v>NO</v>
      </c>
      <c r="Q8" s="280" t="str">
        <f t="shared" ca="1" si="1"/>
        <v>SI</v>
      </c>
      <c r="S8" s="252" t="str">
        <f t="shared" si="2"/>
        <v>KIACERATO</v>
      </c>
      <c r="T8" s="249" t="s">
        <v>59</v>
      </c>
      <c r="U8" s="249" t="s">
        <v>94</v>
      </c>
      <c r="V8" s="278">
        <v>2</v>
      </c>
      <c r="W8" s="252">
        <v>49999</v>
      </c>
      <c r="X8" s="279" t="str">
        <f ca="1">+IF('INGRESO DE INFORMACION'!$C$5&gt;'V1 GPS'!V8,"NO","SI")</f>
        <v>SI</v>
      </c>
      <c r="Y8" s="279" t="str">
        <f>+IF('INGRESO DE INFORMACION'!$F$11&gt;'V1 GPS'!W8,"SI","NO")</f>
        <v>NO</v>
      </c>
      <c r="Z8" s="280" t="str">
        <f t="shared" ca="1" si="3"/>
        <v>SI</v>
      </c>
      <c r="AB8" s="252" t="str">
        <f t="shared" si="7"/>
        <v>Hyundai Santa Fe</v>
      </c>
      <c r="AC8" s="281" t="s">
        <v>210</v>
      </c>
      <c r="AD8" s="281" t="s">
        <v>185</v>
      </c>
      <c r="AE8" s="278">
        <v>2</v>
      </c>
      <c r="AF8" s="252">
        <v>50000</v>
      </c>
      <c r="AG8" s="279" t="str">
        <f ca="1">+IF('INGRESO DE INFORMACION'!$C$5&gt;'V1 GPS'!AE8,"NO","SI")</f>
        <v>SI</v>
      </c>
      <c r="AH8" s="279" t="str">
        <f>+IF('INGRESO DE INFORMACION'!$F$11&gt;'V1 GPS'!AF8,"SI","NO")</f>
        <v>NO</v>
      </c>
      <c r="AI8" s="280" t="str">
        <f t="shared" ca="1" si="4"/>
        <v>SI</v>
      </c>
    </row>
    <row r="9" spans="1:35" s="237" customFormat="1" ht="18" customHeight="1">
      <c r="A9" s="252" t="str">
        <f t="shared" si="5"/>
        <v>KIACERATO</v>
      </c>
      <c r="B9" s="276" t="s">
        <v>59</v>
      </c>
      <c r="C9" s="277" t="s">
        <v>94</v>
      </c>
      <c r="D9" s="278">
        <v>2</v>
      </c>
      <c r="E9" s="278">
        <v>50000</v>
      </c>
      <c r="F9" s="279" t="str">
        <f ca="1">+IF('INGRESO DE INFORMACION'!$C$5&gt;'V1 GPS'!D9,"NO","SI")</f>
        <v>SI</v>
      </c>
      <c r="G9" s="279" t="str">
        <f>+IF('INGRESO DE INFORMACION'!$F$11&gt;'V1 GPS'!E9,"SI","NO")</f>
        <v>NO</v>
      </c>
      <c r="H9" s="280" t="str">
        <f t="shared" ca="1" si="0"/>
        <v>SI</v>
      </c>
      <c r="J9" s="252" t="str">
        <f t="shared" si="6"/>
        <v>NISSANTIIDA</v>
      </c>
      <c r="K9" s="249" t="s">
        <v>100</v>
      </c>
      <c r="L9" s="249" t="s">
        <v>107</v>
      </c>
      <c r="M9" s="278">
        <v>3</v>
      </c>
      <c r="N9" s="278">
        <v>50000</v>
      </c>
      <c r="O9" s="279" t="str">
        <f ca="1">+IF('INGRESO DE INFORMACION'!$C$5&gt;'V1 GPS'!M9,"NO","SI")</f>
        <v>SI</v>
      </c>
      <c r="P9" s="279" t="str">
        <f>+IF('INGRESO DE INFORMACION'!$F$11&gt;'V1 GPS'!N9,"SI","NO")</f>
        <v>NO</v>
      </c>
      <c r="Q9" s="280" t="str">
        <f t="shared" ca="1" si="1"/>
        <v>SI</v>
      </c>
      <c r="S9" s="252" t="str">
        <f t="shared" si="2"/>
        <v>KIARIO</v>
      </c>
      <c r="T9" s="249" t="s">
        <v>59</v>
      </c>
      <c r="U9" s="249" t="s">
        <v>95</v>
      </c>
      <c r="V9" s="278">
        <v>2</v>
      </c>
      <c r="W9" s="252">
        <v>49999</v>
      </c>
      <c r="X9" s="279" t="str">
        <f ca="1">+IF('INGRESO DE INFORMACION'!$C$5&gt;'V1 GPS'!V9,"NO","SI")</f>
        <v>SI</v>
      </c>
      <c r="Y9" s="279" t="str">
        <f>+IF('INGRESO DE INFORMACION'!$F$11&gt;'V1 GPS'!W9,"SI","NO")</f>
        <v>NO</v>
      </c>
      <c r="Z9" s="280" t="str">
        <f t="shared" ca="1" si="3"/>
        <v>SI</v>
      </c>
      <c r="AB9" s="252" t="str">
        <f t="shared" si="7"/>
        <v>Hyundai Tucson</v>
      </c>
      <c r="AC9" s="281" t="s">
        <v>210</v>
      </c>
      <c r="AD9" s="252" t="s">
        <v>186</v>
      </c>
      <c r="AE9" s="278">
        <v>2</v>
      </c>
      <c r="AF9" s="252">
        <v>50000</v>
      </c>
      <c r="AG9" s="279" t="str">
        <f ca="1">+IF('INGRESO DE INFORMACION'!$C$5&gt;'V1 GPS'!AE9,"NO","SI")</f>
        <v>SI</v>
      </c>
      <c r="AH9" s="279" t="str">
        <f>+IF('INGRESO DE INFORMACION'!$F$11&gt;'V1 GPS'!AF9,"SI","NO")</f>
        <v>NO</v>
      </c>
      <c r="AI9" s="280" t="str">
        <f t="shared" ca="1" si="4"/>
        <v>SI</v>
      </c>
    </row>
    <row r="10" spans="1:35" s="237" customFormat="1" ht="18" customHeight="1">
      <c r="A10" s="252" t="str">
        <f t="shared" si="5"/>
        <v>KIARIO</v>
      </c>
      <c r="B10" s="276" t="s">
        <v>59</v>
      </c>
      <c r="C10" s="277" t="s">
        <v>95</v>
      </c>
      <c r="D10" s="278">
        <v>2</v>
      </c>
      <c r="E10" s="278">
        <v>50000</v>
      </c>
      <c r="F10" s="279" t="str">
        <f ca="1">+IF('INGRESO DE INFORMACION'!$C$5&gt;'V1 GPS'!D10,"NO","SI")</f>
        <v>SI</v>
      </c>
      <c r="G10" s="279" t="str">
        <f>+IF('INGRESO DE INFORMACION'!$F$11&gt;'V1 GPS'!E10,"SI","NO")</f>
        <v>NO</v>
      </c>
      <c r="H10" s="280" t="str">
        <f t="shared" ca="1" si="0"/>
        <v>SI</v>
      </c>
      <c r="J10" s="252" t="str">
        <f t="shared" si="6"/>
        <v>SUBARUIMPREZA</v>
      </c>
      <c r="K10" s="249" t="s">
        <v>28</v>
      </c>
      <c r="L10" s="252" t="s">
        <v>30</v>
      </c>
      <c r="M10" s="278">
        <v>3</v>
      </c>
      <c r="N10" s="278">
        <v>50000</v>
      </c>
      <c r="O10" s="279" t="str">
        <f ca="1">+IF('INGRESO DE INFORMACION'!$C$5&gt;'V1 GPS'!M10,"NO","SI")</f>
        <v>SI</v>
      </c>
      <c r="P10" s="279" t="str">
        <f>+IF('INGRESO DE INFORMACION'!$F$11&gt;'V1 GPS'!N10,"SI","NO")</f>
        <v>NO</v>
      </c>
      <c r="Q10" s="280" t="str">
        <f t="shared" ca="1" si="1"/>
        <v>SI</v>
      </c>
      <c r="S10" s="252" t="str">
        <f t="shared" si="2"/>
        <v>KIASPORTAGE</v>
      </c>
      <c r="T10" s="252" t="s">
        <v>59</v>
      </c>
      <c r="U10" s="252" t="s">
        <v>198</v>
      </c>
      <c r="V10" s="278">
        <v>2</v>
      </c>
      <c r="W10" s="252">
        <v>49999</v>
      </c>
      <c r="X10" s="279" t="str">
        <f ca="1">+IF('INGRESO DE INFORMACION'!$C$5&gt;'V1 GPS'!V10,"NO","SI")</f>
        <v>SI</v>
      </c>
      <c r="Y10" s="279" t="str">
        <f>+IF('INGRESO DE INFORMACION'!$F$11&gt;'V1 GPS'!W10,"SI","NO")</f>
        <v>NO</v>
      </c>
      <c r="Z10" s="280" t="str">
        <f t="shared" ca="1" si="3"/>
        <v>SI</v>
      </c>
      <c r="AB10" s="252" t="str">
        <f t="shared" si="7"/>
        <v>KiaCerato</v>
      </c>
      <c r="AC10" s="281" t="s">
        <v>9</v>
      </c>
      <c r="AD10" s="252" t="s">
        <v>10</v>
      </c>
      <c r="AE10" s="278">
        <v>2</v>
      </c>
      <c r="AF10" s="252">
        <v>50000</v>
      </c>
      <c r="AG10" s="279" t="str">
        <f ca="1">+IF('INGRESO DE INFORMACION'!$C$5&gt;'V1 GPS'!AE10,"NO","SI")</f>
        <v>SI</v>
      </c>
      <c r="AH10" s="279" t="str">
        <f>+IF('INGRESO DE INFORMACION'!$F$11&gt;'V1 GPS'!AF10,"SI","NO")</f>
        <v>NO</v>
      </c>
      <c r="AI10" s="280" t="str">
        <f t="shared" ca="1" si="4"/>
        <v>SI</v>
      </c>
    </row>
    <row r="11" spans="1:35" s="237" customFormat="1" ht="18" customHeight="1">
      <c r="A11" s="252" t="str">
        <f t="shared" si="5"/>
        <v>KIASPORTAGE</v>
      </c>
      <c r="B11" s="276" t="s">
        <v>59</v>
      </c>
      <c r="C11" s="277" t="s">
        <v>198</v>
      </c>
      <c r="D11" s="278">
        <v>2</v>
      </c>
      <c r="E11" s="278">
        <v>50000</v>
      </c>
      <c r="F11" s="279" t="str">
        <f ca="1">+IF('INGRESO DE INFORMACION'!$C$5&gt;'V1 GPS'!D11,"NO","SI")</f>
        <v>SI</v>
      </c>
      <c r="G11" s="279" t="str">
        <f>+IF('INGRESO DE INFORMACION'!$F$11&gt;'V1 GPS'!E11,"SI","NO")</f>
        <v>NO</v>
      </c>
      <c r="H11" s="280" t="str">
        <f t="shared" ca="1" si="0"/>
        <v>SI</v>
      </c>
      <c r="J11" s="252" t="str">
        <f t="shared" si="6"/>
        <v>TOYOTAYARIS</v>
      </c>
      <c r="K11" s="249" t="s">
        <v>64</v>
      </c>
      <c r="L11" s="252" t="s">
        <v>120</v>
      </c>
      <c r="M11" s="278">
        <v>3</v>
      </c>
      <c r="N11" s="278">
        <v>50000</v>
      </c>
      <c r="O11" s="279" t="str">
        <f ca="1">+IF('INGRESO DE INFORMACION'!$C$5&gt;'V1 GPS'!M11,"NO","SI")</f>
        <v>SI</v>
      </c>
      <c r="P11" s="279" t="str">
        <f>+IF('INGRESO DE INFORMACION'!$F$11&gt;'V1 GPS'!N11,"SI","NO")</f>
        <v>NO</v>
      </c>
      <c r="Q11" s="280" t="str">
        <f t="shared" ca="1" si="1"/>
        <v>SI</v>
      </c>
      <c r="S11" s="252" t="str">
        <f t="shared" si="2"/>
        <v>MAZDA3</v>
      </c>
      <c r="T11" s="249" t="s">
        <v>96</v>
      </c>
      <c r="U11" s="249">
        <v>3</v>
      </c>
      <c r="V11" s="278">
        <v>2</v>
      </c>
      <c r="W11" s="252">
        <v>49999</v>
      </c>
      <c r="X11" s="279" t="str">
        <f ca="1">+IF('INGRESO DE INFORMACION'!$C$5&gt;'V1 GPS'!V11,"NO","SI")</f>
        <v>SI</v>
      </c>
      <c r="Y11" s="279" t="str">
        <f>+IF('INGRESO DE INFORMACION'!$F$11&gt;'V1 GPS'!W11,"SI","NO")</f>
        <v>NO</v>
      </c>
      <c r="Z11" s="280" t="str">
        <f t="shared" ca="1" si="3"/>
        <v>SI</v>
      </c>
      <c r="AB11" s="252" t="str">
        <f t="shared" si="7"/>
        <v>KiaRio</v>
      </c>
      <c r="AC11" s="281" t="s">
        <v>9</v>
      </c>
      <c r="AD11" s="252" t="s">
        <v>11</v>
      </c>
      <c r="AE11" s="278">
        <v>2</v>
      </c>
      <c r="AF11" s="252">
        <v>50000</v>
      </c>
      <c r="AG11" s="279" t="str">
        <f ca="1">+IF('INGRESO DE INFORMACION'!$C$5&gt;'V1 GPS'!AE11,"NO","SI")</f>
        <v>SI</v>
      </c>
      <c r="AH11" s="279" t="str">
        <f>+IF('INGRESO DE INFORMACION'!$F$11&gt;'V1 GPS'!AF11,"SI","NO")</f>
        <v>NO</v>
      </c>
      <c r="AI11" s="280" t="str">
        <f t="shared" ca="1" si="4"/>
        <v>SI</v>
      </c>
    </row>
    <row r="12" spans="1:35" s="237" customFormat="1" ht="18" customHeight="1">
      <c r="A12" s="252" t="str">
        <f t="shared" si="5"/>
        <v>MAZDA3</v>
      </c>
      <c r="B12" s="276" t="s">
        <v>96</v>
      </c>
      <c r="C12" s="277">
        <v>3</v>
      </c>
      <c r="D12" s="278">
        <v>2</v>
      </c>
      <c r="E12" s="278">
        <v>50000</v>
      </c>
      <c r="F12" s="279" t="str">
        <f ca="1">+IF('INGRESO DE INFORMACION'!$C$5&gt;'V1 GPS'!D12,"NO","SI")</f>
        <v>SI</v>
      </c>
      <c r="G12" s="279" t="str">
        <f>+IF('INGRESO DE INFORMACION'!$F$11&gt;'V1 GPS'!E12,"SI","NO")</f>
        <v>NO</v>
      </c>
      <c r="H12" s="280" t="str">
        <f t="shared" ca="1" si="0"/>
        <v>SI</v>
      </c>
      <c r="J12" s="252" t="str">
        <f t="shared" si="6"/>
        <v>TOYOTACOROLLA</v>
      </c>
      <c r="K12" s="249" t="s">
        <v>64</v>
      </c>
      <c r="L12" s="249" t="s">
        <v>119</v>
      </c>
      <c r="M12" s="278">
        <v>3</v>
      </c>
      <c r="N12" s="278">
        <v>50000</v>
      </c>
      <c r="O12" s="279" t="str">
        <f ca="1">+IF('INGRESO DE INFORMACION'!$C$5&gt;'V1 GPS'!M12,"NO","SI")</f>
        <v>SI</v>
      </c>
      <c r="P12" s="279" t="str">
        <f>+IF('INGRESO DE INFORMACION'!$F$11&gt;'V1 GPS'!N12,"SI","NO")</f>
        <v>NO</v>
      </c>
      <c r="Q12" s="280" t="str">
        <f t="shared" ca="1" si="1"/>
        <v>SI</v>
      </c>
      <c r="S12" s="252" t="str">
        <f t="shared" si="2"/>
        <v>NISSANSENTRA</v>
      </c>
      <c r="T12" s="252" t="s">
        <v>100</v>
      </c>
      <c r="U12" s="252" t="s">
        <v>106</v>
      </c>
      <c r="V12" s="278">
        <v>2</v>
      </c>
      <c r="W12" s="252">
        <v>49999</v>
      </c>
      <c r="X12" s="279" t="str">
        <f ca="1">+IF('INGRESO DE INFORMACION'!$C$5&gt;'V1 GPS'!V12,"NO","SI")</f>
        <v>SI</v>
      </c>
      <c r="Y12" s="279" t="str">
        <f>+IF('INGRESO DE INFORMACION'!$F$11&gt;'V1 GPS'!W12,"SI","NO")</f>
        <v>NO</v>
      </c>
      <c r="Z12" s="280" t="str">
        <f t="shared" ca="1" si="3"/>
        <v>SI</v>
      </c>
      <c r="AB12" s="252" t="str">
        <f t="shared" si="7"/>
        <v>KiaSportage</v>
      </c>
      <c r="AC12" s="281" t="s">
        <v>9</v>
      </c>
      <c r="AD12" s="249" t="s">
        <v>187</v>
      </c>
      <c r="AE12" s="278">
        <v>2</v>
      </c>
      <c r="AF12" s="252">
        <v>50000</v>
      </c>
      <c r="AG12" s="279" t="str">
        <f ca="1">+IF('INGRESO DE INFORMACION'!$C$5&gt;'V1 GPS'!AE12,"NO","SI")</f>
        <v>SI</v>
      </c>
      <c r="AH12" s="279" t="str">
        <f>+IF('INGRESO DE INFORMACION'!$F$11&gt;'V1 GPS'!AF12,"SI","NO")</f>
        <v>NO</v>
      </c>
      <c r="AI12" s="280" t="str">
        <f t="shared" ca="1" si="4"/>
        <v>SI</v>
      </c>
    </row>
    <row r="13" spans="1:35" s="237" customFormat="1" ht="18" customHeight="1">
      <c r="A13" s="252" t="str">
        <f t="shared" si="5"/>
        <v>MITSUBISHIDAKAR</v>
      </c>
      <c r="B13" s="276" t="s">
        <v>98</v>
      </c>
      <c r="C13" s="277" t="s">
        <v>199</v>
      </c>
      <c r="D13" s="278">
        <v>2</v>
      </c>
      <c r="E13" s="278">
        <v>50000</v>
      </c>
      <c r="F13" s="279" t="str">
        <f ca="1">+IF('INGRESO DE INFORMACION'!$C$5&gt;'V1 GPS'!D13,"NO","SI")</f>
        <v>SI</v>
      </c>
      <c r="G13" s="279" t="str">
        <f>+IF('INGRESO DE INFORMACION'!$F$11&gt;'V1 GPS'!E13,"SI","NO")</f>
        <v>NO</v>
      </c>
      <c r="H13" s="280" t="str">
        <f t="shared" ca="1" si="0"/>
        <v>SI</v>
      </c>
      <c r="J13" s="252" t="str">
        <f t="shared" si="6"/>
        <v>VOLKSWAGENBORA</v>
      </c>
      <c r="K13" s="249" t="s">
        <v>121</v>
      </c>
      <c r="L13" s="252" t="s">
        <v>124</v>
      </c>
      <c r="M13" s="278">
        <v>3</v>
      </c>
      <c r="N13" s="278">
        <v>50000</v>
      </c>
      <c r="O13" s="279" t="str">
        <f ca="1">+IF('INGRESO DE INFORMACION'!$C$5&gt;'V1 GPS'!M13,"NO","SI")</f>
        <v>SI</v>
      </c>
      <c r="P13" s="279" t="str">
        <f>+IF('INGRESO DE INFORMACION'!$F$11&gt;'V1 GPS'!N13,"SI","NO")</f>
        <v>NO</v>
      </c>
      <c r="Q13" s="280" t="str">
        <f t="shared" ca="1" si="1"/>
        <v>SI</v>
      </c>
      <c r="S13" s="252" t="str">
        <f t="shared" si="2"/>
        <v>NISSANTIIDA</v>
      </c>
      <c r="T13" s="252" t="s">
        <v>100</v>
      </c>
      <c r="U13" s="252" t="s">
        <v>107</v>
      </c>
      <c r="V13" s="278">
        <v>2</v>
      </c>
      <c r="W13" s="252">
        <v>49999</v>
      </c>
      <c r="X13" s="279" t="str">
        <f ca="1">+IF('INGRESO DE INFORMACION'!$C$5&gt;'V1 GPS'!V13,"NO","SI")</f>
        <v>SI</v>
      </c>
      <c r="Y13" s="279" t="str">
        <f>+IF('INGRESO DE INFORMACION'!$F$11&gt;'V1 GPS'!W13,"SI","NO")</f>
        <v>NO</v>
      </c>
      <c r="Z13" s="280" t="str">
        <f t="shared" ca="1" si="3"/>
        <v>SI</v>
      </c>
      <c r="AB13" s="252" t="str">
        <f t="shared" si="7"/>
        <v>Mazda3</v>
      </c>
      <c r="AC13" s="281" t="s">
        <v>16</v>
      </c>
      <c r="AD13" s="249">
        <v>3</v>
      </c>
      <c r="AE13" s="278">
        <v>2</v>
      </c>
      <c r="AF13" s="252">
        <v>50000</v>
      </c>
      <c r="AG13" s="279" t="str">
        <f ca="1">+IF('INGRESO DE INFORMACION'!$C$5&gt;'V1 GPS'!AE13,"NO","SI")</f>
        <v>SI</v>
      </c>
      <c r="AH13" s="279" t="str">
        <f>+IF('INGRESO DE INFORMACION'!$F$11&gt;'V1 GPS'!AF13,"SI","NO")</f>
        <v>NO</v>
      </c>
      <c r="AI13" s="280" t="str">
        <f t="shared" ca="1" si="4"/>
        <v>SI</v>
      </c>
    </row>
    <row r="14" spans="1:35" s="237" customFormat="1" ht="18" customHeight="1">
      <c r="A14" s="252" t="str">
        <f t="shared" si="5"/>
        <v>NISSANNAVARA</v>
      </c>
      <c r="B14" s="276" t="s">
        <v>100</v>
      </c>
      <c r="C14" s="277" t="s">
        <v>200</v>
      </c>
      <c r="D14" s="278">
        <v>2</v>
      </c>
      <c r="E14" s="278">
        <v>50000</v>
      </c>
      <c r="F14" s="279" t="str">
        <f ca="1">+IF('INGRESO DE INFORMACION'!$C$5&gt;'V1 GPS'!D14,"NO","SI")</f>
        <v>SI</v>
      </c>
      <c r="G14" s="279" t="str">
        <f>+IF('INGRESO DE INFORMACION'!$F$11&gt;'V1 GPS'!E14,"SI","NO")</f>
        <v>NO</v>
      </c>
      <c r="H14" s="280" t="str">
        <f t="shared" ca="1" si="0"/>
        <v>SI</v>
      </c>
      <c r="J14" s="252" t="str">
        <f t="shared" si="6"/>
        <v>HONDACRV</v>
      </c>
      <c r="K14" s="249" t="s">
        <v>174</v>
      </c>
      <c r="L14" s="252" t="s">
        <v>22</v>
      </c>
      <c r="M14" s="278">
        <v>3</v>
      </c>
      <c r="N14" s="278">
        <v>50000</v>
      </c>
      <c r="O14" s="279" t="str">
        <f ca="1">+IF('INGRESO DE INFORMACION'!$C$5&gt;'V1 GPS'!M14,"NO","SI")</f>
        <v>SI</v>
      </c>
      <c r="P14" s="279" t="str">
        <f>+IF('INGRESO DE INFORMACION'!$F$11&gt;'V1 GPS'!N14,"SI","NO")</f>
        <v>NO</v>
      </c>
      <c r="Q14" s="280" t="str">
        <f t="shared" ca="1" si="1"/>
        <v>SI</v>
      </c>
      <c r="S14" s="252" t="str">
        <f t="shared" si="2"/>
        <v>SEATLEON</v>
      </c>
      <c r="T14" s="249" t="s">
        <v>37</v>
      </c>
      <c r="U14" s="252" t="s">
        <v>43</v>
      </c>
      <c r="V14" s="278">
        <v>2</v>
      </c>
      <c r="W14" s="252">
        <v>49999</v>
      </c>
      <c r="X14" s="279" t="str">
        <f ca="1">+IF('INGRESO DE INFORMACION'!$C$5&gt;'V1 GPS'!V14,"NO","SI")</f>
        <v>SI</v>
      </c>
      <c r="Y14" s="279" t="str">
        <f>+IF('INGRESO DE INFORMACION'!$F$11&gt;'V1 GPS'!W14,"SI","NO")</f>
        <v>NO</v>
      </c>
      <c r="Z14" s="280" t="str">
        <f t="shared" ca="1" si="3"/>
        <v>SI</v>
      </c>
      <c r="AB14" s="252" t="str">
        <f t="shared" si="7"/>
        <v>NissanTiida</v>
      </c>
      <c r="AC14" s="281" t="s">
        <v>12</v>
      </c>
      <c r="AD14" s="252" t="s">
        <v>27</v>
      </c>
      <c r="AE14" s="278">
        <v>2</v>
      </c>
      <c r="AF14" s="252">
        <v>50000</v>
      </c>
      <c r="AG14" s="279" t="str">
        <f ca="1">+IF('INGRESO DE INFORMACION'!$C$5&gt;'V1 GPS'!AE14,"NO","SI")</f>
        <v>SI</v>
      </c>
      <c r="AH14" s="279" t="str">
        <f>+IF('INGRESO DE INFORMACION'!$F$11&gt;'V1 GPS'!AF14,"SI","NO")</f>
        <v>NO</v>
      </c>
      <c r="AI14" s="280" t="str">
        <f t="shared" ca="1" si="4"/>
        <v>SI</v>
      </c>
    </row>
    <row r="15" spans="1:35" s="237" customFormat="1" ht="18" customHeight="1">
      <c r="A15" s="252" t="str">
        <f t="shared" si="5"/>
        <v>NISSANPATHFINDER</v>
      </c>
      <c r="B15" s="276" t="s">
        <v>100</v>
      </c>
      <c r="C15" s="277" t="s">
        <v>105</v>
      </c>
      <c r="D15" s="278">
        <v>2</v>
      </c>
      <c r="E15" s="278">
        <v>50000</v>
      </c>
      <c r="F15" s="279" t="str">
        <f ca="1">+IF('INGRESO DE INFORMACION'!$C$5&gt;'V1 GPS'!D15,"NO","SI")</f>
        <v>SI</v>
      </c>
      <c r="G15" s="279" t="str">
        <f>+IF('INGRESO DE INFORMACION'!$F$11&gt;'V1 GPS'!E15,"SI","NO")</f>
        <v>NO</v>
      </c>
      <c r="H15" s="280" t="str">
        <f t="shared" ca="1" si="0"/>
        <v>SI</v>
      </c>
      <c r="J15" s="252" t="str">
        <f t="shared" si="6"/>
        <v>KIASPORTAGE</v>
      </c>
      <c r="K15" s="249" t="s">
        <v>59</v>
      </c>
      <c r="L15" s="252" t="s">
        <v>198</v>
      </c>
      <c r="M15" s="278">
        <v>3</v>
      </c>
      <c r="N15" s="278">
        <v>50000</v>
      </c>
      <c r="O15" s="279" t="str">
        <f ca="1">+IF('INGRESO DE INFORMACION'!$C$5&gt;'V1 GPS'!M15,"NO","SI")</f>
        <v>SI</v>
      </c>
      <c r="P15" s="279" t="str">
        <f>+IF('INGRESO DE INFORMACION'!$F$11&gt;'V1 GPS'!N15,"SI","NO")</f>
        <v>NO</v>
      </c>
      <c r="Q15" s="280" t="str">
        <f t="shared" ca="1" si="1"/>
        <v>SI</v>
      </c>
      <c r="S15" s="252" t="str">
        <f t="shared" si="2"/>
        <v>SUZUKIGRAND NOMADE</v>
      </c>
      <c r="T15" s="252" t="s">
        <v>68</v>
      </c>
      <c r="U15" s="252" t="s">
        <v>77</v>
      </c>
      <c r="V15" s="278">
        <v>2</v>
      </c>
      <c r="W15" s="252">
        <v>49999</v>
      </c>
      <c r="X15" s="279" t="str">
        <f ca="1">+IF('INGRESO DE INFORMACION'!$C$5&gt;'V1 GPS'!V15,"NO","SI")</f>
        <v>SI</v>
      </c>
      <c r="Y15" s="279" t="str">
        <f>+IF('INGRESO DE INFORMACION'!$F$11&gt;'V1 GPS'!W15,"SI","NO")</f>
        <v>NO</v>
      </c>
      <c r="Z15" s="280" t="str">
        <f t="shared" ca="1" si="3"/>
        <v>SI</v>
      </c>
      <c r="AB15" s="252" t="str">
        <f t="shared" si="7"/>
        <v>SuzukiGrand Nomade</v>
      </c>
      <c r="AC15" s="281" t="s">
        <v>13</v>
      </c>
      <c r="AD15" s="252" t="s">
        <v>21</v>
      </c>
      <c r="AE15" s="278">
        <v>2</v>
      </c>
      <c r="AF15" s="252">
        <v>50000</v>
      </c>
      <c r="AG15" s="279" t="str">
        <f ca="1">+IF('INGRESO DE INFORMACION'!$C$5&gt;'V1 GPS'!AE15,"NO","SI")</f>
        <v>SI</v>
      </c>
      <c r="AH15" s="279" t="str">
        <f>+IF('INGRESO DE INFORMACION'!$F$11&gt;'V1 GPS'!AF15,"SI","NO")</f>
        <v>NO</v>
      </c>
      <c r="AI15" s="280" t="str">
        <f t="shared" ca="1" si="4"/>
        <v>SI</v>
      </c>
    </row>
    <row r="16" spans="1:35" s="237" customFormat="1" ht="18" customHeight="1">
      <c r="A16" s="252" t="str">
        <f t="shared" si="5"/>
        <v>NISSANPATROL</v>
      </c>
      <c r="B16" s="276" t="s">
        <v>100</v>
      </c>
      <c r="C16" s="277" t="s">
        <v>104</v>
      </c>
      <c r="D16" s="278">
        <v>2</v>
      </c>
      <c r="E16" s="278">
        <v>50000</v>
      </c>
      <c r="F16" s="279" t="str">
        <f ca="1">+IF('INGRESO DE INFORMACION'!$C$5&gt;'V1 GPS'!D16,"NO","SI")</f>
        <v>SI</v>
      </c>
      <c r="G16" s="279" t="str">
        <f>+IF('INGRESO DE INFORMACION'!$F$11&gt;'V1 GPS'!E16,"SI","NO")</f>
        <v>NO</v>
      </c>
      <c r="H16" s="280" t="str">
        <f t="shared" ca="1" si="0"/>
        <v>SI</v>
      </c>
      <c r="J16" s="252" t="str">
        <f t="shared" si="6"/>
        <v>MITSUBISHIMONTERO</v>
      </c>
      <c r="K16" s="249" t="s">
        <v>98</v>
      </c>
      <c r="L16" s="252" t="s">
        <v>204</v>
      </c>
      <c r="M16" s="278">
        <v>3</v>
      </c>
      <c r="N16" s="278">
        <v>50000</v>
      </c>
      <c r="O16" s="279" t="str">
        <f ca="1">+IF('INGRESO DE INFORMACION'!$C$5&gt;'V1 GPS'!M16,"NO","SI")</f>
        <v>SI</v>
      </c>
      <c r="P16" s="279" t="str">
        <f>+IF('INGRESO DE INFORMACION'!$F$11&gt;'V1 GPS'!N16,"SI","NO")</f>
        <v>NO</v>
      </c>
      <c r="Q16" s="280" t="str">
        <f t="shared" ca="1" si="1"/>
        <v>SI</v>
      </c>
      <c r="S16" s="252" t="str">
        <f t="shared" si="2"/>
        <v>TOYOTACOROLLA</v>
      </c>
      <c r="T16" s="252" t="s">
        <v>64</v>
      </c>
      <c r="U16" s="252" t="s">
        <v>119</v>
      </c>
      <c r="V16" s="278">
        <v>2</v>
      </c>
      <c r="W16" s="252">
        <v>49999</v>
      </c>
      <c r="X16" s="279" t="str">
        <f ca="1">+IF('INGRESO DE INFORMACION'!$C$5&gt;'V1 GPS'!V16,"NO","SI")</f>
        <v>SI</v>
      </c>
      <c r="Y16" s="279" t="str">
        <f>+IF('INGRESO DE INFORMACION'!$F$11&gt;'V1 GPS'!W16,"SI","NO")</f>
        <v>NO</v>
      </c>
      <c r="Z16" s="280" t="str">
        <f t="shared" ca="1" si="3"/>
        <v>SI</v>
      </c>
      <c r="AB16" s="252" t="str">
        <f t="shared" si="7"/>
        <v>ToyotaLand Cruiser</v>
      </c>
      <c r="AC16" s="281" t="s">
        <v>17</v>
      </c>
      <c r="AD16" s="252" t="s">
        <v>18</v>
      </c>
      <c r="AE16" s="278">
        <v>2</v>
      </c>
      <c r="AF16" s="252">
        <v>50000</v>
      </c>
      <c r="AG16" s="279" t="str">
        <f ca="1">+IF('INGRESO DE INFORMACION'!$C$5&gt;'V1 GPS'!AE16,"NO","SI")</f>
        <v>SI</v>
      </c>
      <c r="AH16" s="279" t="str">
        <f>+IF('INGRESO DE INFORMACION'!$F$11&gt;'V1 GPS'!AF16,"SI","NO")</f>
        <v>NO</v>
      </c>
      <c r="AI16" s="280" t="str">
        <f t="shared" ca="1" si="4"/>
        <v>SI</v>
      </c>
    </row>
    <row r="17" spans="1:35" s="237" customFormat="1" ht="18" customHeight="1">
      <c r="A17" s="252" t="str">
        <f t="shared" si="5"/>
        <v>NISSANSENTRA</v>
      </c>
      <c r="B17" s="276" t="s">
        <v>100</v>
      </c>
      <c r="C17" s="277" t="s">
        <v>106</v>
      </c>
      <c r="D17" s="278">
        <v>2</v>
      </c>
      <c r="E17" s="278">
        <v>50000</v>
      </c>
      <c r="F17" s="279" t="str">
        <f ca="1">+IF('INGRESO DE INFORMACION'!$C$5&gt;'V1 GPS'!D17,"NO","SI")</f>
        <v>SI</v>
      </c>
      <c r="G17" s="279" t="str">
        <f>+IF('INGRESO DE INFORMACION'!$F$11&gt;'V1 GPS'!E17,"SI","NO")</f>
        <v>NO</v>
      </c>
      <c r="H17" s="280" t="str">
        <f t="shared" ca="1" si="0"/>
        <v>SI</v>
      </c>
      <c r="J17" s="252" t="str">
        <f t="shared" si="6"/>
        <v>MITSUBISHINATIVA</v>
      </c>
      <c r="K17" s="249" t="s">
        <v>98</v>
      </c>
      <c r="L17" s="252" t="s">
        <v>205</v>
      </c>
      <c r="M17" s="278">
        <v>3</v>
      </c>
      <c r="N17" s="278">
        <v>50000</v>
      </c>
      <c r="O17" s="279" t="str">
        <f ca="1">+IF('INGRESO DE INFORMACION'!$C$5&gt;'V1 GPS'!M17,"NO","SI")</f>
        <v>SI</v>
      </c>
      <c r="P17" s="279" t="str">
        <f>+IF('INGRESO DE INFORMACION'!$F$11&gt;'V1 GPS'!N17,"SI","NO")</f>
        <v>NO</v>
      </c>
      <c r="Q17" s="280" t="str">
        <f t="shared" ca="1" si="1"/>
        <v>SI</v>
      </c>
      <c r="S17" s="252" t="str">
        <f t="shared" si="2"/>
        <v>TOYOTA4RUNNER</v>
      </c>
      <c r="T17" s="252" t="s">
        <v>64</v>
      </c>
      <c r="U17" s="252" t="s">
        <v>208</v>
      </c>
      <c r="V17" s="278">
        <v>2</v>
      </c>
      <c r="W17" s="252">
        <v>49999</v>
      </c>
      <c r="X17" s="279" t="str">
        <f ca="1">+IF('INGRESO DE INFORMACION'!$C$5&gt;'V1 GPS'!V17,"NO","SI")</f>
        <v>SI</v>
      </c>
      <c r="Y17" s="279" t="str">
        <f>+IF('INGRESO DE INFORMACION'!$F$11&gt;'V1 GPS'!W17,"SI","NO")</f>
        <v>NO</v>
      </c>
      <c r="Z17" s="280" t="str">
        <f t="shared" ca="1" si="3"/>
        <v>SI</v>
      </c>
      <c r="AB17" s="252" t="str">
        <f t="shared" si="7"/>
        <v>ToyotaLand Crusier Prado</v>
      </c>
      <c r="AC17" s="281" t="s">
        <v>17</v>
      </c>
      <c r="AD17" s="252" t="s">
        <v>188</v>
      </c>
      <c r="AE17" s="278">
        <v>2</v>
      </c>
      <c r="AF17" s="252">
        <v>50000</v>
      </c>
      <c r="AG17" s="279" t="str">
        <f ca="1">+IF('INGRESO DE INFORMACION'!$C$5&gt;'V1 GPS'!AE17,"NO","SI")</f>
        <v>SI</v>
      </c>
      <c r="AH17" s="279" t="str">
        <f>+IF('INGRESO DE INFORMACION'!$F$11&gt;'V1 GPS'!AF17,"SI","NO")</f>
        <v>NO</v>
      </c>
      <c r="AI17" s="280" t="str">
        <f t="shared" ca="1" si="4"/>
        <v>SI</v>
      </c>
    </row>
    <row r="18" spans="1:35" s="237" customFormat="1" ht="18" customHeight="1">
      <c r="A18" s="252" t="str">
        <f t="shared" si="5"/>
        <v>NISSANTIIDA</v>
      </c>
      <c r="B18" s="276" t="s">
        <v>100</v>
      </c>
      <c r="C18" s="277" t="s">
        <v>107</v>
      </c>
      <c r="D18" s="278">
        <v>2</v>
      </c>
      <c r="E18" s="278">
        <v>50000</v>
      </c>
      <c r="F18" s="279" t="str">
        <f ca="1">+IF('INGRESO DE INFORMACION'!$C$5&gt;'V1 GPS'!D18,"NO","SI")</f>
        <v>SI</v>
      </c>
      <c r="G18" s="279" t="str">
        <f>+IF('INGRESO DE INFORMACION'!$F$11&gt;'V1 GPS'!E18,"SI","NO")</f>
        <v>NO</v>
      </c>
      <c r="H18" s="280" t="str">
        <f t="shared" ca="1" si="0"/>
        <v>SI</v>
      </c>
      <c r="J18" s="252" t="str">
        <f t="shared" si="6"/>
        <v>SUZUKIGRAN NOMADE</v>
      </c>
      <c r="K18" s="249" t="s">
        <v>68</v>
      </c>
      <c r="L18" s="252" t="s">
        <v>206</v>
      </c>
      <c r="M18" s="278">
        <v>3</v>
      </c>
      <c r="N18" s="278">
        <v>50000</v>
      </c>
      <c r="O18" s="279" t="str">
        <f ca="1">+IF('INGRESO DE INFORMACION'!$C$5&gt;'V1 GPS'!M18,"NO","SI")</f>
        <v>SI</v>
      </c>
      <c r="P18" s="279" t="str">
        <f>+IF('INGRESO DE INFORMACION'!$F$11&gt;'V1 GPS'!N18,"SI","NO")</f>
        <v>NO</v>
      </c>
      <c r="Q18" s="280" t="str">
        <f t="shared" ca="1" si="1"/>
        <v>SI</v>
      </c>
      <c r="S18" s="252" t="str">
        <f t="shared" si="2"/>
        <v>TOYOTAFJ CRUISER</v>
      </c>
      <c r="T18" s="252" t="s">
        <v>64</v>
      </c>
      <c r="U18" s="252" t="s">
        <v>117</v>
      </c>
      <c r="V18" s="278">
        <v>2</v>
      </c>
      <c r="W18" s="252">
        <v>49999</v>
      </c>
      <c r="X18" s="279" t="str">
        <f ca="1">+IF('INGRESO DE INFORMACION'!$C$5&gt;'V1 GPS'!V18,"NO","SI")</f>
        <v>SI</v>
      </c>
      <c r="Y18" s="279" t="str">
        <f>+IF('INGRESO DE INFORMACION'!$F$11&gt;'V1 GPS'!W18,"SI","NO")</f>
        <v>NO</v>
      </c>
      <c r="Z18" s="280" t="str">
        <f t="shared" ca="1" si="3"/>
        <v>SI</v>
      </c>
      <c r="AB18" s="252" t="str">
        <f t="shared" si="7"/>
        <v>ToyotaRav4</v>
      </c>
      <c r="AC18" s="281" t="s">
        <v>17</v>
      </c>
      <c r="AD18" s="252" t="s">
        <v>20</v>
      </c>
      <c r="AE18" s="278">
        <v>2</v>
      </c>
      <c r="AF18" s="252">
        <v>50000</v>
      </c>
      <c r="AG18" s="279" t="str">
        <f ca="1">+IF('INGRESO DE INFORMACION'!$C$5&gt;'V1 GPS'!AE18,"NO","SI")</f>
        <v>SI</v>
      </c>
      <c r="AH18" s="279" t="str">
        <f>+IF('INGRESO DE INFORMACION'!$F$11&gt;'V1 GPS'!AF18,"SI","NO")</f>
        <v>NO</v>
      </c>
      <c r="AI18" s="280" t="str">
        <f t="shared" ca="1" si="4"/>
        <v>SI</v>
      </c>
    </row>
    <row r="19" spans="1:35" s="237" customFormat="1" ht="18" customHeight="1">
      <c r="A19" s="252" t="str">
        <f t="shared" si="5"/>
        <v>SUBARUIMPREZA</v>
      </c>
      <c r="B19" s="276" t="s">
        <v>28</v>
      </c>
      <c r="C19" s="277" t="s">
        <v>30</v>
      </c>
      <c r="D19" s="278">
        <v>2</v>
      </c>
      <c r="E19" s="278">
        <v>50000</v>
      </c>
      <c r="F19" s="279" t="str">
        <f ca="1">+IF('INGRESO DE INFORMACION'!$C$5&gt;'V1 GPS'!D19,"NO","SI")</f>
        <v>SI</v>
      </c>
      <c r="G19" s="279" t="str">
        <f>+IF('INGRESO DE INFORMACION'!$F$11&gt;'V1 GPS'!E19,"SI","NO")</f>
        <v>NO</v>
      </c>
      <c r="H19" s="280" t="str">
        <f t="shared" ca="1" si="0"/>
        <v>SI</v>
      </c>
      <c r="J19" s="252" t="str">
        <f t="shared" si="6"/>
        <v>TOYOTAFJ CRUISER</v>
      </c>
      <c r="K19" s="249" t="s">
        <v>64</v>
      </c>
      <c r="L19" s="252" t="s">
        <v>117</v>
      </c>
      <c r="M19" s="278">
        <v>3</v>
      </c>
      <c r="N19" s="278">
        <v>50000</v>
      </c>
      <c r="O19" s="279" t="str">
        <f ca="1">+IF('INGRESO DE INFORMACION'!$C$5&gt;'V1 GPS'!M19,"NO","SI")</f>
        <v>SI</v>
      </c>
      <c r="P19" s="279" t="str">
        <f>+IF('INGRESO DE INFORMACION'!$F$11&gt;'V1 GPS'!N19,"SI","NO")</f>
        <v>NO</v>
      </c>
      <c r="Q19" s="280" t="str">
        <f t="shared" ca="1" si="1"/>
        <v>SI</v>
      </c>
      <c r="S19" s="252" t="str">
        <f t="shared" si="2"/>
        <v>TOYOTAFORTUNER</v>
      </c>
      <c r="T19" s="252" t="s">
        <v>64</v>
      </c>
      <c r="U19" s="252" t="s">
        <v>118</v>
      </c>
      <c r="V19" s="278">
        <v>2</v>
      </c>
      <c r="W19" s="252">
        <v>49999</v>
      </c>
      <c r="X19" s="279" t="str">
        <f ca="1">+IF('INGRESO DE INFORMACION'!$C$5&gt;'V1 GPS'!V19,"NO","SI")</f>
        <v>SI</v>
      </c>
      <c r="Y19" s="279" t="str">
        <f>+IF('INGRESO DE INFORMACION'!$F$11&gt;'V1 GPS'!W19,"SI","NO")</f>
        <v>NO</v>
      </c>
      <c r="Z19" s="280" t="str">
        <f t="shared" ca="1" si="3"/>
        <v>SI</v>
      </c>
      <c r="AB19" s="252" t="str">
        <f t="shared" si="7"/>
        <v>ToyotaCorolla</v>
      </c>
      <c r="AC19" s="281" t="s">
        <v>17</v>
      </c>
      <c r="AD19" s="252" t="s">
        <v>23</v>
      </c>
      <c r="AE19" s="278">
        <v>2</v>
      </c>
      <c r="AF19" s="252">
        <v>50000</v>
      </c>
      <c r="AG19" s="279" t="str">
        <f ca="1">+IF('INGRESO DE INFORMACION'!$C$5&gt;'V1 GPS'!AE19,"NO","SI")</f>
        <v>SI</v>
      </c>
      <c r="AH19" s="279" t="str">
        <f>+IF('INGRESO DE INFORMACION'!$F$11&gt;'V1 GPS'!AF19,"SI","NO")</f>
        <v>NO</v>
      </c>
      <c r="AI19" s="280" t="str">
        <f t="shared" ca="1" si="4"/>
        <v>SI</v>
      </c>
    </row>
    <row r="20" spans="1:35" s="237" customFormat="1" ht="18" customHeight="1">
      <c r="A20" s="252" t="str">
        <f t="shared" si="5"/>
        <v>SUZUKIGRAND NOMADE</v>
      </c>
      <c r="B20" s="276" t="s">
        <v>68</v>
      </c>
      <c r="C20" s="277" t="s">
        <v>77</v>
      </c>
      <c r="D20" s="278">
        <v>2</v>
      </c>
      <c r="E20" s="278">
        <v>50000</v>
      </c>
      <c r="F20" s="279" t="str">
        <f ca="1">+IF('INGRESO DE INFORMACION'!$C$5&gt;'V1 GPS'!D20,"NO","SI")</f>
        <v>SI</v>
      </c>
      <c r="G20" s="279" t="str">
        <f>+IF('INGRESO DE INFORMACION'!$F$11&gt;'V1 GPS'!E20,"SI","NO")</f>
        <v>NO</v>
      </c>
      <c r="H20" s="280" t="str">
        <f t="shared" ca="1" si="0"/>
        <v>SI</v>
      </c>
      <c r="J20" s="252" t="str">
        <f t="shared" si="6"/>
        <v>TOYOTAFORTUNER</v>
      </c>
      <c r="K20" s="249" t="s">
        <v>64</v>
      </c>
      <c r="L20" s="252" t="s">
        <v>118</v>
      </c>
      <c r="M20" s="278">
        <v>3</v>
      </c>
      <c r="N20" s="278">
        <v>50000</v>
      </c>
      <c r="O20" s="279" t="str">
        <f ca="1">+IF('INGRESO DE INFORMACION'!$C$5&gt;'V1 GPS'!M20,"NO","SI")</f>
        <v>SI</v>
      </c>
      <c r="P20" s="279" t="str">
        <f>+IF('INGRESO DE INFORMACION'!$F$11&gt;'V1 GPS'!N20,"SI","NO")</f>
        <v>NO</v>
      </c>
      <c r="Q20" s="280" t="str">
        <f t="shared" ca="1" si="1"/>
        <v>SI</v>
      </c>
      <c r="S20" s="252" t="str">
        <f t="shared" si="2"/>
        <v>TOYOTALAND CRUISER</v>
      </c>
      <c r="T20" s="252" t="s">
        <v>64</v>
      </c>
      <c r="U20" s="252" t="s">
        <v>114</v>
      </c>
      <c r="V20" s="278">
        <v>2</v>
      </c>
      <c r="W20" s="252">
        <v>49999</v>
      </c>
      <c r="X20" s="279" t="str">
        <f ca="1">+IF('INGRESO DE INFORMACION'!$C$5&gt;'V1 GPS'!V20,"NO","SI")</f>
        <v>SI</v>
      </c>
      <c r="Y20" s="279" t="str">
        <f>+IF('INGRESO DE INFORMACION'!$F$11&gt;'V1 GPS'!W20,"SI","NO")</f>
        <v>NO</v>
      </c>
      <c r="Z20" s="280" t="str">
        <f t="shared" ca="1" si="3"/>
        <v>SI</v>
      </c>
      <c r="AB20" s="252" t="str">
        <f t="shared" si="7"/>
        <v>VokswagenBora</v>
      </c>
      <c r="AC20" s="281" t="s">
        <v>214</v>
      </c>
      <c r="AD20" s="252" t="s">
        <v>15</v>
      </c>
      <c r="AE20" s="278">
        <v>2</v>
      </c>
      <c r="AF20" s="252">
        <v>50000</v>
      </c>
      <c r="AG20" s="279" t="str">
        <f ca="1">+IF('INGRESO DE INFORMACION'!$C$5&gt;'V1 GPS'!AE20,"NO","SI")</f>
        <v>SI</v>
      </c>
      <c r="AH20" s="279" t="str">
        <f>+IF('INGRESO DE INFORMACION'!$F$11&gt;'V1 GPS'!AF20,"SI","NO")</f>
        <v>NO</v>
      </c>
      <c r="AI20" s="280" t="str">
        <f t="shared" ca="1" si="4"/>
        <v>SI</v>
      </c>
    </row>
    <row r="21" spans="1:35" s="237" customFormat="1" ht="18" customHeight="1">
      <c r="A21" s="252" t="str">
        <f t="shared" si="5"/>
        <v>TOYOTACOROLLA</v>
      </c>
      <c r="B21" s="276" t="s">
        <v>64</v>
      </c>
      <c r="C21" s="277" t="s">
        <v>119</v>
      </c>
      <c r="D21" s="278">
        <v>2</v>
      </c>
      <c r="E21" s="278">
        <v>50000</v>
      </c>
      <c r="F21" s="279" t="str">
        <f ca="1">+IF('INGRESO DE INFORMACION'!$C$5&gt;'V1 GPS'!D21,"NO","SI")</f>
        <v>SI</v>
      </c>
      <c r="G21" s="279" t="str">
        <f>+IF('INGRESO DE INFORMACION'!$F$11&gt;'V1 GPS'!E21,"SI","NO")</f>
        <v>NO</v>
      </c>
      <c r="H21" s="280" t="str">
        <f t="shared" ca="1" si="0"/>
        <v>SI</v>
      </c>
      <c r="J21" s="252" t="str">
        <f t="shared" si="6"/>
        <v>TOYOTAHILANDER</v>
      </c>
      <c r="K21" s="249" t="s">
        <v>64</v>
      </c>
      <c r="L21" s="252" t="s">
        <v>207</v>
      </c>
      <c r="M21" s="278">
        <v>3</v>
      </c>
      <c r="N21" s="278">
        <v>50000</v>
      </c>
      <c r="O21" s="279" t="str">
        <f ca="1">+IF('INGRESO DE INFORMACION'!$C$5&gt;'V1 GPS'!M21,"NO","SI")</f>
        <v>SI</v>
      </c>
      <c r="P21" s="279" t="str">
        <f>+IF('INGRESO DE INFORMACION'!$F$11&gt;'V1 GPS'!N21,"SI","NO")</f>
        <v>NO</v>
      </c>
      <c r="Q21" s="280" t="str">
        <f t="shared" ca="1" si="1"/>
        <v>SI</v>
      </c>
      <c r="S21" s="252" t="str">
        <f t="shared" si="2"/>
        <v>TOYOTALAND CRUISER PRADO</v>
      </c>
      <c r="T21" s="252" t="s">
        <v>64</v>
      </c>
      <c r="U21" s="252" t="s">
        <v>115</v>
      </c>
      <c r="V21" s="278">
        <v>2</v>
      </c>
      <c r="W21" s="252">
        <v>49999</v>
      </c>
      <c r="X21" s="279" t="str">
        <f ca="1">+IF('INGRESO DE INFORMACION'!$C$5&gt;'V1 GPS'!V21,"NO","SI")</f>
        <v>SI</v>
      </c>
      <c r="Y21" s="279" t="str">
        <f>+IF('INGRESO DE INFORMACION'!$F$11&gt;'V1 GPS'!W21,"SI","NO")</f>
        <v>NO</v>
      </c>
      <c r="Z21" s="280" t="str">
        <f t="shared" ca="1" si="3"/>
        <v>SI</v>
      </c>
      <c r="AB21" s="252" t="str">
        <f t="shared" si="7"/>
        <v>VokswagenGol</v>
      </c>
      <c r="AC21" s="281" t="s">
        <v>214</v>
      </c>
      <c r="AD21" s="252" t="s">
        <v>14</v>
      </c>
      <c r="AE21" s="278">
        <v>2</v>
      </c>
      <c r="AF21" s="252">
        <v>50000</v>
      </c>
      <c r="AG21" s="279" t="str">
        <f ca="1">+IF('INGRESO DE INFORMACION'!$C$5&gt;'V1 GPS'!AE21,"NO","SI")</f>
        <v>SI</v>
      </c>
      <c r="AH21" s="279" t="str">
        <f>+IF('INGRESO DE INFORMACION'!$F$11&gt;'V1 GPS'!AF21,"SI","NO")</f>
        <v>NO</v>
      </c>
      <c r="AI21" s="280" t="str">
        <f t="shared" ca="1" si="4"/>
        <v>SI</v>
      </c>
    </row>
    <row r="22" spans="1:35" s="237" customFormat="1" ht="18" customHeight="1">
      <c r="A22" s="252" t="str">
        <f t="shared" si="5"/>
        <v>TOYOTAFJ CRUSIER</v>
      </c>
      <c r="B22" s="276" t="s">
        <v>64</v>
      </c>
      <c r="C22" s="277" t="s">
        <v>201</v>
      </c>
      <c r="D22" s="278">
        <v>2</v>
      </c>
      <c r="E22" s="278">
        <v>50000</v>
      </c>
      <c r="F22" s="279" t="str">
        <f ca="1">+IF('INGRESO DE INFORMACION'!$C$5&gt;'V1 GPS'!D22,"NO","SI")</f>
        <v>SI</v>
      </c>
      <c r="G22" s="279" t="str">
        <f>+IF('INGRESO DE INFORMACION'!$F$11&gt;'V1 GPS'!E22,"SI","NO")</f>
        <v>NO</v>
      </c>
      <c r="H22" s="280" t="str">
        <f t="shared" ca="1" si="0"/>
        <v>SI</v>
      </c>
      <c r="J22" s="252" t="str">
        <f t="shared" si="6"/>
        <v>TOYOTALAND CRUISER</v>
      </c>
      <c r="K22" s="249" t="s">
        <v>64</v>
      </c>
      <c r="L22" s="252" t="s">
        <v>114</v>
      </c>
      <c r="M22" s="278">
        <v>3</v>
      </c>
      <c r="N22" s="278">
        <v>50000</v>
      </c>
      <c r="O22" s="279" t="str">
        <f ca="1">+IF('INGRESO DE INFORMACION'!$C$5&gt;'V1 GPS'!M22,"NO","SI")</f>
        <v>SI</v>
      </c>
      <c r="P22" s="279" t="str">
        <f>+IF('INGRESO DE INFORMACION'!$F$11&gt;'V1 GPS'!N22,"SI","NO")</f>
        <v>NO</v>
      </c>
      <c r="Q22" s="280" t="str">
        <f t="shared" ca="1" si="1"/>
        <v>SI</v>
      </c>
      <c r="S22" s="252" t="str">
        <f t="shared" si="2"/>
        <v>TOYOTARAV4</v>
      </c>
      <c r="T22" s="252" t="s">
        <v>64</v>
      </c>
      <c r="U22" s="252" t="s">
        <v>116</v>
      </c>
      <c r="V22" s="278">
        <v>2</v>
      </c>
      <c r="W22" s="252">
        <v>49999</v>
      </c>
      <c r="X22" s="279" t="str">
        <f ca="1">+IF('INGRESO DE INFORMACION'!$C$5&gt;'V1 GPS'!V22,"NO","SI")</f>
        <v>SI</v>
      </c>
      <c r="Y22" s="279" t="str">
        <f>+IF('INGRESO DE INFORMACION'!$F$11&gt;'V1 GPS'!W22,"SI","NO")</f>
        <v>NO</v>
      </c>
      <c r="Z22" s="280" t="str">
        <f t="shared" ca="1" si="3"/>
        <v>SI</v>
      </c>
      <c r="AB22" s="252" t="str">
        <f t="shared" si="7"/>
        <v>Hyundai Elantra</v>
      </c>
      <c r="AC22" s="281" t="s">
        <v>210</v>
      </c>
      <c r="AD22" s="252" t="s">
        <v>5</v>
      </c>
      <c r="AE22" s="278">
        <v>3</v>
      </c>
      <c r="AF22" s="252">
        <v>50000</v>
      </c>
      <c r="AG22" s="279" t="str">
        <f ca="1">+IF('INGRESO DE INFORMACION'!$C$5&gt;'V1 GPS'!AE22,"NO","SI")</f>
        <v>SI</v>
      </c>
      <c r="AH22" s="279" t="str">
        <f>+IF('INGRESO DE INFORMACION'!$F$11&gt;'V1 GPS'!AF22,"SI","NO")</f>
        <v>NO</v>
      </c>
      <c r="AI22" s="280" t="str">
        <f t="shared" ca="1" si="4"/>
        <v>SI</v>
      </c>
    </row>
    <row r="23" spans="1:35" s="237" customFormat="1" ht="18" customHeight="1">
      <c r="A23" s="252" t="str">
        <f t="shared" si="5"/>
        <v>TOYOTAFORTUNER</v>
      </c>
      <c r="B23" s="276" t="s">
        <v>64</v>
      </c>
      <c r="C23" s="277" t="s">
        <v>118</v>
      </c>
      <c r="D23" s="278">
        <v>2</v>
      </c>
      <c r="E23" s="278">
        <v>50000</v>
      </c>
      <c r="F23" s="279" t="str">
        <f ca="1">+IF('INGRESO DE INFORMACION'!$C$5&gt;'V1 GPS'!D23,"NO","SI")</f>
        <v>SI</v>
      </c>
      <c r="G23" s="279" t="str">
        <f>+IF('INGRESO DE INFORMACION'!$F$11&gt;'V1 GPS'!E23,"SI","NO")</f>
        <v>NO</v>
      </c>
      <c r="H23" s="280" t="str">
        <f t="shared" ca="1" si="0"/>
        <v>SI</v>
      </c>
      <c r="J23" s="252" t="str">
        <f>+K23&amp;L23</f>
        <v>TOYOTALAND CRUISER PRADO</v>
      </c>
      <c r="K23" s="249" t="s">
        <v>64</v>
      </c>
      <c r="L23" s="252" t="s">
        <v>115</v>
      </c>
      <c r="M23" s="278">
        <v>3</v>
      </c>
      <c r="N23" s="278">
        <v>50000</v>
      </c>
      <c r="O23" s="279" t="str">
        <f ca="1">+IF('INGRESO DE INFORMACION'!$C$5&gt;'V1 GPS'!M23,"NO","SI")</f>
        <v>SI</v>
      </c>
      <c r="P23" s="279" t="str">
        <f>+IF('INGRESO DE INFORMACION'!$F$11&gt;'V1 GPS'!N23,"SI","NO")</f>
        <v>NO</v>
      </c>
      <c r="Q23" s="280" t="str">
        <f t="shared" ca="1" si="1"/>
        <v>SI</v>
      </c>
      <c r="S23" s="252" t="str">
        <f t="shared" si="2"/>
        <v>TOYOTAYARIS</v>
      </c>
      <c r="T23" s="252" t="s">
        <v>64</v>
      </c>
      <c r="U23" s="252" t="s">
        <v>120</v>
      </c>
      <c r="V23" s="278">
        <v>3</v>
      </c>
      <c r="W23" s="252">
        <v>49999</v>
      </c>
      <c r="X23" s="279" t="str">
        <f ca="1">+IF('INGRESO DE INFORMACION'!$C$5&gt;'V1 GPS'!V23,"NO","SI")</f>
        <v>SI</v>
      </c>
      <c r="Y23" s="279" t="str">
        <f>+IF('INGRESO DE INFORMACION'!$F$11&gt;'V1 GPS'!W23,"SI","NO")</f>
        <v>NO</v>
      </c>
      <c r="Z23" s="280" t="str">
        <f t="shared" ca="1" si="3"/>
        <v>SI</v>
      </c>
      <c r="AB23" s="252" t="str">
        <f t="shared" si="7"/>
        <v>NissanSentra</v>
      </c>
      <c r="AC23" s="281" t="s">
        <v>12</v>
      </c>
      <c r="AD23" s="252" t="s">
        <v>25</v>
      </c>
      <c r="AE23" s="278">
        <v>3</v>
      </c>
      <c r="AF23" s="252">
        <v>50000</v>
      </c>
      <c r="AG23" s="279" t="str">
        <f ca="1">+IF('INGRESO DE INFORMACION'!$C$5&gt;'V1 GPS'!AE23,"NO","SI")</f>
        <v>SI</v>
      </c>
      <c r="AH23" s="279" t="str">
        <f>+IF('INGRESO DE INFORMACION'!$F$11&gt;'V1 GPS'!AF23,"SI","NO")</f>
        <v>NO</v>
      </c>
      <c r="AI23" s="280" t="str">
        <f t="shared" ca="1" si="4"/>
        <v>SI</v>
      </c>
    </row>
    <row r="24" spans="1:35" s="237" customFormat="1" ht="18" customHeight="1">
      <c r="A24" s="252" t="str">
        <f t="shared" si="5"/>
        <v>TOYOTALAND CRUSIER</v>
      </c>
      <c r="B24" s="276" t="s">
        <v>64</v>
      </c>
      <c r="C24" s="277" t="s">
        <v>202</v>
      </c>
      <c r="D24" s="278">
        <v>2</v>
      </c>
      <c r="E24" s="278">
        <v>50000</v>
      </c>
      <c r="F24" s="279" t="str">
        <f ca="1">+IF('INGRESO DE INFORMACION'!$C$5&gt;'V1 GPS'!D24,"NO","SI")</f>
        <v>SI</v>
      </c>
      <c r="G24" s="279" t="str">
        <f>+IF('INGRESO DE INFORMACION'!$F$11&gt;'V1 GPS'!E24,"SI","NO")</f>
        <v>NO</v>
      </c>
      <c r="H24" s="280" t="str">
        <f t="shared" ca="1" si="0"/>
        <v>SI</v>
      </c>
      <c r="J24" s="252" t="str">
        <f>+K24&amp;L24</f>
        <v>TOYOTARAV4</v>
      </c>
      <c r="K24" s="249" t="s">
        <v>64</v>
      </c>
      <c r="L24" s="252" t="s">
        <v>116</v>
      </c>
      <c r="M24" s="278">
        <v>3</v>
      </c>
      <c r="N24" s="278">
        <v>50000</v>
      </c>
      <c r="O24" s="279" t="str">
        <f ca="1">+IF('INGRESO DE INFORMACION'!$C$5&gt;'V1 GPS'!M24,"NO","SI")</f>
        <v>SI</v>
      </c>
      <c r="P24" s="279" t="str">
        <f>+IF('INGRESO DE INFORMACION'!$F$11&gt;'V1 GPS'!N24,"SI","NO")</f>
        <v>NO</v>
      </c>
      <c r="Q24" s="280" t="str">
        <f t="shared" ca="1" si="1"/>
        <v>SI</v>
      </c>
      <c r="S24" s="252" t="str">
        <f t="shared" si="2"/>
        <v>VOLKSWAGENBORA</v>
      </c>
      <c r="T24" s="252" t="s">
        <v>121</v>
      </c>
      <c r="U24" s="249" t="s">
        <v>124</v>
      </c>
      <c r="V24" s="278">
        <v>2</v>
      </c>
      <c r="W24" s="252">
        <v>49999</v>
      </c>
      <c r="X24" s="279" t="str">
        <f ca="1">+IF('INGRESO DE INFORMACION'!$C$5&gt;'V1 GPS'!V24,"NO","SI")</f>
        <v>SI</v>
      </c>
      <c r="Y24" s="279" t="str">
        <f>+IF('INGRESO DE INFORMACION'!$F$11&gt;'V1 GPS'!W24,"SI","NO")</f>
        <v>NO</v>
      </c>
      <c r="Z24" s="280" t="str">
        <f t="shared" ca="1" si="3"/>
        <v>SI</v>
      </c>
      <c r="AB24" s="252" t="str">
        <f t="shared" si="7"/>
        <v>ToyotaYaris</v>
      </c>
      <c r="AC24" s="281" t="s">
        <v>17</v>
      </c>
      <c r="AD24" s="252" t="s">
        <v>26</v>
      </c>
      <c r="AE24" s="278">
        <v>3</v>
      </c>
      <c r="AF24" s="252">
        <v>50000</v>
      </c>
      <c r="AG24" s="279" t="str">
        <f ca="1">+IF('INGRESO DE INFORMACION'!$C$5&gt;'V1 GPS'!AE24,"NO","SI")</f>
        <v>SI</v>
      </c>
      <c r="AH24" s="279" t="str">
        <f>+IF('INGRESO DE INFORMACION'!$F$11&gt;'V1 GPS'!AF24,"SI","NO")</f>
        <v>NO</v>
      </c>
      <c r="AI24" s="280" t="str">
        <f t="shared" ca="1" si="4"/>
        <v>SI</v>
      </c>
    </row>
    <row r="25" spans="1:35" s="237" customFormat="1" ht="18" customHeight="1">
      <c r="A25" s="252" t="str">
        <f t="shared" si="5"/>
        <v>TOYOTALAND CRUSIER PRADO</v>
      </c>
      <c r="B25" s="276" t="s">
        <v>64</v>
      </c>
      <c r="C25" s="277" t="s">
        <v>203</v>
      </c>
      <c r="D25" s="278">
        <v>2</v>
      </c>
      <c r="E25" s="278">
        <v>50000</v>
      </c>
      <c r="F25" s="279" t="str">
        <f ca="1">+IF('INGRESO DE INFORMACION'!$C$5&gt;'V1 GPS'!D25,"NO","SI")</f>
        <v>SI</v>
      </c>
      <c r="G25" s="279" t="str">
        <f>+IF('INGRESO DE INFORMACION'!$F$11&gt;'V1 GPS'!E25,"SI","NO")</f>
        <v>NO</v>
      </c>
      <c r="H25" s="280" t="str">
        <f t="shared" ca="1" si="0"/>
        <v>SI</v>
      </c>
      <c r="J25" s="252" t="str">
        <f>+K25&amp;L25</f>
        <v>TOYOTA4RUNNER</v>
      </c>
      <c r="K25" s="249" t="s">
        <v>64</v>
      </c>
      <c r="L25" s="252" t="s">
        <v>208</v>
      </c>
      <c r="M25" s="278">
        <v>3</v>
      </c>
      <c r="N25" s="278">
        <v>50000</v>
      </c>
      <c r="O25" s="279" t="str">
        <f ca="1">+IF('INGRESO DE INFORMACION'!$C$5&gt;'V1 GPS'!M25,"NO","SI")</f>
        <v>SI</v>
      </c>
      <c r="P25" s="279" t="str">
        <f>+IF('INGRESO DE INFORMACION'!$F$11&gt;'V1 GPS'!N25,"SI","NO")</f>
        <v>NO</v>
      </c>
      <c r="Q25" s="280" t="str">
        <f t="shared" ca="1" si="1"/>
        <v>SI</v>
      </c>
      <c r="S25" s="252" t="str">
        <f t="shared" si="2"/>
        <v>VOLKSWAGENGOL</v>
      </c>
      <c r="T25" s="252" t="s">
        <v>121</v>
      </c>
      <c r="U25" s="252" t="s">
        <v>122</v>
      </c>
      <c r="V25" s="278">
        <v>2</v>
      </c>
      <c r="W25" s="252">
        <v>49999</v>
      </c>
      <c r="X25" s="279" t="str">
        <f ca="1">+IF('INGRESO DE INFORMACION'!$C$5&gt;'V1 GPS'!V25,"NO","SI")</f>
        <v>SI</v>
      </c>
      <c r="Y25" s="279" t="str">
        <f>+IF('INGRESO DE INFORMACION'!$F$11&gt;'V1 GPS'!W25,"SI","NO")</f>
        <v>NO</v>
      </c>
      <c r="Z25" s="280" t="str">
        <f t="shared" ca="1" si="3"/>
        <v>SI</v>
      </c>
      <c r="AB25" s="252" t="str">
        <f t="shared" si="7"/>
        <v/>
      </c>
      <c r="AC25" s="281"/>
      <c r="AD25" s="252"/>
      <c r="AE25" s="252"/>
      <c r="AF25" s="252"/>
      <c r="AG25" s="252"/>
      <c r="AH25" s="252"/>
      <c r="AI25" s="252"/>
    </row>
    <row r="26" spans="1:35" s="237" customFormat="1" ht="18" customHeight="1">
      <c r="A26" s="252" t="str">
        <f t="shared" si="5"/>
        <v>TOYOTARAV4</v>
      </c>
      <c r="B26" s="276" t="s">
        <v>64</v>
      </c>
      <c r="C26" s="277" t="s">
        <v>116</v>
      </c>
      <c r="D26" s="278">
        <v>2</v>
      </c>
      <c r="E26" s="278">
        <v>50000</v>
      </c>
      <c r="F26" s="279" t="str">
        <f ca="1">+IF('INGRESO DE INFORMACION'!$C$5&gt;'V1 GPS'!D26,"NO","SI")</f>
        <v>SI</v>
      </c>
      <c r="G26" s="279" t="str">
        <f>+IF('INGRESO DE INFORMACION'!$F$11&gt;'V1 GPS'!E26,"SI","NO")</f>
        <v>NO</v>
      </c>
      <c r="H26" s="280" t="str">
        <f t="shared" ca="1" si="0"/>
        <v>SI</v>
      </c>
      <c r="J26" s="252"/>
      <c r="K26" s="282"/>
      <c r="L26" s="252"/>
      <c r="M26" s="278"/>
      <c r="N26" s="278"/>
      <c r="O26" s="279"/>
      <c r="P26" s="283"/>
      <c r="Q26" s="280"/>
      <c r="S26" s="252"/>
      <c r="T26" s="252"/>
      <c r="U26" s="252"/>
      <c r="V26" s="278"/>
      <c r="W26" s="252"/>
      <c r="X26" s="252"/>
      <c r="Y26" s="252"/>
      <c r="Z26" s="278"/>
      <c r="AB26" s="252" t="str">
        <f t="shared" si="7"/>
        <v/>
      </c>
      <c r="AC26" s="281"/>
      <c r="AD26" s="252"/>
      <c r="AE26" s="252"/>
      <c r="AF26" s="252"/>
      <c r="AG26" s="252"/>
      <c r="AH26" s="252"/>
      <c r="AI26" s="252"/>
    </row>
    <row r="27" spans="1:35" s="237" customFormat="1" ht="18" customHeight="1">
      <c r="A27" s="252" t="str">
        <f t="shared" si="5"/>
        <v>TOYOTAYARIS</v>
      </c>
      <c r="B27" s="276" t="s">
        <v>64</v>
      </c>
      <c r="C27" s="277" t="s">
        <v>120</v>
      </c>
      <c r="D27" s="278">
        <v>3</v>
      </c>
      <c r="E27" s="278">
        <v>50000</v>
      </c>
      <c r="F27" s="279" t="str">
        <f ca="1">+IF('INGRESO DE INFORMACION'!$C$5&gt;'V1 GPS'!D27,"NO","SI")</f>
        <v>SI</v>
      </c>
      <c r="G27" s="279" t="str">
        <f>+IF('INGRESO DE INFORMACION'!$F$11&gt;'V1 GPS'!E27,"SI","NO")</f>
        <v>NO</v>
      </c>
      <c r="H27" s="280" t="str">
        <f t="shared" ca="1" si="0"/>
        <v>SI</v>
      </c>
      <c r="J27" s="252" t="str">
        <f>+K27&amp;L27</f>
        <v/>
      </c>
      <c r="K27" s="281"/>
      <c r="L27" s="252"/>
      <c r="M27" s="278"/>
      <c r="N27" s="278"/>
      <c r="O27" s="279"/>
      <c r="P27" s="283"/>
      <c r="Q27" s="280"/>
      <c r="S27" s="252" t="str">
        <f>+T27&amp;U27</f>
        <v/>
      </c>
      <c r="T27" s="252"/>
      <c r="U27" s="252"/>
      <c r="V27" s="278"/>
      <c r="W27" s="252"/>
      <c r="X27" s="252"/>
      <c r="Y27" s="252"/>
      <c r="Z27" s="278"/>
      <c r="AB27" s="252" t="str">
        <f t="shared" si="7"/>
        <v/>
      </c>
      <c r="AC27" s="281"/>
      <c r="AD27" s="252"/>
      <c r="AE27" s="252"/>
      <c r="AF27" s="252"/>
      <c r="AG27" s="252"/>
      <c r="AH27" s="252"/>
      <c r="AI27" s="252"/>
    </row>
    <row r="28" spans="1:35" s="237" customFormat="1" ht="18" customHeight="1">
      <c r="A28" s="252"/>
      <c r="B28" s="252"/>
      <c r="C28" s="252"/>
      <c r="D28" s="252"/>
      <c r="E28" s="252"/>
      <c r="F28" s="279"/>
      <c r="G28" s="283"/>
      <c r="H28" s="280"/>
      <c r="J28" s="252"/>
      <c r="K28" s="252"/>
      <c r="L28" s="252"/>
      <c r="M28" s="252"/>
      <c r="N28" s="252"/>
      <c r="O28" s="279"/>
      <c r="P28" s="283"/>
      <c r="Q28" s="280"/>
      <c r="S28" s="252"/>
      <c r="T28" s="252"/>
      <c r="U28" s="252"/>
      <c r="V28" s="278"/>
      <c r="W28" s="252"/>
      <c r="X28" s="252"/>
      <c r="Y28" s="252"/>
      <c r="Z28" s="278"/>
      <c r="AB28" s="252"/>
      <c r="AC28" s="252"/>
      <c r="AD28" s="252"/>
      <c r="AE28" s="252"/>
      <c r="AF28" s="252"/>
      <c r="AG28" s="252"/>
      <c r="AH28" s="252"/>
      <c r="AI28" s="252"/>
    </row>
    <row r="29" spans="1:35" s="237" customFormat="1" ht="18" customHeight="1">
      <c r="A29" s="252"/>
      <c r="B29" s="252"/>
      <c r="C29" s="252"/>
      <c r="D29" s="252"/>
      <c r="E29" s="252"/>
      <c r="F29" s="279"/>
      <c r="G29" s="283"/>
      <c r="H29" s="280"/>
      <c r="J29" s="252"/>
      <c r="K29" s="252"/>
      <c r="L29" s="252"/>
      <c r="M29" s="252"/>
      <c r="N29" s="252"/>
      <c r="O29" s="279"/>
      <c r="P29" s="283"/>
      <c r="Q29" s="280"/>
      <c r="S29" s="252"/>
      <c r="T29" s="252"/>
      <c r="U29" s="252"/>
      <c r="V29" s="278"/>
      <c r="W29" s="252"/>
      <c r="X29" s="252"/>
      <c r="Y29" s="252"/>
      <c r="Z29" s="278"/>
      <c r="AB29" s="252"/>
      <c r="AC29" s="252"/>
      <c r="AD29" s="252"/>
      <c r="AE29" s="252"/>
      <c r="AF29" s="252"/>
      <c r="AG29" s="252"/>
      <c r="AH29" s="252"/>
      <c r="AI29" s="252"/>
    </row>
    <row r="30" spans="1:35" s="237" customFormat="1" ht="18" customHeight="1">
      <c r="A30" s="252"/>
      <c r="B30" s="252"/>
      <c r="C30" s="252"/>
      <c r="D30" s="252"/>
      <c r="E30" s="252"/>
      <c r="F30" s="279"/>
      <c r="G30" s="283"/>
      <c r="H30" s="280"/>
      <c r="J30" s="252"/>
      <c r="K30" s="252"/>
      <c r="L30" s="252"/>
      <c r="M30" s="252"/>
      <c r="N30" s="252"/>
      <c r="O30" s="279"/>
      <c r="P30" s="283"/>
      <c r="Q30" s="280"/>
      <c r="S30" s="252"/>
      <c r="T30" s="252"/>
      <c r="U30" s="252"/>
      <c r="V30" s="278"/>
      <c r="W30" s="252"/>
      <c r="X30" s="252"/>
      <c r="Y30" s="252"/>
      <c r="Z30" s="278"/>
      <c r="AB30" s="252"/>
      <c r="AC30" s="252"/>
      <c r="AD30" s="252"/>
      <c r="AE30" s="252"/>
      <c r="AF30" s="252"/>
      <c r="AG30" s="252"/>
      <c r="AH30" s="252"/>
      <c r="AI30" s="252"/>
    </row>
    <row r="31" spans="1:35" s="237" customFormat="1" ht="18" customHeight="1">
      <c r="A31" s="252"/>
      <c r="B31" s="252"/>
      <c r="C31" s="252"/>
      <c r="D31" s="252"/>
      <c r="E31" s="252"/>
      <c r="F31" s="279"/>
      <c r="G31" s="283"/>
      <c r="H31" s="280"/>
      <c r="J31" s="252"/>
      <c r="K31" s="252"/>
      <c r="L31" s="252"/>
      <c r="M31" s="252"/>
      <c r="N31" s="252"/>
      <c r="O31" s="279"/>
      <c r="P31" s="283"/>
      <c r="Q31" s="280"/>
      <c r="S31" s="252"/>
      <c r="T31" s="252"/>
      <c r="U31" s="252"/>
      <c r="V31" s="278"/>
      <c r="W31" s="252"/>
      <c r="X31" s="252"/>
      <c r="Y31" s="252"/>
      <c r="Z31" s="278"/>
      <c r="AB31" s="252"/>
      <c r="AC31" s="252"/>
      <c r="AD31" s="252"/>
      <c r="AE31" s="252"/>
      <c r="AF31" s="252"/>
      <c r="AG31" s="252"/>
      <c r="AH31" s="252"/>
      <c r="AI31" s="252"/>
    </row>
    <row r="32" spans="1:35" s="237" customFormat="1" ht="18" customHeight="1">
      <c r="A32" s="252"/>
      <c r="B32" s="252"/>
      <c r="C32" s="252"/>
      <c r="D32" s="252"/>
      <c r="E32" s="252"/>
      <c r="F32" s="279"/>
      <c r="G32" s="283"/>
      <c r="H32" s="280"/>
      <c r="J32" s="252"/>
      <c r="K32" s="252"/>
      <c r="L32" s="252"/>
      <c r="M32" s="252"/>
      <c r="N32" s="252"/>
      <c r="O32" s="279"/>
      <c r="P32" s="283"/>
      <c r="Q32" s="280"/>
      <c r="S32" s="252"/>
      <c r="T32" s="252"/>
      <c r="U32" s="252"/>
      <c r="V32" s="278"/>
      <c r="W32" s="252"/>
      <c r="X32" s="252"/>
      <c r="Y32" s="252"/>
      <c r="Z32" s="278"/>
      <c r="AB32" s="252"/>
      <c r="AC32" s="252"/>
      <c r="AD32" s="252"/>
      <c r="AE32" s="252"/>
      <c r="AF32" s="252"/>
      <c r="AG32" s="252"/>
      <c r="AH32" s="252"/>
      <c r="AI32" s="252"/>
    </row>
    <row r="33" spans="1:35" s="237" customFormat="1" ht="18" customHeight="1">
      <c r="A33" s="252"/>
      <c r="B33" s="252"/>
      <c r="C33" s="252"/>
      <c r="D33" s="252"/>
      <c r="E33" s="252"/>
      <c r="F33" s="279"/>
      <c r="G33" s="283"/>
      <c r="H33" s="280"/>
      <c r="J33" s="252"/>
      <c r="K33" s="252"/>
      <c r="L33" s="252"/>
      <c r="M33" s="252"/>
      <c r="N33" s="252"/>
      <c r="O33" s="279"/>
      <c r="P33" s="283"/>
      <c r="Q33" s="280"/>
      <c r="S33" s="252"/>
      <c r="T33" s="252"/>
      <c r="U33" s="252"/>
      <c r="V33" s="278"/>
      <c r="W33" s="252"/>
      <c r="X33" s="252"/>
      <c r="Y33" s="252"/>
      <c r="Z33" s="278"/>
      <c r="AB33" s="252"/>
      <c r="AC33" s="252"/>
      <c r="AD33" s="252"/>
      <c r="AE33" s="252"/>
      <c r="AF33" s="252"/>
      <c r="AG33" s="252"/>
      <c r="AH33" s="252"/>
      <c r="AI33" s="252"/>
    </row>
    <row r="34" spans="1:35" s="237" customFormat="1" ht="18" customHeight="1">
      <c r="A34" s="252"/>
      <c r="B34" s="252"/>
      <c r="C34" s="252"/>
      <c r="D34" s="252"/>
      <c r="E34" s="252"/>
      <c r="F34" s="279"/>
      <c r="G34" s="283"/>
      <c r="H34" s="280"/>
      <c r="J34" s="252"/>
      <c r="K34" s="252"/>
      <c r="L34" s="252"/>
      <c r="M34" s="252"/>
      <c r="N34" s="252"/>
      <c r="O34" s="279"/>
      <c r="P34" s="283"/>
      <c r="Q34" s="280"/>
      <c r="S34" s="252"/>
      <c r="T34" s="252"/>
      <c r="U34" s="252"/>
      <c r="V34" s="278"/>
      <c r="W34" s="252"/>
      <c r="X34" s="252"/>
      <c r="Y34" s="252"/>
      <c r="Z34" s="278"/>
      <c r="AB34" s="252"/>
      <c r="AC34" s="252"/>
      <c r="AD34" s="252"/>
      <c r="AE34" s="252"/>
      <c r="AF34" s="252"/>
      <c r="AG34" s="252"/>
      <c r="AH34" s="252"/>
      <c r="AI34" s="252"/>
    </row>
    <row r="35" spans="1:35" s="237" customFormat="1" ht="18" customHeight="1">
      <c r="A35" s="252"/>
      <c r="B35" s="252"/>
      <c r="C35" s="252"/>
      <c r="D35" s="252"/>
      <c r="E35" s="252"/>
      <c r="F35" s="279"/>
      <c r="G35" s="283"/>
      <c r="H35" s="280"/>
      <c r="J35" s="252"/>
      <c r="K35" s="252"/>
      <c r="L35" s="252"/>
      <c r="M35" s="252"/>
      <c r="N35" s="252"/>
      <c r="O35" s="279"/>
      <c r="P35" s="283"/>
      <c r="Q35" s="280"/>
      <c r="S35" s="252"/>
      <c r="T35" s="252"/>
      <c r="U35" s="252"/>
      <c r="V35" s="278"/>
      <c r="W35" s="252"/>
      <c r="X35" s="252"/>
      <c r="Y35" s="252"/>
      <c r="Z35" s="278"/>
      <c r="AB35" s="252"/>
      <c r="AC35" s="252"/>
      <c r="AD35" s="252"/>
      <c r="AE35" s="252"/>
      <c r="AF35" s="252"/>
      <c r="AG35" s="252"/>
      <c r="AH35" s="252"/>
      <c r="AI35" s="252"/>
    </row>
    <row r="36" spans="1:35" s="237" customFormat="1" ht="18" customHeight="1">
      <c r="V36" s="284"/>
    </row>
    <row r="37" spans="1:35" s="237" customFormat="1" ht="18" customHeight="1">
      <c r="V37" s="284"/>
    </row>
    <row r="38" spans="1:35" s="237" customFormat="1" ht="18" customHeight="1">
      <c r="V38" s="284"/>
    </row>
    <row r="39" spans="1:35" s="237" customFormat="1" ht="18" customHeight="1">
      <c r="V39" s="284"/>
    </row>
    <row r="40" spans="1:35" s="237" customFormat="1" ht="18" customHeight="1">
      <c r="V40" s="284"/>
    </row>
    <row r="41" spans="1:35" s="237" customFormat="1" ht="18" customHeight="1">
      <c r="V41" s="284"/>
    </row>
    <row r="42" spans="1:35" s="237" customFormat="1" ht="18" customHeight="1">
      <c r="V42" s="284"/>
    </row>
    <row r="43" spans="1:35" s="237" customFormat="1" ht="18" customHeight="1">
      <c r="V43" s="284"/>
    </row>
    <row r="44" spans="1:35" s="237" customFormat="1" ht="18" customHeight="1">
      <c r="V44" s="284"/>
    </row>
    <row r="45" spans="1:35" s="237" customFormat="1" ht="18" customHeight="1">
      <c r="V45" s="284"/>
    </row>
    <row r="46" spans="1:35" s="237" customFormat="1" ht="18" customHeight="1">
      <c r="V46" s="284"/>
    </row>
    <row r="47" spans="1:35" s="237" customFormat="1" ht="18" customHeight="1">
      <c r="V47" s="284"/>
    </row>
    <row r="48" spans="1:35" s="237" customFormat="1" ht="18" customHeight="1">
      <c r="V48" s="284"/>
    </row>
    <row r="49" spans="22:22" s="237" customFormat="1" ht="18" customHeight="1">
      <c r="V49" s="284"/>
    </row>
    <row r="50" spans="22:22" s="237" customFormat="1" ht="18" customHeight="1">
      <c r="V50" s="284"/>
    </row>
    <row r="51" spans="22:22" s="237" customFormat="1" ht="18" customHeight="1">
      <c r="V51" s="284"/>
    </row>
    <row r="52" spans="22:22" s="237" customFormat="1" ht="18" customHeight="1">
      <c r="V52" s="284"/>
    </row>
    <row r="53" spans="22:22" s="237" customFormat="1" ht="18" customHeight="1">
      <c r="V53" s="284"/>
    </row>
    <row r="54" spans="22:22" s="237" customFormat="1" ht="18" customHeight="1">
      <c r="V54" s="284"/>
    </row>
    <row r="55" spans="22:22" s="237" customFormat="1" ht="18" customHeight="1">
      <c r="V55" s="284"/>
    </row>
    <row r="56" spans="22:22" s="237" customFormat="1" ht="18" customHeight="1">
      <c r="V56" s="284"/>
    </row>
    <row r="57" spans="22:22" s="237" customFormat="1" ht="18" customHeight="1">
      <c r="V57" s="284"/>
    </row>
    <row r="58" spans="22:22" s="237" customFormat="1" ht="18" customHeight="1">
      <c r="V58" s="284"/>
    </row>
    <row r="59" spans="22:22" s="237" customFormat="1" ht="18" customHeight="1">
      <c r="V59" s="284"/>
    </row>
    <row r="60" spans="22:22" s="237" customFormat="1" ht="18" customHeight="1">
      <c r="V60" s="284"/>
    </row>
    <row r="61" spans="22:22" s="237" customFormat="1" ht="18" customHeight="1">
      <c r="V61" s="284"/>
    </row>
    <row r="62" spans="22:22" s="237" customFormat="1" ht="18" customHeight="1">
      <c r="V62" s="284"/>
    </row>
    <row r="63" spans="22:22" s="237" customFormat="1" ht="18" customHeight="1">
      <c r="V63" s="284"/>
    </row>
    <row r="64" spans="22:22" s="237" customFormat="1" ht="18" customHeight="1">
      <c r="V64" s="284"/>
    </row>
    <row r="65" spans="22:22" s="237" customFormat="1" ht="18" customHeight="1">
      <c r="V65" s="284"/>
    </row>
    <row r="66" spans="22:22" s="237" customFormat="1" ht="18" customHeight="1">
      <c r="V66" s="284"/>
    </row>
    <row r="67" spans="22:22" s="237" customFormat="1" ht="18" customHeight="1">
      <c r="V67" s="284"/>
    </row>
    <row r="68" spans="22:22" s="237" customFormat="1" ht="18" customHeight="1">
      <c r="V68" s="284"/>
    </row>
    <row r="69" spans="22:22" s="237" customFormat="1" ht="18" customHeight="1">
      <c r="V69" s="284"/>
    </row>
    <row r="70" spans="22:22" s="237" customFormat="1" ht="18" customHeight="1">
      <c r="V70" s="284"/>
    </row>
    <row r="71" spans="22:22" s="237" customFormat="1" ht="18" customHeight="1">
      <c r="V71" s="284"/>
    </row>
    <row r="72" spans="22:22" s="237" customFormat="1" ht="18" customHeight="1">
      <c r="V72" s="284"/>
    </row>
    <row r="73" spans="22:22" s="237" customFormat="1" ht="18" customHeight="1">
      <c r="V73" s="284"/>
    </row>
    <row r="74" spans="22:22" s="237" customFormat="1" ht="18" customHeight="1">
      <c r="V74" s="284"/>
    </row>
    <row r="75" spans="22:22" s="237" customFormat="1" ht="18" customHeight="1">
      <c r="V75" s="284"/>
    </row>
    <row r="76" spans="22:22" s="237" customFormat="1" ht="18" customHeight="1">
      <c r="V76" s="284"/>
    </row>
    <row r="77" spans="22:22" s="237" customFormat="1" ht="18" customHeight="1">
      <c r="V77" s="284"/>
    </row>
    <row r="78" spans="22:22" s="237" customFormat="1" ht="18" customHeight="1">
      <c r="V78" s="284"/>
    </row>
    <row r="79" spans="22:22" s="237" customFormat="1" ht="18" customHeight="1">
      <c r="V79" s="284"/>
    </row>
    <row r="80" spans="22:22" s="237" customFormat="1" ht="18" customHeight="1">
      <c r="V80" s="284"/>
    </row>
    <row r="81" spans="22:22" s="237" customFormat="1" ht="18" customHeight="1">
      <c r="V81" s="284"/>
    </row>
    <row r="82" spans="22:22" s="237" customFormat="1" ht="18" customHeight="1">
      <c r="V82" s="284"/>
    </row>
    <row r="83" spans="22:22" s="237" customFormat="1" ht="18" customHeight="1">
      <c r="V83" s="284"/>
    </row>
    <row r="84" spans="22:22" s="237" customFormat="1" ht="18" customHeight="1">
      <c r="V84" s="284"/>
    </row>
    <row r="85" spans="22:22" s="237" customFormat="1" ht="18" customHeight="1">
      <c r="V85" s="284"/>
    </row>
    <row r="86" spans="22:22" s="237" customFormat="1" ht="18" customHeight="1">
      <c r="V86" s="284"/>
    </row>
    <row r="87" spans="22:22" s="237" customFormat="1" ht="18" customHeight="1">
      <c r="V87" s="284"/>
    </row>
    <row r="88" spans="22:22" s="237" customFormat="1" ht="18" customHeight="1">
      <c r="V88" s="284"/>
    </row>
    <row r="89" spans="22:22" s="237" customFormat="1" ht="18" customHeight="1">
      <c r="V89" s="284"/>
    </row>
    <row r="90" spans="22:22" s="237" customFormat="1" ht="18" customHeight="1">
      <c r="V90" s="284"/>
    </row>
    <row r="91" spans="22:22" s="237" customFormat="1" ht="18" customHeight="1">
      <c r="V91" s="284"/>
    </row>
    <row r="92" spans="22:22" s="237" customFormat="1" ht="18" customHeight="1">
      <c r="V92" s="284"/>
    </row>
    <row r="93" spans="22:22" s="237" customFormat="1" ht="18" customHeight="1">
      <c r="V93" s="284"/>
    </row>
    <row r="94" spans="22:22" s="237" customFormat="1" ht="18" customHeight="1">
      <c r="V94" s="284"/>
    </row>
    <row r="95" spans="22:22" s="237" customFormat="1" ht="18" customHeight="1">
      <c r="V95" s="284"/>
    </row>
    <row r="96" spans="22:22" s="237" customFormat="1" ht="18" customHeight="1">
      <c r="V96" s="284"/>
    </row>
    <row r="97" spans="22:22" s="237" customFormat="1" ht="18" customHeight="1">
      <c r="V97" s="284"/>
    </row>
    <row r="98" spans="22:22" s="237" customFormat="1" ht="18" customHeight="1">
      <c r="V98" s="284"/>
    </row>
    <row r="99" spans="22:22" s="237" customFormat="1" ht="18" customHeight="1">
      <c r="V99" s="284"/>
    </row>
    <row r="100" spans="22:22" s="237" customFormat="1" ht="18" customHeight="1">
      <c r="V100" s="284"/>
    </row>
    <row r="101" spans="22:22" s="237" customFormat="1" ht="18" customHeight="1">
      <c r="V101" s="284"/>
    </row>
    <row r="102" spans="22:22" s="237" customFormat="1" ht="18" customHeight="1">
      <c r="V102" s="284"/>
    </row>
    <row r="103" spans="22:22" s="237" customFormat="1" ht="18" customHeight="1">
      <c r="V103" s="284"/>
    </row>
    <row r="104" spans="22:22" s="237" customFormat="1" ht="18" customHeight="1">
      <c r="V104" s="284"/>
    </row>
    <row r="105" spans="22:22" s="237" customFormat="1" ht="18" customHeight="1">
      <c r="V105" s="284"/>
    </row>
    <row r="106" spans="22:22" s="237" customFormat="1" ht="18" customHeight="1">
      <c r="V106" s="284"/>
    </row>
    <row r="107" spans="22:22" s="237" customFormat="1" ht="18" customHeight="1">
      <c r="V107" s="284"/>
    </row>
    <row r="108" spans="22:22" s="237" customFormat="1" ht="18" customHeight="1">
      <c r="V108" s="284"/>
    </row>
    <row r="109" spans="22:22" s="237" customFormat="1" ht="18" customHeight="1">
      <c r="V109" s="284"/>
    </row>
    <row r="110" spans="22:22" s="237" customFormat="1" ht="18" customHeight="1">
      <c r="V110" s="284"/>
    </row>
    <row r="111" spans="22:22" s="237" customFormat="1" ht="18" customHeight="1">
      <c r="V111" s="284"/>
    </row>
    <row r="112" spans="22:22" s="237" customFormat="1" ht="18" customHeight="1">
      <c r="V112" s="284"/>
    </row>
    <row r="113" spans="22:22" s="237" customFormat="1" ht="18" customHeight="1">
      <c r="V113" s="284"/>
    </row>
    <row r="114" spans="22:22" s="237" customFormat="1" ht="18" customHeight="1">
      <c r="V114" s="284"/>
    </row>
    <row r="115" spans="22:22" s="237" customFormat="1" ht="18" customHeight="1">
      <c r="V115" s="284"/>
    </row>
    <row r="116" spans="22:22" s="237" customFormat="1" ht="18" customHeight="1">
      <c r="V116" s="284"/>
    </row>
    <row r="117" spans="22:22" s="237" customFormat="1" ht="18" customHeight="1">
      <c r="V117" s="284"/>
    </row>
    <row r="118" spans="22:22" s="237" customFormat="1" ht="18" customHeight="1">
      <c r="V118" s="284"/>
    </row>
    <row r="119" spans="22:22" s="237" customFormat="1" ht="18" customHeight="1">
      <c r="V119" s="284"/>
    </row>
    <row r="120" spans="22:22" s="237" customFormat="1" ht="18" customHeight="1">
      <c r="V120" s="284"/>
    </row>
    <row r="121" spans="22:22" s="237" customFormat="1" ht="18" customHeight="1">
      <c r="V121" s="284"/>
    </row>
    <row r="122" spans="22:22" s="237" customFormat="1" ht="18" customHeight="1">
      <c r="V122" s="284"/>
    </row>
    <row r="123" spans="22:22" s="237" customFormat="1" ht="18" customHeight="1">
      <c r="V123" s="284"/>
    </row>
    <row r="124" spans="22:22" s="237" customFormat="1" ht="18" customHeight="1">
      <c r="V124" s="284"/>
    </row>
    <row r="125" spans="22:22" s="237" customFormat="1" ht="18" customHeight="1">
      <c r="V125" s="284"/>
    </row>
    <row r="126" spans="22:22" s="237" customFormat="1" ht="18" customHeight="1">
      <c r="V126" s="284"/>
    </row>
    <row r="127" spans="22:22" s="237" customFormat="1" ht="18" customHeight="1">
      <c r="V127" s="284"/>
    </row>
    <row r="128" spans="22:22" s="237" customFormat="1" ht="18" customHeight="1">
      <c r="V128" s="284"/>
    </row>
    <row r="129" spans="22:22" s="237" customFormat="1" ht="18" customHeight="1">
      <c r="V129" s="284"/>
    </row>
    <row r="130" spans="22:22" s="237" customFormat="1" ht="18" customHeight="1">
      <c r="V130" s="284"/>
    </row>
    <row r="131" spans="22:22" s="237" customFormat="1" ht="18" customHeight="1">
      <c r="V131" s="284"/>
    </row>
    <row r="132" spans="22:22" s="237" customFormat="1" ht="18" customHeight="1">
      <c r="V132" s="284"/>
    </row>
    <row r="133" spans="22:22" s="237" customFormat="1" ht="18" customHeight="1">
      <c r="V133" s="284"/>
    </row>
    <row r="134" spans="22:22" s="237" customFormat="1" ht="18" customHeight="1">
      <c r="V134" s="284"/>
    </row>
    <row r="135" spans="22:22" s="237" customFormat="1" ht="18" customHeight="1">
      <c r="V135" s="284"/>
    </row>
    <row r="136" spans="22:22" s="237" customFormat="1" ht="18" customHeight="1">
      <c r="V136" s="284"/>
    </row>
    <row r="137" spans="22:22" s="237" customFormat="1" ht="18" customHeight="1">
      <c r="V137" s="284"/>
    </row>
    <row r="138" spans="22:22" s="237" customFormat="1" ht="18" customHeight="1">
      <c r="V138" s="284"/>
    </row>
    <row r="139" spans="22:22" s="237" customFormat="1" ht="18" customHeight="1">
      <c r="V139" s="284"/>
    </row>
    <row r="140" spans="22:22" s="237" customFormat="1" ht="18" customHeight="1">
      <c r="V140" s="284"/>
    </row>
    <row r="141" spans="22:22" s="237" customFormat="1" ht="18" customHeight="1">
      <c r="V141" s="284"/>
    </row>
    <row r="142" spans="22:22" s="237" customFormat="1" ht="18" customHeight="1">
      <c r="V142" s="284"/>
    </row>
    <row r="143" spans="22:22" s="237" customFormat="1" ht="18" customHeight="1">
      <c r="V143" s="284"/>
    </row>
    <row r="144" spans="22:22" s="237" customFormat="1" ht="18" customHeight="1">
      <c r="V144" s="284"/>
    </row>
    <row r="145" spans="22:22" s="237" customFormat="1" ht="18" customHeight="1">
      <c r="V145" s="284"/>
    </row>
    <row r="146" spans="22:22" s="237" customFormat="1" ht="18" customHeight="1">
      <c r="V146" s="284"/>
    </row>
    <row r="147" spans="22:22" s="237" customFormat="1" ht="18" customHeight="1">
      <c r="V147" s="284"/>
    </row>
    <row r="148" spans="22:22" s="237" customFormat="1" ht="18" customHeight="1">
      <c r="V148" s="284"/>
    </row>
    <row r="149" spans="22:22" s="237" customFormat="1" ht="18" customHeight="1">
      <c r="V149" s="284"/>
    </row>
    <row r="150" spans="22:22" s="237" customFormat="1" ht="18" customHeight="1">
      <c r="V150" s="284"/>
    </row>
    <row r="151" spans="22:22" s="237" customFormat="1" ht="18" customHeight="1">
      <c r="V151" s="284"/>
    </row>
    <row r="152" spans="22:22" s="237" customFormat="1" ht="18" customHeight="1">
      <c r="V152" s="284"/>
    </row>
    <row r="153" spans="22:22" s="237" customFormat="1" ht="18" customHeight="1">
      <c r="V153" s="284"/>
    </row>
    <row r="154" spans="22:22" s="237" customFormat="1" ht="18" customHeight="1">
      <c r="V154" s="284"/>
    </row>
    <row r="155" spans="22:22" s="237" customFormat="1" ht="18" customHeight="1">
      <c r="V155" s="284"/>
    </row>
    <row r="156" spans="22:22" s="237" customFormat="1" ht="18" customHeight="1">
      <c r="V156" s="284"/>
    </row>
    <row r="157" spans="22:22" s="237" customFormat="1" ht="18" customHeight="1">
      <c r="V157" s="284"/>
    </row>
    <row r="158" spans="22:22" s="237" customFormat="1" ht="18" customHeight="1">
      <c r="V158" s="284"/>
    </row>
    <row r="159" spans="22:22" s="237" customFormat="1" ht="18" customHeight="1">
      <c r="V159" s="284"/>
    </row>
    <row r="160" spans="22:22" s="237" customFormat="1" ht="18" customHeight="1">
      <c r="V160" s="284"/>
    </row>
    <row r="161" spans="22:22" s="237" customFormat="1" ht="18" customHeight="1">
      <c r="V161" s="284"/>
    </row>
    <row r="162" spans="22:22" s="237" customFormat="1" ht="18" customHeight="1">
      <c r="V162" s="284"/>
    </row>
    <row r="163" spans="22:22" s="237" customFormat="1" ht="18" customHeight="1">
      <c r="V163" s="284"/>
    </row>
    <row r="164" spans="22:22" s="237" customFormat="1" ht="18" customHeight="1">
      <c r="V164" s="284"/>
    </row>
    <row r="165" spans="22:22" s="237" customFormat="1" ht="18" customHeight="1">
      <c r="V165" s="284"/>
    </row>
    <row r="166" spans="22:22" s="237" customFormat="1" ht="18" customHeight="1">
      <c r="V166" s="284"/>
    </row>
    <row r="167" spans="22:22" s="237" customFormat="1" ht="18" customHeight="1">
      <c r="V167" s="284"/>
    </row>
    <row r="168" spans="22:22" s="237" customFormat="1" ht="18" customHeight="1">
      <c r="V168" s="284"/>
    </row>
    <row r="169" spans="22:22" s="237" customFormat="1" ht="18" customHeight="1">
      <c r="V169" s="284"/>
    </row>
    <row r="170" spans="22:22" s="237" customFormat="1" ht="18" customHeight="1">
      <c r="V170" s="284"/>
    </row>
    <row r="171" spans="22:22" s="237" customFormat="1" ht="18" customHeight="1">
      <c r="V171" s="284"/>
    </row>
    <row r="172" spans="22:22" s="237" customFormat="1" ht="18" customHeight="1">
      <c r="V172" s="284"/>
    </row>
    <row r="173" spans="22:22" s="237" customFormat="1" ht="18" customHeight="1">
      <c r="V173" s="284"/>
    </row>
    <row r="174" spans="22:22" s="227" customFormat="1" ht="18" customHeight="1">
      <c r="V174" s="228"/>
    </row>
    <row r="175" spans="22:22" s="227" customFormat="1" ht="18" customHeight="1">
      <c r="V175" s="228"/>
    </row>
    <row r="176" spans="22:22" s="227" customFormat="1" ht="18" customHeight="1">
      <c r="V176" s="228"/>
    </row>
    <row r="177" spans="22:22" s="227" customFormat="1" ht="18" customHeight="1">
      <c r="V177" s="228"/>
    </row>
    <row r="178" spans="22:22" s="227" customFormat="1" ht="18" customHeight="1">
      <c r="V178" s="228"/>
    </row>
    <row r="179" spans="22:22" s="227" customFormat="1" ht="18" customHeight="1">
      <c r="V179" s="228"/>
    </row>
    <row r="180" spans="22:22" s="227" customFormat="1" ht="18" customHeight="1">
      <c r="V180" s="228"/>
    </row>
    <row r="181" spans="22:22" s="227" customFormat="1" ht="18" customHeight="1">
      <c r="V181" s="228"/>
    </row>
    <row r="182" spans="22:22" s="227" customFormat="1" ht="18" customHeight="1">
      <c r="V182" s="228"/>
    </row>
    <row r="183" spans="22:22" s="227" customFormat="1" ht="18" customHeight="1">
      <c r="V183" s="228"/>
    </row>
    <row r="184" spans="22:22" s="227" customFormat="1" ht="18" customHeight="1">
      <c r="V184" s="228"/>
    </row>
    <row r="185" spans="22:22" s="227" customFormat="1" ht="18" customHeight="1">
      <c r="V185" s="228"/>
    </row>
    <row r="186" spans="22:22" s="227" customFormat="1" ht="18" customHeight="1">
      <c r="V186" s="228"/>
    </row>
    <row r="187" spans="22:22" s="227" customFormat="1" ht="18" customHeight="1">
      <c r="V187" s="228"/>
    </row>
    <row r="188" spans="22:22" s="227" customFormat="1" ht="18" customHeight="1">
      <c r="V188" s="228"/>
    </row>
    <row r="189" spans="22:22" s="227" customFormat="1" ht="18" customHeight="1">
      <c r="V189" s="228"/>
    </row>
    <row r="190" spans="22:22" s="227" customFormat="1" ht="18" customHeight="1">
      <c r="V190" s="228"/>
    </row>
    <row r="191" spans="22:22" s="227" customFormat="1" ht="18" customHeight="1">
      <c r="V191" s="228"/>
    </row>
    <row r="192" spans="22:22" s="227" customFormat="1" ht="18" customHeight="1">
      <c r="V192" s="228"/>
    </row>
    <row r="193" spans="22:22" s="227" customFormat="1" ht="18" customHeight="1">
      <c r="V193" s="228"/>
    </row>
    <row r="194" spans="22:22" s="227" customFormat="1" ht="18" customHeight="1">
      <c r="V194" s="228"/>
    </row>
    <row r="195" spans="22:22" s="227" customFormat="1" ht="18" customHeight="1">
      <c r="V195" s="228"/>
    </row>
    <row r="196" spans="22:22" s="227" customFormat="1" ht="18" customHeight="1">
      <c r="V196" s="228"/>
    </row>
    <row r="197" spans="22:22" s="227" customFormat="1" ht="18" customHeight="1">
      <c r="V197" s="228"/>
    </row>
    <row r="198" spans="22:22" s="227" customFormat="1" ht="18" customHeight="1">
      <c r="V198" s="228"/>
    </row>
    <row r="199" spans="22:22" s="227" customFormat="1" ht="18" customHeight="1">
      <c r="V199" s="228"/>
    </row>
    <row r="200" spans="22:22" s="227" customFormat="1" ht="18" customHeight="1">
      <c r="V200" s="228"/>
    </row>
    <row r="201" spans="22:22" s="227" customFormat="1" ht="18" customHeight="1">
      <c r="V201" s="228"/>
    </row>
    <row r="202" spans="22:22" s="227" customFormat="1" ht="18" customHeight="1">
      <c r="V202" s="228"/>
    </row>
    <row r="203" spans="22:22" s="227" customFormat="1" ht="18" customHeight="1">
      <c r="V203" s="228"/>
    </row>
    <row r="204" spans="22:22" s="227" customFormat="1" ht="18" customHeight="1">
      <c r="V204" s="228"/>
    </row>
    <row r="205" spans="22:22" s="227" customFormat="1" ht="18" customHeight="1">
      <c r="V205" s="228"/>
    </row>
    <row r="206" spans="22:22" s="227" customFormat="1" ht="18" customHeight="1">
      <c r="V206" s="228"/>
    </row>
    <row r="207" spans="22:22" s="227" customFormat="1" ht="18" customHeight="1">
      <c r="V207" s="228"/>
    </row>
    <row r="208" spans="22:22" s="227" customFormat="1" ht="18" customHeight="1">
      <c r="V208" s="228"/>
    </row>
    <row r="209" spans="22:22" s="227" customFormat="1" ht="18" customHeight="1">
      <c r="V209" s="228"/>
    </row>
    <row r="210" spans="22:22" s="227" customFormat="1" ht="18" customHeight="1">
      <c r="V210" s="228"/>
    </row>
    <row r="211" spans="22:22" s="227" customFormat="1" ht="18" customHeight="1">
      <c r="V211" s="228"/>
    </row>
    <row r="212" spans="22:22" s="227" customFormat="1" ht="18" customHeight="1">
      <c r="V212" s="228"/>
    </row>
    <row r="213" spans="22:22" s="227" customFormat="1" ht="18" customHeight="1">
      <c r="V213" s="228"/>
    </row>
    <row r="214" spans="22:22" s="227" customFormat="1" ht="18" customHeight="1">
      <c r="V214" s="228"/>
    </row>
    <row r="215" spans="22:22" s="227" customFormat="1" ht="18" customHeight="1">
      <c r="V215" s="228"/>
    </row>
    <row r="216" spans="22:22" s="227" customFormat="1" ht="18" customHeight="1">
      <c r="V216" s="228"/>
    </row>
    <row r="217" spans="22:22" s="227" customFormat="1" ht="18" customHeight="1">
      <c r="V217" s="228"/>
    </row>
    <row r="218" spans="22:22" s="227" customFormat="1" ht="18" customHeight="1">
      <c r="V218" s="228"/>
    </row>
    <row r="219" spans="22:22" s="227" customFormat="1" ht="18" customHeight="1">
      <c r="V219" s="228"/>
    </row>
    <row r="220" spans="22:22" s="227" customFormat="1" ht="18" customHeight="1">
      <c r="V220" s="228"/>
    </row>
    <row r="221" spans="22:22" s="227" customFormat="1" ht="18" customHeight="1">
      <c r="V221" s="228"/>
    </row>
    <row r="222" spans="22:22" s="227" customFormat="1" ht="18" customHeight="1">
      <c r="V222" s="228"/>
    </row>
    <row r="223" spans="22:22" s="227" customFormat="1" ht="18" customHeight="1">
      <c r="V223" s="228"/>
    </row>
    <row r="224" spans="22:22" s="227" customFormat="1" ht="18" customHeight="1">
      <c r="V224" s="228"/>
    </row>
    <row r="225" spans="22:22" s="227" customFormat="1" ht="18" customHeight="1">
      <c r="V225" s="228"/>
    </row>
    <row r="226" spans="22:22" s="227" customFormat="1" ht="18" customHeight="1">
      <c r="V226" s="228"/>
    </row>
    <row r="227" spans="22:22" s="227" customFormat="1" ht="18" customHeight="1">
      <c r="V227" s="228"/>
    </row>
    <row r="228" spans="22:22" s="227" customFormat="1" ht="18" customHeight="1">
      <c r="V228" s="228"/>
    </row>
    <row r="229" spans="22:22" s="227" customFormat="1" ht="18" customHeight="1">
      <c r="V229" s="228"/>
    </row>
    <row r="230" spans="22:22" s="227" customFormat="1" ht="18" customHeight="1">
      <c r="V230" s="228"/>
    </row>
    <row r="231" spans="22:22" s="227" customFormat="1" ht="18" customHeight="1">
      <c r="V231" s="228"/>
    </row>
    <row r="232" spans="22:22" s="227" customFormat="1" ht="18" customHeight="1">
      <c r="V232" s="228"/>
    </row>
    <row r="233" spans="22:22" s="227" customFormat="1" ht="18" customHeight="1">
      <c r="V233" s="228"/>
    </row>
    <row r="234" spans="22:22" s="227" customFormat="1" ht="18" customHeight="1">
      <c r="V234" s="228"/>
    </row>
    <row r="235" spans="22:22" s="227" customFormat="1" ht="18" customHeight="1">
      <c r="V235" s="228"/>
    </row>
    <row r="236" spans="22:22" s="227" customFormat="1" ht="18" customHeight="1">
      <c r="V236" s="228"/>
    </row>
    <row r="237" spans="22:22" s="227" customFormat="1" ht="18" customHeight="1">
      <c r="V237" s="228"/>
    </row>
    <row r="238" spans="22:22" s="227" customFormat="1" ht="18" customHeight="1">
      <c r="V238" s="228"/>
    </row>
    <row r="239" spans="22:22" s="227" customFormat="1" ht="18" customHeight="1">
      <c r="V239" s="228"/>
    </row>
    <row r="240" spans="22:22" s="227" customFormat="1" ht="18" customHeight="1">
      <c r="V240" s="228"/>
    </row>
    <row r="241" spans="22:22" s="227" customFormat="1" ht="18" customHeight="1">
      <c r="V241" s="228"/>
    </row>
    <row r="242" spans="22:22" s="227" customFormat="1" ht="18" customHeight="1">
      <c r="V242" s="228"/>
    </row>
    <row r="243" spans="22:22" s="227" customFormat="1" ht="18" customHeight="1">
      <c r="V243" s="228"/>
    </row>
    <row r="244" spans="22:22" s="227" customFormat="1" ht="18" customHeight="1">
      <c r="V244" s="228"/>
    </row>
    <row r="245" spans="22:22" s="227" customFormat="1" ht="18" customHeight="1">
      <c r="V245" s="228"/>
    </row>
    <row r="246" spans="22:22" s="227" customFormat="1" ht="18" customHeight="1">
      <c r="V246" s="228"/>
    </row>
    <row r="247" spans="22:22" s="227" customFormat="1" ht="18" customHeight="1">
      <c r="V247" s="228"/>
    </row>
    <row r="248" spans="22:22" s="227" customFormat="1" ht="18" customHeight="1">
      <c r="V248" s="228"/>
    </row>
    <row r="249" spans="22:22" s="227" customFormat="1" ht="18" customHeight="1">
      <c r="V249" s="228"/>
    </row>
    <row r="250" spans="22:22" s="227" customFormat="1" ht="18" customHeight="1">
      <c r="V250" s="228"/>
    </row>
    <row r="251" spans="22:22" s="227" customFormat="1" ht="18" customHeight="1">
      <c r="V251" s="228"/>
    </row>
    <row r="252" spans="22:22" s="227" customFormat="1" ht="18" customHeight="1">
      <c r="V252" s="228"/>
    </row>
    <row r="253" spans="22:22" s="227" customFormat="1" ht="18" customHeight="1">
      <c r="V253" s="228"/>
    </row>
    <row r="254" spans="22:22" s="227" customFormat="1" ht="18" customHeight="1">
      <c r="V254" s="228"/>
    </row>
    <row r="255" spans="22:22" s="227" customFormat="1" ht="18" customHeight="1">
      <c r="V255" s="228"/>
    </row>
    <row r="256" spans="22:22" s="227" customFormat="1" ht="18" customHeight="1">
      <c r="V256" s="228"/>
    </row>
    <row r="257" spans="22:22" s="227" customFormat="1" ht="18" customHeight="1">
      <c r="V257" s="228"/>
    </row>
    <row r="258" spans="22:22" s="227" customFormat="1" ht="18" customHeight="1">
      <c r="V258" s="228"/>
    </row>
    <row r="259" spans="22:22" s="227" customFormat="1" ht="18" customHeight="1">
      <c r="V259" s="228"/>
    </row>
    <row r="260" spans="22:22" s="227" customFormat="1" ht="18" customHeight="1">
      <c r="V260" s="228"/>
    </row>
    <row r="261" spans="22:22" s="227" customFormat="1" ht="18" customHeight="1">
      <c r="V261" s="228"/>
    </row>
    <row r="262" spans="22:22" s="227" customFormat="1" ht="18" customHeight="1">
      <c r="V262" s="228"/>
    </row>
    <row r="263" spans="22:22" s="227" customFormat="1" ht="18" customHeight="1">
      <c r="V263" s="228"/>
    </row>
    <row r="264" spans="22:22" s="227" customFormat="1" ht="18" customHeight="1">
      <c r="V264" s="228"/>
    </row>
    <row r="265" spans="22:22" s="227" customFormat="1" ht="18" customHeight="1">
      <c r="V265" s="228"/>
    </row>
    <row r="266" spans="22:22" s="227" customFormat="1" ht="18" customHeight="1">
      <c r="V266" s="228"/>
    </row>
    <row r="267" spans="22:22" s="227" customFormat="1" ht="18" customHeight="1">
      <c r="V267" s="228"/>
    </row>
    <row r="268" spans="22:22" s="227" customFormat="1" ht="18" customHeight="1">
      <c r="V268" s="228"/>
    </row>
    <row r="269" spans="22:22" s="227" customFormat="1" ht="18" customHeight="1">
      <c r="V269" s="228"/>
    </row>
    <row r="270" spans="22:22" s="227" customFormat="1" ht="18" customHeight="1">
      <c r="V270" s="228"/>
    </row>
    <row r="271" spans="22:22" s="227" customFormat="1" ht="18" customHeight="1">
      <c r="V271" s="228"/>
    </row>
    <row r="272" spans="22:22" s="227" customFormat="1" ht="18" customHeight="1">
      <c r="V272" s="228"/>
    </row>
    <row r="273" spans="22:22" s="227" customFormat="1" ht="18" customHeight="1">
      <c r="V273" s="228"/>
    </row>
    <row r="274" spans="22:22" s="227" customFormat="1" ht="18" customHeight="1">
      <c r="V274" s="228"/>
    </row>
    <row r="275" spans="22:22" s="227" customFormat="1" ht="18" customHeight="1">
      <c r="V275" s="228"/>
    </row>
    <row r="276" spans="22:22" s="227" customFormat="1" ht="18" customHeight="1">
      <c r="V276" s="228"/>
    </row>
    <row r="277" spans="22:22" s="227" customFormat="1" ht="18" customHeight="1">
      <c r="V277" s="228"/>
    </row>
    <row r="278" spans="22:22" s="227" customFormat="1" ht="18" customHeight="1">
      <c r="V278" s="228"/>
    </row>
    <row r="279" spans="22:22" s="227" customFormat="1" ht="18" customHeight="1">
      <c r="V279" s="228"/>
    </row>
    <row r="280" spans="22:22" s="227" customFormat="1" ht="18" customHeight="1">
      <c r="V280" s="228"/>
    </row>
    <row r="281" spans="22:22" s="227" customFormat="1" ht="18" customHeight="1">
      <c r="V281" s="228"/>
    </row>
    <row r="282" spans="22:22" s="227" customFormat="1" ht="18" customHeight="1">
      <c r="V282" s="228"/>
    </row>
    <row r="283" spans="22:22" s="227" customFormat="1" ht="18" customHeight="1">
      <c r="V283" s="228"/>
    </row>
    <row r="284" spans="22:22" s="227" customFormat="1" ht="18" customHeight="1">
      <c r="V284" s="228"/>
    </row>
    <row r="285" spans="22:22" s="227" customFormat="1" ht="18" customHeight="1">
      <c r="V285" s="228"/>
    </row>
    <row r="286" spans="22:22" s="227" customFormat="1" ht="18" customHeight="1">
      <c r="V286" s="228"/>
    </row>
    <row r="287" spans="22:22" s="227" customFormat="1" ht="18" customHeight="1">
      <c r="V287" s="228"/>
    </row>
    <row r="288" spans="22:22" s="227" customFormat="1" ht="18" customHeight="1">
      <c r="V288" s="228"/>
    </row>
    <row r="289" spans="22:22" s="227" customFormat="1" ht="18" customHeight="1">
      <c r="V289" s="228"/>
    </row>
    <row r="290" spans="22:22" s="227" customFormat="1" ht="18" customHeight="1">
      <c r="V290" s="228"/>
    </row>
    <row r="291" spans="22:22" s="227" customFormat="1" ht="18" customHeight="1">
      <c r="V291" s="228"/>
    </row>
    <row r="292" spans="22:22" s="227" customFormat="1" ht="18" customHeight="1">
      <c r="V292" s="228"/>
    </row>
    <row r="293" spans="22:22" s="227" customFormat="1" ht="18" customHeight="1">
      <c r="V293" s="228"/>
    </row>
    <row r="294" spans="22:22" s="227" customFormat="1" ht="18" customHeight="1">
      <c r="V294" s="228"/>
    </row>
    <row r="295" spans="22:22" s="227" customFormat="1" ht="18" customHeight="1">
      <c r="V295" s="228"/>
    </row>
    <row r="296" spans="22:22" s="227" customFormat="1" ht="18" customHeight="1">
      <c r="V296" s="228"/>
    </row>
    <row r="297" spans="22:22" s="227" customFormat="1" ht="18" customHeight="1">
      <c r="V297" s="228"/>
    </row>
    <row r="298" spans="22:22" s="227" customFormat="1" ht="18" customHeight="1">
      <c r="V298" s="228"/>
    </row>
    <row r="299" spans="22:22" s="227" customFormat="1" ht="18" customHeight="1">
      <c r="V299" s="228"/>
    </row>
    <row r="300" spans="22:22" s="227" customFormat="1" ht="18" customHeight="1">
      <c r="V300" s="228"/>
    </row>
    <row r="301" spans="22:22" s="227" customFormat="1" ht="18" customHeight="1">
      <c r="V301" s="228"/>
    </row>
    <row r="302" spans="22:22" s="227" customFormat="1" ht="18" customHeight="1">
      <c r="V302" s="228"/>
    </row>
    <row r="303" spans="22:22" s="227" customFormat="1" ht="18" customHeight="1">
      <c r="V303" s="228"/>
    </row>
    <row r="304" spans="22:22" s="227" customFormat="1" ht="18" customHeight="1">
      <c r="V304" s="228"/>
    </row>
    <row r="305" spans="22:22" s="227" customFormat="1" ht="18" customHeight="1">
      <c r="V305" s="228"/>
    </row>
    <row r="306" spans="22:22" s="227" customFormat="1" ht="18" customHeight="1">
      <c r="V306" s="228"/>
    </row>
    <row r="307" spans="22:22" s="227" customFormat="1" ht="18" customHeight="1">
      <c r="V307" s="228"/>
    </row>
    <row r="308" spans="22:22" s="227" customFormat="1" ht="18" customHeight="1">
      <c r="V308" s="228"/>
    </row>
    <row r="309" spans="22:22" s="227" customFormat="1" ht="18" customHeight="1">
      <c r="V309" s="228"/>
    </row>
    <row r="310" spans="22:22" s="227" customFormat="1" ht="18" customHeight="1">
      <c r="V310" s="228"/>
    </row>
    <row r="311" spans="22:22" s="227" customFormat="1" ht="18" customHeight="1">
      <c r="V311" s="228"/>
    </row>
    <row r="312" spans="22:22" s="227" customFormat="1" ht="18" customHeight="1">
      <c r="V312" s="228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181"/>
  <sheetViews>
    <sheetView workbookViewId="0">
      <pane ySplit="1" topLeftCell="A2" activePane="bottomLeft" state="frozen"/>
      <selection pane="bottomLeft" activeCell="H17" sqref="H17"/>
    </sheetView>
  </sheetViews>
  <sheetFormatPr baseColWidth="10" defaultColWidth="11.42578125" defaultRowHeight="15.95" customHeight="1"/>
  <cols>
    <col min="1" max="1" width="2.42578125" style="18" customWidth="1"/>
    <col min="2" max="2" width="13.42578125" style="18" customWidth="1"/>
    <col min="3" max="3" width="10.85546875" style="19" customWidth="1"/>
    <col min="4" max="4" width="10.140625" style="19" customWidth="1"/>
    <col min="5" max="5" width="8.140625" style="19" customWidth="1"/>
    <col min="6" max="6" width="3" style="18" customWidth="1"/>
    <col min="7" max="7" width="20.85546875" style="18" customWidth="1"/>
    <col min="8" max="8" width="16.140625" style="18" customWidth="1"/>
    <col min="9" max="9" width="9.7109375" style="18" customWidth="1"/>
    <col min="10" max="10" width="5.140625" style="18" bestFit="1" customWidth="1"/>
    <col min="11" max="11" width="3.42578125" style="18" customWidth="1"/>
    <col min="12" max="12" width="18.42578125" style="18" bestFit="1" customWidth="1"/>
    <col min="13" max="13" width="6" style="18" bestFit="1" customWidth="1"/>
    <col min="14" max="14" width="12" style="18" bestFit="1" customWidth="1"/>
    <col min="15" max="15" width="9.42578125" style="18" customWidth="1"/>
    <col min="16" max="16" width="5.140625" style="18" bestFit="1" customWidth="1"/>
    <col min="17" max="17" width="3.140625" style="18" customWidth="1"/>
    <col min="18" max="18" width="15.140625" style="18" bestFit="1" customWidth="1"/>
    <col min="19" max="19" width="11.7109375" style="18" bestFit="1" customWidth="1"/>
    <col min="20" max="20" width="9" style="18" customWidth="1"/>
    <col min="21" max="21" width="5.140625" style="18" bestFit="1" customWidth="1"/>
    <col min="22" max="16384" width="11.42578125" style="18"/>
  </cols>
  <sheetData>
    <row r="1" spans="2:21" ht="15.95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5.95" customHeight="1">
      <c r="B2" s="189" t="str">
        <f>+C2&amp;D2</f>
        <v>Bajoriesgo12018</v>
      </c>
      <c r="C2" s="190" t="s">
        <v>4</v>
      </c>
      <c r="D2" s="190">
        <v>2018</v>
      </c>
      <c r="E2" s="191">
        <v>4.2000000000000003E-2</v>
      </c>
      <c r="G2" s="1" t="str">
        <f>+H2&amp;I2</f>
        <v>BAJORIESGO2018</v>
      </c>
      <c r="H2" s="32" t="s">
        <v>217</v>
      </c>
      <c r="I2" s="33">
        <v>2018</v>
      </c>
      <c r="J2" s="34">
        <v>3.7999999999999999E-2</v>
      </c>
      <c r="L2" s="1" t="str">
        <f>+M2&amp;N2&amp;O2</f>
        <v>0.2BAJORIESGO2018</v>
      </c>
      <c r="M2" s="31">
        <v>0.2</v>
      </c>
      <c r="N2" s="32" t="s">
        <v>217</v>
      </c>
      <c r="O2" s="33">
        <v>2018</v>
      </c>
      <c r="P2" s="34">
        <v>3.2500000000000001E-2</v>
      </c>
      <c r="R2" s="1" t="str">
        <f>+S2&amp;T2</f>
        <v>BAJORIESGO12018</v>
      </c>
      <c r="S2" s="1" t="s">
        <v>80</v>
      </c>
      <c r="T2" s="1">
        <v>2018</v>
      </c>
      <c r="U2" s="34">
        <v>3.6000000000000004E-2</v>
      </c>
    </row>
    <row r="3" spans="2:21" ht="15.95" customHeight="1">
      <c r="B3" s="189" t="str">
        <f t="shared" ref="B3:B66" si="0">+C3&amp;D3</f>
        <v>Bajoriesgo1NUEVO 2017</v>
      </c>
      <c r="C3" s="190" t="s">
        <v>4</v>
      </c>
      <c r="D3" s="190" t="s">
        <v>678</v>
      </c>
      <c r="E3" s="191">
        <v>4.2000000000000003E-2</v>
      </c>
      <c r="G3" s="1" t="str">
        <f>+H3&amp;I3</f>
        <v>BAJORIESGONUEVO 2017</v>
      </c>
      <c r="H3" s="32" t="s">
        <v>217</v>
      </c>
      <c r="I3" s="33" t="s">
        <v>678</v>
      </c>
      <c r="J3" s="34">
        <v>3.7999999999999999E-2</v>
      </c>
      <c r="L3" s="1" t="str">
        <f t="shared" ref="L3:L66" si="1">+M3&amp;N3&amp;O3</f>
        <v>0.2BAJORIESGONUEVO 2017</v>
      </c>
      <c r="M3" s="31">
        <v>0.2</v>
      </c>
      <c r="N3" s="32" t="s">
        <v>217</v>
      </c>
      <c r="O3" s="33" t="s">
        <v>678</v>
      </c>
      <c r="P3" s="34">
        <v>3.2500000000000001E-2</v>
      </c>
      <c r="R3" s="1" t="str">
        <f t="shared" ref="R3:R66" si="2">+S3&amp;T3</f>
        <v>BAJORIESGO1NUEVO 2017</v>
      </c>
      <c r="S3" s="1" t="s">
        <v>80</v>
      </c>
      <c r="T3" s="1" t="s">
        <v>678</v>
      </c>
      <c r="U3" s="34">
        <v>3.5999999999999997E-2</v>
      </c>
    </row>
    <row r="4" spans="2:21" ht="15.95" customHeight="1">
      <c r="B4" s="189" t="str">
        <f t="shared" si="0"/>
        <v>Bajoriesgo12017</v>
      </c>
      <c r="C4" s="190" t="s">
        <v>4</v>
      </c>
      <c r="D4" s="190">
        <v>2017</v>
      </c>
      <c r="E4" s="191">
        <v>4.3500000000000004E-2</v>
      </c>
      <c r="G4" s="1" t="str">
        <f t="shared" ref="G4:G61" si="3">+H4&amp;I4</f>
        <v>BAJORIESGO2017</v>
      </c>
      <c r="H4" s="32" t="s">
        <v>217</v>
      </c>
      <c r="I4" s="33">
        <v>2017</v>
      </c>
      <c r="J4" s="34">
        <v>3.7999999999999999E-2</v>
      </c>
      <c r="L4" s="1" t="str">
        <f t="shared" si="1"/>
        <v>0.2BAJORIESGO2017</v>
      </c>
      <c r="M4" s="31">
        <v>0.2</v>
      </c>
      <c r="N4" s="32" t="s">
        <v>217</v>
      </c>
      <c r="O4" s="33">
        <v>2017</v>
      </c>
      <c r="P4" s="34">
        <v>3.4599999999999999E-2</v>
      </c>
      <c r="R4" s="1" t="str">
        <f t="shared" si="2"/>
        <v>BAJORIESGO12017</v>
      </c>
      <c r="S4" s="1" t="s">
        <v>80</v>
      </c>
      <c r="T4" s="1">
        <v>2017</v>
      </c>
      <c r="U4" s="34">
        <v>3.7999999999999999E-2</v>
      </c>
    </row>
    <row r="5" spans="2:21" ht="15.95" customHeight="1">
      <c r="B5" s="189" t="str">
        <f t="shared" si="0"/>
        <v>Bajoriesgo12016</v>
      </c>
      <c r="C5" s="190" t="s">
        <v>4</v>
      </c>
      <c r="D5" s="190">
        <v>2016</v>
      </c>
      <c r="E5" s="191">
        <v>4.5000000000000012E-2</v>
      </c>
      <c r="G5" s="1" t="str">
        <f t="shared" si="3"/>
        <v>BAJORIESGO2016</v>
      </c>
      <c r="H5" s="32" t="s">
        <v>217</v>
      </c>
      <c r="I5" s="33">
        <v>2016</v>
      </c>
      <c r="J5" s="34">
        <v>3.9E-2</v>
      </c>
      <c r="L5" s="1" t="str">
        <f t="shared" si="1"/>
        <v>0.2BAJORIESGO2016</v>
      </c>
      <c r="M5" s="31">
        <v>0.2</v>
      </c>
      <c r="N5" s="32" t="s">
        <v>217</v>
      </c>
      <c r="O5" s="33">
        <v>2016</v>
      </c>
      <c r="P5" s="34">
        <v>3.7100000000000001E-2</v>
      </c>
      <c r="R5" s="1" t="str">
        <f t="shared" si="2"/>
        <v>BAJORIESGO12016</v>
      </c>
      <c r="S5" s="1" t="s">
        <v>80</v>
      </c>
      <c r="T5" s="1">
        <v>2016</v>
      </c>
      <c r="U5" s="34">
        <v>4.0500000000000001E-2</v>
      </c>
    </row>
    <row r="6" spans="2:21" ht="15.95" customHeight="1">
      <c r="B6" s="189" t="str">
        <f t="shared" si="0"/>
        <v>Bajoriesgo12015</v>
      </c>
      <c r="C6" s="190" t="s">
        <v>4</v>
      </c>
      <c r="D6" s="190">
        <v>2015</v>
      </c>
      <c r="E6" s="191">
        <v>4.7000000000000014E-2</v>
      </c>
      <c r="G6" s="1" t="str">
        <f t="shared" si="3"/>
        <v>BAJORIESGO2015</v>
      </c>
      <c r="H6" s="32" t="s">
        <v>217</v>
      </c>
      <c r="I6" s="33">
        <v>2015</v>
      </c>
      <c r="J6" s="34">
        <v>4.0999999999999995E-2</v>
      </c>
      <c r="L6" s="1" t="str">
        <f t="shared" si="1"/>
        <v>0.2BAJORIESGO2015</v>
      </c>
      <c r="M6" s="31">
        <v>0.2</v>
      </c>
      <c r="N6" s="32" t="s">
        <v>217</v>
      </c>
      <c r="O6" s="33">
        <v>2015</v>
      </c>
      <c r="P6" s="34">
        <v>3.8399999999999997E-2</v>
      </c>
      <c r="R6" s="1" t="str">
        <f t="shared" si="2"/>
        <v>BAJORIESGO12015</v>
      </c>
      <c r="S6" s="1" t="s">
        <v>80</v>
      </c>
      <c r="T6" s="1">
        <v>2015</v>
      </c>
      <c r="U6" s="34">
        <v>4.2999999999999997E-2</v>
      </c>
    </row>
    <row r="7" spans="2:21" ht="15.95" customHeight="1">
      <c r="B7" s="189" t="str">
        <f t="shared" si="0"/>
        <v>Bajoriesgo12014</v>
      </c>
      <c r="C7" s="190" t="s">
        <v>4</v>
      </c>
      <c r="D7" s="190">
        <v>2014</v>
      </c>
      <c r="E7" s="191">
        <v>4.9500000000000009E-2</v>
      </c>
      <c r="G7" s="1" t="str">
        <f t="shared" si="3"/>
        <v>BAJORIESGO2014</v>
      </c>
      <c r="H7" s="32" t="s">
        <v>217</v>
      </c>
      <c r="I7" s="33">
        <v>2014</v>
      </c>
      <c r="J7" s="34">
        <v>4.4000000000000004E-2</v>
      </c>
      <c r="L7" s="1" t="str">
        <f t="shared" si="1"/>
        <v>0.2BAJORIESGO2014</v>
      </c>
      <c r="M7" s="31">
        <v>0.2</v>
      </c>
      <c r="N7" s="32" t="s">
        <v>217</v>
      </c>
      <c r="O7" s="33">
        <v>2014</v>
      </c>
      <c r="P7" s="34">
        <v>4.0300000000000002E-2</v>
      </c>
      <c r="R7" s="1" t="str">
        <f t="shared" si="2"/>
        <v>BAJORIESGO12014</v>
      </c>
      <c r="S7" s="1" t="s">
        <v>80</v>
      </c>
      <c r="T7" s="1">
        <v>2014</v>
      </c>
      <c r="U7" s="34">
        <v>4.5999999999999999E-2</v>
      </c>
    </row>
    <row r="8" spans="2:21" ht="15.95" customHeight="1">
      <c r="B8" s="189" t="str">
        <f t="shared" si="0"/>
        <v>Bajoriesgo12013</v>
      </c>
      <c r="C8" s="190" t="s">
        <v>4</v>
      </c>
      <c r="D8" s="190">
        <v>2013</v>
      </c>
      <c r="E8" s="191">
        <v>5.2500000000000012E-2</v>
      </c>
      <c r="G8" s="1" t="str">
        <f t="shared" si="3"/>
        <v>BAJORIESGO2013</v>
      </c>
      <c r="H8" s="32" t="s">
        <v>217</v>
      </c>
      <c r="I8" s="33">
        <v>2013</v>
      </c>
      <c r="J8" s="34">
        <v>4.5999999999999999E-2</v>
      </c>
      <c r="L8" s="1" t="str">
        <f t="shared" si="1"/>
        <v>0.2BAJORIESGO2013</v>
      </c>
      <c r="M8" s="31">
        <v>0.2</v>
      </c>
      <c r="N8" s="32" t="s">
        <v>217</v>
      </c>
      <c r="O8" s="33">
        <v>2013</v>
      </c>
      <c r="P8" s="34">
        <v>4.2699999999999995E-2</v>
      </c>
      <c r="R8" s="1" t="str">
        <f t="shared" si="2"/>
        <v>BAJORIESGO12013</v>
      </c>
      <c r="S8" s="1" t="s">
        <v>80</v>
      </c>
      <c r="T8" s="1">
        <v>2013</v>
      </c>
      <c r="U8" s="34">
        <v>4.9000000000000002E-2</v>
      </c>
    </row>
    <row r="9" spans="2:21" ht="15.95" customHeight="1">
      <c r="B9" s="189" t="str">
        <f t="shared" si="0"/>
        <v>Bajoriesgo12012</v>
      </c>
      <c r="C9" s="190" t="s">
        <v>4</v>
      </c>
      <c r="D9" s="190">
        <v>2012</v>
      </c>
      <c r="E9" s="191">
        <v>5.5500000000000008E-2</v>
      </c>
      <c r="G9" s="1" t="str">
        <f t="shared" si="3"/>
        <v>BAJORIESGO2012</v>
      </c>
      <c r="H9" s="32" t="s">
        <v>217</v>
      </c>
      <c r="I9" s="33">
        <v>2012</v>
      </c>
      <c r="J9" s="34">
        <v>0.05</v>
      </c>
      <c r="L9" s="1" t="str">
        <f t="shared" si="1"/>
        <v>0.2BAJORIESGO2012</v>
      </c>
      <c r="M9" s="31">
        <v>0.2</v>
      </c>
      <c r="N9" s="32" t="s">
        <v>217</v>
      </c>
      <c r="O9" s="33">
        <v>2012</v>
      </c>
      <c r="P9" s="34">
        <v>4.4600000000000001E-2</v>
      </c>
      <c r="R9" s="1" t="str">
        <f t="shared" si="2"/>
        <v>BAJORIESGO12012</v>
      </c>
      <c r="S9" s="1" t="s">
        <v>80</v>
      </c>
      <c r="T9" s="1">
        <v>2012</v>
      </c>
      <c r="U9" s="34">
        <v>5.2999999999999999E-2</v>
      </c>
    </row>
    <row r="10" spans="2:21" ht="15.95" customHeight="1">
      <c r="B10" s="189" t="str">
        <f t="shared" si="0"/>
        <v>Bajoriesgo12011</v>
      </c>
      <c r="C10" s="190" t="s">
        <v>4</v>
      </c>
      <c r="D10" s="190">
        <v>2011</v>
      </c>
      <c r="E10" s="191">
        <v>5.8500000000000003E-2</v>
      </c>
      <c r="G10" s="1" t="str">
        <f t="shared" si="3"/>
        <v>BAJORIESGO2011</v>
      </c>
      <c r="H10" s="32" t="s">
        <v>217</v>
      </c>
      <c r="I10" s="33">
        <v>2011</v>
      </c>
      <c r="J10" s="34">
        <v>5.2999999999999999E-2</v>
      </c>
      <c r="L10" s="1" t="str">
        <f t="shared" si="1"/>
        <v>0.2BAJORIESGO2011</v>
      </c>
      <c r="M10" s="31">
        <v>0.2</v>
      </c>
      <c r="N10" s="32" t="s">
        <v>217</v>
      </c>
      <c r="O10" s="33">
        <v>2011</v>
      </c>
      <c r="P10" s="34">
        <v>4.6500000000000007E-2</v>
      </c>
      <c r="R10" s="1" t="str">
        <f t="shared" si="2"/>
        <v>BAJORIESGO12011</v>
      </c>
      <c r="S10" s="1" t="s">
        <v>80</v>
      </c>
      <c r="T10" s="1">
        <v>2011</v>
      </c>
      <c r="U10" s="34">
        <v>5.5999999999999994E-2</v>
      </c>
    </row>
    <row r="11" spans="2:21" ht="15.95" customHeight="1">
      <c r="B11" s="189" t="str">
        <f t="shared" si="0"/>
        <v>Bajoriesgo12010</v>
      </c>
      <c r="C11" s="190" t="s">
        <v>4</v>
      </c>
      <c r="D11" s="190">
        <v>2010</v>
      </c>
      <c r="E11" s="191">
        <v>6.1500000000000006E-2</v>
      </c>
      <c r="G11" s="1" t="str">
        <f t="shared" si="3"/>
        <v>BAJORIESGO2010</v>
      </c>
      <c r="H11" s="32" t="s">
        <v>217</v>
      </c>
      <c r="I11" s="33">
        <v>2010</v>
      </c>
      <c r="J11" s="34">
        <v>5.5999999999999994E-2</v>
      </c>
      <c r="L11" s="1" t="str">
        <f t="shared" si="1"/>
        <v>0.2BAJORIESGO2010</v>
      </c>
      <c r="M11" s="31">
        <v>0.2</v>
      </c>
      <c r="N11" s="32" t="s">
        <v>217</v>
      </c>
      <c r="O11" s="33">
        <v>2010</v>
      </c>
      <c r="P11" s="34">
        <v>4.7400000000000005E-2</v>
      </c>
      <c r="R11" s="1" t="str">
        <f t="shared" si="2"/>
        <v>BAJORIESGO12010</v>
      </c>
      <c r="S11" s="1" t="s">
        <v>80</v>
      </c>
      <c r="T11" s="1">
        <v>2010</v>
      </c>
      <c r="U11" s="34">
        <v>5.9000000000000004E-2</v>
      </c>
    </row>
    <row r="12" spans="2:21" ht="15.95" customHeight="1">
      <c r="B12" s="189" t="str">
        <f t="shared" si="0"/>
        <v>Bajoriesgo12009</v>
      </c>
      <c r="C12" s="190" t="s">
        <v>4</v>
      </c>
      <c r="D12" s="190">
        <v>2009</v>
      </c>
      <c r="E12" s="191">
        <v>6.5500000000000003E-2</v>
      </c>
      <c r="G12" s="1" t="str">
        <f t="shared" si="3"/>
        <v>BAJORIESGO2009</v>
      </c>
      <c r="H12" s="32" t="s">
        <v>217</v>
      </c>
      <c r="I12" s="33">
        <v>2009</v>
      </c>
      <c r="J12" s="34">
        <v>0.06</v>
      </c>
      <c r="L12" s="1" t="str">
        <f t="shared" si="1"/>
        <v>0.2BAJORIESGO2009</v>
      </c>
      <c r="M12" s="31">
        <v>0.2</v>
      </c>
      <c r="N12" s="32" t="s">
        <v>217</v>
      </c>
      <c r="O12" s="33">
        <v>2009</v>
      </c>
      <c r="P12" s="34">
        <v>4.9000000000000002E-2</v>
      </c>
      <c r="R12" s="1" t="str">
        <f t="shared" si="2"/>
        <v>BAJORIESGO12009</v>
      </c>
      <c r="S12" s="1" t="s">
        <v>80</v>
      </c>
      <c r="T12" s="1">
        <v>2009</v>
      </c>
      <c r="U12" s="34">
        <v>6.3E-2</v>
      </c>
    </row>
    <row r="13" spans="2:21" ht="15.95" customHeight="1">
      <c r="B13" s="189" t="str">
        <f t="shared" si="0"/>
        <v>Bajoriesgo12008</v>
      </c>
      <c r="C13" s="190" t="s">
        <v>4</v>
      </c>
      <c r="D13" s="190">
        <v>2008</v>
      </c>
      <c r="E13" s="191">
        <v>6.8500000000000005E-2</v>
      </c>
      <c r="G13" s="1" t="str">
        <f t="shared" si="3"/>
        <v>BAJORIESGO2008</v>
      </c>
      <c r="H13" s="32" t="s">
        <v>217</v>
      </c>
      <c r="I13" s="33">
        <v>2008</v>
      </c>
      <c r="J13" s="34">
        <v>6.4000000000000001E-2</v>
      </c>
      <c r="L13" s="1" t="str">
        <f t="shared" si="1"/>
        <v>0.2BAJORIESGO2008</v>
      </c>
      <c r="M13" s="31">
        <v>0.2</v>
      </c>
      <c r="N13" s="32" t="s">
        <v>217</v>
      </c>
      <c r="O13" s="33">
        <v>2008</v>
      </c>
      <c r="P13" s="34">
        <v>5.0300000000000004E-2</v>
      </c>
      <c r="R13" s="1" t="str">
        <f t="shared" si="2"/>
        <v>BAJORIESGO12008</v>
      </c>
      <c r="S13" s="1" t="s">
        <v>80</v>
      </c>
      <c r="T13" s="1">
        <v>2008</v>
      </c>
      <c r="U13" s="34">
        <v>6.6000000000000003E-2</v>
      </c>
    </row>
    <row r="14" spans="2:21" ht="15.95" customHeight="1">
      <c r="B14" s="189" t="str">
        <f t="shared" si="0"/>
        <v>Bajoriesgo12007</v>
      </c>
      <c r="C14" s="190" t="s">
        <v>4</v>
      </c>
      <c r="D14" s="190">
        <v>2007</v>
      </c>
      <c r="E14" s="191">
        <v>7.1500000000000008E-2</v>
      </c>
      <c r="G14" s="1" t="str">
        <f t="shared" si="3"/>
        <v>BAJORIESGO2007</v>
      </c>
      <c r="H14" s="32" t="s">
        <v>217</v>
      </c>
      <c r="I14" s="33">
        <v>2007</v>
      </c>
      <c r="J14" s="34">
        <v>6.7000000000000004E-2</v>
      </c>
      <c r="L14" s="1" t="str">
        <f t="shared" si="1"/>
        <v>0.2BAJORIESGO2007</v>
      </c>
      <c r="M14" s="31">
        <v>0.2</v>
      </c>
      <c r="N14" s="32" t="s">
        <v>217</v>
      </c>
      <c r="O14" s="33">
        <v>2007</v>
      </c>
      <c r="P14" s="34">
        <v>5.1200000000000002E-2</v>
      </c>
      <c r="R14" s="1" t="str">
        <f t="shared" si="2"/>
        <v>BAJORIESGO12007</v>
      </c>
      <c r="S14" s="1" t="s">
        <v>80</v>
      </c>
      <c r="T14" s="1">
        <v>2007</v>
      </c>
      <c r="U14" s="34">
        <v>7.0000000000000007E-2</v>
      </c>
    </row>
    <row r="15" spans="2:21" ht="15.95" customHeight="1">
      <c r="B15" s="189" t="str">
        <f t="shared" si="0"/>
        <v>Bajoriesgo12006</v>
      </c>
      <c r="C15" s="190" t="s">
        <v>4</v>
      </c>
      <c r="D15" s="190">
        <v>2006</v>
      </c>
      <c r="E15" s="191">
        <v>7.1500000000000008E-2</v>
      </c>
      <c r="G15" s="1" t="str">
        <f t="shared" si="3"/>
        <v>BAJORIESGO2006</v>
      </c>
      <c r="H15" s="32" t="s">
        <v>217</v>
      </c>
      <c r="I15" s="33">
        <v>2006</v>
      </c>
      <c r="J15" s="34">
        <v>6.8000000000000005E-2</v>
      </c>
      <c r="L15" s="1" t="str">
        <f t="shared" si="1"/>
        <v>0.2BAJORIESGO2006</v>
      </c>
      <c r="M15" s="31">
        <v>0.2</v>
      </c>
      <c r="N15" s="32" t="s">
        <v>217</v>
      </c>
      <c r="O15" s="33">
        <v>2006</v>
      </c>
      <c r="P15" s="34">
        <v>5.2199999999999996E-2</v>
      </c>
      <c r="R15" s="1" t="str">
        <f t="shared" si="2"/>
        <v>BAJORIESGO12006</v>
      </c>
      <c r="S15" s="1" t="s">
        <v>80</v>
      </c>
      <c r="T15" s="1">
        <v>2006</v>
      </c>
      <c r="U15" s="34">
        <v>7.0000000000000007E-2</v>
      </c>
    </row>
    <row r="16" spans="2:21" ht="15.95" customHeight="1">
      <c r="B16" s="189" t="str">
        <f t="shared" si="0"/>
        <v>Bajoriesgo12005</v>
      </c>
      <c r="C16" s="190" t="s">
        <v>4</v>
      </c>
      <c r="D16" s="190">
        <v>2005</v>
      </c>
      <c r="E16" s="191">
        <v>7.1500000000000008E-2</v>
      </c>
      <c r="G16" s="1" t="str">
        <f t="shared" si="3"/>
        <v>BAJORIESGO2005</v>
      </c>
      <c r="H16" s="32" t="s">
        <v>217</v>
      </c>
      <c r="I16" s="33">
        <v>2005</v>
      </c>
      <c r="J16" s="34">
        <v>6.8000000000000005E-2</v>
      </c>
      <c r="L16" s="1" t="str">
        <f t="shared" si="1"/>
        <v>0.2BAJORIESGO2005</v>
      </c>
      <c r="M16" s="31">
        <v>0.2</v>
      </c>
      <c r="N16" s="32" t="s">
        <v>217</v>
      </c>
      <c r="O16" s="33">
        <v>2005</v>
      </c>
      <c r="P16" s="34">
        <v>5.2199999999999996E-2</v>
      </c>
      <c r="R16" s="1" t="str">
        <f t="shared" si="2"/>
        <v>BAJORIESGO12005</v>
      </c>
      <c r="S16" s="1" t="s">
        <v>80</v>
      </c>
      <c r="T16" s="1">
        <v>2005</v>
      </c>
      <c r="U16" s="34">
        <v>7.0000000000000007E-2</v>
      </c>
    </row>
    <row r="17" spans="2:21" ht="15.95" customHeight="1">
      <c r="B17" s="189" t="str">
        <f t="shared" si="0"/>
        <v>Bajoriesgo12004</v>
      </c>
      <c r="C17" s="190" t="s">
        <v>4</v>
      </c>
      <c r="D17" s="190">
        <v>2004</v>
      </c>
      <c r="E17" s="191">
        <v>7.1500000000000008E-2</v>
      </c>
      <c r="G17" s="1" t="str">
        <f t="shared" si="3"/>
        <v>BAJORIESGO2004</v>
      </c>
      <c r="H17" s="32" t="s">
        <v>217</v>
      </c>
      <c r="I17" s="33">
        <v>2004</v>
      </c>
      <c r="J17" s="34">
        <v>6.8000000000000005E-2</v>
      </c>
      <c r="L17" s="1" t="str">
        <f t="shared" si="1"/>
        <v>0.2BAJORIESGO2004</v>
      </c>
      <c r="M17" s="31">
        <v>0.2</v>
      </c>
      <c r="N17" s="32" t="s">
        <v>217</v>
      </c>
      <c r="O17" s="33">
        <v>2004</v>
      </c>
      <c r="P17" s="34">
        <v>5.2199999999999996E-2</v>
      </c>
      <c r="R17" s="1" t="str">
        <f t="shared" si="2"/>
        <v>BAJORIESGO12004</v>
      </c>
      <c r="S17" s="1" t="s">
        <v>80</v>
      </c>
      <c r="T17" s="1">
        <v>2004</v>
      </c>
      <c r="U17" s="34">
        <v>7.0000000000000007E-2</v>
      </c>
    </row>
    <row r="18" spans="2:21" ht="15.95" customHeight="1">
      <c r="B18" s="189" t="str">
        <f t="shared" si="0"/>
        <v>Bajoriesgo12003</v>
      </c>
      <c r="C18" s="190" t="s">
        <v>4</v>
      </c>
      <c r="D18" s="190">
        <v>2003</v>
      </c>
      <c r="E18" s="191">
        <v>7.1500000000000008E-2</v>
      </c>
      <c r="G18" s="1" t="str">
        <f t="shared" si="3"/>
        <v>BAJORIESGO2003</v>
      </c>
      <c r="H18" s="32" t="s">
        <v>217</v>
      </c>
      <c r="I18" s="33">
        <v>2003</v>
      </c>
      <c r="J18" s="34">
        <v>6.8000000000000005E-2</v>
      </c>
      <c r="L18" s="1" t="str">
        <f t="shared" si="1"/>
        <v>0.2BAJORIESGO2003</v>
      </c>
      <c r="M18" s="31">
        <v>0.2</v>
      </c>
      <c r="N18" s="32" t="s">
        <v>217</v>
      </c>
      <c r="O18" s="33">
        <v>2003</v>
      </c>
      <c r="P18" s="34">
        <v>5.2199999999999996E-2</v>
      </c>
      <c r="R18" s="1" t="str">
        <f t="shared" si="2"/>
        <v>BAJORIESGO12003</v>
      </c>
      <c r="S18" s="1" t="s">
        <v>80</v>
      </c>
      <c r="T18" s="1">
        <v>2003</v>
      </c>
      <c r="U18" s="34">
        <v>7.0000000000000007E-2</v>
      </c>
    </row>
    <row r="19" spans="2:21" ht="15.95" customHeight="1">
      <c r="B19" s="189" t="str">
        <f t="shared" si="0"/>
        <v>Bajoriesgo12002</v>
      </c>
      <c r="C19" s="190" t="s">
        <v>4</v>
      </c>
      <c r="D19" s="190">
        <v>2002</v>
      </c>
      <c r="E19" s="191">
        <v>7.1500000000000008E-2</v>
      </c>
      <c r="G19" s="1" t="str">
        <f t="shared" si="3"/>
        <v>BAJORIESGO2002</v>
      </c>
      <c r="H19" s="32" t="s">
        <v>217</v>
      </c>
      <c r="I19" s="33">
        <v>2002</v>
      </c>
      <c r="J19" s="34">
        <v>6.8000000000000005E-2</v>
      </c>
      <c r="L19" s="1" t="str">
        <f t="shared" si="1"/>
        <v>0.2BAJORIESGO2002</v>
      </c>
      <c r="M19" s="31">
        <v>0.2</v>
      </c>
      <c r="N19" s="32" t="s">
        <v>217</v>
      </c>
      <c r="O19" s="33">
        <v>2002</v>
      </c>
      <c r="P19" s="34">
        <v>5.2199999999999996E-2</v>
      </c>
      <c r="R19" s="1" t="str">
        <f t="shared" si="2"/>
        <v>BAJORIESGO12002</v>
      </c>
      <c r="S19" s="1" t="s">
        <v>80</v>
      </c>
      <c r="T19" s="1">
        <v>2002</v>
      </c>
      <c r="U19" s="34">
        <v>7.0000000000000007E-2</v>
      </c>
    </row>
    <row r="20" spans="2:21" ht="15.95" customHeight="1">
      <c r="B20" s="189" t="str">
        <f t="shared" si="0"/>
        <v>Bajoriesgo12001</v>
      </c>
      <c r="C20" s="190" t="s">
        <v>4</v>
      </c>
      <c r="D20" s="190">
        <v>2001</v>
      </c>
      <c r="E20" s="191">
        <v>7.1500000000000008E-2</v>
      </c>
      <c r="G20" s="1" t="str">
        <f t="shared" si="3"/>
        <v>BAJORIESGO2001</v>
      </c>
      <c r="H20" s="32" t="s">
        <v>217</v>
      </c>
      <c r="I20" s="33">
        <v>2001</v>
      </c>
      <c r="J20" s="34">
        <v>6.8000000000000005E-2</v>
      </c>
      <c r="L20" s="1" t="str">
        <f t="shared" si="1"/>
        <v>0.2BAJORIESGO2001</v>
      </c>
      <c r="M20" s="31">
        <v>0.2</v>
      </c>
      <c r="N20" s="32" t="s">
        <v>217</v>
      </c>
      <c r="O20" s="33">
        <v>2001</v>
      </c>
      <c r="P20" s="34">
        <v>5.2199999999999996E-2</v>
      </c>
      <c r="R20" s="1" t="str">
        <f t="shared" si="2"/>
        <v>BAJORIESGO12001</v>
      </c>
      <c r="S20" s="1" t="s">
        <v>80</v>
      </c>
      <c r="T20" s="1">
        <v>2001</v>
      </c>
      <c r="U20" s="34">
        <v>7.0000000000000007E-2</v>
      </c>
    </row>
    <row r="21" spans="2:21" ht="15.95" customHeight="1">
      <c r="B21" s="189" t="str">
        <f t="shared" si="0"/>
        <v>Bajoriesgo12000</v>
      </c>
      <c r="C21" s="190" t="s">
        <v>4</v>
      </c>
      <c r="D21" s="190">
        <v>2000</v>
      </c>
      <c r="E21" s="191">
        <v>7.1500000000000008E-2</v>
      </c>
      <c r="G21" s="1" t="str">
        <f t="shared" si="3"/>
        <v>BAJORIESGO2000</v>
      </c>
      <c r="H21" s="32" t="s">
        <v>217</v>
      </c>
      <c r="I21" s="33">
        <v>2000</v>
      </c>
      <c r="J21" s="34">
        <v>6.8000000000000005E-2</v>
      </c>
      <c r="L21" s="1" t="str">
        <f t="shared" si="1"/>
        <v>0.2BAJORIESGO2000</v>
      </c>
      <c r="M21" s="31">
        <v>0.2</v>
      </c>
      <c r="N21" s="32" t="s">
        <v>217</v>
      </c>
      <c r="O21" s="33">
        <v>2000</v>
      </c>
      <c r="P21" s="34">
        <v>5.2199999999999996E-2</v>
      </c>
      <c r="R21" s="1" t="str">
        <f t="shared" si="2"/>
        <v>BAJORIESGO12000</v>
      </c>
      <c r="S21" s="1" t="s">
        <v>80</v>
      </c>
      <c r="T21" s="1">
        <v>2000</v>
      </c>
      <c r="U21" s="34">
        <v>7.0000000000000007E-2</v>
      </c>
    </row>
    <row r="22" spans="2:21" ht="15.95" customHeight="1">
      <c r="B22" s="189" t="str">
        <f t="shared" si="0"/>
        <v>Bajoriesgo22018</v>
      </c>
      <c r="C22" s="296" t="s">
        <v>8</v>
      </c>
      <c r="D22" s="296">
        <v>2018</v>
      </c>
      <c r="E22" s="31">
        <v>3.6000000000000004E-2</v>
      </c>
      <c r="G22" s="1" t="str">
        <f t="shared" si="3"/>
        <v>MEDIANORIESGO2018</v>
      </c>
      <c r="H22" s="32" t="s">
        <v>127</v>
      </c>
      <c r="I22" s="33">
        <v>2018</v>
      </c>
      <c r="J22" s="34">
        <v>4.1500000000000002E-2</v>
      </c>
      <c r="L22" s="1" t="str">
        <f t="shared" si="1"/>
        <v>0.2MEDIANORIESGO2018</v>
      </c>
      <c r="M22" s="31">
        <v>0.2</v>
      </c>
      <c r="N22" s="32" t="s">
        <v>127</v>
      </c>
      <c r="O22" s="33">
        <v>2018</v>
      </c>
      <c r="P22" s="34">
        <v>3.5900000000000001E-2</v>
      </c>
      <c r="R22" s="1" t="str">
        <f t="shared" si="2"/>
        <v>BAJORIESGO22018</v>
      </c>
      <c r="S22" s="1" t="s">
        <v>87</v>
      </c>
      <c r="T22" s="1">
        <v>2018</v>
      </c>
      <c r="U22" s="34">
        <v>4.2000000000000003E-2</v>
      </c>
    </row>
    <row r="23" spans="2:21" ht="15.95" customHeight="1">
      <c r="B23" s="189" t="str">
        <f t="shared" si="0"/>
        <v>Bajoriesgo22017</v>
      </c>
      <c r="C23" s="296" t="s">
        <v>8</v>
      </c>
      <c r="D23" s="296">
        <v>2017</v>
      </c>
      <c r="E23" s="31">
        <v>3.7500000000000006E-2</v>
      </c>
      <c r="G23" s="1" t="str">
        <f t="shared" si="3"/>
        <v>MEDIANORIESGO2017</v>
      </c>
      <c r="H23" s="32" t="s">
        <v>127</v>
      </c>
      <c r="I23" s="33">
        <v>2017</v>
      </c>
      <c r="J23" s="34">
        <v>4.1500000000000002E-2</v>
      </c>
      <c r="L23" s="1" t="str">
        <f t="shared" si="1"/>
        <v>0.2MEDIANORIESGO2017</v>
      </c>
      <c r="M23" s="31">
        <v>0.2</v>
      </c>
      <c r="N23" s="32" t="s">
        <v>127</v>
      </c>
      <c r="O23" s="33">
        <v>2017</v>
      </c>
      <c r="P23" s="34">
        <v>3.8399999999999997E-2</v>
      </c>
      <c r="R23" s="1" t="str">
        <f t="shared" si="2"/>
        <v>BAJORIESGO22017</v>
      </c>
      <c r="S23" s="1" t="s">
        <v>87</v>
      </c>
      <c r="T23" s="1">
        <v>2017</v>
      </c>
      <c r="U23" s="34">
        <v>4.4000000000000004E-2</v>
      </c>
    </row>
    <row r="24" spans="2:21" ht="15.95" customHeight="1">
      <c r="B24" s="189" t="str">
        <f t="shared" si="0"/>
        <v>Bajoriesgo2NUEVO 2017</v>
      </c>
      <c r="C24" s="296" t="s">
        <v>8</v>
      </c>
      <c r="D24" s="296" t="s">
        <v>678</v>
      </c>
      <c r="E24" s="31">
        <v>3.5999999999999997E-2</v>
      </c>
      <c r="G24" s="1" t="str">
        <f t="shared" si="3"/>
        <v>MEDIANORIESGONUEVO 2017</v>
      </c>
      <c r="H24" s="32" t="s">
        <v>127</v>
      </c>
      <c r="I24" s="33" t="s">
        <v>678</v>
      </c>
      <c r="J24" s="34">
        <v>4.1500000000000002E-2</v>
      </c>
      <c r="L24" s="1" t="str">
        <f t="shared" si="1"/>
        <v>0.2MEDIANORIESGONUEVO 2017</v>
      </c>
      <c r="M24" s="31">
        <v>0.2</v>
      </c>
      <c r="N24" s="32" t="s">
        <v>127</v>
      </c>
      <c r="O24" s="33" t="s">
        <v>678</v>
      </c>
      <c r="P24" s="34">
        <v>3.5900000000000001E-2</v>
      </c>
      <c r="R24" s="1" t="str">
        <f t="shared" si="2"/>
        <v>BAJORIESGO2NUEVO 2017</v>
      </c>
      <c r="S24" s="1" t="s">
        <v>87</v>
      </c>
      <c r="T24" s="1" t="s">
        <v>678</v>
      </c>
      <c r="U24" s="34">
        <v>4.3999999999999997E-2</v>
      </c>
    </row>
    <row r="25" spans="2:21" ht="15.95" customHeight="1">
      <c r="B25" s="189" t="str">
        <f t="shared" si="0"/>
        <v>Bajoriesgo22016</v>
      </c>
      <c r="C25" s="296" t="s">
        <v>8</v>
      </c>
      <c r="D25" s="296">
        <v>2016</v>
      </c>
      <c r="E25" s="31">
        <v>3.9000000000000007E-2</v>
      </c>
      <c r="G25" s="1" t="str">
        <f t="shared" si="3"/>
        <v>MEDIANORIESGO2016</v>
      </c>
      <c r="H25" s="32" t="s">
        <v>127</v>
      </c>
      <c r="I25" s="33">
        <v>2016</v>
      </c>
      <c r="J25" s="34">
        <v>4.3499999999999997E-2</v>
      </c>
      <c r="L25" s="1" t="str">
        <f t="shared" si="1"/>
        <v>0.2MEDIANORIESGO2016</v>
      </c>
      <c r="M25" s="31">
        <v>0.2</v>
      </c>
      <c r="N25" s="32" t="s">
        <v>127</v>
      </c>
      <c r="O25" s="33">
        <v>2016</v>
      </c>
      <c r="P25" s="34">
        <v>4.0300000000000002E-2</v>
      </c>
      <c r="R25" s="1" t="str">
        <f t="shared" si="2"/>
        <v>BAJORIESGO22016</v>
      </c>
      <c r="S25" s="1" t="s">
        <v>87</v>
      </c>
      <c r="T25" s="1">
        <v>2016</v>
      </c>
      <c r="U25" s="34">
        <v>4.6500000000000007E-2</v>
      </c>
    </row>
    <row r="26" spans="2:21" ht="15.95" customHeight="1">
      <c r="B26" s="189" t="str">
        <f t="shared" si="0"/>
        <v>Bajoriesgo22015</v>
      </c>
      <c r="C26" s="296" t="s">
        <v>8</v>
      </c>
      <c r="D26" s="296">
        <v>2015</v>
      </c>
      <c r="E26" s="31">
        <v>4.1000000000000009E-2</v>
      </c>
      <c r="G26" s="1" t="str">
        <f t="shared" si="3"/>
        <v>MEDIANORIESGO2015</v>
      </c>
      <c r="H26" s="32" t="s">
        <v>127</v>
      </c>
      <c r="I26" s="33">
        <v>2015</v>
      </c>
      <c r="J26" s="34">
        <v>4.5499999999999999E-2</v>
      </c>
      <c r="L26" s="1" t="str">
        <f t="shared" si="1"/>
        <v>0.2MEDIANORIESGO2015</v>
      </c>
      <c r="M26" s="31">
        <v>0.2</v>
      </c>
      <c r="N26" s="32" t="s">
        <v>127</v>
      </c>
      <c r="O26" s="33">
        <v>2015</v>
      </c>
      <c r="P26" s="34">
        <v>4.2699999999999995E-2</v>
      </c>
      <c r="R26" s="1" t="str">
        <f t="shared" si="2"/>
        <v>BAJORIESGO22015</v>
      </c>
      <c r="S26" s="1" t="s">
        <v>87</v>
      </c>
      <c r="T26" s="1">
        <v>2015</v>
      </c>
      <c r="U26" s="34">
        <v>4.9000000000000002E-2</v>
      </c>
    </row>
    <row r="27" spans="2:21" ht="15.95" customHeight="1">
      <c r="B27" s="189" t="str">
        <f t="shared" si="0"/>
        <v>Bajoriesgo22014</v>
      </c>
      <c r="C27" s="296" t="s">
        <v>8</v>
      </c>
      <c r="D27" s="296">
        <v>2014</v>
      </c>
      <c r="E27" s="31">
        <v>4.3500000000000004E-2</v>
      </c>
      <c r="G27" s="1" t="str">
        <f t="shared" si="3"/>
        <v>MEDIANORIESGO2014</v>
      </c>
      <c r="H27" s="32" t="s">
        <v>127</v>
      </c>
      <c r="I27" s="33">
        <v>2014</v>
      </c>
      <c r="J27" s="34">
        <v>4.8000000000000001E-2</v>
      </c>
      <c r="L27" s="1" t="str">
        <f t="shared" si="1"/>
        <v>0.2MEDIANORIESGO2014</v>
      </c>
      <c r="M27" s="31">
        <v>0.2</v>
      </c>
      <c r="N27" s="32" t="s">
        <v>127</v>
      </c>
      <c r="O27" s="33">
        <v>2014</v>
      </c>
      <c r="P27" s="34">
        <v>4.4600000000000001E-2</v>
      </c>
      <c r="R27" s="1" t="str">
        <f t="shared" si="2"/>
        <v>BAJORIESGO22014</v>
      </c>
      <c r="S27" s="1" t="s">
        <v>87</v>
      </c>
      <c r="T27" s="1">
        <v>2014</v>
      </c>
      <c r="U27" s="34">
        <v>5.2000000000000005E-2</v>
      </c>
    </row>
    <row r="28" spans="2:21" ht="15.95" customHeight="1">
      <c r="B28" s="189" t="str">
        <f t="shared" si="0"/>
        <v>Bajoriesgo22013</v>
      </c>
      <c r="C28" s="296" t="s">
        <v>8</v>
      </c>
      <c r="D28" s="296">
        <v>2013</v>
      </c>
      <c r="E28" s="31">
        <v>4.6499999999999993E-2</v>
      </c>
      <c r="G28" s="1" t="str">
        <f t="shared" si="3"/>
        <v>MEDIANORIESGO2013</v>
      </c>
      <c r="H28" s="32" t="s">
        <v>127</v>
      </c>
      <c r="I28" s="33">
        <v>2013</v>
      </c>
      <c r="J28" s="34">
        <v>0.05</v>
      </c>
      <c r="L28" s="1" t="str">
        <f t="shared" si="1"/>
        <v>0.2MEDIANORIESGO2013</v>
      </c>
      <c r="M28" s="31">
        <v>0.2</v>
      </c>
      <c r="N28" s="32" t="s">
        <v>127</v>
      </c>
      <c r="O28" s="33">
        <v>2013</v>
      </c>
      <c r="P28" s="34">
        <v>4.6500000000000007E-2</v>
      </c>
      <c r="R28" s="1" t="str">
        <f t="shared" si="2"/>
        <v>BAJORIESGO22013</v>
      </c>
      <c r="S28" s="1" t="s">
        <v>87</v>
      </c>
      <c r="T28" s="1">
        <v>2013</v>
      </c>
      <c r="U28" s="34">
        <v>5.5E-2</v>
      </c>
    </row>
    <row r="29" spans="2:21" ht="15.95" customHeight="1">
      <c r="B29" s="189" t="str">
        <f t="shared" si="0"/>
        <v>Bajoriesgo22012</v>
      </c>
      <c r="C29" s="296" t="s">
        <v>8</v>
      </c>
      <c r="D29" s="296">
        <v>2012</v>
      </c>
      <c r="E29" s="31">
        <v>4.9499999999999995E-2</v>
      </c>
      <c r="G29" s="1" t="str">
        <f t="shared" si="3"/>
        <v>MEDIANORIESGO2012</v>
      </c>
      <c r="H29" s="32" t="s">
        <v>127</v>
      </c>
      <c r="I29" s="33">
        <v>2012</v>
      </c>
      <c r="J29" s="34">
        <v>5.2999999999999999E-2</v>
      </c>
      <c r="L29" s="1" t="str">
        <f t="shared" si="1"/>
        <v>0.2MEDIANORIESGO2012</v>
      </c>
      <c r="M29" s="31">
        <v>0.2</v>
      </c>
      <c r="N29" s="32" t="s">
        <v>127</v>
      </c>
      <c r="O29" s="33">
        <v>2012</v>
      </c>
      <c r="P29" s="34">
        <v>4.8799999999999996E-2</v>
      </c>
      <c r="R29" s="1" t="str">
        <f t="shared" si="2"/>
        <v>BAJORIESGO22012</v>
      </c>
      <c r="S29" s="1" t="s">
        <v>87</v>
      </c>
      <c r="T29" s="1">
        <v>2012</v>
      </c>
      <c r="U29" s="34">
        <v>5.9000000000000004E-2</v>
      </c>
    </row>
    <row r="30" spans="2:21" ht="15.95" customHeight="1">
      <c r="B30" s="189" t="str">
        <f t="shared" si="0"/>
        <v>Bajoriesgo22011</v>
      </c>
      <c r="C30" s="296" t="s">
        <v>8</v>
      </c>
      <c r="D30" s="296">
        <v>2011</v>
      </c>
      <c r="E30" s="31">
        <v>5.2499999999999991E-2</v>
      </c>
      <c r="G30" s="1" t="str">
        <f t="shared" si="3"/>
        <v>MEDIANORIESGO2011</v>
      </c>
      <c r="H30" s="32" t="s">
        <v>127</v>
      </c>
      <c r="I30" s="33">
        <v>2011</v>
      </c>
      <c r="J30" s="34">
        <v>5.6500000000000002E-2</v>
      </c>
      <c r="L30" s="1" t="str">
        <f t="shared" si="1"/>
        <v>0.2MEDIANORIESGO2011</v>
      </c>
      <c r="M30" s="31">
        <v>0.2</v>
      </c>
      <c r="N30" s="32" t="s">
        <v>127</v>
      </c>
      <c r="O30" s="33">
        <v>2011</v>
      </c>
      <c r="P30" s="34">
        <v>5.0599999999999999E-2</v>
      </c>
      <c r="R30" s="1" t="str">
        <f t="shared" si="2"/>
        <v>BAJORIESGO22011</v>
      </c>
      <c r="S30" s="1" t="s">
        <v>87</v>
      </c>
      <c r="T30" s="1">
        <v>2011</v>
      </c>
      <c r="U30" s="34">
        <v>6.2E-2</v>
      </c>
    </row>
    <row r="31" spans="2:21" ht="15.95" customHeight="1">
      <c r="B31" s="189" t="str">
        <f t="shared" si="0"/>
        <v>Bajoriesgo22010</v>
      </c>
      <c r="C31" s="296" t="s">
        <v>8</v>
      </c>
      <c r="D31" s="296">
        <v>2010</v>
      </c>
      <c r="E31" s="31">
        <v>5.5499999999999987E-2</v>
      </c>
      <c r="G31" s="1" t="str">
        <f t="shared" si="3"/>
        <v>MEDIANORIESGO2010</v>
      </c>
      <c r="H31" s="32" t="s">
        <v>127</v>
      </c>
      <c r="I31" s="33">
        <v>2010</v>
      </c>
      <c r="J31" s="34">
        <v>0.06</v>
      </c>
      <c r="L31" s="1" t="str">
        <f t="shared" si="1"/>
        <v>0.2MEDIANORIESGO2010</v>
      </c>
      <c r="M31" s="31">
        <v>0.2</v>
      </c>
      <c r="N31" s="32" t="s">
        <v>127</v>
      </c>
      <c r="O31" s="33">
        <v>2010</v>
      </c>
      <c r="P31" s="34">
        <v>5.28E-2</v>
      </c>
      <c r="R31" s="1" t="str">
        <f t="shared" si="2"/>
        <v>BAJORIESGO22010</v>
      </c>
      <c r="S31" s="1" t="s">
        <v>87</v>
      </c>
      <c r="T31" s="1">
        <v>2010</v>
      </c>
      <c r="U31" s="34">
        <v>6.5000000000000002E-2</v>
      </c>
    </row>
    <row r="32" spans="2:21" ht="15.95" customHeight="1">
      <c r="B32" s="189" t="str">
        <f t="shared" si="0"/>
        <v>Bajoriesgo22009</v>
      </c>
      <c r="C32" s="296" t="s">
        <v>8</v>
      </c>
      <c r="D32" s="296">
        <v>2009</v>
      </c>
      <c r="E32" s="31">
        <v>5.949999999999999E-2</v>
      </c>
      <c r="G32" s="1" t="str">
        <f t="shared" si="3"/>
        <v>MEDIANORIESGO2009</v>
      </c>
      <c r="H32" s="32" t="s">
        <v>127</v>
      </c>
      <c r="I32" s="33">
        <v>2009</v>
      </c>
      <c r="J32" s="34">
        <v>6.4000000000000001E-2</v>
      </c>
      <c r="L32" s="1" t="str">
        <f t="shared" si="1"/>
        <v>0.2MEDIANORIESGO2009</v>
      </c>
      <c r="M32" s="31">
        <v>0.2</v>
      </c>
      <c r="N32" s="32" t="s">
        <v>127</v>
      </c>
      <c r="O32" s="33">
        <v>2009</v>
      </c>
      <c r="P32" s="34">
        <v>5.4600000000000003E-2</v>
      </c>
      <c r="R32" s="1" t="str">
        <f t="shared" si="2"/>
        <v>BAJORIESGO22009</v>
      </c>
      <c r="S32" s="1" t="s">
        <v>87</v>
      </c>
      <c r="T32" s="1">
        <v>2009</v>
      </c>
      <c r="U32" s="34">
        <v>6.9000000000000006E-2</v>
      </c>
    </row>
    <row r="33" spans="2:21" ht="15.95" customHeight="1">
      <c r="B33" s="189" t="str">
        <f t="shared" si="0"/>
        <v>Bajoriesgo22008</v>
      </c>
      <c r="C33" s="296" t="s">
        <v>8</v>
      </c>
      <c r="D33" s="296">
        <v>2008</v>
      </c>
      <c r="E33" s="31">
        <v>6.2499999999999993E-2</v>
      </c>
      <c r="G33" s="1" t="str">
        <f t="shared" si="3"/>
        <v>MEDIANORIESGO2008</v>
      </c>
      <c r="H33" s="32" t="s">
        <v>127</v>
      </c>
      <c r="I33" s="33">
        <v>2008</v>
      </c>
      <c r="J33" s="34">
        <v>6.8000000000000005E-2</v>
      </c>
      <c r="L33" s="1" t="str">
        <f t="shared" si="1"/>
        <v>0.2MEDIANORIESGO2008</v>
      </c>
      <c r="M33" s="31">
        <v>0.2</v>
      </c>
      <c r="N33" s="32" t="s">
        <v>127</v>
      </c>
      <c r="O33" s="33">
        <v>2008</v>
      </c>
      <c r="P33" s="34">
        <v>5.6600000000000004E-2</v>
      </c>
      <c r="R33" s="1" t="str">
        <f t="shared" si="2"/>
        <v>BAJORIESGO22008</v>
      </c>
      <c r="S33" s="1" t="s">
        <v>87</v>
      </c>
      <c r="T33" s="1">
        <v>2008</v>
      </c>
      <c r="U33" s="34">
        <v>7.2000000000000008E-2</v>
      </c>
    </row>
    <row r="34" spans="2:21" ht="15.95" customHeight="1">
      <c r="B34" s="189" t="str">
        <f t="shared" si="0"/>
        <v>Bajoriesgo22007</v>
      </c>
      <c r="C34" s="296" t="s">
        <v>8</v>
      </c>
      <c r="D34" s="296">
        <v>2007</v>
      </c>
      <c r="E34" s="31">
        <v>6.5500000000000003E-2</v>
      </c>
      <c r="G34" s="1" t="str">
        <f t="shared" si="3"/>
        <v>MEDIANORIESGO2007</v>
      </c>
      <c r="H34" s="32" t="s">
        <v>127</v>
      </c>
      <c r="I34" s="33">
        <v>2007</v>
      </c>
      <c r="J34" s="34">
        <v>7.0999999999999994E-2</v>
      </c>
      <c r="L34" s="1" t="str">
        <f t="shared" si="1"/>
        <v>0.2MEDIANORIESGO2007</v>
      </c>
      <c r="M34" s="31">
        <v>0.2</v>
      </c>
      <c r="N34" s="32" t="s">
        <v>127</v>
      </c>
      <c r="O34" s="33">
        <v>2007</v>
      </c>
      <c r="P34" s="34">
        <v>5.7999999999999996E-2</v>
      </c>
      <c r="R34" s="1" t="str">
        <f t="shared" si="2"/>
        <v>BAJORIESGO22007</v>
      </c>
      <c r="S34" s="1" t="s">
        <v>87</v>
      </c>
      <c r="T34" s="1">
        <v>2007</v>
      </c>
      <c r="U34" s="34">
        <v>7.5999999999999998E-2</v>
      </c>
    </row>
    <row r="35" spans="2:21" ht="15.95" customHeight="1">
      <c r="B35" s="189" t="str">
        <f t="shared" si="0"/>
        <v>Bajoriesgo22006</v>
      </c>
      <c r="C35" s="296" t="s">
        <v>8</v>
      </c>
      <c r="D35" s="296">
        <v>2006</v>
      </c>
      <c r="E35" s="31">
        <v>6.5499999999999989E-2</v>
      </c>
      <c r="G35" s="1" t="str">
        <f t="shared" si="3"/>
        <v>MEDIANORIESGO2006</v>
      </c>
      <c r="H35" s="32" t="s">
        <v>127</v>
      </c>
      <c r="I35" s="33">
        <v>2006</v>
      </c>
      <c r="J35" s="34">
        <v>7.2000000000000008E-2</v>
      </c>
      <c r="L35" s="1" t="str">
        <f t="shared" si="1"/>
        <v>0.2MEDIANORIESGO2006</v>
      </c>
      <c r="M35" s="31">
        <v>0.2</v>
      </c>
      <c r="N35" s="32" t="s">
        <v>127</v>
      </c>
      <c r="O35" s="33">
        <v>2006</v>
      </c>
      <c r="P35" s="34">
        <v>5.8799999999999998E-2</v>
      </c>
      <c r="R35" s="1" t="str">
        <f t="shared" si="2"/>
        <v>BAJORIESGO22006</v>
      </c>
      <c r="S35" s="1" t="s">
        <v>87</v>
      </c>
      <c r="T35" s="1">
        <v>2006</v>
      </c>
      <c r="U35" s="34">
        <v>7.5999999999999998E-2</v>
      </c>
    </row>
    <row r="36" spans="2:21" ht="15.95" customHeight="1">
      <c r="B36" s="189" t="str">
        <f t="shared" si="0"/>
        <v>Bajoriesgo22005</v>
      </c>
      <c r="C36" s="296" t="s">
        <v>8</v>
      </c>
      <c r="D36" s="296">
        <v>2005</v>
      </c>
      <c r="E36" s="31">
        <v>6.5499999999999989E-2</v>
      </c>
      <c r="G36" s="1" t="str">
        <f t="shared" si="3"/>
        <v>MEDIANORIESGO2005</v>
      </c>
      <c r="H36" s="32" t="s">
        <v>127</v>
      </c>
      <c r="I36" s="33">
        <v>2005</v>
      </c>
      <c r="J36" s="34">
        <v>7.2000000000000008E-2</v>
      </c>
      <c r="L36" s="1" t="str">
        <f t="shared" si="1"/>
        <v>0.2MEDIANORIESGO2005</v>
      </c>
      <c r="M36" s="31">
        <v>0.2</v>
      </c>
      <c r="N36" s="32" t="s">
        <v>127</v>
      </c>
      <c r="O36" s="33">
        <v>2005</v>
      </c>
      <c r="P36" s="34">
        <v>5.8799999999999998E-2</v>
      </c>
      <c r="R36" s="1" t="str">
        <f t="shared" si="2"/>
        <v>BAJORIESGO22005</v>
      </c>
      <c r="S36" s="1" t="s">
        <v>87</v>
      </c>
      <c r="T36" s="1">
        <v>2005</v>
      </c>
      <c r="U36" s="34">
        <v>7.5999999999999998E-2</v>
      </c>
    </row>
    <row r="37" spans="2:21" ht="15.95" customHeight="1">
      <c r="B37" s="189" t="str">
        <f t="shared" si="0"/>
        <v>Bajoriesgo22004</v>
      </c>
      <c r="C37" s="296" t="s">
        <v>8</v>
      </c>
      <c r="D37" s="296">
        <v>2004</v>
      </c>
      <c r="E37" s="31">
        <v>6.5500000000000003E-2</v>
      </c>
      <c r="G37" s="1" t="str">
        <f t="shared" si="3"/>
        <v>MEDIANORIESGO2004</v>
      </c>
      <c r="H37" s="32" t="s">
        <v>127</v>
      </c>
      <c r="I37" s="33">
        <v>2004</v>
      </c>
      <c r="J37" s="34">
        <v>7.2000000000000008E-2</v>
      </c>
      <c r="L37" s="1" t="str">
        <f t="shared" si="1"/>
        <v>0.2MEDIANORIESGO2004</v>
      </c>
      <c r="M37" s="31">
        <v>0.2</v>
      </c>
      <c r="N37" s="32" t="s">
        <v>127</v>
      </c>
      <c r="O37" s="33">
        <v>2004</v>
      </c>
      <c r="P37" s="34">
        <v>5.8799999999999998E-2</v>
      </c>
      <c r="R37" s="1" t="str">
        <f t="shared" si="2"/>
        <v>BAJORIESGO22004</v>
      </c>
      <c r="S37" s="1" t="s">
        <v>87</v>
      </c>
      <c r="T37" s="1">
        <v>2004</v>
      </c>
      <c r="U37" s="34">
        <v>7.5999999999999998E-2</v>
      </c>
    </row>
    <row r="38" spans="2:21" ht="15.95" customHeight="1">
      <c r="B38" s="189" t="str">
        <f t="shared" si="0"/>
        <v>Bajoriesgo22003</v>
      </c>
      <c r="C38" s="296" t="s">
        <v>8</v>
      </c>
      <c r="D38" s="296">
        <v>2003</v>
      </c>
      <c r="E38" s="31">
        <v>6.5500000000000003E-2</v>
      </c>
      <c r="G38" s="1" t="str">
        <f t="shared" si="3"/>
        <v>MEDIANORIESGO2003</v>
      </c>
      <c r="H38" s="32" t="s">
        <v>127</v>
      </c>
      <c r="I38" s="33">
        <v>2003</v>
      </c>
      <c r="J38" s="34">
        <v>7.2000000000000008E-2</v>
      </c>
      <c r="L38" s="1" t="str">
        <f t="shared" si="1"/>
        <v>0.2MEDIANORIESGO2003</v>
      </c>
      <c r="M38" s="31">
        <v>0.2</v>
      </c>
      <c r="N38" s="32" t="s">
        <v>127</v>
      </c>
      <c r="O38" s="33">
        <v>2003</v>
      </c>
      <c r="P38" s="34">
        <v>5.8799999999999998E-2</v>
      </c>
      <c r="R38" s="1" t="str">
        <f t="shared" si="2"/>
        <v>BAJORIESGO22003</v>
      </c>
      <c r="S38" s="1" t="s">
        <v>87</v>
      </c>
      <c r="T38" s="1">
        <v>2003</v>
      </c>
      <c r="U38" s="34">
        <v>7.5999999999999998E-2</v>
      </c>
    </row>
    <row r="39" spans="2:21" ht="15.95" customHeight="1">
      <c r="B39" s="189" t="str">
        <f t="shared" si="0"/>
        <v>Bajoriesgo22002</v>
      </c>
      <c r="C39" s="296" t="s">
        <v>8</v>
      </c>
      <c r="D39" s="296">
        <v>2002</v>
      </c>
      <c r="E39" s="31">
        <v>6.5500000000000003E-2</v>
      </c>
      <c r="G39" s="1" t="str">
        <f t="shared" si="3"/>
        <v>MEDIANORIESGO2002</v>
      </c>
      <c r="H39" s="32" t="s">
        <v>127</v>
      </c>
      <c r="I39" s="33">
        <v>2002</v>
      </c>
      <c r="J39" s="34">
        <v>7.2000000000000008E-2</v>
      </c>
      <c r="L39" s="1" t="str">
        <f t="shared" si="1"/>
        <v>0.2MEDIANORIESGO2002</v>
      </c>
      <c r="M39" s="31">
        <v>0.2</v>
      </c>
      <c r="N39" s="32" t="s">
        <v>127</v>
      </c>
      <c r="O39" s="33">
        <v>2002</v>
      </c>
      <c r="P39" s="34">
        <v>5.8799999999999998E-2</v>
      </c>
      <c r="R39" s="1" t="str">
        <f t="shared" si="2"/>
        <v>BAJORIESGO22002</v>
      </c>
      <c r="S39" s="1" t="s">
        <v>87</v>
      </c>
      <c r="T39" s="1">
        <v>2002</v>
      </c>
      <c r="U39" s="34">
        <v>7.5999999999999998E-2</v>
      </c>
    </row>
    <row r="40" spans="2:21" ht="15.95" customHeight="1">
      <c r="B40" s="189" t="str">
        <f t="shared" si="0"/>
        <v>Bajoriesgo22001</v>
      </c>
      <c r="C40" s="296" t="s">
        <v>8</v>
      </c>
      <c r="D40" s="296">
        <v>2001</v>
      </c>
      <c r="E40" s="31">
        <v>6.5500000000000003E-2</v>
      </c>
      <c r="G40" s="1" t="str">
        <f t="shared" si="3"/>
        <v>MEDIANORIESGO2001</v>
      </c>
      <c r="H40" s="32" t="s">
        <v>127</v>
      </c>
      <c r="I40" s="33">
        <v>2001</v>
      </c>
      <c r="J40" s="34">
        <v>7.2000000000000008E-2</v>
      </c>
      <c r="L40" s="1" t="str">
        <f t="shared" si="1"/>
        <v>0.2MEDIANORIESGO2001</v>
      </c>
      <c r="M40" s="31">
        <v>0.2</v>
      </c>
      <c r="N40" s="32" t="s">
        <v>127</v>
      </c>
      <c r="O40" s="33">
        <v>2001</v>
      </c>
      <c r="P40" s="34">
        <v>5.8799999999999998E-2</v>
      </c>
      <c r="R40" s="1" t="str">
        <f t="shared" si="2"/>
        <v>BAJORIESGO22001</v>
      </c>
      <c r="S40" s="1" t="s">
        <v>87</v>
      </c>
      <c r="T40" s="1">
        <v>2001</v>
      </c>
      <c r="U40" s="34">
        <v>7.5999999999999998E-2</v>
      </c>
    </row>
    <row r="41" spans="2:21" ht="15.95" customHeight="1">
      <c r="B41" s="189" t="str">
        <f t="shared" si="0"/>
        <v>Bajoriesgo22000</v>
      </c>
      <c r="C41" s="296" t="s">
        <v>8</v>
      </c>
      <c r="D41" s="296">
        <v>2000</v>
      </c>
      <c r="E41" s="31">
        <v>6.5500000000000003E-2</v>
      </c>
      <c r="G41" s="1" t="str">
        <f t="shared" si="3"/>
        <v>MEDIANORIESGO2000</v>
      </c>
      <c r="H41" s="32" t="s">
        <v>127</v>
      </c>
      <c r="I41" s="33">
        <v>2000</v>
      </c>
      <c r="J41" s="34">
        <v>7.2000000000000008E-2</v>
      </c>
      <c r="L41" s="1" t="str">
        <f t="shared" si="1"/>
        <v>0.2MEDIANORIESGO2000</v>
      </c>
      <c r="M41" s="31">
        <v>0.2</v>
      </c>
      <c r="N41" s="32" t="s">
        <v>127</v>
      </c>
      <c r="O41" s="33">
        <v>2000</v>
      </c>
      <c r="P41" s="34">
        <v>5.8799999999999998E-2</v>
      </c>
      <c r="R41" s="1" t="str">
        <f t="shared" si="2"/>
        <v>BAJORIESGO22000</v>
      </c>
      <c r="S41" s="1" t="s">
        <v>87</v>
      </c>
      <c r="T41" s="1">
        <v>2000</v>
      </c>
      <c r="U41" s="34">
        <v>7.5999999999999998E-2</v>
      </c>
    </row>
    <row r="42" spans="2:21" ht="15.95" customHeight="1">
      <c r="B42" s="189" t="str">
        <f t="shared" si="0"/>
        <v>Altoriesgo12018</v>
      </c>
      <c r="C42" s="296" t="s">
        <v>19</v>
      </c>
      <c r="D42" s="296">
        <v>2018</v>
      </c>
      <c r="E42" s="31">
        <v>3.6000000000000004E-2</v>
      </c>
      <c r="G42" s="1" t="str">
        <f t="shared" si="3"/>
        <v>ALTORIESGO2018</v>
      </c>
      <c r="H42" s="32" t="s">
        <v>128</v>
      </c>
      <c r="I42" s="33">
        <v>2018</v>
      </c>
      <c r="J42" s="34">
        <v>4.4999999999999998E-2</v>
      </c>
      <c r="L42" s="1" t="str">
        <f t="shared" si="1"/>
        <v>0.2ALTORIESGO2018</v>
      </c>
      <c r="M42" s="31">
        <v>0.2</v>
      </c>
      <c r="N42" s="32" t="s">
        <v>128</v>
      </c>
      <c r="O42" s="33">
        <v>2018</v>
      </c>
      <c r="P42" s="34">
        <v>3.9300000000000002E-2</v>
      </c>
      <c r="R42" s="1" t="str">
        <f t="shared" si="2"/>
        <v>MEDIANORIESGO2018</v>
      </c>
      <c r="S42" s="1" t="s">
        <v>127</v>
      </c>
      <c r="T42" s="1">
        <v>2018</v>
      </c>
      <c r="U42" s="34">
        <v>4.5999999999999999E-2</v>
      </c>
    </row>
    <row r="43" spans="2:21" ht="15.95" customHeight="1">
      <c r="B43" s="189" t="str">
        <f t="shared" si="0"/>
        <v>Algoriesgo1NUEVO 2017</v>
      </c>
      <c r="C43" s="296" t="s">
        <v>679</v>
      </c>
      <c r="D43" s="296" t="s">
        <v>678</v>
      </c>
      <c r="E43" s="31">
        <v>3.5999999999999997E-2</v>
      </c>
      <c r="G43" s="1" t="str">
        <f t="shared" si="3"/>
        <v>ALTORIESGONUEVO 2017</v>
      </c>
      <c r="H43" s="32" t="s">
        <v>128</v>
      </c>
      <c r="I43" s="33" t="s">
        <v>678</v>
      </c>
      <c r="J43" s="34">
        <v>4.4999999999999998E-2</v>
      </c>
      <c r="L43" s="1" t="str">
        <f t="shared" si="1"/>
        <v>0.2ALTORIESGONUEVO 2017</v>
      </c>
      <c r="M43" s="31">
        <v>0.2</v>
      </c>
      <c r="N43" s="32" t="s">
        <v>128</v>
      </c>
      <c r="O43" s="33" t="s">
        <v>678</v>
      </c>
      <c r="P43" s="34">
        <v>3.9300000000000002E-2</v>
      </c>
      <c r="R43" s="1" t="str">
        <f t="shared" si="2"/>
        <v>MEDIANORIESGONUEVO 2017</v>
      </c>
      <c r="S43" s="1" t="s">
        <v>127</v>
      </c>
      <c r="T43" s="1" t="s">
        <v>678</v>
      </c>
      <c r="U43" s="34">
        <v>4.5999999999999999E-2</v>
      </c>
    </row>
    <row r="44" spans="2:21" ht="15.95" customHeight="1">
      <c r="B44" s="189" t="str">
        <f t="shared" si="0"/>
        <v>Altoriesgo12017</v>
      </c>
      <c r="C44" s="296" t="s">
        <v>19</v>
      </c>
      <c r="D44" s="296">
        <v>2017</v>
      </c>
      <c r="E44" s="31">
        <v>3.7500000000000006E-2</v>
      </c>
      <c r="G44" s="1" t="str">
        <f t="shared" si="3"/>
        <v>ALTORIESGO2017</v>
      </c>
      <c r="H44" s="32" t="s">
        <v>128</v>
      </c>
      <c r="I44" s="33">
        <v>2017</v>
      </c>
      <c r="J44" s="34">
        <v>4.4999999999999998E-2</v>
      </c>
      <c r="L44" s="1" t="str">
        <f t="shared" si="1"/>
        <v>0.2ALTORIESGO2017</v>
      </c>
      <c r="M44" s="31">
        <v>0.2</v>
      </c>
      <c r="N44" s="32" t="s">
        <v>128</v>
      </c>
      <c r="O44" s="33">
        <v>2017</v>
      </c>
      <c r="P44" s="34">
        <v>4.1399999999999999E-2</v>
      </c>
      <c r="R44" s="1" t="str">
        <f t="shared" si="2"/>
        <v>MEDIANORIESGO2017</v>
      </c>
      <c r="S44" s="1" t="s">
        <v>127</v>
      </c>
      <c r="T44" s="1">
        <v>2017</v>
      </c>
      <c r="U44" s="34">
        <v>4.8000000000000001E-2</v>
      </c>
    </row>
    <row r="45" spans="2:21" ht="15.95" customHeight="1">
      <c r="B45" s="189" t="str">
        <f t="shared" si="0"/>
        <v>Altoriesgo12016</v>
      </c>
      <c r="C45" s="296" t="s">
        <v>19</v>
      </c>
      <c r="D45" s="296">
        <v>2016</v>
      </c>
      <c r="E45" s="31">
        <v>3.9000000000000007E-2</v>
      </c>
      <c r="G45" s="1" t="str">
        <f t="shared" si="3"/>
        <v>ALTORIESGO2016</v>
      </c>
      <c r="H45" s="32" t="s">
        <v>128</v>
      </c>
      <c r="I45" s="33">
        <v>2016</v>
      </c>
      <c r="J45" s="34">
        <v>4.8000000000000001E-2</v>
      </c>
      <c r="L45" s="1" t="str">
        <f t="shared" si="1"/>
        <v>0.2ALTORIESGO2016</v>
      </c>
      <c r="M45" s="31">
        <v>0.2</v>
      </c>
      <c r="N45" s="32" t="s">
        <v>128</v>
      </c>
      <c r="O45" s="33">
        <v>2016</v>
      </c>
      <c r="P45" s="34">
        <v>4.36E-2</v>
      </c>
      <c r="R45" s="1" t="str">
        <f t="shared" si="2"/>
        <v>MEDIANORIESGO2016</v>
      </c>
      <c r="S45" s="1" t="s">
        <v>127</v>
      </c>
      <c r="T45" s="1">
        <v>2016</v>
      </c>
      <c r="U45" s="34">
        <v>5.0499999999999996E-2</v>
      </c>
    </row>
    <row r="46" spans="2:21" ht="15.95" customHeight="1">
      <c r="B46" s="189" t="str">
        <f t="shared" si="0"/>
        <v>Altoriesgo12015</v>
      </c>
      <c r="C46" s="296" t="s">
        <v>19</v>
      </c>
      <c r="D46" s="296">
        <v>2015</v>
      </c>
      <c r="E46" s="31">
        <v>4.1000000000000009E-2</v>
      </c>
      <c r="G46" s="1" t="str">
        <f t="shared" si="3"/>
        <v>ALTORIESGO2015</v>
      </c>
      <c r="H46" s="32" t="s">
        <v>128</v>
      </c>
      <c r="I46" s="33">
        <v>2015</v>
      </c>
      <c r="J46" s="34">
        <v>0.05</v>
      </c>
      <c r="L46" s="1" t="str">
        <f t="shared" si="1"/>
        <v>0.2ALTORIESGO2015</v>
      </c>
      <c r="M46" s="31">
        <v>0.2</v>
      </c>
      <c r="N46" s="32" t="s">
        <v>128</v>
      </c>
      <c r="O46" s="33">
        <v>2015</v>
      </c>
      <c r="P46" s="34">
        <v>4.5999999999999999E-2</v>
      </c>
      <c r="R46" s="1" t="str">
        <f t="shared" si="2"/>
        <v>MEDIANORIESGO2015</v>
      </c>
      <c r="S46" s="1" t="s">
        <v>127</v>
      </c>
      <c r="T46" s="1">
        <v>2015</v>
      </c>
      <c r="U46" s="34">
        <v>5.2999999999999999E-2</v>
      </c>
    </row>
    <row r="47" spans="2:21" ht="15.95" customHeight="1">
      <c r="B47" s="189" t="str">
        <f t="shared" si="0"/>
        <v>Altoriesgo12014</v>
      </c>
      <c r="C47" s="296" t="s">
        <v>19</v>
      </c>
      <c r="D47" s="296">
        <v>2014</v>
      </c>
      <c r="E47" s="31">
        <v>4.3500000000000004E-2</v>
      </c>
      <c r="G47" s="1" t="str">
        <f t="shared" si="3"/>
        <v>ALTORIESGO2014</v>
      </c>
      <c r="H47" s="32" t="s">
        <v>128</v>
      </c>
      <c r="I47" s="33">
        <v>2014</v>
      </c>
      <c r="J47" s="34">
        <v>5.2000000000000005E-2</v>
      </c>
      <c r="L47" s="1" t="str">
        <f t="shared" si="1"/>
        <v>0.2ALTORIESGO2014</v>
      </c>
      <c r="M47" s="31">
        <v>0.2</v>
      </c>
      <c r="N47" s="32" t="s">
        <v>128</v>
      </c>
      <c r="O47" s="33">
        <v>2014</v>
      </c>
      <c r="P47" s="34">
        <v>4.7400000000000005E-2</v>
      </c>
      <c r="R47" s="1" t="str">
        <f t="shared" si="2"/>
        <v>MEDIANORIESGO2014</v>
      </c>
      <c r="S47" s="1" t="s">
        <v>127</v>
      </c>
      <c r="T47" s="1">
        <v>2014</v>
      </c>
      <c r="U47" s="34">
        <v>5.5999999999999994E-2</v>
      </c>
    </row>
    <row r="48" spans="2:21" ht="15.95" customHeight="1">
      <c r="B48" s="189" t="str">
        <f t="shared" si="0"/>
        <v>Altoriesgo12013</v>
      </c>
      <c r="C48" s="296" t="s">
        <v>19</v>
      </c>
      <c r="D48" s="296">
        <v>2013</v>
      </c>
      <c r="E48" s="31">
        <v>4.6499999999999993E-2</v>
      </c>
      <c r="G48" s="1" t="str">
        <f t="shared" si="3"/>
        <v>ALTORIESGO2013</v>
      </c>
      <c r="H48" s="32" t="s">
        <v>128</v>
      </c>
      <c r="I48" s="33">
        <v>2013</v>
      </c>
      <c r="J48" s="34">
        <v>5.4000000000000006E-2</v>
      </c>
      <c r="L48" s="1" t="str">
        <f t="shared" si="1"/>
        <v>0.2ALTORIESGO2013</v>
      </c>
      <c r="M48" s="31">
        <v>0.2</v>
      </c>
      <c r="N48" s="32" t="s">
        <v>128</v>
      </c>
      <c r="O48" s="33">
        <v>2013</v>
      </c>
      <c r="P48" s="34">
        <v>4.99E-2</v>
      </c>
      <c r="R48" s="1" t="str">
        <f t="shared" si="2"/>
        <v>MEDIANORIESGO2013</v>
      </c>
      <c r="S48" s="1" t="s">
        <v>127</v>
      </c>
      <c r="T48" s="1">
        <v>2013</v>
      </c>
      <c r="U48" s="34">
        <v>5.9000000000000004E-2</v>
      </c>
    </row>
    <row r="49" spans="2:21" ht="15.95" customHeight="1">
      <c r="B49" s="189" t="str">
        <f t="shared" si="0"/>
        <v>Altoriesgo12012</v>
      </c>
      <c r="C49" s="296" t="s">
        <v>19</v>
      </c>
      <c r="D49" s="296">
        <v>2012</v>
      </c>
      <c r="E49" s="31">
        <v>4.9499999999999995E-2</v>
      </c>
      <c r="G49" s="1" t="str">
        <f t="shared" si="3"/>
        <v>ALTORIESGO2012</v>
      </c>
      <c r="H49" s="32" t="s">
        <v>128</v>
      </c>
      <c r="I49" s="33">
        <v>2012</v>
      </c>
      <c r="J49" s="34">
        <v>5.5999999999999994E-2</v>
      </c>
      <c r="L49" s="1" t="str">
        <f t="shared" si="1"/>
        <v>0.2ALTORIESGO2012</v>
      </c>
      <c r="M49" s="31">
        <v>0.2</v>
      </c>
      <c r="N49" s="32" t="s">
        <v>128</v>
      </c>
      <c r="O49" s="33">
        <v>2012</v>
      </c>
      <c r="P49" s="34">
        <v>5.2199999999999996E-2</v>
      </c>
      <c r="R49" s="1" t="str">
        <f t="shared" si="2"/>
        <v>MEDIANORIESGO2012</v>
      </c>
      <c r="S49" s="1" t="s">
        <v>127</v>
      </c>
      <c r="T49" s="1">
        <v>2012</v>
      </c>
      <c r="U49" s="34">
        <v>6.3E-2</v>
      </c>
    </row>
    <row r="50" spans="2:21" ht="15.95" customHeight="1">
      <c r="B50" s="189" t="str">
        <f t="shared" si="0"/>
        <v>Altoriesgo12011</v>
      </c>
      <c r="C50" s="296" t="s">
        <v>19</v>
      </c>
      <c r="D50" s="296">
        <v>2011</v>
      </c>
      <c r="E50" s="31">
        <v>5.2499999999999991E-2</v>
      </c>
      <c r="G50" s="1" t="str">
        <f t="shared" si="3"/>
        <v>ALTORIESGO2011</v>
      </c>
      <c r="H50" s="32" t="s">
        <v>128</v>
      </c>
      <c r="I50" s="33">
        <v>2011</v>
      </c>
      <c r="J50" s="34">
        <v>0.06</v>
      </c>
      <c r="L50" s="1" t="str">
        <f t="shared" si="1"/>
        <v>0.2ALTORIESGO2011</v>
      </c>
      <c r="M50" s="31">
        <v>0.2</v>
      </c>
      <c r="N50" s="32" t="s">
        <v>128</v>
      </c>
      <c r="O50" s="33">
        <v>2011</v>
      </c>
      <c r="P50" s="34">
        <v>5.4100000000000002E-2</v>
      </c>
      <c r="R50" s="1" t="str">
        <f t="shared" si="2"/>
        <v>MEDIANORIESGO2011</v>
      </c>
      <c r="S50" s="1" t="s">
        <v>127</v>
      </c>
      <c r="T50" s="1">
        <v>2011</v>
      </c>
      <c r="U50" s="34">
        <v>6.6000000000000003E-2</v>
      </c>
    </row>
    <row r="51" spans="2:21" ht="15.95" customHeight="1">
      <c r="B51" s="189" t="str">
        <f t="shared" si="0"/>
        <v>Altoriesgo12010</v>
      </c>
      <c r="C51" s="296" t="s">
        <v>19</v>
      </c>
      <c r="D51" s="296">
        <v>2010</v>
      </c>
      <c r="E51" s="31">
        <v>5.5499999999999987E-2</v>
      </c>
      <c r="G51" s="1" t="str">
        <f t="shared" si="3"/>
        <v>ALTORIESGO2010</v>
      </c>
      <c r="H51" s="32" t="s">
        <v>128</v>
      </c>
      <c r="I51" s="33">
        <v>2010</v>
      </c>
      <c r="J51" s="34">
        <v>6.4000000000000001E-2</v>
      </c>
      <c r="L51" s="1" t="str">
        <f t="shared" si="1"/>
        <v>0.2ALTORIESGO2010</v>
      </c>
      <c r="M51" s="31">
        <v>0.2</v>
      </c>
      <c r="N51" s="32" t="s">
        <v>128</v>
      </c>
      <c r="O51" s="33">
        <v>2010</v>
      </c>
      <c r="P51" s="34">
        <v>5.5500000000000001E-2</v>
      </c>
      <c r="R51" s="1" t="str">
        <f t="shared" si="2"/>
        <v>MEDIANORIESGO2010</v>
      </c>
      <c r="S51" s="1" t="s">
        <v>127</v>
      </c>
      <c r="T51" s="1">
        <v>2010</v>
      </c>
      <c r="U51" s="34">
        <v>6.9000000000000006E-2</v>
      </c>
    </row>
    <row r="52" spans="2:21" ht="15.95" customHeight="1">
      <c r="B52" s="189" t="str">
        <f t="shared" si="0"/>
        <v>Altoriesgo12009</v>
      </c>
      <c r="C52" s="296" t="s">
        <v>19</v>
      </c>
      <c r="D52" s="296">
        <v>2009</v>
      </c>
      <c r="E52" s="31">
        <v>5.949999999999999E-2</v>
      </c>
      <c r="G52" s="1" t="str">
        <f t="shared" si="3"/>
        <v>ALTORIESGO2009</v>
      </c>
      <c r="H52" s="32" t="s">
        <v>128</v>
      </c>
      <c r="I52" s="33">
        <v>2009</v>
      </c>
      <c r="J52" s="34">
        <v>6.8000000000000005E-2</v>
      </c>
      <c r="L52" s="1" t="str">
        <f t="shared" si="1"/>
        <v>0.2ALTORIESGO2009</v>
      </c>
      <c r="M52" s="31">
        <v>0.2</v>
      </c>
      <c r="N52" s="32" t="s">
        <v>128</v>
      </c>
      <c r="O52" s="33">
        <v>2009</v>
      </c>
      <c r="P52" s="34">
        <v>5.7500000000000002E-2</v>
      </c>
      <c r="R52" s="1" t="str">
        <f t="shared" si="2"/>
        <v>MEDIANORIESGO2009</v>
      </c>
      <c r="S52" s="1" t="s">
        <v>127</v>
      </c>
      <c r="T52" s="1">
        <v>2009</v>
      </c>
      <c r="U52" s="34">
        <v>7.2999999999999995E-2</v>
      </c>
    </row>
    <row r="53" spans="2:21" ht="15.95" customHeight="1">
      <c r="B53" s="189" t="str">
        <f t="shared" si="0"/>
        <v>Altoriesgo12008</v>
      </c>
      <c r="C53" s="296" t="s">
        <v>19</v>
      </c>
      <c r="D53" s="296">
        <v>2008</v>
      </c>
      <c r="E53" s="31">
        <v>6.2499999999999993E-2</v>
      </c>
      <c r="G53" s="1" t="str">
        <f t="shared" si="3"/>
        <v>ALTORIESGO2008</v>
      </c>
      <c r="H53" s="32" t="s">
        <v>128</v>
      </c>
      <c r="I53" s="33">
        <v>2008</v>
      </c>
      <c r="J53" s="34">
        <v>7.2000000000000008E-2</v>
      </c>
      <c r="L53" s="1" t="str">
        <f t="shared" si="1"/>
        <v>0.2ALTORIESGO2008</v>
      </c>
      <c r="M53" s="31">
        <v>0.2</v>
      </c>
      <c r="N53" s="32" t="s">
        <v>128</v>
      </c>
      <c r="O53" s="33">
        <v>2008</v>
      </c>
      <c r="P53" s="34">
        <v>5.9299999999999999E-2</v>
      </c>
      <c r="R53" s="1" t="str">
        <f t="shared" si="2"/>
        <v>MEDIANORIESGO2008</v>
      </c>
      <c r="S53" s="1" t="s">
        <v>127</v>
      </c>
      <c r="T53" s="1">
        <v>2008</v>
      </c>
      <c r="U53" s="34">
        <v>4.5999999999999999E-2</v>
      </c>
    </row>
    <row r="54" spans="2:21" ht="15.95" customHeight="1">
      <c r="B54" s="189" t="str">
        <f t="shared" si="0"/>
        <v>Altoriesgo12007</v>
      </c>
      <c r="C54" s="296" t="s">
        <v>19</v>
      </c>
      <c r="D54" s="296">
        <v>2007</v>
      </c>
      <c r="E54" s="31">
        <v>6.5499999999999989E-2</v>
      </c>
      <c r="G54" s="1" t="str">
        <f t="shared" si="3"/>
        <v>ALTORIESGO2007</v>
      </c>
      <c r="H54" s="32" t="s">
        <v>128</v>
      </c>
      <c r="I54" s="33">
        <v>2007</v>
      </c>
      <c r="J54" s="34">
        <v>7.4999999999999997E-2</v>
      </c>
      <c r="L54" s="1" t="str">
        <f t="shared" si="1"/>
        <v>0.2ALTORIESGO2007</v>
      </c>
      <c r="M54" s="31">
        <v>0.2</v>
      </c>
      <c r="N54" s="32" t="s">
        <v>128</v>
      </c>
      <c r="O54" s="33">
        <v>2007</v>
      </c>
      <c r="P54" s="34">
        <v>6.08E-2</v>
      </c>
      <c r="R54" s="1" t="str">
        <f t="shared" si="2"/>
        <v>MEDIANORIESGO2007</v>
      </c>
      <c r="S54" s="1" t="s">
        <v>127</v>
      </c>
      <c r="T54" s="1">
        <v>2007</v>
      </c>
      <c r="U54" s="34">
        <v>0.08</v>
      </c>
    </row>
    <row r="55" spans="2:21" ht="15.95" customHeight="1">
      <c r="B55" s="189" t="str">
        <f t="shared" si="0"/>
        <v>Altoriesgo12006</v>
      </c>
      <c r="C55" s="296" t="s">
        <v>19</v>
      </c>
      <c r="D55" s="296">
        <v>2006</v>
      </c>
      <c r="E55" s="31">
        <v>6.5499999999999989E-2</v>
      </c>
      <c r="G55" s="1" t="str">
        <f t="shared" si="3"/>
        <v>ALTORIESGO2006</v>
      </c>
      <c r="H55" s="32" t="s">
        <v>128</v>
      </c>
      <c r="I55" s="33">
        <v>2006</v>
      </c>
      <c r="J55" s="34">
        <v>7.5999999999999998E-2</v>
      </c>
      <c r="L55" s="1" t="str">
        <f t="shared" si="1"/>
        <v>0.2ALTORIESGO2006</v>
      </c>
      <c r="M55" s="31">
        <v>0.2</v>
      </c>
      <c r="N55" s="32" t="s">
        <v>128</v>
      </c>
      <c r="O55" s="33">
        <v>2006</v>
      </c>
      <c r="P55" s="34">
        <v>6.2100000000000002E-2</v>
      </c>
      <c r="R55" s="1" t="str">
        <f t="shared" si="2"/>
        <v>MEDIANORIESGO2006</v>
      </c>
      <c r="S55" s="1" t="s">
        <v>127</v>
      </c>
      <c r="T55" s="1">
        <v>2006</v>
      </c>
      <c r="U55" s="34">
        <v>0.08</v>
      </c>
    </row>
    <row r="56" spans="2:21" ht="15.95" customHeight="1">
      <c r="B56" s="189" t="str">
        <f t="shared" si="0"/>
        <v>Altoriesgo12005</v>
      </c>
      <c r="C56" s="296" t="s">
        <v>19</v>
      </c>
      <c r="D56" s="296">
        <v>2005</v>
      </c>
      <c r="E56" s="31">
        <v>6.5499999999999989E-2</v>
      </c>
      <c r="G56" s="1" t="str">
        <f t="shared" si="3"/>
        <v>ALTORIESGO2005</v>
      </c>
      <c r="H56" s="32" t="s">
        <v>128</v>
      </c>
      <c r="I56" s="33">
        <v>2005</v>
      </c>
      <c r="J56" s="34">
        <v>7.5999999999999998E-2</v>
      </c>
      <c r="L56" s="1" t="str">
        <f t="shared" si="1"/>
        <v>0.2ALTORIESGO2005</v>
      </c>
      <c r="M56" s="31">
        <v>0.2</v>
      </c>
      <c r="N56" s="32" t="s">
        <v>128</v>
      </c>
      <c r="O56" s="33">
        <v>2005</v>
      </c>
      <c r="P56" s="34">
        <v>6.2100000000000002E-2</v>
      </c>
      <c r="R56" s="1" t="str">
        <f t="shared" si="2"/>
        <v>MEDIANORIESGO2005</v>
      </c>
      <c r="S56" s="1" t="s">
        <v>127</v>
      </c>
      <c r="T56" s="1">
        <v>2005</v>
      </c>
      <c r="U56" s="34">
        <v>0.08</v>
      </c>
    </row>
    <row r="57" spans="2:21" ht="15.95" customHeight="1">
      <c r="B57" s="189" t="str">
        <f t="shared" si="0"/>
        <v>Altoriesgo12004</v>
      </c>
      <c r="C57" s="296" t="s">
        <v>19</v>
      </c>
      <c r="D57" s="296">
        <v>2004</v>
      </c>
      <c r="E57" s="31">
        <v>6.5500000000000003E-2</v>
      </c>
      <c r="G57" s="1" t="str">
        <f t="shared" si="3"/>
        <v>ALTORIESGO2004</v>
      </c>
      <c r="H57" s="32" t="s">
        <v>128</v>
      </c>
      <c r="I57" s="33">
        <v>2004</v>
      </c>
      <c r="J57" s="34">
        <v>7.5999999999999998E-2</v>
      </c>
      <c r="L57" s="1" t="str">
        <f t="shared" si="1"/>
        <v>0.2ALTORIESGO2004</v>
      </c>
      <c r="M57" s="31">
        <v>0.2</v>
      </c>
      <c r="N57" s="32" t="s">
        <v>128</v>
      </c>
      <c r="O57" s="33">
        <v>2004</v>
      </c>
      <c r="P57" s="34">
        <v>6.2100000000000002E-2</v>
      </c>
      <c r="R57" s="1" t="str">
        <f t="shared" si="2"/>
        <v>MEDIANORIESGO2004</v>
      </c>
      <c r="S57" s="1" t="s">
        <v>127</v>
      </c>
      <c r="T57" s="1">
        <v>2004</v>
      </c>
      <c r="U57" s="34">
        <v>0.08</v>
      </c>
    </row>
    <row r="58" spans="2:21" ht="15.95" customHeight="1">
      <c r="B58" s="189" t="str">
        <f t="shared" si="0"/>
        <v>Altoriesgo12003</v>
      </c>
      <c r="C58" s="296" t="s">
        <v>19</v>
      </c>
      <c r="D58" s="296">
        <v>2003</v>
      </c>
      <c r="E58" s="31">
        <v>6.5500000000000003E-2</v>
      </c>
      <c r="G58" s="1" t="str">
        <f t="shared" si="3"/>
        <v>ALTORIESGO2003</v>
      </c>
      <c r="H58" s="32" t="s">
        <v>128</v>
      </c>
      <c r="I58" s="33">
        <v>2003</v>
      </c>
      <c r="J58" s="34">
        <v>7.5999999999999998E-2</v>
      </c>
      <c r="L58" s="1" t="str">
        <f t="shared" si="1"/>
        <v>0.2ALTORIESGO2003</v>
      </c>
      <c r="M58" s="31">
        <v>0.2</v>
      </c>
      <c r="N58" s="32" t="s">
        <v>128</v>
      </c>
      <c r="O58" s="33">
        <v>2003</v>
      </c>
      <c r="P58" s="34">
        <v>6.2100000000000002E-2</v>
      </c>
      <c r="R58" s="1" t="str">
        <f t="shared" si="2"/>
        <v>MEDIANORIESGO2003</v>
      </c>
      <c r="S58" s="1" t="s">
        <v>127</v>
      </c>
      <c r="T58" s="1">
        <v>2003</v>
      </c>
      <c r="U58" s="34">
        <v>0.08</v>
      </c>
    </row>
    <row r="59" spans="2:21" ht="15.95" customHeight="1">
      <c r="B59" s="189" t="str">
        <f t="shared" si="0"/>
        <v>Altoriesgo12002</v>
      </c>
      <c r="C59" s="296" t="s">
        <v>19</v>
      </c>
      <c r="D59" s="296">
        <v>2002</v>
      </c>
      <c r="E59" s="31">
        <v>6.5500000000000003E-2</v>
      </c>
      <c r="G59" s="1" t="str">
        <f t="shared" si="3"/>
        <v>ALTORIESGO2002</v>
      </c>
      <c r="H59" s="32" t="s">
        <v>128</v>
      </c>
      <c r="I59" s="33">
        <v>2002</v>
      </c>
      <c r="J59" s="34">
        <v>7.5999999999999998E-2</v>
      </c>
      <c r="L59" s="1" t="str">
        <f t="shared" si="1"/>
        <v>0.2ALTORIESGO2002</v>
      </c>
      <c r="M59" s="31">
        <v>0.2</v>
      </c>
      <c r="N59" s="32" t="s">
        <v>128</v>
      </c>
      <c r="O59" s="33">
        <v>2002</v>
      </c>
      <c r="P59" s="34">
        <v>6.2100000000000002E-2</v>
      </c>
      <c r="R59" s="1" t="str">
        <f t="shared" si="2"/>
        <v>MEDIANORIESGO2002</v>
      </c>
      <c r="S59" s="1" t="s">
        <v>127</v>
      </c>
      <c r="T59" s="1">
        <v>2002</v>
      </c>
      <c r="U59" s="34">
        <v>0.08</v>
      </c>
    </row>
    <row r="60" spans="2:21" ht="15.95" customHeight="1">
      <c r="B60" s="189" t="str">
        <f t="shared" si="0"/>
        <v>Altoriesgo12001</v>
      </c>
      <c r="C60" s="296" t="s">
        <v>19</v>
      </c>
      <c r="D60" s="296">
        <v>2001</v>
      </c>
      <c r="E60" s="31">
        <v>6.5500000000000003E-2</v>
      </c>
      <c r="G60" s="1" t="str">
        <f t="shared" si="3"/>
        <v>ALTORIESGO2001</v>
      </c>
      <c r="H60" s="32" t="s">
        <v>128</v>
      </c>
      <c r="I60" s="33">
        <v>2001</v>
      </c>
      <c r="J60" s="34">
        <v>7.5999999999999998E-2</v>
      </c>
      <c r="L60" s="1" t="str">
        <f t="shared" si="1"/>
        <v>0.2ALTORIESGO2001</v>
      </c>
      <c r="M60" s="31">
        <v>0.2</v>
      </c>
      <c r="N60" s="32" t="s">
        <v>128</v>
      </c>
      <c r="O60" s="33">
        <v>2001</v>
      </c>
      <c r="P60" s="34">
        <v>6.2100000000000002E-2</v>
      </c>
      <c r="R60" s="1" t="str">
        <f t="shared" si="2"/>
        <v>MEDIANORIESGO2001</v>
      </c>
      <c r="S60" s="1" t="s">
        <v>127</v>
      </c>
      <c r="T60" s="1">
        <v>2001</v>
      </c>
      <c r="U60" s="34">
        <v>0.08</v>
      </c>
    </row>
    <row r="61" spans="2:21" ht="15.95" customHeight="1">
      <c r="B61" s="189" t="str">
        <f t="shared" si="0"/>
        <v>Altoriesgo12000</v>
      </c>
      <c r="C61" s="296" t="s">
        <v>19</v>
      </c>
      <c r="D61" s="296">
        <v>2000</v>
      </c>
      <c r="E61" s="31">
        <v>6.5500000000000003E-2</v>
      </c>
      <c r="G61" s="1" t="str">
        <f t="shared" si="3"/>
        <v>ALTORIESGO2000</v>
      </c>
      <c r="H61" s="32" t="s">
        <v>128</v>
      </c>
      <c r="I61" s="33">
        <v>2000</v>
      </c>
      <c r="J61" s="34">
        <v>7.5999999999999998E-2</v>
      </c>
      <c r="L61" s="1" t="str">
        <f t="shared" si="1"/>
        <v>0.2ALTORIESGO2000</v>
      </c>
      <c r="M61" s="31">
        <v>0.2</v>
      </c>
      <c r="N61" s="32" t="s">
        <v>128</v>
      </c>
      <c r="O61" s="33">
        <v>2000</v>
      </c>
      <c r="P61" s="34">
        <v>6.2100000000000002E-2</v>
      </c>
      <c r="R61" s="1" t="str">
        <f t="shared" si="2"/>
        <v>MEDIANORIESGO2000</v>
      </c>
      <c r="S61" s="1" t="s">
        <v>127</v>
      </c>
      <c r="T61" s="1">
        <v>2000</v>
      </c>
      <c r="U61" s="34">
        <v>0.08</v>
      </c>
    </row>
    <row r="62" spans="2:21" ht="15.95" customHeight="1">
      <c r="B62" s="189" t="str">
        <f t="shared" si="0"/>
        <v>Altoriesgo22018</v>
      </c>
      <c r="C62" s="296" t="s">
        <v>24</v>
      </c>
      <c r="D62" s="296">
        <v>2018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0.18BAJORIESGO2018</v>
      </c>
      <c r="M62" s="31">
        <v>0.18</v>
      </c>
      <c r="N62" s="32" t="s">
        <v>217</v>
      </c>
      <c r="O62" s="33">
        <v>2018</v>
      </c>
      <c r="P62" s="34">
        <v>3.15E-2</v>
      </c>
      <c r="R62" s="1" t="str">
        <f t="shared" si="2"/>
        <v>ALTORIESGO22018</v>
      </c>
      <c r="S62" s="1" t="s">
        <v>97</v>
      </c>
      <c r="T62" s="1">
        <v>2018</v>
      </c>
      <c r="U62" s="34">
        <v>5.0999999999999997E-2</v>
      </c>
    </row>
    <row r="63" spans="2:21" ht="15.95" customHeight="1">
      <c r="B63" s="189" t="str">
        <f t="shared" si="0"/>
        <v>Altoriesgo2NUEVO 2017</v>
      </c>
      <c r="C63" s="296" t="s">
        <v>24</v>
      </c>
      <c r="D63" s="296" t="s">
        <v>678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2017</v>
      </c>
      <c r="M63" s="31">
        <v>0.18</v>
      </c>
      <c r="N63" s="32" t="s">
        <v>217</v>
      </c>
      <c r="O63" s="33" t="s">
        <v>678</v>
      </c>
      <c r="P63" s="34">
        <v>3.15E-2</v>
      </c>
      <c r="R63" s="1" t="str">
        <f t="shared" si="2"/>
        <v>ALTORIESGO2NUEVO 2017</v>
      </c>
      <c r="S63" s="1" t="s">
        <v>97</v>
      </c>
      <c r="T63" s="1" t="s">
        <v>678</v>
      </c>
      <c r="U63" s="34">
        <v>5.0999999999999997E-2</v>
      </c>
    </row>
    <row r="64" spans="2:21" ht="15.95" customHeight="1">
      <c r="B64" s="189" t="str">
        <f t="shared" si="0"/>
        <v>Altoriesgo22017</v>
      </c>
      <c r="C64" s="296" t="s">
        <v>24</v>
      </c>
      <c r="D64" s="296">
        <v>2017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0.18BAJORIESGO2017</v>
      </c>
      <c r="M64" s="31">
        <v>0.18</v>
      </c>
      <c r="N64" s="32" t="s">
        <v>217</v>
      </c>
      <c r="O64" s="33">
        <v>2017</v>
      </c>
      <c r="P64" s="34">
        <v>3.3799999999999997E-2</v>
      </c>
      <c r="R64" s="1" t="str">
        <f t="shared" si="2"/>
        <v>ALTORIESGO22017</v>
      </c>
      <c r="S64" s="1" t="s">
        <v>97</v>
      </c>
      <c r="T64" s="1">
        <v>2017</v>
      </c>
      <c r="U64" s="34">
        <v>5.3499999999999999E-2</v>
      </c>
    </row>
    <row r="65" spans="2:21" ht="15.95" customHeight="1">
      <c r="B65" s="189" t="str">
        <f t="shared" si="0"/>
        <v>Altoriesgo22016</v>
      </c>
      <c r="C65" s="296" t="s">
        <v>24</v>
      </c>
      <c r="D65" s="296">
        <v>2016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0.18BAJORIESGO2016</v>
      </c>
      <c r="M65" s="31">
        <v>0.18</v>
      </c>
      <c r="N65" s="32" t="s">
        <v>217</v>
      </c>
      <c r="O65" s="33">
        <v>2016</v>
      </c>
      <c r="P65" s="34">
        <v>3.6200000000000003E-2</v>
      </c>
      <c r="R65" s="1" t="str">
        <f t="shared" si="2"/>
        <v>ALTORIESGO22016</v>
      </c>
      <c r="S65" s="1" t="s">
        <v>97</v>
      </c>
      <c r="T65" s="1">
        <v>2016</v>
      </c>
      <c r="U65" s="34">
        <v>5.6600000000000004E-2</v>
      </c>
    </row>
    <row r="66" spans="2:21" ht="15.95" customHeight="1">
      <c r="B66" s="189" t="str">
        <f t="shared" si="0"/>
        <v>Altoriesgo22015</v>
      </c>
      <c r="C66" s="296" t="s">
        <v>24</v>
      </c>
      <c r="D66" s="296">
        <v>2015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0.18BAJORIESGO2015</v>
      </c>
      <c r="M66" s="31">
        <v>0.18</v>
      </c>
      <c r="N66" s="32" t="s">
        <v>217</v>
      </c>
      <c r="O66" s="33">
        <v>2015</v>
      </c>
      <c r="P66" s="34">
        <v>3.7499999999999999E-2</v>
      </c>
      <c r="R66" s="1" t="str">
        <f t="shared" si="2"/>
        <v>ALTORIESGO22015</v>
      </c>
      <c r="S66" s="1" t="s">
        <v>97</v>
      </c>
      <c r="T66" s="1">
        <v>2015</v>
      </c>
      <c r="U66" s="34">
        <v>5.9699999999999996E-2</v>
      </c>
    </row>
    <row r="67" spans="2:21" ht="15.95" customHeight="1">
      <c r="B67" s="189" t="str">
        <f t="shared" ref="B67:B81" si="4">+C67&amp;D67</f>
        <v>Altoriesgo22014</v>
      </c>
      <c r="C67" s="296" t="s">
        <v>24</v>
      </c>
      <c r="D67" s="296">
        <v>2014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0.18BAJORIESGO2014</v>
      </c>
      <c r="M67" s="31">
        <v>0.18</v>
      </c>
      <c r="N67" s="32" t="s">
        <v>217</v>
      </c>
      <c r="O67" s="33">
        <v>2014</v>
      </c>
      <c r="P67" s="34">
        <v>3.9300000000000002E-2</v>
      </c>
      <c r="R67" s="1" t="str">
        <f t="shared" ref="R67:R80" si="6">+S67&amp;T67</f>
        <v>ALTORIESGO22014</v>
      </c>
      <c r="S67" s="1" t="s">
        <v>97</v>
      </c>
      <c r="T67" s="1">
        <v>2014</v>
      </c>
      <c r="U67" s="34">
        <v>6.3399999999999998E-2</v>
      </c>
    </row>
    <row r="68" spans="2:21" ht="15.95" customHeight="1">
      <c r="B68" s="189" t="str">
        <f t="shared" si="4"/>
        <v>Altoriesgo22013</v>
      </c>
      <c r="C68" s="296" t="s">
        <v>24</v>
      </c>
      <c r="D68" s="296">
        <v>2013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0.18BAJORIESGO2013</v>
      </c>
      <c r="M68" s="31">
        <v>0.18</v>
      </c>
      <c r="N68" s="32" t="s">
        <v>217</v>
      </c>
      <c r="O68" s="33">
        <v>2013</v>
      </c>
      <c r="P68" s="34">
        <v>4.1700000000000001E-2</v>
      </c>
      <c r="R68" s="1" t="str">
        <f t="shared" si="6"/>
        <v>ALTORIESGO22013</v>
      </c>
      <c r="S68" s="1" t="s">
        <v>97</v>
      </c>
      <c r="T68" s="1">
        <v>2013</v>
      </c>
      <c r="U68" s="34">
        <v>6.7199999999999996E-2</v>
      </c>
    </row>
    <row r="69" spans="2:21" ht="15.95" customHeight="1">
      <c r="B69" s="189" t="str">
        <f t="shared" si="4"/>
        <v>Altoriesgo22012</v>
      </c>
      <c r="C69" s="296" t="s">
        <v>24</v>
      </c>
      <c r="D69" s="296">
        <v>2012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0.18BAJORIESGO2012</v>
      </c>
      <c r="M69" s="31">
        <v>0.18</v>
      </c>
      <c r="N69" s="32" t="s">
        <v>217</v>
      </c>
      <c r="O69" s="33">
        <v>2012</v>
      </c>
      <c r="P69" s="34">
        <v>4.3499999999999997E-2</v>
      </c>
      <c r="R69" s="1" t="str">
        <f t="shared" si="6"/>
        <v>ALTORIESGO22012</v>
      </c>
      <c r="S69" s="1" t="s">
        <v>97</v>
      </c>
      <c r="T69" s="1">
        <v>2012</v>
      </c>
      <c r="U69" s="34">
        <v>7.22E-2</v>
      </c>
    </row>
    <row r="70" spans="2:21" ht="15.95" customHeight="1">
      <c r="B70" s="189" t="str">
        <f t="shared" si="4"/>
        <v>Altoriesgo22011</v>
      </c>
      <c r="C70" s="296" t="s">
        <v>24</v>
      </c>
      <c r="D70" s="296">
        <v>2011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0.18BAJORIESGO2011</v>
      </c>
      <c r="M70" s="31">
        <v>0.18</v>
      </c>
      <c r="N70" s="32" t="s">
        <v>217</v>
      </c>
      <c r="O70" s="33">
        <v>2011</v>
      </c>
      <c r="P70" s="34">
        <v>4.5400000000000003E-2</v>
      </c>
      <c r="R70" s="1" t="str">
        <f t="shared" si="6"/>
        <v>ALTORIESGO22011</v>
      </c>
      <c r="S70" s="1" t="s">
        <v>97</v>
      </c>
      <c r="T70" s="1">
        <v>2011</v>
      </c>
      <c r="U70" s="34">
        <v>7.5899999999999995E-2</v>
      </c>
    </row>
    <row r="71" spans="2:21" ht="15.95" customHeight="1">
      <c r="B71" s="189" t="str">
        <f t="shared" si="4"/>
        <v>Altoriesgo22010</v>
      </c>
      <c r="C71" s="296" t="s">
        <v>24</v>
      </c>
      <c r="D71" s="296">
        <v>2010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0.18BAJORIESGO2010</v>
      </c>
      <c r="M71" s="31">
        <v>0.18</v>
      </c>
      <c r="N71" s="32" t="s">
        <v>217</v>
      </c>
      <c r="O71" s="33">
        <v>2010</v>
      </c>
      <c r="P71" s="34">
        <v>4.6199999999999998E-2</v>
      </c>
      <c r="R71" s="1" t="str">
        <f t="shared" si="6"/>
        <v>ALTORIESGO22010</v>
      </c>
      <c r="S71" s="1" t="s">
        <v>97</v>
      </c>
      <c r="T71" s="1">
        <v>2010</v>
      </c>
      <c r="U71" s="34">
        <v>7.9600000000000004E-2</v>
      </c>
    </row>
    <row r="72" spans="2:21" ht="15.95" customHeight="1">
      <c r="B72" s="189" t="str">
        <f t="shared" si="4"/>
        <v>Altoriesgo22009</v>
      </c>
      <c r="C72" s="296" t="s">
        <v>24</v>
      </c>
      <c r="D72" s="296">
        <v>2009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0.18BAJORIESGO2009</v>
      </c>
      <c r="M72" s="31">
        <v>0.18</v>
      </c>
      <c r="N72" s="32" t="s">
        <v>217</v>
      </c>
      <c r="O72" s="33">
        <v>2009</v>
      </c>
      <c r="P72" s="34">
        <v>4.7800000000000002E-2</v>
      </c>
      <c r="R72" s="1" t="str">
        <f t="shared" si="6"/>
        <v>ALTORIESGO22009</v>
      </c>
      <c r="S72" s="1" t="s">
        <v>97</v>
      </c>
      <c r="T72" s="1">
        <v>2009</v>
      </c>
      <c r="U72" s="34">
        <v>8.4600000000000009E-2</v>
      </c>
    </row>
    <row r="73" spans="2:21" ht="15.95" customHeight="1">
      <c r="B73" s="189" t="str">
        <f t="shared" si="4"/>
        <v>Altoriesgo22008</v>
      </c>
      <c r="C73" s="296" t="s">
        <v>24</v>
      </c>
      <c r="D73" s="296">
        <v>2008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0.18BAJORIESGO2008</v>
      </c>
      <c r="M73" s="31">
        <v>0.18</v>
      </c>
      <c r="N73" s="32" t="s">
        <v>217</v>
      </c>
      <c r="O73" s="33">
        <v>2008</v>
      </c>
      <c r="P73" s="34">
        <v>4.9100000000000005E-2</v>
      </c>
      <c r="R73" s="1" t="str">
        <f t="shared" si="6"/>
        <v>ALTORIESGO22008</v>
      </c>
      <c r="S73" s="1" t="s">
        <v>97</v>
      </c>
      <c r="T73" s="1">
        <v>2008</v>
      </c>
      <c r="U73" s="34">
        <v>8.8300000000000003E-2</v>
      </c>
    </row>
    <row r="74" spans="2:21" ht="15.95" customHeight="1">
      <c r="B74" s="189" t="str">
        <f t="shared" si="4"/>
        <v>Altoriesgo22007</v>
      </c>
      <c r="C74" s="296" t="s">
        <v>24</v>
      </c>
      <c r="D74" s="296">
        <v>2007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0.18BAJORIESGO2007</v>
      </c>
      <c r="M74" s="31">
        <v>0.18</v>
      </c>
      <c r="N74" s="32" t="s">
        <v>217</v>
      </c>
      <c r="O74" s="33">
        <v>2007</v>
      </c>
      <c r="P74" s="34">
        <v>0.05</v>
      </c>
      <c r="R74" s="1" t="str">
        <f t="shared" si="6"/>
        <v>ALTORIESGO22007</v>
      </c>
      <c r="S74" s="1" t="s">
        <v>97</v>
      </c>
      <c r="T74" s="1">
        <v>2007</v>
      </c>
      <c r="U74" s="34">
        <v>9.3299999999999994E-2</v>
      </c>
    </row>
    <row r="75" spans="2:21" ht="15.95" customHeight="1">
      <c r="B75" s="189" t="str">
        <f t="shared" si="4"/>
        <v>Altoriesgo22006</v>
      </c>
      <c r="C75" s="296" t="s">
        <v>24</v>
      </c>
      <c r="D75" s="296">
        <v>2006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0.18BAJORIESGO2006</v>
      </c>
      <c r="M75" s="31">
        <v>0.18</v>
      </c>
      <c r="N75" s="32" t="s">
        <v>217</v>
      </c>
      <c r="O75" s="33">
        <v>2006</v>
      </c>
      <c r="P75" s="34">
        <v>5.0900000000000001E-2</v>
      </c>
      <c r="R75" s="1" t="str">
        <f t="shared" si="6"/>
        <v>ALTORIESGO22006</v>
      </c>
      <c r="S75" s="1" t="s">
        <v>97</v>
      </c>
      <c r="T75" s="1">
        <v>2006</v>
      </c>
      <c r="U75" s="34">
        <v>9.3299999999999994E-2</v>
      </c>
    </row>
    <row r="76" spans="2:21" ht="15.95" customHeight="1">
      <c r="B76" s="189" t="str">
        <f t="shared" si="4"/>
        <v>Altoriesgo22005</v>
      </c>
      <c r="C76" s="296" t="s">
        <v>24</v>
      </c>
      <c r="D76" s="296">
        <v>2005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0.18BAJORIESGO2005</v>
      </c>
      <c r="M76" s="31">
        <v>0.18</v>
      </c>
      <c r="N76" s="32" t="s">
        <v>217</v>
      </c>
      <c r="O76" s="33">
        <v>2005</v>
      </c>
      <c r="P76" s="34">
        <v>5.0900000000000001E-2</v>
      </c>
      <c r="R76" s="1" t="str">
        <f t="shared" si="6"/>
        <v>ALTORIESGO22005</v>
      </c>
      <c r="S76" s="1" t="s">
        <v>97</v>
      </c>
      <c r="T76" s="1">
        <v>2005</v>
      </c>
      <c r="U76" s="34">
        <v>9.3299999999999994E-2</v>
      </c>
    </row>
    <row r="77" spans="2:21" ht="15.95" customHeight="1">
      <c r="B77" s="189" t="str">
        <f t="shared" si="4"/>
        <v>Altoriesgo22004</v>
      </c>
      <c r="C77" s="296" t="s">
        <v>24</v>
      </c>
      <c r="D77" s="296">
        <v>2004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0.18BAJORIESGO2004</v>
      </c>
      <c r="M77" s="31">
        <v>0.18</v>
      </c>
      <c r="N77" s="32" t="s">
        <v>217</v>
      </c>
      <c r="O77" s="33">
        <v>2004</v>
      </c>
      <c r="P77" s="34">
        <v>5.0900000000000001E-2</v>
      </c>
      <c r="R77" s="1" t="str">
        <f t="shared" si="6"/>
        <v>ALTORIESGO22004</v>
      </c>
      <c r="S77" s="1" t="s">
        <v>97</v>
      </c>
      <c r="T77" s="1">
        <v>2004</v>
      </c>
      <c r="U77" s="34">
        <v>9.3299999999999994E-2</v>
      </c>
    </row>
    <row r="78" spans="2:21" ht="15.95" customHeight="1">
      <c r="B78" s="189" t="str">
        <f t="shared" si="4"/>
        <v>Altoriesgo22003</v>
      </c>
      <c r="C78" s="296" t="s">
        <v>24</v>
      </c>
      <c r="D78" s="296">
        <v>2003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0.18BAJORIESGO2003</v>
      </c>
      <c r="M78" s="31">
        <v>0.18</v>
      </c>
      <c r="N78" s="32" t="s">
        <v>217</v>
      </c>
      <c r="O78" s="33">
        <v>2003</v>
      </c>
      <c r="P78" s="34">
        <v>5.0900000000000001E-2</v>
      </c>
      <c r="R78" s="1" t="str">
        <f t="shared" si="6"/>
        <v>ALTORIESGO22003</v>
      </c>
      <c r="S78" s="1" t="s">
        <v>97</v>
      </c>
      <c r="T78" s="1">
        <v>2003</v>
      </c>
      <c r="U78" s="34">
        <v>9.3299999999999994E-2</v>
      </c>
    </row>
    <row r="79" spans="2:21" ht="15.95" customHeight="1">
      <c r="B79" s="189" t="str">
        <f t="shared" si="4"/>
        <v>Altoriesgo22002</v>
      </c>
      <c r="C79" s="296" t="s">
        <v>24</v>
      </c>
      <c r="D79" s="296">
        <v>2002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0.18BAJORIESGO2002</v>
      </c>
      <c r="M79" s="31">
        <v>0.18</v>
      </c>
      <c r="N79" s="32" t="s">
        <v>217</v>
      </c>
      <c r="O79" s="33">
        <v>2002</v>
      </c>
      <c r="P79" s="34">
        <v>5.0900000000000001E-2</v>
      </c>
      <c r="R79" s="1" t="str">
        <f t="shared" si="6"/>
        <v>ALTORIESGO22002</v>
      </c>
      <c r="S79" s="1" t="s">
        <v>97</v>
      </c>
      <c r="T79" s="1">
        <v>2002</v>
      </c>
      <c r="U79" s="34">
        <v>9.3299999999999994E-2</v>
      </c>
    </row>
    <row r="80" spans="2:21" ht="15.95" customHeight="1">
      <c r="B80" s="189" t="str">
        <f t="shared" si="4"/>
        <v>Altoriesgo22001</v>
      </c>
      <c r="C80" s="296" t="s">
        <v>24</v>
      </c>
      <c r="D80" s="296">
        <v>2001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0.18BAJORIESGO2001</v>
      </c>
      <c r="M80" s="31">
        <v>0.18</v>
      </c>
      <c r="N80" s="32" t="s">
        <v>217</v>
      </c>
      <c r="O80" s="33">
        <v>2001</v>
      </c>
      <c r="P80" s="34">
        <v>5.0900000000000001E-2</v>
      </c>
      <c r="R80" s="1" t="str">
        <f t="shared" si="6"/>
        <v>ALTORIESGO22001</v>
      </c>
      <c r="S80" s="1" t="s">
        <v>97</v>
      </c>
      <c r="T80" s="1">
        <v>2001</v>
      </c>
      <c r="U80" s="34">
        <v>9.3299999999999994E-2</v>
      </c>
    </row>
    <row r="81" spans="2:21" ht="15.95" customHeight="1">
      <c r="B81" s="189" t="str">
        <f t="shared" si="4"/>
        <v>Altoriesgo22000</v>
      </c>
      <c r="C81" s="296" t="s">
        <v>24</v>
      </c>
      <c r="D81" s="296">
        <v>2000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0.18BAJORIESGO2000</v>
      </c>
      <c r="M81" s="31">
        <v>0.18</v>
      </c>
      <c r="N81" s="32" t="s">
        <v>217</v>
      </c>
      <c r="O81" s="33">
        <v>2000</v>
      </c>
      <c r="P81" s="34">
        <v>5.0900000000000001E-2</v>
      </c>
      <c r="R81" s="1" t="str">
        <f>+S81&amp;T81</f>
        <v>ALTORIESGO22000</v>
      </c>
      <c r="S81" s="1" t="s">
        <v>97</v>
      </c>
      <c r="T81" s="1">
        <v>2000</v>
      </c>
      <c r="U81" s="34">
        <v>9.3299999999999994E-2</v>
      </c>
    </row>
    <row r="82" spans="2:21" ht="15.95" customHeight="1">
      <c r="L82" s="1" t="str">
        <f t="shared" si="5"/>
        <v>0.18MEDIANORIESGO2018</v>
      </c>
      <c r="M82" s="31">
        <v>0.18</v>
      </c>
      <c r="N82" s="32" t="s">
        <v>127</v>
      </c>
      <c r="O82" s="33">
        <v>2018</v>
      </c>
      <c r="P82" s="34">
        <v>3.5000000000000003E-2</v>
      </c>
    </row>
    <row r="83" spans="2:21" ht="15.95" customHeight="1">
      <c r="L83" s="1" t="str">
        <f t="shared" si="5"/>
        <v>0.18MEDIANORIESGONUEVO 2017</v>
      </c>
      <c r="M83" s="31">
        <v>0.18</v>
      </c>
      <c r="N83" s="32" t="s">
        <v>127</v>
      </c>
      <c r="O83" s="33" t="s">
        <v>678</v>
      </c>
      <c r="P83" s="34">
        <v>3.5000000000000003E-2</v>
      </c>
    </row>
    <row r="84" spans="2:21" ht="15.95" customHeight="1">
      <c r="L84" s="1" t="str">
        <f t="shared" si="5"/>
        <v>0.18MEDIANORIESGO2017</v>
      </c>
      <c r="M84" s="31">
        <v>0.18</v>
      </c>
      <c r="N84" s="32" t="s">
        <v>127</v>
      </c>
      <c r="O84" s="33">
        <v>2017</v>
      </c>
      <c r="P84" s="34">
        <v>3.7499999999999999E-2</v>
      </c>
    </row>
    <row r="85" spans="2:21" ht="15.95" customHeight="1">
      <c r="L85" s="1" t="str">
        <f t="shared" si="5"/>
        <v>0.18MEDIANORIESGO2016</v>
      </c>
      <c r="M85" s="31">
        <v>0.18</v>
      </c>
      <c r="N85" s="32" t="s">
        <v>127</v>
      </c>
      <c r="O85" s="33">
        <v>2016</v>
      </c>
      <c r="P85" s="34">
        <v>3.9300000000000002E-2</v>
      </c>
    </row>
    <row r="86" spans="2:21" ht="15.95" customHeight="1">
      <c r="L86" s="1" t="str">
        <f t="shared" si="5"/>
        <v>0.18MEDIANORIESGO2015</v>
      </c>
      <c r="M86" s="31">
        <v>0.18</v>
      </c>
      <c r="N86" s="32" t="s">
        <v>127</v>
      </c>
      <c r="O86" s="33">
        <v>2015</v>
      </c>
      <c r="P86" s="34">
        <v>4.1700000000000001E-2</v>
      </c>
    </row>
    <row r="87" spans="2:21" ht="15.95" customHeight="1">
      <c r="L87" s="1" t="str">
        <f t="shared" si="5"/>
        <v>0.18MEDIANORIESGO2014</v>
      </c>
      <c r="M87" s="31">
        <v>0.18</v>
      </c>
      <c r="N87" s="32" t="s">
        <v>127</v>
      </c>
      <c r="O87" s="33">
        <v>2014</v>
      </c>
      <c r="P87" s="34">
        <v>4.3499999999999997E-2</v>
      </c>
    </row>
    <row r="88" spans="2:21" ht="15.95" customHeight="1">
      <c r="L88" s="1" t="str">
        <f t="shared" si="5"/>
        <v>0.18MEDIANORIESGO2013</v>
      </c>
      <c r="M88" s="31">
        <v>0.18</v>
      </c>
      <c r="N88" s="32" t="s">
        <v>127</v>
      </c>
      <c r="O88" s="33">
        <v>2013</v>
      </c>
      <c r="P88" s="34">
        <v>4.5400000000000003E-2</v>
      </c>
    </row>
    <row r="89" spans="2:21" ht="15.95" customHeight="1">
      <c r="L89" s="1" t="str">
        <f t="shared" si="5"/>
        <v>0.18MEDIANORIESGO2012</v>
      </c>
      <c r="M89" s="31">
        <v>0.18</v>
      </c>
      <c r="N89" s="32" t="s">
        <v>127</v>
      </c>
      <c r="O89" s="33">
        <v>2012</v>
      </c>
      <c r="P89" s="34">
        <v>4.7599999999999996E-2</v>
      </c>
    </row>
    <row r="90" spans="2:21" ht="15.95" customHeight="1">
      <c r="L90" s="1" t="str">
        <f t="shared" si="5"/>
        <v>0.18MEDIANORIESGO2011</v>
      </c>
      <c r="M90" s="31">
        <v>0.18</v>
      </c>
      <c r="N90" s="32" t="s">
        <v>127</v>
      </c>
      <c r="O90" s="33">
        <v>2011</v>
      </c>
      <c r="P90" s="34">
        <v>4.9400000000000006E-2</v>
      </c>
    </row>
    <row r="91" spans="2:21" ht="15.95" customHeight="1">
      <c r="L91" s="1" t="str">
        <f t="shared" si="5"/>
        <v>0.18MEDIANORIESGO2010</v>
      </c>
      <c r="M91" s="31">
        <v>0.18</v>
      </c>
      <c r="N91" s="32" t="s">
        <v>127</v>
      </c>
      <c r="O91" s="33">
        <v>2010</v>
      </c>
      <c r="P91" s="34">
        <v>5.1500000000000004E-2</v>
      </c>
    </row>
    <row r="92" spans="2:21" ht="15.95" customHeight="1">
      <c r="L92" s="1" t="str">
        <f t="shared" si="5"/>
        <v>0.18MEDIANORIESGO2009</v>
      </c>
      <c r="M92" s="31">
        <v>0.18</v>
      </c>
      <c r="N92" s="32" t="s">
        <v>127</v>
      </c>
      <c r="O92" s="33">
        <v>2009</v>
      </c>
      <c r="P92" s="34">
        <v>5.33E-2</v>
      </c>
    </row>
    <row r="93" spans="2:21" ht="15.95" customHeight="1">
      <c r="L93" s="1" t="str">
        <f t="shared" si="5"/>
        <v>0.18MEDIANORIESGO2008</v>
      </c>
      <c r="M93" s="31">
        <v>0.18</v>
      </c>
      <c r="N93" s="32" t="s">
        <v>127</v>
      </c>
      <c r="O93" s="33">
        <v>2008</v>
      </c>
      <c r="P93" s="34">
        <v>5.5199999999999999E-2</v>
      </c>
    </row>
    <row r="94" spans="2:21" ht="15.95" customHeight="1">
      <c r="L94" s="1" t="str">
        <f t="shared" si="5"/>
        <v>0.18MEDIANORIESGO2007</v>
      </c>
      <c r="M94" s="31">
        <v>0.18</v>
      </c>
      <c r="N94" s="32" t="s">
        <v>127</v>
      </c>
      <c r="O94" s="33">
        <v>2007</v>
      </c>
      <c r="P94" s="34">
        <v>5.6600000000000004E-2</v>
      </c>
    </row>
    <row r="95" spans="2:21" ht="15.95" customHeight="1">
      <c r="L95" s="1" t="str">
        <f t="shared" si="5"/>
        <v>0.18MEDIANORIESGO2006</v>
      </c>
      <c r="M95" s="31">
        <v>0.18</v>
      </c>
      <c r="N95" s="32" t="s">
        <v>127</v>
      </c>
      <c r="O95" s="33">
        <v>2006</v>
      </c>
      <c r="P95" s="34">
        <v>5.74E-2</v>
      </c>
    </row>
    <row r="96" spans="2:21" ht="15.95" customHeight="1">
      <c r="L96" s="1" t="str">
        <f t="shared" si="5"/>
        <v>0.18MEDIANORIESGO2005</v>
      </c>
      <c r="M96" s="31">
        <v>0.18</v>
      </c>
      <c r="N96" s="32" t="s">
        <v>127</v>
      </c>
      <c r="O96" s="33">
        <v>2005</v>
      </c>
      <c r="P96" s="34">
        <v>5.74E-2</v>
      </c>
    </row>
    <row r="97" spans="12:16" ht="15.95" customHeight="1">
      <c r="L97" s="1" t="str">
        <f t="shared" si="5"/>
        <v>0.18MEDIANORIESGO2004</v>
      </c>
      <c r="M97" s="31">
        <v>0.18</v>
      </c>
      <c r="N97" s="32" t="s">
        <v>127</v>
      </c>
      <c r="O97" s="33">
        <v>2004</v>
      </c>
      <c r="P97" s="34">
        <v>5.74E-2</v>
      </c>
    </row>
    <row r="98" spans="12:16" ht="15.95" customHeight="1">
      <c r="L98" s="1" t="str">
        <f t="shared" si="5"/>
        <v>0.18MEDIANORIESGO2003</v>
      </c>
      <c r="M98" s="31">
        <v>0.18</v>
      </c>
      <c r="N98" s="32" t="s">
        <v>127</v>
      </c>
      <c r="O98" s="33">
        <v>2003</v>
      </c>
      <c r="P98" s="34">
        <v>5.74E-2</v>
      </c>
    </row>
    <row r="99" spans="12:16" ht="15.95" customHeight="1">
      <c r="L99" s="1" t="str">
        <f t="shared" si="5"/>
        <v>0.18MEDIANORIESGO2002</v>
      </c>
      <c r="M99" s="31">
        <v>0.18</v>
      </c>
      <c r="N99" s="32" t="s">
        <v>127</v>
      </c>
      <c r="O99" s="33">
        <v>2002</v>
      </c>
      <c r="P99" s="34">
        <v>5.74E-2</v>
      </c>
    </row>
    <row r="100" spans="12:16" ht="15.95" customHeight="1">
      <c r="L100" s="1" t="str">
        <f t="shared" si="5"/>
        <v>0.18MEDIANORIESGO2001</v>
      </c>
      <c r="M100" s="31">
        <v>0.18</v>
      </c>
      <c r="N100" s="32" t="s">
        <v>127</v>
      </c>
      <c r="O100" s="33">
        <v>2001</v>
      </c>
      <c r="P100" s="34">
        <v>5.74E-2</v>
      </c>
    </row>
    <row r="101" spans="12:16" ht="15.95" customHeight="1">
      <c r="L101" s="1" t="str">
        <f t="shared" si="5"/>
        <v>0.18MEDIANORIESGO2000</v>
      </c>
      <c r="M101" s="31">
        <v>0.18</v>
      </c>
      <c r="N101" s="32" t="s">
        <v>127</v>
      </c>
      <c r="O101" s="33">
        <v>2000</v>
      </c>
      <c r="P101" s="34">
        <v>5.74E-2</v>
      </c>
    </row>
    <row r="102" spans="12:16" ht="15.95" customHeight="1">
      <c r="L102" s="1" t="str">
        <f t="shared" si="5"/>
        <v>0.18ALTORIESGO2018</v>
      </c>
      <c r="M102" s="31">
        <v>0.18</v>
      </c>
      <c r="N102" s="32" t="s">
        <v>128</v>
      </c>
      <c r="O102" s="33">
        <v>2018</v>
      </c>
      <c r="P102" s="34">
        <v>3.8300000000000001E-2</v>
      </c>
    </row>
    <row r="103" spans="12:16" ht="15.95" customHeight="1">
      <c r="L103" s="1" t="str">
        <f t="shared" si="5"/>
        <v>0.18ALTORIESGONUEVO 2017</v>
      </c>
      <c r="M103" s="31">
        <v>0.18</v>
      </c>
      <c r="N103" s="32" t="s">
        <v>128</v>
      </c>
      <c r="O103" s="33" t="s">
        <v>678</v>
      </c>
      <c r="P103" s="34">
        <v>3.8300000000000001E-2</v>
      </c>
    </row>
    <row r="104" spans="12:16" ht="15.95" customHeight="1">
      <c r="L104" s="1" t="str">
        <f t="shared" si="5"/>
        <v>0.18ALTORIESGO2017</v>
      </c>
      <c r="M104" s="31">
        <v>0.18</v>
      </c>
      <c r="N104" s="32" t="s">
        <v>128</v>
      </c>
      <c r="O104" s="33">
        <v>2017</v>
      </c>
      <c r="P104" s="34">
        <v>4.0399999999999998E-2</v>
      </c>
    </row>
    <row r="105" spans="12:16" ht="15.95" customHeight="1">
      <c r="L105" s="1" t="str">
        <f t="shared" si="5"/>
        <v>0.18ALTORIESGO2016</v>
      </c>
      <c r="M105" s="31">
        <v>0.18</v>
      </c>
      <c r="N105" s="32" t="s">
        <v>128</v>
      </c>
      <c r="O105" s="33">
        <v>2016</v>
      </c>
      <c r="P105" s="34">
        <v>4.2500000000000003E-2</v>
      </c>
    </row>
    <row r="106" spans="12:16" ht="15.95" customHeight="1">
      <c r="L106" s="1" t="str">
        <f t="shared" si="5"/>
        <v>0.18ALTORIESGO2015</v>
      </c>
      <c r="M106" s="31">
        <v>0.18</v>
      </c>
      <c r="N106" s="32" t="s">
        <v>128</v>
      </c>
      <c r="O106" s="33">
        <v>2015</v>
      </c>
      <c r="P106" s="34">
        <v>4.4900000000000002E-2</v>
      </c>
    </row>
    <row r="107" spans="12:16" ht="15.95" customHeight="1">
      <c r="L107" s="1" t="str">
        <f t="shared" si="5"/>
        <v>0.18ALTORIESGO2014</v>
      </c>
      <c r="M107" s="31">
        <v>0.18</v>
      </c>
      <c r="N107" s="32" t="s">
        <v>128</v>
      </c>
      <c r="O107" s="33">
        <v>2014</v>
      </c>
      <c r="P107" s="34">
        <v>4.6199999999999998E-2</v>
      </c>
    </row>
    <row r="108" spans="12:16" ht="15.95" customHeight="1">
      <c r="L108" s="1" t="str">
        <f t="shared" si="5"/>
        <v>0.18ALTORIESGO2013</v>
      </c>
      <c r="M108" s="31">
        <v>0.18</v>
      </c>
      <c r="N108" s="32" t="s">
        <v>128</v>
      </c>
      <c r="O108" s="33">
        <v>2013</v>
      </c>
      <c r="P108" s="34">
        <v>4.87E-2</v>
      </c>
    </row>
    <row r="109" spans="12:16" ht="15.95" customHeight="1">
      <c r="L109" s="1" t="str">
        <f t="shared" si="5"/>
        <v>0.18ALTORIESGO2012</v>
      </c>
      <c r="M109" s="31">
        <v>0.18</v>
      </c>
      <c r="N109" s="32" t="s">
        <v>128</v>
      </c>
      <c r="O109" s="33">
        <v>2012</v>
      </c>
      <c r="P109" s="34">
        <v>5.0900000000000001E-2</v>
      </c>
    </row>
    <row r="110" spans="12:16" ht="15.95" customHeight="1">
      <c r="L110" s="1" t="str">
        <f t="shared" si="5"/>
        <v>0.18ALTORIESGO2011</v>
      </c>
      <c r="M110" s="31">
        <v>0.18</v>
      </c>
      <c r="N110" s="32" t="s">
        <v>128</v>
      </c>
      <c r="O110" s="33">
        <v>2011</v>
      </c>
      <c r="P110" s="34">
        <v>5.28E-2</v>
      </c>
    </row>
    <row r="111" spans="12:16" ht="15.95" customHeight="1">
      <c r="L111" s="1" t="str">
        <f t="shared" si="5"/>
        <v>0.18ALTORIESGO2010</v>
      </c>
      <c r="M111" s="31">
        <v>0.18</v>
      </c>
      <c r="N111" s="32" t="s">
        <v>128</v>
      </c>
      <c r="O111" s="33">
        <v>2010</v>
      </c>
      <c r="P111" s="34">
        <v>5.4100000000000002E-2</v>
      </c>
    </row>
    <row r="112" spans="12:16" ht="15.95" customHeight="1">
      <c r="L112" s="1" t="str">
        <f t="shared" si="5"/>
        <v>0.18ALTORIESGO2009</v>
      </c>
      <c r="M112" s="31">
        <v>0.18</v>
      </c>
      <c r="N112" s="32" t="s">
        <v>128</v>
      </c>
      <c r="O112" s="33">
        <v>2009</v>
      </c>
      <c r="P112" s="34">
        <v>5.6100000000000004E-2</v>
      </c>
    </row>
    <row r="113" spans="12:16" ht="15.95" customHeight="1">
      <c r="L113" s="1" t="str">
        <f t="shared" si="5"/>
        <v>0.18ALTORIESGO2008</v>
      </c>
      <c r="M113" s="31">
        <v>0.18</v>
      </c>
      <c r="N113" s="32" t="s">
        <v>128</v>
      </c>
      <c r="O113" s="33">
        <v>2008</v>
      </c>
      <c r="P113" s="34">
        <v>5.79E-2</v>
      </c>
    </row>
    <row r="114" spans="12:16" ht="15.95" customHeight="1">
      <c r="L114" s="1" t="str">
        <f t="shared" si="5"/>
        <v>0.18ALTORIESGO2007</v>
      </c>
      <c r="M114" s="31">
        <v>0.18</v>
      </c>
      <c r="N114" s="32" t="s">
        <v>128</v>
      </c>
      <c r="O114" s="33">
        <v>2007</v>
      </c>
      <c r="P114" s="34">
        <v>5.9299999999999999E-2</v>
      </c>
    </row>
    <row r="115" spans="12:16" ht="15.95" customHeight="1">
      <c r="L115" s="1" t="str">
        <f t="shared" si="5"/>
        <v>0.18ALTORIESGO2006</v>
      </c>
      <c r="M115" s="31">
        <v>0.18</v>
      </c>
      <c r="N115" s="32" t="s">
        <v>128</v>
      </c>
      <c r="O115" s="33">
        <v>2006</v>
      </c>
      <c r="P115" s="34">
        <v>6.0599999999999994E-2</v>
      </c>
    </row>
    <row r="116" spans="12:16" ht="15.95" customHeight="1">
      <c r="L116" s="1" t="str">
        <f t="shared" si="5"/>
        <v>0.18ALTORIESGO2005</v>
      </c>
      <c r="M116" s="31">
        <v>0.18</v>
      </c>
      <c r="N116" s="32" t="s">
        <v>128</v>
      </c>
      <c r="O116" s="33">
        <v>2005</v>
      </c>
      <c r="P116" s="34">
        <v>6.0599999999999994E-2</v>
      </c>
    </row>
    <row r="117" spans="12:16" ht="15.95" customHeight="1">
      <c r="L117" s="1" t="str">
        <f t="shared" si="5"/>
        <v>0.18ALTORIESGO2004</v>
      </c>
      <c r="M117" s="31">
        <v>0.18</v>
      </c>
      <c r="N117" s="32" t="s">
        <v>128</v>
      </c>
      <c r="O117" s="33">
        <v>2004</v>
      </c>
      <c r="P117" s="34">
        <v>6.0599999999999994E-2</v>
      </c>
    </row>
    <row r="118" spans="12:16" ht="15.95" customHeight="1">
      <c r="L118" s="1" t="str">
        <f t="shared" si="5"/>
        <v>0.18ALTORIESGO2003</v>
      </c>
      <c r="M118" s="31">
        <v>0.18</v>
      </c>
      <c r="N118" s="32" t="s">
        <v>128</v>
      </c>
      <c r="O118" s="33">
        <v>2003</v>
      </c>
      <c r="P118" s="34">
        <v>6.0599999999999994E-2</v>
      </c>
    </row>
    <row r="119" spans="12:16" ht="15.95" customHeight="1">
      <c r="L119" s="1" t="str">
        <f t="shared" si="5"/>
        <v>0.18ALTORIESGO2002</v>
      </c>
      <c r="M119" s="31">
        <v>0.18</v>
      </c>
      <c r="N119" s="32" t="s">
        <v>128</v>
      </c>
      <c r="O119" s="33">
        <v>2002</v>
      </c>
      <c r="P119" s="34">
        <v>6.0599999999999994E-2</v>
      </c>
    </row>
    <row r="120" spans="12:16" ht="15.95" customHeight="1">
      <c r="L120" s="1" t="str">
        <f t="shared" si="5"/>
        <v>0.18ALTORIESGO2001</v>
      </c>
      <c r="M120" s="31">
        <v>0.18</v>
      </c>
      <c r="N120" s="32" t="s">
        <v>128</v>
      </c>
      <c r="O120" s="33">
        <v>2001</v>
      </c>
      <c r="P120" s="34">
        <v>6.0599999999999994E-2</v>
      </c>
    </row>
    <row r="121" spans="12:16" ht="15.95" customHeight="1">
      <c r="L121" s="1" t="str">
        <f t="shared" si="5"/>
        <v>0.18ALTORIESGO2000</v>
      </c>
      <c r="M121" s="31">
        <v>0.18</v>
      </c>
      <c r="N121" s="32" t="s">
        <v>128</v>
      </c>
      <c r="O121" s="33">
        <v>2000</v>
      </c>
      <c r="P121" s="34">
        <v>6.0599999999999994E-2</v>
      </c>
    </row>
    <row r="122" spans="12:16" ht="15.95" customHeight="1">
      <c r="L122" s="1" t="str">
        <f t="shared" si="5"/>
        <v>0.15BAJORIESGO2018</v>
      </c>
      <c r="M122" s="31">
        <v>0.15</v>
      </c>
      <c r="N122" s="32" t="s">
        <v>217</v>
      </c>
      <c r="O122" s="33">
        <v>2018</v>
      </c>
      <c r="P122" s="34">
        <v>0.03</v>
      </c>
    </row>
    <row r="123" spans="12:16" ht="15.95" customHeight="1">
      <c r="L123" s="1" t="str">
        <f t="shared" si="5"/>
        <v>0.05BAJORIESGONUEVO 2017</v>
      </c>
      <c r="M123" s="31">
        <v>0.05</v>
      </c>
      <c r="N123" s="32" t="s">
        <v>217</v>
      </c>
      <c r="O123" s="33" t="s">
        <v>678</v>
      </c>
      <c r="P123" s="34">
        <v>0.03</v>
      </c>
    </row>
    <row r="124" spans="12:16" ht="15.95" customHeight="1">
      <c r="L124" s="1" t="str">
        <f t="shared" si="5"/>
        <v>0.15BAJORIESGO2017</v>
      </c>
      <c r="M124" s="31">
        <v>0.15</v>
      </c>
      <c r="N124" s="32" t="s">
        <v>217</v>
      </c>
      <c r="O124" s="33">
        <v>2017</v>
      </c>
      <c r="P124" s="34">
        <v>3.2599999999999997E-2</v>
      </c>
    </row>
    <row r="125" spans="12:16" ht="15.95" customHeight="1">
      <c r="L125" s="1" t="str">
        <f t="shared" si="5"/>
        <v>0.15BAJORIESGO2016</v>
      </c>
      <c r="M125" s="31">
        <v>0.15</v>
      </c>
      <c r="N125" s="32" t="s">
        <v>217</v>
      </c>
      <c r="O125" s="33">
        <v>2016</v>
      </c>
      <c r="P125" s="34">
        <v>3.49E-2</v>
      </c>
    </row>
    <row r="126" spans="12:16" ht="15.95" customHeight="1">
      <c r="L126" s="1" t="str">
        <f t="shared" si="5"/>
        <v>0.15BAJORIESGO2015</v>
      </c>
      <c r="M126" s="31">
        <v>0.15</v>
      </c>
      <c r="N126" s="32" t="s">
        <v>217</v>
      </c>
      <c r="O126" s="33">
        <v>2015</v>
      </c>
      <c r="P126" s="34">
        <v>3.61E-2</v>
      </c>
    </row>
    <row r="127" spans="12:16" ht="15.95" customHeight="1">
      <c r="L127" s="1" t="str">
        <f t="shared" si="5"/>
        <v>0.15BAJORIESGO2014</v>
      </c>
      <c r="M127" s="31">
        <v>0.15</v>
      </c>
      <c r="N127" s="32" t="s">
        <v>217</v>
      </c>
      <c r="O127" s="33">
        <v>2014</v>
      </c>
      <c r="P127" s="34">
        <v>3.7900000000000003E-2</v>
      </c>
    </row>
    <row r="128" spans="12:16" ht="15.95" customHeight="1">
      <c r="L128" s="1" t="str">
        <f t="shared" si="5"/>
        <v>0.15BAJORIESGO2013</v>
      </c>
      <c r="M128" s="31">
        <v>0.15</v>
      </c>
      <c r="N128" s="32" t="s">
        <v>217</v>
      </c>
      <c r="O128" s="33">
        <v>2013</v>
      </c>
      <c r="P128" s="34">
        <v>4.0199999999999993E-2</v>
      </c>
    </row>
    <row r="129" spans="12:16" ht="15.95" customHeight="1">
      <c r="L129" s="1" t="str">
        <f t="shared" si="5"/>
        <v>0.15BAJORIESGO2012</v>
      </c>
      <c r="M129" s="31">
        <v>0.15</v>
      </c>
      <c r="N129" s="32" t="s">
        <v>217</v>
      </c>
      <c r="O129" s="33">
        <v>2012</v>
      </c>
      <c r="P129" s="34">
        <v>4.2000000000000003E-2</v>
      </c>
    </row>
    <row r="130" spans="12:16" ht="15.95" customHeight="1">
      <c r="L130" s="1" t="str">
        <f t="shared" si="5"/>
        <v>0.15BAJORIESGO2011</v>
      </c>
      <c r="M130" s="31">
        <v>0.15</v>
      </c>
      <c r="N130" s="32" t="s">
        <v>217</v>
      </c>
      <c r="O130" s="33">
        <v>2011</v>
      </c>
      <c r="P130" s="34">
        <v>4.3799999999999999E-2</v>
      </c>
    </row>
    <row r="131" spans="12:16" ht="15.95" customHeight="1">
      <c r="L131" s="1" t="str">
        <f t="shared" ref="L131:L181" si="7">+M131&amp;N131&amp;O131</f>
        <v>0.15BAJORIESGO2010</v>
      </c>
      <c r="M131" s="31">
        <v>0.15</v>
      </c>
      <c r="N131" s="32" t="s">
        <v>217</v>
      </c>
      <c r="O131" s="33">
        <v>2010</v>
      </c>
      <c r="P131" s="34">
        <v>4.4600000000000001E-2</v>
      </c>
    </row>
    <row r="132" spans="12:16" ht="15.95" customHeight="1">
      <c r="L132" s="1" t="str">
        <f t="shared" si="7"/>
        <v>0.15BAJORIESGO2009</v>
      </c>
      <c r="M132" s="31">
        <v>0.15</v>
      </c>
      <c r="N132" s="32" t="s">
        <v>217</v>
      </c>
      <c r="O132" s="33">
        <v>2009</v>
      </c>
      <c r="P132" s="34">
        <v>4.6100000000000002E-2</v>
      </c>
    </row>
    <row r="133" spans="12:16" ht="15.95" customHeight="1">
      <c r="L133" s="1" t="str">
        <f t="shared" si="7"/>
        <v>0.15BAJORIESGO2008</v>
      </c>
      <c r="M133" s="31">
        <v>0.15</v>
      </c>
      <c r="N133" s="32" t="s">
        <v>217</v>
      </c>
      <c r="O133" s="33">
        <v>2008</v>
      </c>
      <c r="P133" s="34">
        <v>4.7300000000000002E-2</v>
      </c>
    </row>
    <row r="134" spans="12:16" ht="15.95" customHeight="1">
      <c r="L134" s="1" t="str">
        <f t="shared" si="7"/>
        <v>0.15BAJORIESGO2007</v>
      </c>
      <c r="M134" s="31">
        <v>0.15</v>
      </c>
      <c r="N134" s="32" t="s">
        <v>217</v>
      </c>
      <c r="O134" s="33">
        <v>2007</v>
      </c>
      <c r="P134" s="34">
        <v>4.82E-2</v>
      </c>
    </row>
    <row r="135" spans="12:16" ht="15.95" customHeight="1">
      <c r="L135" s="1" t="str">
        <f t="shared" si="7"/>
        <v>0.15BAJORIESGO2006</v>
      </c>
      <c r="M135" s="31">
        <v>0.15</v>
      </c>
      <c r="N135" s="32" t="s">
        <v>217</v>
      </c>
      <c r="O135" s="33">
        <v>2006</v>
      </c>
      <c r="P135" s="34">
        <v>4.9100000000000005E-2</v>
      </c>
    </row>
    <row r="136" spans="12:16" ht="15.95" customHeight="1">
      <c r="L136" s="1" t="str">
        <f t="shared" si="7"/>
        <v>0.15BAJORIESGO2005</v>
      </c>
      <c r="M136" s="31">
        <v>0.15</v>
      </c>
      <c r="N136" s="32" t="s">
        <v>217</v>
      </c>
      <c r="O136" s="33">
        <v>2005</v>
      </c>
      <c r="P136" s="34">
        <v>4.9100000000000005E-2</v>
      </c>
    </row>
    <row r="137" spans="12:16" ht="15.95" customHeight="1">
      <c r="L137" s="1" t="str">
        <f t="shared" si="7"/>
        <v>0.15BAJORIESGO2004</v>
      </c>
      <c r="M137" s="31">
        <v>0.15</v>
      </c>
      <c r="N137" s="32" t="s">
        <v>217</v>
      </c>
      <c r="O137" s="33">
        <v>2004</v>
      </c>
      <c r="P137" s="34">
        <v>4.9100000000000005E-2</v>
      </c>
    </row>
    <row r="138" spans="12:16" ht="15.95" customHeight="1">
      <c r="L138" s="1" t="str">
        <f t="shared" si="7"/>
        <v>0.15BAJORIESGO2003</v>
      </c>
      <c r="M138" s="31">
        <v>0.15</v>
      </c>
      <c r="N138" s="32" t="s">
        <v>217</v>
      </c>
      <c r="O138" s="33">
        <v>2003</v>
      </c>
      <c r="P138" s="34">
        <v>4.9100000000000005E-2</v>
      </c>
    </row>
    <row r="139" spans="12:16" ht="15.95" customHeight="1">
      <c r="L139" s="1" t="str">
        <f t="shared" si="7"/>
        <v>0.15BAJORIESGO2002</v>
      </c>
      <c r="M139" s="31">
        <v>0.15</v>
      </c>
      <c r="N139" s="32" t="s">
        <v>217</v>
      </c>
      <c r="O139" s="33">
        <v>2002</v>
      </c>
      <c r="P139" s="34">
        <v>4.9100000000000005E-2</v>
      </c>
    </row>
    <row r="140" spans="12:16" ht="15.95" customHeight="1">
      <c r="L140" s="1" t="str">
        <f t="shared" si="7"/>
        <v>0.15BAJORIESGO2001</v>
      </c>
      <c r="M140" s="31">
        <v>0.15</v>
      </c>
      <c r="N140" s="32" t="s">
        <v>217</v>
      </c>
      <c r="O140" s="33">
        <v>2001</v>
      </c>
      <c r="P140" s="34">
        <v>4.9100000000000005E-2</v>
      </c>
    </row>
    <row r="141" spans="12:16" ht="15.95" customHeight="1">
      <c r="L141" s="1" t="str">
        <f t="shared" si="7"/>
        <v>0.15BAJORIESGO2000</v>
      </c>
      <c r="M141" s="31">
        <v>0.15</v>
      </c>
      <c r="N141" s="32" t="s">
        <v>217</v>
      </c>
      <c r="O141" s="33">
        <v>2000</v>
      </c>
      <c r="P141" s="34">
        <v>4.9100000000000005E-2</v>
      </c>
    </row>
    <row r="142" spans="12:16" ht="15.95" customHeight="1">
      <c r="L142" s="1" t="str">
        <f t="shared" si="7"/>
        <v>0.15MEDIANORIESGO2018</v>
      </c>
      <c r="M142" s="31">
        <v>0.15</v>
      </c>
      <c r="N142" s="32" t="s">
        <v>127</v>
      </c>
      <c r="O142" s="33">
        <v>2018</v>
      </c>
      <c r="P142" s="34">
        <v>3.3799999999999997E-2</v>
      </c>
    </row>
    <row r="143" spans="12:16" ht="15.95" customHeight="1">
      <c r="L143" s="1" t="str">
        <f t="shared" si="7"/>
        <v>0.15MEDIANORIESGONUEVO 2017</v>
      </c>
      <c r="M143" s="31">
        <v>0.15</v>
      </c>
      <c r="N143" s="32" t="s">
        <v>127</v>
      </c>
      <c r="O143" s="33" t="s">
        <v>678</v>
      </c>
      <c r="P143" s="34">
        <v>3.3799999999999997E-2</v>
      </c>
    </row>
    <row r="144" spans="12:16" ht="15.95" customHeight="1">
      <c r="L144" s="1" t="str">
        <f t="shared" si="7"/>
        <v>0.15MEDIANORIESGO2017</v>
      </c>
      <c r="M144" s="31">
        <v>0.15</v>
      </c>
      <c r="N144" s="32" t="s">
        <v>127</v>
      </c>
      <c r="O144" s="33">
        <v>2017</v>
      </c>
      <c r="P144" s="34">
        <v>3.61E-2</v>
      </c>
    </row>
    <row r="145" spans="12:16" ht="15.95" customHeight="1">
      <c r="L145" s="1" t="str">
        <f t="shared" si="7"/>
        <v>0.15MEDIANORIESGO2016</v>
      </c>
      <c r="M145" s="31">
        <v>0.15</v>
      </c>
      <c r="N145" s="32" t="s">
        <v>127</v>
      </c>
      <c r="O145" s="33">
        <v>2016</v>
      </c>
      <c r="P145" s="34">
        <v>3.7900000000000003E-2</v>
      </c>
    </row>
    <row r="146" spans="12:16" ht="15.95" customHeight="1">
      <c r="L146" s="1" t="str">
        <f t="shared" si="7"/>
        <v>0.15MEDIANORIESGO2015</v>
      </c>
      <c r="M146" s="31">
        <v>0.15</v>
      </c>
      <c r="N146" s="32" t="s">
        <v>127</v>
      </c>
      <c r="O146" s="33">
        <v>2015</v>
      </c>
      <c r="P146" s="34">
        <v>4.0199999999999993E-2</v>
      </c>
    </row>
    <row r="147" spans="12:16" ht="15.95" customHeight="1">
      <c r="L147" s="1" t="str">
        <f t="shared" si="7"/>
        <v>0.15MEDIANORIESGO2014</v>
      </c>
      <c r="M147" s="31">
        <v>0.15</v>
      </c>
      <c r="N147" s="32" t="s">
        <v>127</v>
      </c>
      <c r="O147" s="33">
        <v>2014</v>
      </c>
      <c r="P147" s="34">
        <v>4.2000000000000003E-2</v>
      </c>
    </row>
    <row r="148" spans="12:16" ht="15.95" customHeight="1">
      <c r="L148" s="1" t="str">
        <f t="shared" si="7"/>
        <v>0.15MEDIANORIESGO2013</v>
      </c>
      <c r="M148" s="31">
        <v>0.15</v>
      </c>
      <c r="N148" s="32" t="s">
        <v>127</v>
      </c>
      <c r="O148" s="33">
        <v>2013</v>
      </c>
      <c r="P148" s="34">
        <v>4.3799999999999999E-2</v>
      </c>
    </row>
    <row r="149" spans="12:16" ht="15.95" customHeight="1">
      <c r="L149" s="1" t="str">
        <f t="shared" si="7"/>
        <v>0.15MEDIANORIESGO2012</v>
      </c>
      <c r="M149" s="31">
        <v>0.15</v>
      </c>
      <c r="N149" s="32" t="s">
        <v>127</v>
      </c>
      <c r="O149" s="33">
        <v>2012</v>
      </c>
      <c r="P149" s="34">
        <v>4.5899999999999996E-2</v>
      </c>
    </row>
    <row r="150" spans="12:16" ht="15.95" customHeight="1">
      <c r="L150" s="1" t="str">
        <f t="shared" si="7"/>
        <v>0.15MEDIANORIESGO2011</v>
      </c>
      <c r="M150" s="31">
        <v>0.15</v>
      </c>
      <c r="N150" s="32" t="s">
        <v>127</v>
      </c>
      <c r="O150" s="33">
        <v>2011</v>
      </c>
      <c r="P150" s="34">
        <v>4.7599999999999996E-2</v>
      </c>
    </row>
    <row r="151" spans="12:16" ht="15.95" customHeight="1">
      <c r="L151" s="1" t="str">
        <f t="shared" si="7"/>
        <v>0.15MEDIANORIESGO2010</v>
      </c>
      <c r="M151" s="31">
        <v>0.15</v>
      </c>
      <c r="N151" s="32" t="s">
        <v>127</v>
      </c>
      <c r="O151" s="33">
        <v>2010</v>
      </c>
      <c r="P151" s="34">
        <v>4.9699999999999994E-2</v>
      </c>
    </row>
    <row r="152" spans="12:16" ht="15.95" customHeight="1">
      <c r="L152" s="1" t="str">
        <f t="shared" si="7"/>
        <v>0.15MEDIANORIESGO2009</v>
      </c>
      <c r="M152" s="31">
        <v>0.15</v>
      </c>
      <c r="N152" s="32" t="s">
        <v>127</v>
      </c>
      <c r="O152" s="33">
        <v>2009</v>
      </c>
      <c r="P152" s="34">
        <v>5.1399999999999994E-2</v>
      </c>
    </row>
    <row r="153" spans="12:16" ht="15.95" customHeight="1">
      <c r="L153" s="1" t="str">
        <f t="shared" si="7"/>
        <v>0.15MEDIANORIESGO2008</v>
      </c>
      <c r="M153" s="31">
        <v>0.15</v>
      </c>
      <c r="N153" s="32" t="s">
        <v>127</v>
      </c>
      <c r="O153" s="33">
        <v>2008</v>
      </c>
      <c r="P153" s="34">
        <v>5.33E-2</v>
      </c>
    </row>
    <row r="154" spans="12:16" ht="15.95" customHeight="1">
      <c r="L154" s="1" t="str">
        <f t="shared" si="7"/>
        <v>0.15MEDIANORIESGO2007</v>
      </c>
      <c r="M154" s="31">
        <v>0.15</v>
      </c>
      <c r="N154" s="32" t="s">
        <v>127</v>
      </c>
      <c r="O154" s="33">
        <v>2007</v>
      </c>
      <c r="P154" s="34">
        <v>5.4600000000000003E-2</v>
      </c>
    </row>
    <row r="155" spans="12:16" ht="15.95" customHeight="1">
      <c r="L155" s="1" t="str">
        <f t="shared" si="7"/>
        <v>0.15MEDIANORIESGO2006</v>
      </c>
      <c r="M155" s="31">
        <v>0.15</v>
      </c>
      <c r="N155" s="32" t="s">
        <v>127</v>
      </c>
      <c r="O155" s="33">
        <v>2006</v>
      </c>
      <c r="P155" s="34">
        <v>5.5300000000000002E-2</v>
      </c>
    </row>
    <row r="156" spans="12:16" ht="15.95" customHeight="1">
      <c r="L156" s="1" t="str">
        <f t="shared" si="7"/>
        <v>0.15MEDIANORIESGO2005</v>
      </c>
      <c r="M156" s="31">
        <v>0.15</v>
      </c>
      <c r="N156" s="32" t="s">
        <v>127</v>
      </c>
      <c r="O156" s="33">
        <v>2005</v>
      </c>
      <c r="P156" s="34">
        <v>5.5300000000000002E-2</v>
      </c>
    </row>
    <row r="157" spans="12:16" ht="15.95" customHeight="1">
      <c r="L157" s="1" t="str">
        <f t="shared" si="7"/>
        <v>0.15MEDIANORIESGO2004</v>
      </c>
      <c r="M157" s="31">
        <v>0.15</v>
      </c>
      <c r="N157" s="32" t="s">
        <v>127</v>
      </c>
      <c r="O157" s="33">
        <v>2004</v>
      </c>
      <c r="P157" s="34">
        <v>5.5300000000000002E-2</v>
      </c>
    </row>
    <row r="158" spans="12:16" ht="15.95" customHeight="1">
      <c r="L158" s="1" t="str">
        <f t="shared" si="7"/>
        <v>0.15MEDIANORIESGO2003</v>
      </c>
      <c r="M158" s="31">
        <v>0.15</v>
      </c>
      <c r="N158" s="32" t="s">
        <v>127</v>
      </c>
      <c r="O158" s="33">
        <v>2003</v>
      </c>
      <c r="P158" s="34">
        <v>5.5300000000000002E-2</v>
      </c>
    </row>
    <row r="159" spans="12:16" ht="15.95" customHeight="1">
      <c r="L159" s="1" t="str">
        <f t="shared" si="7"/>
        <v>0.15MEDIANORIESGO2002</v>
      </c>
      <c r="M159" s="31">
        <v>0.15</v>
      </c>
      <c r="N159" s="32" t="s">
        <v>127</v>
      </c>
      <c r="O159" s="33">
        <v>2002</v>
      </c>
      <c r="P159" s="34">
        <v>5.5300000000000002E-2</v>
      </c>
    </row>
    <row r="160" spans="12:16" ht="15.95" customHeight="1">
      <c r="L160" s="1" t="str">
        <f t="shared" si="7"/>
        <v>0.15MEDIANORIESGO2001</v>
      </c>
      <c r="M160" s="31">
        <v>0.15</v>
      </c>
      <c r="N160" s="32" t="s">
        <v>127</v>
      </c>
      <c r="O160" s="33">
        <v>2001</v>
      </c>
      <c r="P160" s="34">
        <v>5.5300000000000002E-2</v>
      </c>
    </row>
    <row r="161" spans="12:16" ht="15.95" customHeight="1">
      <c r="L161" s="1" t="str">
        <f t="shared" si="7"/>
        <v>0.15MEDIANORIESGO2000</v>
      </c>
      <c r="M161" s="31">
        <v>0.15</v>
      </c>
      <c r="N161" s="32" t="s">
        <v>127</v>
      </c>
      <c r="O161" s="33">
        <v>2000</v>
      </c>
      <c r="P161" s="34">
        <v>5.5300000000000002E-2</v>
      </c>
    </row>
    <row r="162" spans="12:16" ht="15.95" customHeight="1">
      <c r="L162" s="1" t="str">
        <f t="shared" si="7"/>
        <v>0.15ALTORIESGO2018</v>
      </c>
      <c r="M162" s="31">
        <v>0.15</v>
      </c>
      <c r="N162" s="32" t="s">
        <v>128</v>
      </c>
      <c r="O162" s="33">
        <v>2018</v>
      </c>
      <c r="P162" s="34">
        <v>3.7000000000000005E-2</v>
      </c>
    </row>
    <row r="163" spans="12:16" ht="15.95" customHeight="1">
      <c r="L163" s="1" t="str">
        <f t="shared" si="7"/>
        <v>0.15ALTORIESGONUEVO 2017</v>
      </c>
      <c r="M163" s="31">
        <v>0.15</v>
      </c>
      <c r="N163" s="32" t="s">
        <v>128</v>
      </c>
      <c r="O163" s="33" t="s">
        <v>678</v>
      </c>
      <c r="P163" s="34">
        <v>3.6999999999999998E-2</v>
      </c>
    </row>
    <row r="164" spans="12:16" ht="15.95" customHeight="1">
      <c r="L164" s="1" t="str">
        <f t="shared" si="7"/>
        <v>0.15ALTORIESGO2017</v>
      </c>
      <c r="M164" s="31">
        <v>0.15</v>
      </c>
      <c r="N164" s="32" t="s">
        <v>128</v>
      </c>
      <c r="O164" s="33">
        <v>2017</v>
      </c>
      <c r="P164" s="34">
        <v>3.9E-2</v>
      </c>
    </row>
    <row r="165" spans="12:16" ht="15.95" customHeight="1">
      <c r="L165" s="1" t="str">
        <f t="shared" si="7"/>
        <v>0.15ALTORIESGO2016</v>
      </c>
      <c r="M165" s="31">
        <v>0.15</v>
      </c>
      <c r="N165" s="32" t="s">
        <v>128</v>
      </c>
      <c r="O165" s="33">
        <v>2016</v>
      </c>
      <c r="P165" s="34">
        <v>4.0999999999999995E-2</v>
      </c>
    </row>
    <row r="166" spans="12:16" ht="15.95" customHeight="1">
      <c r="L166" s="1" t="str">
        <f t="shared" si="7"/>
        <v>0.15ALTORIESGO2015</v>
      </c>
      <c r="M166" s="31">
        <v>0.15</v>
      </c>
      <c r="N166" s="32" t="s">
        <v>128</v>
      </c>
      <c r="O166" s="33">
        <v>2015</v>
      </c>
      <c r="P166" s="34">
        <v>4.3299999999999998E-2</v>
      </c>
    </row>
    <row r="167" spans="12:16" ht="15.95" customHeight="1">
      <c r="L167" s="1" t="str">
        <f t="shared" si="7"/>
        <v>0.15ALTORIESGO2014</v>
      </c>
      <c r="M167" s="31">
        <v>0.15</v>
      </c>
      <c r="N167" s="32" t="s">
        <v>128</v>
      </c>
      <c r="O167" s="33">
        <v>2014</v>
      </c>
      <c r="P167" s="34">
        <v>4.4600000000000001E-2</v>
      </c>
    </row>
    <row r="168" spans="12:16" ht="15.95" customHeight="1">
      <c r="L168" s="1" t="str">
        <f t="shared" si="7"/>
        <v>0.15ALTORIESGO2013</v>
      </c>
      <c r="M168" s="31">
        <v>0.15</v>
      </c>
      <c r="N168" s="32" t="s">
        <v>128</v>
      </c>
      <c r="O168" s="33">
        <v>2013</v>
      </c>
      <c r="P168" s="34">
        <v>4.7E-2</v>
      </c>
    </row>
    <row r="169" spans="12:16" ht="15.95" customHeight="1">
      <c r="L169" s="1" t="str">
        <f t="shared" si="7"/>
        <v>0.15ALTORIESGO2012</v>
      </c>
      <c r="M169" s="31">
        <v>0.15</v>
      </c>
      <c r="N169" s="32" t="s">
        <v>128</v>
      </c>
      <c r="O169" s="33">
        <v>2012</v>
      </c>
      <c r="P169" s="34">
        <v>4.9100000000000005E-2</v>
      </c>
    </row>
    <row r="170" spans="12:16" ht="15.95" customHeight="1">
      <c r="L170" s="1" t="str">
        <f t="shared" si="7"/>
        <v>0.15ALTORIESGO2011</v>
      </c>
      <c r="M170" s="31">
        <v>0.15</v>
      </c>
      <c r="N170" s="32" t="s">
        <v>128</v>
      </c>
      <c r="O170" s="33">
        <v>2011</v>
      </c>
      <c r="P170" s="34">
        <v>5.0900000000000001E-2</v>
      </c>
    </row>
    <row r="171" spans="12:16" ht="15.95" customHeight="1">
      <c r="L171" s="1" t="str">
        <f t="shared" si="7"/>
        <v>0.15ALTORIESGO2010</v>
      </c>
      <c r="M171" s="31">
        <v>0.15</v>
      </c>
      <c r="N171" s="32" t="s">
        <v>128</v>
      </c>
      <c r="O171" s="33">
        <v>2010</v>
      </c>
      <c r="P171" s="34">
        <v>5.2199999999999996E-2</v>
      </c>
    </row>
    <row r="172" spans="12:16" ht="15.95" customHeight="1">
      <c r="L172" s="1" t="str">
        <f t="shared" si="7"/>
        <v>0.15ALTORIESGO2009</v>
      </c>
      <c r="M172" s="31">
        <v>0.15</v>
      </c>
      <c r="N172" s="32" t="s">
        <v>128</v>
      </c>
      <c r="O172" s="33">
        <v>2009</v>
      </c>
      <c r="P172" s="34">
        <v>5.4100000000000002E-2</v>
      </c>
    </row>
    <row r="173" spans="12:16" ht="15.95" customHeight="1">
      <c r="L173" s="1" t="str">
        <f t="shared" si="7"/>
        <v>0.15ALTORIESGO2008</v>
      </c>
      <c r="M173" s="31">
        <v>0.15</v>
      </c>
      <c r="N173" s="32" t="s">
        <v>128</v>
      </c>
      <c r="O173" s="33">
        <v>2008</v>
      </c>
      <c r="P173" s="34">
        <v>5.5800000000000002E-2</v>
      </c>
    </row>
    <row r="174" spans="12:16" ht="15.95" customHeight="1">
      <c r="L174" s="1" t="str">
        <f t="shared" si="7"/>
        <v>0.15ALTORIESGO2007</v>
      </c>
      <c r="M174" s="31">
        <v>0.15</v>
      </c>
      <c r="N174" s="32" t="s">
        <v>128</v>
      </c>
      <c r="O174" s="33">
        <v>2007</v>
      </c>
      <c r="P174" s="34">
        <v>5.7200000000000001E-2</v>
      </c>
    </row>
    <row r="175" spans="12:16" ht="15.95" customHeight="1">
      <c r="L175" s="1" t="str">
        <f t="shared" si="7"/>
        <v>0.15ALTORIESGO2006</v>
      </c>
      <c r="M175" s="31">
        <v>0.15</v>
      </c>
      <c r="N175" s="32" t="s">
        <v>128</v>
      </c>
      <c r="O175" s="33">
        <v>2006</v>
      </c>
      <c r="P175" s="34">
        <v>5.8400000000000001E-2</v>
      </c>
    </row>
    <row r="176" spans="12:16" ht="15.95" customHeight="1">
      <c r="L176" s="1" t="str">
        <f t="shared" si="7"/>
        <v>0.15ALTORIESGO2005</v>
      </c>
      <c r="M176" s="31">
        <v>0.15</v>
      </c>
      <c r="N176" s="32" t="s">
        <v>128</v>
      </c>
      <c r="O176" s="33">
        <v>2005</v>
      </c>
      <c r="P176" s="34">
        <v>5.8400000000000001E-2</v>
      </c>
    </row>
    <row r="177" spans="12:16" ht="15.95" customHeight="1">
      <c r="L177" s="1" t="str">
        <f t="shared" si="7"/>
        <v>0.15ALTORIESGO2004</v>
      </c>
      <c r="M177" s="31">
        <v>0.15</v>
      </c>
      <c r="N177" s="32" t="s">
        <v>128</v>
      </c>
      <c r="O177" s="33">
        <v>2004</v>
      </c>
      <c r="P177" s="34">
        <v>5.8400000000000001E-2</v>
      </c>
    </row>
    <row r="178" spans="12:16" ht="15.95" customHeight="1">
      <c r="L178" s="1" t="str">
        <f t="shared" si="7"/>
        <v>0.15ALTORIESGO2003</v>
      </c>
      <c r="M178" s="31">
        <v>0.15</v>
      </c>
      <c r="N178" s="32" t="s">
        <v>128</v>
      </c>
      <c r="O178" s="33">
        <v>2003</v>
      </c>
      <c r="P178" s="34">
        <v>5.8400000000000001E-2</v>
      </c>
    </row>
    <row r="179" spans="12:16" ht="15.95" customHeight="1">
      <c r="L179" s="1" t="str">
        <f t="shared" si="7"/>
        <v>0.15ALTORIESGO2002</v>
      </c>
      <c r="M179" s="31">
        <v>0.15</v>
      </c>
      <c r="N179" s="32" t="s">
        <v>128</v>
      </c>
      <c r="O179" s="33">
        <v>2002</v>
      </c>
      <c r="P179" s="34">
        <v>5.8400000000000001E-2</v>
      </c>
    </row>
    <row r="180" spans="12:16" ht="15.95" customHeight="1">
      <c r="L180" s="1" t="str">
        <f t="shared" si="7"/>
        <v>0.15ALTORIESGO2001</v>
      </c>
      <c r="M180" s="31">
        <v>0.15</v>
      </c>
      <c r="N180" s="32" t="s">
        <v>128</v>
      </c>
      <c r="O180" s="33">
        <v>2001</v>
      </c>
      <c r="P180" s="34">
        <v>5.8400000000000001E-2</v>
      </c>
    </row>
    <row r="181" spans="12:16" ht="15.95" customHeight="1">
      <c r="L181" s="1" t="str">
        <f t="shared" si="7"/>
        <v>0.15ALTORIESGO2000</v>
      </c>
      <c r="M181" s="31">
        <v>0.15</v>
      </c>
      <c r="N181" s="32" t="s">
        <v>128</v>
      </c>
      <c r="O181" s="33">
        <v>2000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3:N24"/>
  <sheetViews>
    <sheetView topLeftCell="B1" workbookViewId="0">
      <selection activeCell="I21" sqref="I21:J21"/>
    </sheetView>
  </sheetViews>
  <sheetFormatPr baseColWidth="10" defaultColWidth="11.42578125" defaultRowHeight="15"/>
  <cols>
    <col min="1" max="7" width="11.42578125" style="58"/>
    <col min="8" max="8" width="17.42578125" style="58" bestFit="1" customWidth="1"/>
    <col min="9" max="9" width="17.140625" style="58" customWidth="1"/>
    <col min="10" max="10" width="19.28515625" style="58" customWidth="1"/>
    <col min="11" max="11" width="14.7109375" style="58" customWidth="1"/>
    <col min="12" max="12" width="11.42578125" style="58"/>
    <col min="13" max="13" width="17.7109375" style="58" customWidth="1"/>
    <col min="14" max="14" width="17" style="58" customWidth="1"/>
    <col min="15" max="16384" width="11.42578125" style="58"/>
  </cols>
  <sheetData>
    <row r="3" spans="2:14">
      <c r="B3" s="36" t="s">
        <v>224</v>
      </c>
      <c r="C3" s="37" t="s">
        <v>4</v>
      </c>
      <c r="D3" s="37" t="s">
        <v>8</v>
      </c>
      <c r="E3" s="37" t="s">
        <v>19</v>
      </c>
      <c r="F3" s="37" t="s">
        <v>24</v>
      </c>
      <c r="H3" s="44" t="s">
        <v>224</v>
      </c>
      <c r="I3" s="45" t="s">
        <v>217</v>
      </c>
      <c r="J3" s="45" t="s">
        <v>127</v>
      </c>
      <c r="K3" s="45" t="s">
        <v>128</v>
      </c>
      <c r="M3" s="83" t="s">
        <v>217</v>
      </c>
      <c r="N3" s="84"/>
    </row>
    <row r="4" spans="2:14">
      <c r="B4" s="37" t="s">
        <v>4</v>
      </c>
      <c r="C4" s="38">
        <v>0</v>
      </c>
      <c r="D4" s="38">
        <v>0</v>
      </c>
      <c r="E4" s="38">
        <v>0</v>
      </c>
      <c r="F4" s="38">
        <v>0</v>
      </c>
      <c r="H4" s="45" t="s">
        <v>217</v>
      </c>
      <c r="I4" s="40">
        <v>0</v>
      </c>
      <c r="J4" s="40">
        <v>0</v>
      </c>
      <c r="K4" s="40">
        <f>+IF([1]COTIZACION!$O$2="LA POSITIVA"," ",0%)</f>
        <v>0</v>
      </c>
      <c r="M4" s="85" t="s">
        <v>127</v>
      </c>
      <c r="N4" s="86"/>
    </row>
    <row r="5" spans="2:14">
      <c r="B5" s="37" t="s">
        <v>8</v>
      </c>
      <c r="C5" s="38">
        <v>0.01</v>
      </c>
      <c r="D5" s="38">
        <v>0.01</v>
      </c>
      <c r="E5" s="38">
        <v>0.01</v>
      </c>
      <c r="F5" s="38">
        <v>0.01</v>
      </c>
      <c r="H5" s="45" t="s">
        <v>127</v>
      </c>
      <c r="I5" s="40">
        <v>0.01</v>
      </c>
      <c r="J5" s="40">
        <v>0.01</v>
      </c>
      <c r="K5" s="40"/>
      <c r="L5" s="77"/>
      <c r="M5" s="87" t="s">
        <v>128</v>
      </c>
      <c r="N5" s="88"/>
    </row>
    <row r="6" spans="2:14">
      <c r="B6" s="37" t="s">
        <v>19</v>
      </c>
      <c r="C6" s="38">
        <v>0.02</v>
      </c>
      <c r="D6" s="38">
        <v>0.02</v>
      </c>
      <c r="E6" s="38">
        <v>0.02</v>
      </c>
      <c r="F6" s="38">
        <v>0.02</v>
      </c>
      <c r="H6" s="45" t="s">
        <v>128</v>
      </c>
      <c r="I6" s="40">
        <v>0.02</v>
      </c>
      <c r="J6" s="40">
        <v>0.02</v>
      </c>
      <c r="K6" s="40"/>
      <c r="L6" s="77"/>
      <c r="M6" s="82"/>
      <c r="N6" s="69"/>
    </row>
    <row r="7" spans="2:14">
      <c r="B7" s="37" t="s">
        <v>24</v>
      </c>
      <c r="C7" s="38">
        <v>0.03</v>
      </c>
      <c r="D7" s="38">
        <v>0.03</v>
      </c>
      <c r="E7" s="38">
        <v>0.03</v>
      </c>
      <c r="F7" s="38">
        <v>0.03</v>
      </c>
      <c r="H7" s="201"/>
      <c r="I7" s="40">
        <v>0.03</v>
      </c>
      <c r="J7" s="40">
        <v>0.03</v>
      </c>
      <c r="K7" s="40"/>
      <c r="L7" s="77"/>
    </row>
    <row r="8" spans="2:14">
      <c r="B8" s="59"/>
      <c r="C8" s="38">
        <v>0.04</v>
      </c>
      <c r="D8" s="38">
        <v>0.04</v>
      </c>
      <c r="E8" s="38">
        <v>0.04</v>
      </c>
      <c r="F8" s="38">
        <v>0.04</v>
      </c>
      <c r="H8" s="60"/>
      <c r="I8" s="40">
        <v>0.04</v>
      </c>
      <c r="J8" s="40">
        <v>0.04</v>
      </c>
      <c r="K8" s="40"/>
      <c r="L8" s="77"/>
    </row>
    <row r="9" spans="2:14">
      <c r="B9" s="59"/>
      <c r="C9" s="38">
        <v>0.05</v>
      </c>
      <c r="D9" s="38">
        <v>0.05</v>
      </c>
      <c r="E9" s="38">
        <v>0.05</v>
      </c>
      <c r="F9" s="38">
        <v>0.05</v>
      </c>
      <c r="H9" s="60"/>
      <c r="I9" s="40">
        <v>0.05</v>
      </c>
      <c r="J9" s="40">
        <v>0.05</v>
      </c>
      <c r="K9" s="40"/>
      <c r="L9" s="77"/>
    </row>
    <row r="10" spans="2:14">
      <c r="B10" s="59"/>
      <c r="C10" s="39"/>
      <c r="D10" s="38">
        <v>0.06</v>
      </c>
      <c r="E10" s="38">
        <v>0.06</v>
      </c>
      <c r="F10" s="39"/>
      <c r="H10" s="60"/>
      <c r="I10" s="40">
        <v>0.06</v>
      </c>
      <c r="J10" s="40">
        <v>0.06</v>
      </c>
      <c r="K10" s="40"/>
      <c r="L10" s="77"/>
    </row>
    <row r="11" spans="2:14">
      <c r="B11" s="59"/>
      <c r="C11" s="39"/>
      <c r="D11" s="38">
        <v>7.0000000000000007E-2</v>
      </c>
      <c r="E11" s="38">
        <v>7.0000000000000007E-2</v>
      </c>
      <c r="F11" s="39"/>
      <c r="H11" s="60"/>
      <c r="I11" s="40">
        <v>7.0000000000000007E-2</v>
      </c>
      <c r="J11" s="40">
        <v>7.0000000000000007E-2</v>
      </c>
      <c r="K11" s="40"/>
      <c r="L11" s="77"/>
    </row>
    <row r="12" spans="2:14">
      <c r="B12" s="59"/>
      <c r="C12" s="39"/>
      <c r="D12" s="38">
        <v>0.08</v>
      </c>
      <c r="E12" s="38">
        <v>0.08</v>
      </c>
      <c r="F12" s="39"/>
      <c r="H12" s="60"/>
      <c r="I12" s="40">
        <v>0.08</v>
      </c>
      <c r="J12" s="40">
        <v>0.08</v>
      </c>
      <c r="K12" s="40"/>
      <c r="L12" s="77"/>
    </row>
    <row r="13" spans="2:14">
      <c r="B13" s="59"/>
      <c r="C13" s="39"/>
      <c r="D13" s="38">
        <v>0.09</v>
      </c>
      <c r="E13" s="38">
        <v>0.09</v>
      </c>
      <c r="F13" s="39"/>
      <c r="H13" s="60"/>
      <c r="I13" s="40">
        <v>0.09</v>
      </c>
      <c r="J13" s="40">
        <v>0.09</v>
      </c>
      <c r="K13" s="40"/>
      <c r="L13" s="77"/>
    </row>
    <row r="14" spans="2:14">
      <c r="B14" s="59"/>
      <c r="C14" s="39"/>
      <c r="D14" s="38">
        <v>0.1</v>
      </c>
      <c r="E14" s="38">
        <v>0.1</v>
      </c>
      <c r="F14" s="39"/>
      <c r="H14" s="60"/>
      <c r="I14" s="40">
        <v>0.1</v>
      </c>
      <c r="J14" s="40">
        <v>0.1</v>
      </c>
      <c r="K14" s="40"/>
      <c r="L14" s="77"/>
    </row>
    <row r="15" spans="2:14">
      <c r="H15" s="61"/>
      <c r="I15" s="40">
        <v>0.11</v>
      </c>
      <c r="J15" s="40">
        <v>0.11</v>
      </c>
      <c r="K15" s="40"/>
      <c r="L15" s="77"/>
    </row>
    <row r="16" spans="2:14">
      <c r="H16" s="61"/>
      <c r="I16" s="40">
        <v>0.12</v>
      </c>
      <c r="J16" s="40">
        <v>0.12</v>
      </c>
      <c r="K16" s="40"/>
      <c r="L16" s="51"/>
    </row>
    <row r="17" spans="8:12">
      <c r="H17" s="61"/>
      <c r="I17" s="40">
        <v>0.13</v>
      </c>
      <c r="J17" s="40">
        <v>0.13</v>
      </c>
      <c r="K17" s="40"/>
      <c r="L17" s="51"/>
    </row>
    <row r="18" spans="8:12">
      <c r="H18" s="61"/>
      <c r="I18" s="40">
        <v>0.14000000000000001</v>
      </c>
      <c r="J18" s="40">
        <v>0.14000000000000001</v>
      </c>
      <c r="K18" s="40"/>
      <c r="L18" s="51"/>
    </row>
    <row r="19" spans="8:12">
      <c r="H19" s="61"/>
      <c r="I19" s="40">
        <v>0.15</v>
      </c>
      <c r="J19" s="40">
        <v>0.15</v>
      </c>
      <c r="K19" s="40"/>
      <c r="L19" s="51"/>
    </row>
    <row r="20" spans="8:12">
      <c r="H20" s="62"/>
      <c r="I20" s="40">
        <f>+IF('INGRESO DE INFORMACION'!$I$11="LA POSITIVA"," ",16%)</f>
        <v>0.16</v>
      </c>
      <c r="J20" s="40">
        <f>+IF('INGRESO DE INFORMACION'!$I$11="LA POSITIVA"," ",16%)</f>
        <v>0.16</v>
      </c>
      <c r="K20" s="41"/>
      <c r="L20" s="51"/>
    </row>
    <row r="21" spans="8:12">
      <c r="H21" s="63"/>
      <c r="I21" s="40">
        <f>+IF('INGRESO DE INFORMACION'!$I$11="LA POSITIVA"," ",17%)</f>
        <v>0.17</v>
      </c>
      <c r="J21" s="40">
        <f>+IF('INGRESO DE INFORMACION'!$I$11="LA POSITIVA"," ",17%)</f>
        <v>0.17</v>
      </c>
      <c r="K21" s="42"/>
      <c r="L21" s="51"/>
    </row>
    <row r="22" spans="8:12">
      <c r="H22" s="62"/>
      <c r="I22" s="40"/>
      <c r="J22" s="40"/>
      <c r="K22" s="43"/>
      <c r="L22" s="51"/>
    </row>
    <row r="23" spans="8:12">
      <c r="H23" s="64"/>
      <c r="I23" s="40"/>
      <c r="J23" s="40"/>
      <c r="K23" s="41"/>
      <c r="L23" s="51"/>
    </row>
    <row r="24" spans="8:12">
      <c r="H24" s="64"/>
      <c r="I24" s="40"/>
      <c r="J24" s="40"/>
      <c r="K24" s="41"/>
      <c r="L24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636A-43A1-4BE2-B33E-BB336AC77445}">
  <sheetPr>
    <tabColor rgb="FFFF0000"/>
  </sheetPr>
  <dimension ref="B2:G42"/>
  <sheetViews>
    <sheetView zoomScale="120" zoomScaleNormal="120" workbookViewId="0">
      <selection activeCell="B13" sqref="B13"/>
    </sheetView>
  </sheetViews>
  <sheetFormatPr baseColWidth="10" defaultRowHeight="15"/>
  <cols>
    <col min="1" max="1" width="13.42578125" customWidth="1"/>
    <col min="2" max="2" width="16.7109375" bestFit="1" customWidth="1"/>
    <col min="3" max="3" width="23.5703125" bestFit="1" customWidth="1"/>
    <col min="4" max="4" width="27.28515625" customWidth="1"/>
  </cols>
  <sheetData>
    <row r="2" spans="2:7">
      <c r="B2" t="s">
        <v>2</v>
      </c>
    </row>
    <row r="3" spans="2:7">
      <c r="B3" s="570" t="s">
        <v>729</v>
      </c>
      <c r="C3" s="571" t="s">
        <v>735</v>
      </c>
      <c r="G3" s="568"/>
    </row>
    <row r="4" spans="2:7">
      <c r="B4" s="570" t="s">
        <v>730</v>
      </c>
      <c r="C4" s="571" t="s">
        <v>736</v>
      </c>
      <c r="G4" s="568"/>
    </row>
    <row r="5" spans="2:7">
      <c r="B5" s="570" t="s">
        <v>731</v>
      </c>
      <c r="C5" s="571" t="s">
        <v>737</v>
      </c>
    </row>
    <row r="6" spans="2:7">
      <c r="B6" s="570" t="s">
        <v>732</v>
      </c>
      <c r="C6" s="571" t="s">
        <v>738</v>
      </c>
    </row>
    <row r="7" spans="2:7">
      <c r="B7" t="s">
        <v>728</v>
      </c>
      <c r="C7" s="568" t="s">
        <v>739</v>
      </c>
    </row>
    <row r="8" spans="2:7">
      <c r="B8" t="s">
        <v>733</v>
      </c>
      <c r="C8" s="568" t="s">
        <v>740</v>
      </c>
    </row>
    <row r="9" spans="2:7">
      <c r="B9" t="s">
        <v>734</v>
      </c>
      <c r="C9" s="568" t="s">
        <v>741</v>
      </c>
    </row>
    <row r="10" spans="2:7">
      <c r="B10" t="s">
        <v>728</v>
      </c>
      <c r="C10" s="568" t="s">
        <v>742</v>
      </c>
    </row>
    <row r="11" spans="2:7">
      <c r="B11" t="s">
        <v>733</v>
      </c>
      <c r="C11" s="568" t="s">
        <v>743</v>
      </c>
    </row>
    <row r="12" spans="2:7">
      <c r="B12" t="s">
        <v>734</v>
      </c>
      <c r="C12" s="568" t="s">
        <v>744</v>
      </c>
    </row>
    <row r="13" spans="2:7">
      <c r="B13" t="s">
        <v>728</v>
      </c>
      <c r="C13" s="568" t="s">
        <v>745</v>
      </c>
    </row>
    <row r="14" spans="2:7">
      <c r="B14" t="s">
        <v>733</v>
      </c>
      <c r="C14" s="568" t="s">
        <v>746</v>
      </c>
    </row>
    <row r="15" spans="2:7">
      <c r="B15" t="s">
        <v>734</v>
      </c>
      <c r="C15" s="568" t="s">
        <v>747</v>
      </c>
    </row>
    <row r="42" spans="4:4">
      <c r="D42" s="569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181"/>
  <sheetViews>
    <sheetView topLeftCell="I1" workbookViewId="0">
      <pane ySplit="1" topLeftCell="A29" activePane="bottomLeft" state="frozen"/>
      <selection pane="bottomLeft" activeCell="T62" sqref="T62:U81"/>
    </sheetView>
  </sheetViews>
  <sheetFormatPr baseColWidth="10" defaultColWidth="11.42578125" defaultRowHeight="15.95" customHeight="1"/>
  <cols>
    <col min="1" max="1" width="2.42578125" style="18" customWidth="1"/>
    <col min="2" max="2" width="13.42578125" style="18" customWidth="1"/>
    <col min="3" max="3" width="10.85546875" style="19" customWidth="1"/>
    <col min="4" max="4" width="10.140625" style="19" customWidth="1"/>
    <col min="5" max="5" width="8.140625" style="19" customWidth="1"/>
    <col min="6" max="6" width="3" style="18" customWidth="1"/>
    <col min="7" max="7" width="20.85546875" style="18" customWidth="1"/>
    <col min="8" max="8" width="16.140625" style="18" customWidth="1"/>
    <col min="9" max="9" width="9.7109375" style="18" customWidth="1"/>
    <col min="10" max="10" width="5.140625" style="18" bestFit="1" customWidth="1"/>
    <col min="11" max="11" width="3.42578125" style="18" customWidth="1"/>
    <col min="12" max="12" width="18.42578125" style="18" bestFit="1" customWidth="1"/>
    <col min="13" max="13" width="6" style="18" bestFit="1" customWidth="1"/>
    <col min="14" max="14" width="12" style="18" bestFit="1" customWidth="1"/>
    <col min="15" max="15" width="9.42578125" style="18" customWidth="1"/>
    <col min="16" max="16" width="5.140625" style="18" bestFit="1" customWidth="1"/>
    <col min="17" max="17" width="3.140625" style="18" customWidth="1"/>
    <col min="18" max="18" width="15.140625" style="18" bestFit="1" customWidth="1"/>
    <col min="19" max="19" width="11.7109375" style="18" bestFit="1" customWidth="1"/>
    <col min="20" max="20" width="9" style="18" customWidth="1"/>
    <col min="21" max="21" width="5.140625" style="18" bestFit="1" customWidth="1"/>
    <col min="22" max="16384" width="11.42578125" style="18"/>
  </cols>
  <sheetData>
    <row r="1" spans="2:21" ht="15.95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7.25" customHeight="1">
      <c r="B2" s="189" t="str">
        <f>+C2&amp;D2</f>
        <v>Bajoriesgo12019</v>
      </c>
      <c r="C2" s="190" t="s">
        <v>4</v>
      </c>
      <c r="D2" s="190">
        <v>2019</v>
      </c>
      <c r="E2" s="191">
        <v>4.2000000000000003E-2</v>
      </c>
      <c r="G2" s="1" t="str">
        <f>+H2&amp;I2</f>
        <v>BAJORIESGO2019</v>
      </c>
      <c r="H2" s="297" t="s">
        <v>217</v>
      </c>
      <c r="I2" s="33">
        <v>2019</v>
      </c>
      <c r="J2" s="34">
        <v>3.7999999999999999E-2</v>
      </c>
      <c r="L2" s="1" t="str">
        <f>+M2&amp;N2&amp;O2</f>
        <v>0.2BAJORIESGO2019</v>
      </c>
      <c r="M2" s="31">
        <v>0.2</v>
      </c>
      <c r="N2" s="32" t="s">
        <v>217</v>
      </c>
      <c r="O2" s="33">
        <v>2019</v>
      </c>
      <c r="P2" s="34">
        <v>3.2500000000000001E-2</v>
      </c>
      <c r="R2" s="1" t="str">
        <f>+S2&amp;T2</f>
        <v>BAJORIESGO12019</v>
      </c>
      <c r="S2" s="1" t="s">
        <v>80</v>
      </c>
      <c r="T2" s="1">
        <v>2019</v>
      </c>
      <c r="U2" s="34">
        <v>3.6000000000000004E-2</v>
      </c>
    </row>
    <row r="3" spans="2:21" ht="21.75" customHeight="1">
      <c r="B3" s="189" t="str">
        <f t="shared" ref="B3:B66" si="0">+C3&amp;D3</f>
        <v>Bajoriesgo1NUEVO 2018</v>
      </c>
      <c r="C3" s="190" t="s">
        <v>4</v>
      </c>
      <c r="D3" s="190" t="s">
        <v>727</v>
      </c>
      <c r="E3" s="191">
        <v>4.2000000000000003E-2</v>
      </c>
      <c r="G3" s="1" t="str">
        <f>+H3&amp;I3</f>
        <v>BAJORIESGONUEVO 2018</v>
      </c>
      <c r="H3" s="297" t="s">
        <v>217</v>
      </c>
      <c r="I3" s="33" t="s">
        <v>727</v>
      </c>
      <c r="J3" s="34">
        <v>3.7999999999999999E-2</v>
      </c>
      <c r="L3" s="1" t="str">
        <f t="shared" ref="L3:L66" si="1">+M3&amp;N3&amp;O3</f>
        <v>0.2BAJORIESGONUEVO 2018</v>
      </c>
      <c r="M3" s="31">
        <v>0.2</v>
      </c>
      <c r="N3" s="32" t="s">
        <v>217</v>
      </c>
      <c r="O3" s="33" t="s">
        <v>727</v>
      </c>
      <c r="P3" s="34">
        <v>3.2500000000000001E-2</v>
      </c>
      <c r="R3" s="1" t="str">
        <f t="shared" ref="R3:R66" si="2">+S3&amp;T3</f>
        <v>BAJORIESGO1NUEVO 2018</v>
      </c>
      <c r="S3" s="1" t="s">
        <v>80</v>
      </c>
      <c r="T3" s="1" t="s">
        <v>727</v>
      </c>
      <c r="U3" s="34">
        <v>3.5999999999999997E-2</v>
      </c>
    </row>
    <row r="4" spans="2:21" ht="15.95" customHeight="1">
      <c r="B4" s="189" t="str">
        <f t="shared" si="0"/>
        <v>Bajoriesgo12018</v>
      </c>
      <c r="C4" s="190" t="s">
        <v>4</v>
      </c>
      <c r="D4" s="190">
        <v>2018</v>
      </c>
      <c r="E4" s="191">
        <v>4.3500000000000004E-2</v>
      </c>
      <c r="G4" s="1" t="str">
        <f t="shared" ref="G4:G61" si="3">+H4&amp;I4</f>
        <v>BAJORIESGO2018</v>
      </c>
      <c r="H4" s="297" t="s">
        <v>217</v>
      </c>
      <c r="I4" s="33">
        <v>2018</v>
      </c>
      <c r="J4" s="34">
        <v>3.7999999999999999E-2</v>
      </c>
      <c r="L4" s="1" t="str">
        <f t="shared" si="1"/>
        <v>0.2BAJORIESGO2018</v>
      </c>
      <c r="M4" s="31">
        <v>0.2</v>
      </c>
      <c r="N4" s="32" t="s">
        <v>217</v>
      </c>
      <c r="O4" s="33">
        <v>2018</v>
      </c>
      <c r="P4" s="34">
        <v>3.4599999999999999E-2</v>
      </c>
      <c r="R4" s="1" t="str">
        <f t="shared" si="2"/>
        <v>BAJORIESGO12018</v>
      </c>
      <c r="S4" s="1" t="s">
        <v>80</v>
      </c>
      <c r="T4" s="1">
        <v>2018</v>
      </c>
      <c r="U4" s="34">
        <v>3.7999999999999999E-2</v>
      </c>
    </row>
    <row r="5" spans="2:21" ht="15.95" customHeight="1">
      <c r="B5" s="189" t="str">
        <f t="shared" si="0"/>
        <v>Bajoriesgo12017</v>
      </c>
      <c r="C5" s="190" t="s">
        <v>4</v>
      </c>
      <c r="D5" s="190">
        <v>2017</v>
      </c>
      <c r="E5" s="191">
        <v>4.5000000000000012E-2</v>
      </c>
      <c r="G5" s="1" t="str">
        <f t="shared" si="3"/>
        <v>BAJORIESGO2017</v>
      </c>
      <c r="H5" s="297" t="s">
        <v>217</v>
      </c>
      <c r="I5" s="33">
        <v>2017</v>
      </c>
      <c r="J5" s="34">
        <v>3.9E-2</v>
      </c>
      <c r="L5" s="1" t="str">
        <f t="shared" si="1"/>
        <v>0.2BAJORIESGO2017</v>
      </c>
      <c r="M5" s="31">
        <v>0.2</v>
      </c>
      <c r="N5" s="32" t="s">
        <v>217</v>
      </c>
      <c r="O5" s="33">
        <v>2017</v>
      </c>
      <c r="P5" s="34">
        <v>3.7100000000000001E-2</v>
      </c>
      <c r="R5" s="1" t="str">
        <f t="shared" si="2"/>
        <v>BAJORIESGO12017</v>
      </c>
      <c r="S5" s="1" t="s">
        <v>80</v>
      </c>
      <c r="T5" s="1">
        <v>2017</v>
      </c>
      <c r="U5" s="34">
        <v>4.0500000000000001E-2</v>
      </c>
    </row>
    <row r="6" spans="2:21" ht="15.95" customHeight="1">
      <c r="B6" s="189" t="str">
        <f t="shared" si="0"/>
        <v>Bajoriesgo12016</v>
      </c>
      <c r="C6" s="190" t="s">
        <v>4</v>
      </c>
      <c r="D6" s="190">
        <v>2016</v>
      </c>
      <c r="E6" s="191">
        <v>4.7000000000000014E-2</v>
      </c>
      <c r="G6" s="1" t="str">
        <f t="shared" si="3"/>
        <v>BAJORIESGO2016</v>
      </c>
      <c r="H6" s="297" t="s">
        <v>217</v>
      </c>
      <c r="I6" s="33">
        <v>2016</v>
      </c>
      <c r="J6" s="34">
        <v>4.0999999999999995E-2</v>
      </c>
      <c r="L6" s="1" t="str">
        <f t="shared" si="1"/>
        <v>0.2BAJORIESGO2016</v>
      </c>
      <c r="M6" s="31">
        <v>0.2</v>
      </c>
      <c r="N6" s="32" t="s">
        <v>217</v>
      </c>
      <c r="O6" s="33">
        <v>2016</v>
      </c>
      <c r="P6" s="34">
        <v>3.8399999999999997E-2</v>
      </c>
      <c r="R6" s="1" t="str">
        <f t="shared" si="2"/>
        <v>BAJORIESGO12016</v>
      </c>
      <c r="S6" s="1" t="s">
        <v>80</v>
      </c>
      <c r="T6" s="1">
        <v>2016</v>
      </c>
      <c r="U6" s="34">
        <v>4.2999999999999997E-2</v>
      </c>
    </row>
    <row r="7" spans="2:21" ht="15.95" customHeight="1">
      <c r="B7" s="189" t="str">
        <f t="shared" si="0"/>
        <v>Bajoriesgo12015</v>
      </c>
      <c r="C7" s="190" t="s">
        <v>4</v>
      </c>
      <c r="D7" s="190">
        <v>2015</v>
      </c>
      <c r="E7" s="191">
        <v>4.9500000000000009E-2</v>
      </c>
      <c r="G7" s="1" t="str">
        <f t="shared" si="3"/>
        <v>BAJORIESGO2015</v>
      </c>
      <c r="H7" s="297" t="s">
        <v>217</v>
      </c>
      <c r="I7" s="33">
        <v>2015</v>
      </c>
      <c r="J7" s="34">
        <v>4.4000000000000004E-2</v>
      </c>
      <c r="L7" s="1" t="str">
        <f t="shared" si="1"/>
        <v>0.2BAJORIESGO2015</v>
      </c>
      <c r="M7" s="31">
        <v>0.2</v>
      </c>
      <c r="N7" s="32" t="s">
        <v>217</v>
      </c>
      <c r="O7" s="33">
        <v>2015</v>
      </c>
      <c r="P7" s="34">
        <v>4.0300000000000002E-2</v>
      </c>
      <c r="R7" s="1" t="str">
        <f t="shared" si="2"/>
        <v>BAJORIESGO12015</v>
      </c>
      <c r="S7" s="1" t="s">
        <v>80</v>
      </c>
      <c r="T7" s="1">
        <v>2015</v>
      </c>
      <c r="U7" s="34">
        <v>4.5999999999999999E-2</v>
      </c>
    </row>
    <row r="8" spans="2:21" ht="15.95" customHeight="1">
      <c r="B8" s="189" t="str">
        <f t="shared" si="0"/>
        <v>Bajoriesgo12014</v>
      </c>
      <c r="C8" s="190" t="s">
        <v>4</v>
      </c>
      <c r="D8" s="190">
        <v>2014</v>
      </c>
      <c r="E8" s="191">
        <v>5.2500000000000012E-2</v>
      </c>
      <c r="G8" s="1" t="str">
        <f t="shared" si="3"/>
        <v>BAJORIESGO2014</v>
      </c>
      <c r="H8" s="297" t="s">
        <v>217</v>
      </c>
      <c r="I8" s="33">
        <v>2014</v>
      </c>
      <c r="J8" s="34">
        <v>4.5999999999999999E-2</v>
      </c>
      <c r="L8" s="1" t="str">
        <f t="shared" si="1"/>
        <v>0.2BAJORIESGO2014</v>
      </c>
      <c r="M8" s="31">
        <v>0.2</v>
      </c>
      <c r="N8" s="32" t="s">
        <v>217</v>
      </c>
      <c r="O8" s="33">
        <v>2014</v>
      </c>
      <c r="P8" s="34">
        <v>4.2699999999999995E-2</v>
      </c>
      <c r="R8" s="1" t="str">
        <f t="shared" si="2"/>
        <v>BAJORIESGO12014</v>
      </c>
      <c r="S8" s="1" t="s">
        <v>80</v>
      </c>
      <c r="T8" s="1">
        <v>2014</v>
      </c>
      <c r="U8" s="34">
        <v>4.9000000000000002E-2</v>
      </c>
    </row>
    <row r="9" spans="2:21" ht="15.95" customHeight="1">
      <c r="B9" s="189" t="str">
        <f t="shared" si="0"/>
        <v>Bajoriesgo12013</v>
      </c>
      <c r="C9" s="190" t="s">
        <v>4</v>
      </c>
      <c r="D9" s="190">
        <v>2013</v>
      </c>
      <c r="E9" s="191">
        <v>5.5500000000000008E-2</v>
      </c>
      <c r="G9" s="1" t="str">
        <f t="shared" si="3"/>
        <v>BAJORIESGO2013</v>
      </c>
      <c r="H9" s="297" t="s">
        <v>217</v>
      </c>
      <c r="I9" s="33">
        <v>2013</v>
      </c>
      <c r="J9" s="34">
        <v>0.05</v>
      </c>
      <c r="L9" s="1" t="str">
        <f t="shared" si="1"/>
        <v>0.2BAJORIESGO2013</v>
      </c>
      <c r="M9" s="31">
        <v>0.2</v>
      </c>
      <c r="N9" s="32" t="s">
        <v>217</v>
      </c>
      <c r="O9" s="33">
        <v>2013</v>
      </c>
      <c r="P9" s="34">
        <v>4.4600000000000001E-2</v>
      </c>
      <c r="R9" s="1" t="str">
        <f t="shared" si="2"/>
        <v>BAJORIESGO12013</v>
      </c>
      <c r="S9" s="1" t="s">
        <v>80</v>
      </c>
      <c r="T9" s="1">
        <v>2013</v>
      </c>
      <c r="U9" s="34">
        <v>5.2999999999999999E-2</v>
      </c>
    </row>
    <row r="10" spans="2:21" ht="15.95" customHeight="1">
      <c r="B10" s="189" t="str">
        <f t="shared" si="0"/>
        <v>Bajoriesgo12012</v>
      </c>
      <c r="C10" s="190" t="s">
        <v>4</v>
      </c>
      <c r="D10" s="190">
        <v>2012</v>
      </c>
      <c r="E10" s="191">
        <v>5.8500000000000003E-2</v>
      </c>
      <c r="G10" s="1" t="str">
        <f t="shared" si="3"/>
        <v>BAJORIESGO2012</v>
      </c>
      <c r="H10" s="297" t="s">
        <v>217</v>
      </c>
      <c r="I10" s="33">
        <v>2012</v>
      </c>
      <c r="J10" s="34">
        <v>5.2999999999999999E-2</v>
      </c>
      <c r="L10" s="1" t="str">
        <f t="shared" si="1"/>
        <v>0.2BAJORIESGO2012</v>
      </c>
      <c r="M10" s="31">
        <v>0.2</v>
      </c>
      <c r="N10" s="32" t="s">
        <v>217</v>
      </c>
      <c r="O10" s="33">
        <v>2012</v>
      </c>
      <c r="P10" s="34">
        <v>4.6500000000000007E-2</v>
      </c>
      <c r="R10" s="1" t="str">
        <f t="shared" si="2"/>
        <v>BAJORIESGO12012</v>
      </c>
      <c r="S10" s="1" t="s">
        <v>80</v>
      </c>
      <c r="T10" s="1">
        <v>2012</v>
      </c>
      <c r="U10" s="34">
        <v>5.5999999999999994E-2</v>
      </c>
    </row>
    <row r="11" spans="2:21" ht="15.95" customHeight="1">
      <c r="B11" s="189" t="str">
        <f t="shared" si="0"/>
        <v>Bajoriesgo12011</v>
      </c>
      <c r="C11" s="190" t="s">
        <v>4</v>
      </c>
      <c r="D11" s="190">
        <v>2011</v>
      </c>
      <c r="E11" s="191">
        <v>6.1500000000000006E-2</v>
      </c>
      <c r="G11" s="1" t="str">
        <f t="shared" si="3"/>
        <v>BAJORIESGO2011</v>
      </c>
      <c r="H11" s="297" t="s">
        <v>217</v>
      </c>
      <c r="I11" s="33">
        <v>2011</v>
      </c>
      <c r="J11" s="34">
        <v>5.5999999999999994E-2</v>
      </c>
      <c r="L11" s="1" t="str">
        <f t="shared" si="1"/>
        <v>0.2BAJORIESGO2011</v>
      </c>
      <c r="M11" s="31">
        <v>0.2</v>
      </c>
      <c r="N11" s="32" t="s">
        <v>217</v>
      </c>
      <c r="O11" s="33">
        <v>2011</v>
      </c>
      <c r="P11" s="34">
        <v>4.7400000000000005E-2</v>
      </c>
      <c r="R11" s="1" t="str">
        <f t="shared" si="2"/>
        <v>BAJORIESGO12011</v>
      </c>
      <c r="S11" s="1" t="s">
        <v>80</v>
      </c>
      <c r="T11" s="1">
        <v>2011</v>
      </c>
      <c r="U11" s="34">
        <v>5.9000000000000004E-2</v>
      </c>
    </row>
    <row r="12" spans="2:21" ht="15.95" customHeight="1">
      <c r="B12" s="189" t="str">
        <f t="shared" si="0"/>
        <v>Bajoriesgo12010</v>
      </c>
      <c r="C12" s="190" t="s">
        <v>4</v>
      </c>
      <c r="D12" s="190">
        <v>2010</v>
      </c>
      <c r="E12" s="191">
        <v>6.5500000000000003E-2</v>
      </c>
      <c r="G12" s="1" t="str">
        <f t="shared" si="3"/>
        <v>BAJORIESGO2010</v>
      </c>
      <c r="H12" s="297" t="s">
        <v>217</v>
      </c>
      <c r="I12" s="33">
        <v>2010</v>
      </c>
      <c r="J12" s="34">
        <v>0.06</v>
      </c>
      <c r="L12" s="1" t="str">
        <f t="shared" si="1"/>
        <v>0.2BAJORIESGO2010</v>
      </c>
      <c r="M12" s="31">
        <v>0.2</v>
      </c>
      <c r="N12" s="32" t="s">
        <v>217</v>
      </c>
      <c r="O12" s="33">
        <v>2010</v>
      </c>
      <c r="P12" s="34">
        <v>4.9000000000000002E-2</v>
      </c>
      <c r="R12" s="1" t="str">
        <f t="shared" si="2"/>
        <v>BAJORIESGO12010</v>
      </c>
      <c r="S12" s="1" t="s">
        <v>80</v>
      </c>
      <c r="T12" s="1">
        <v>2010</v>
      </c>
      <c r="U12" s="34">
        <v>6.3E-2</v>
      </c>
    </row>
    <row r="13" spans="2:21" ht="15.95" customHeight="1">
      <c r="B13" s="189" t="str">
        <f t="shared" si="0"/>
        <v>Bajoriesgo12009</v>
      </c>
      <c r="C13" s="190" t="s">
        <v>4</v>
      </c>
      <c r="D13" s="190">
        <v>2009</v>
      </c>
      <c r="E13" s="191">
        <v>6.8500000000000005E-2</v>
      </c>
      <c r="G13" s="1" t="str">
        <f t="shared" si="3"/>
        <v>BAJORIESGO2009</v>
      </c>
      <c r="H13" s="297" t="s">
        <v>217</v>
      </c>
      <c r="I13" s="33">
        <v>2009</v>
      </c>
      <c r="J13" s="34">
        <v>6.4000000000000001E-2</v>
      </c>
      <c r="L13" s="1" t="str">
        <f t="shared" si="1"/>
        <v>0.2BAJORIESGO2009</v>
      </c>
      <c r="M13" s="31">
        <v>0.2</v>
      </c>
      <c r="N13" s="32" t="s">
        <v>217</v>
      </c>
      <c r="O13" s="33">
        <v>2009</v>
      </c>
      <c r="P13" s="34">
        <v>5.0300000000000004E-2</v>
      </c>
      <c r="R13" s="1" t="str">
        <f t="shared" si="2"/>
        <v>BAJORIESGO12009</v>
      </c>
      <c r="S13" s="1" t="s">
        <v>80</v>
      </c>
      <c r="T13" s="1">
        <v>2009</v>
      </c>
      <c r="U13" s="34">
        <v>6.6000000000000003E-2</v>
      </c>
    </row>
    <row r="14" spans="2:21" ht="15.95" customHeight="1">
      <c r="B14" s="189" t="str">
        <f t="shared" si="0"/>
        <v>Bajoriesgo12008</v>
      </c>
      <c r="C14" s="190" t="s">
        <v>4</v>
      </c>
      <c r="D14" s="190">
        <v>2008</v>
      </c>
      <c r="E14" s="191">
        <v>7.1500000000000008E-2</v>
      </c>
      <c r="G14" s="1" t="str">
        <f t="shared" si="3"/>
        <v>BAJORIESGO2008</v>
      </c>
      <c r="H14" s="297" t="s">
        <v>217</v>
      </c>
      <c r="I14" s="33">
        <v>2008</v>
      </c>
      <c r="J14" s="34">
        <v>6.7000000000000004E-2</v>
      </c>
      <c r="L14" s="1" t="str">
        <f t="shared" si="1"/>
        <v>0.2BAJORIESGO2008</v>
      </c>
      <c r="M14" s="31">
        <v>0.2</v>
      </c>
      <c r="N14" s="32" t="s">
        <v>217</v>
      </c>
      <c r="O14" s="33">
        <v>2008</v>
      </c>
      <c r="P14" s="34">
        <v>5.1200000000000002E-2</v>
      </c>
      <c r="R14" s="1" t="str">
        <f t="shared" si="2"/>
        <v>BAJORIESGO12008</v>
      </c>
      <c r="S14" s="1" t="s">
        <v>80</v>
      </c>
      <c r="T14" s="1">
        <v>2008</v>
      </c>
      <c r="U14" s="34">
        <v>7.0000000000000007E-2</v>
      </c>
    </row>
    <row r="15" spans="2:21" ht="15.95" customHeight="1">
      <c r="B15" s="189" t="str">
        <f t="shared" si="0"/>
        <v>Bajoriesgo12007</v>
      </c>
      <c r="C15" s="190" t="s">
        <v>4</v>
      </c>
      <c r="D15" s="190">
        <v>2007</v>
      </c>
      <c r="E15" s="191">
        <v>7.1500000000000008E-2</v>
      </c>
      <c r="G15" s="1" t="str">
        <f t="shared" si="3"/>
        <v>BAJORIESGO2007</v>
      </c>
      <c r="H15" s="297" t="s">
        <v>217</v>
      </c>
      <c r="I15" s="33">
        <v>2007</v>
      </c>
      <c r="J15" s="34">
        <v>6.8000000000000005E-2</v>
      </c>
      <c r="L15" s="1" t="str">
        <f t="shared" si="1"/>
        <v>0.2BAJORIESGO2007</v>
      </c>
      <c r="M15" s="31">
        <v>0.2</v>
      </c>
      <c r="N15" s="32" t="s">
        <v>217</v>
      </c>
      <c r="O15" s="33">
        <v>2007</v>
      </c>
      <c r="P15" s="34">
        <v>5.2199999999999996E-2</v>
      </c>
      <c r="R15" s="1" t="str">
        <f t="shared" si="2"/>
        <v>BAJORIESGO12007</v>
      </c>
      <c r="S15" s="1" t="s">
        <v>80</v>
      </c>
      <c r="T15" s="1">
        <v>2007</v>
      </c>
      <c r="U15" s="34">
        <v>7.0000000000000007E-2</v>
      </c>
    </row>
    <row r="16" spans="2:21" ht="15.95" customHeight="1">
      <c r="B16" s="189" t="str">
        <f t="shared" si="0"/>
        <v>Bajoriesgo12006</v>
      </c>
      <c r="C16" s="190" t="s">
        <v>4</v>
      </c>
      <c r="D16" s="190">
        <v>2006</v>
      </c>
      <c r="E16" s="191">
        <v>7.1500000000000008E-2</v>
      </c>
      <c r="G16" s="1" t="str">
        <f t="shared" si="3"/>
        <v>BAJORIESGO2006</v>
      </c>
      <c r="H16" s="297" t="s">
        <v>217</v>
      </c>
      <c r="I16" s="33">
        <v>2006</v>
      </c>
      <c r="J16" s="34">
        <v>6.8000000000000005E-2</v>
      </c>
      <c r="L16" s="1" t="str">
        <f t="shared" si="1"/>
        <v>0.2BAJORIESGO2006</v>
      </c>
      <c r="M16" s="31">
        <v>0.2</v>
      </c>
      <c r="N16" s="32" t="s">
        <v>217</v>
      </c>
      <c r="O16" s="33">
        <v>2006</v>
      </c>
      <c r="P16" s="34">
        <v>5.2199999999999996E-2</v>
      </c>
      <c r="R16" s="1" t="str">
        <f t="shared" si="2"/>
        <v>BAJORIESGO12006</v>
      </c>
      <c r="S16" s="1" t="s">
        <v>80</v>
      </c>
      <c r="T16" s="1">
        <v>2006</v>
      </c>
      <c r="U16" s="34">
        <v>7.0000000000000007E-2</v>
      </c>
    </row>
    <row r="17" spans="2:21" ht="15.95" customHeight="1">
      <c r="B17" s="189" t="str">
        <f t="shared" si="0"/>
        <v>Bajoriesgo12005</v>
      </c>
      <c r="C17" s="190" t="s">
        <v>4</v>
      </c>
      <c r="D17" s="190">
        <v>2005</v>
      </c>
      <c r="E17" s="191">
        <v>7.1500000000000008E-2</v>
      </c>
      <c r="G17" s="1" t="str">
        <f t="shared" si="3"/>
        <v>BAJORIESGO2005</v>
      </c>
      <c r="H17" s="297" t="s">
        <v>217</v>
      </c>
      <c r="I17" s="33">
        <v>2005</v>
      </c>
      <c r="J17" s="34">
        <v>6.8000000000000005E-2</v>
      </c>
      <c r="L17" s="1" t="str">
        <f t="shared" si="1"/>
        <v>0.2BAJORIESGO2005</v>
      </c>
      <c r="M17" s="31">
        <v>0.2</v>
      </c>
      <c r="N17" s="32" t="s">
        <v>217</v>
      </c>
      <c r="O17" s="33">
        <v>2005</v>
      </c>
      <c r="P17" s="34">
        <v>5.2199999999999996E-2</v>
      </c>
      <c r="R17" s="1" t="str">
        <f t="shared" si="2"/>
        <v>BAJORIESGO12005</v>
      </c>
      <c r="S17" s="1" t="s">
        <v>80</v>
      </c>
      <c r="T17" s="1">
        <v>2005</v>
      </c>
      <c r="U17" s="34">
        <v>7.0000000000000007E-2</v>
      </c>
    </row>
    <row r="18" spans="2:21" ht="15.95" customHeight="1">
      <c r="B18" s="189" t="str">
        <f t="shared" si="0"/>
        <v>Bajoriesgo12004</v>
      </c>
      <c r="C18" s="190" t="s">
        <v>4</v>
      </c>
      <c r="D18" s="190">
        <v>2004</v>
      </c>
      <c r="E18" s="191">
        <v>7.1500000000000008E-2</v>
      </c>
      <c r="G18" s="1" t="str">
        <f t="shared" si="3"/>
        <v>BAJORIESGO2004</v>
      </c>
      <c r="H18" s="297" t="s">
        <v>217</v>
      </c>
      <c r="I18" s="33">
        <v>2004</v>
      </c>
      <c r="J18" s="34">
        <v>6.8000000000000005E-2</v>
      </c>
      <c r="L18" s="1" t="str">
        <f t="shared" si="1"/>
        <v>0.2BAJORIESGO2004</v>
      </c>
      <c r="M18" s="31">
        <v>0.2</v>
      </c>
      <c r="N18" s="32" t="s">
        <v>217</v>
      </c>
      <c r="O18" s="33">
        <v>2004</v>
      </c>
      <c r="P18" s="34">
        <v>5.2199999999999996E-2</v>
      </c>
      <c r="R18" s="1" t="str">
        <f t="shared" si="2"/>
        <v>BAJORIESGO12004</v>
      </c>
      <c r="S18" s="1" t="s">
        <v>80</v>
      </c>
      <c r="T18" s="1">
        <v>2004</v>
      </c>
      <c r="U18" s="34">
        <v>7.0000000000000007E-2</v>
      </c>
    </row>
    <row r="19" spans="2:21" ht="15.95" customHeight="1">
      <c r="B19" s="189" t="str">
        <f t="shared" si="0"/>
        <v>Bajoriesgo12003</v>
      </c>
      <c r="C19" s="190" t="s">
        <v>4</v>
      </c>
      <c r="D19" s="190">
        <v>2003</v>
      </c>
      <c r="E19" s="191">
        <v>7.1500000000000008E-2</v>
      </c>
      <c r="G19" s="1" t="str">
        <f t="shared" si="3"/>
        <v>BAJORIESGO2003</v>
      </c>
      <c r="H19" s="297" t="s">
        <v>217</v>
      </c>
      <c r="I19" s="33">
        <v>2003</v>
      </c>
      <c r="J19" s="34">
        <v>6.8000000000000005E-2</v>
      </c>
      <c r="L19" s="1" t="str">
        <f t="shared" si="1"/>
        <v>0.2BAJORIESGO2003</v>
      </c>
      <c r="M19" s="31">
        <v>0.2</v>
      </c>
      <c r="N19" s="32" t="s">
        <v>217</v>
      </c>
      <c r="O19" s="33">
        <v>2003</v>
      </c>
      <c r="P19" s="34">
        <v>5.2199999999999996E-2</v>
      </c>
      <c r="R19" s="1" t="str">
        <f t="shared" si="2"/>
        <v>BAJORIESGO12003</v>
      </c>
      <c r="S19" s="1" t="s">
        <v>80</v>
      </c>
      <c r="T19" s="1">
        <v>2003</v>
      </c>
      <c r="U19" s="34">
        <v>7.0000000000000007E-2</v>
      </c>
    </row>
    <row r="20" spans="2:21" ht="15.95" customHeight="1">
      <c r="B20" s="189" t="str">
        <f t="shared" si="0"/>
        <v>Bajoriesgo12002</v>
      </c>
      <c r="C20" s="190" t="s">
        <v>4</v>
      </c>
      <c r="D20" s="190">
        <v>2002</v>
      </c>
      <c r="E20" s="191">
        <v>7.1500000000000008E-2</v>
      </c>
      <c r="G20" s="1" t="str">
        <f t="shared" si="3"/>
        <v>BAJORIESGO2002</v>
      </c>
      <c r="H20" s="297" t="s">
        <v>217</v>
      </c>
      <c r="I20" s="33">
        <v>2002</v>
      </c>
      <c r="J20" s="34">
        <v>6.8000000000000005E-2</v>
      </c>
      <c r="L20" s="1" t="str">
        <f t="shared" si="1"/>
        <v>0.2BAJORIESGO2002</v>
      </c>
      <c r="M20" s="31">
        <v>0.2</v>
      </c>
      <c r="N20" s="32" t="s">
        <v>217</v>
      </c>
      <c r="O20" s="33">
        <v>2002</v>
      </c>
      <c r="P20" s="34">
        <v>5.2199999999999996E-2</v>
      </c>
      <c r="R20" s="1" t="str">
        <f t="shared" si="2"/>
        <v>BAJORIESGO12002</v>
      </c>
      <c r="S20" s="1" t="s">
        <v>80</v>
      </c>
      <c r="T20" s="1">
        <v>2002</v>
      </c>
      <c r="U20" s="34">
        <v>7.0000000000000007E-2</v>
      </c>
    </row>
    <row r="21" spans="2:21" ht="15.95" customHeight="1">
      <c r="B21" s="189" t="str">
        <f t="shared" si="0"/>
        <v>Bajoriesgo12001</v>
      </c>
      <c r="C21" s="190" t="s">
        <v>4</v>
      </c>
      <c r="D21" s="190">
        <v>2001</v>
      </c>
      <c r="E21" s="191">
        <v>7.1500000000000008E-2</v>
      </c>
      <c r="G21" s="1" t="str">
        <f t="shared" si="3"/>
        <v>BAJORIESGO2001</v>
      </c>
      <c r="H21" s="297" t="s">
        <v>217</v>
      </c>
      <c r="I21" s="33">
        <v>2001</v>
      </c>
      <c r="J21" s="34">
        <v>6.8000000000000005E-2</v>
      </c>
      <c r="L21" s="1" t="str">
        <f t="shared" si="1"/>
        <v>0.2BAJORIESGO2001</v>
      </c>
      <c r="M21" s="31">
        <v>0.2</v>
      </c>
      <c r="N21" s="32" t="s">
        <v>217</v>
      </c>
      <c r="O21" s="33">
        <v>2001</v>
      </c>
      <c r="P21" s="34">
        <v>5.2199999999999996E-2</v>
      </c>
      <c r="R21" s="1" t="str">
        <f t="shared" si="2"/>
        <v>BAJORIESGO12001</v>
      </c>
      <c r="S21" s="1" t="s">
        <v>80</v>
      </c>
      <c r="T21" s="1">
        <v>2001</v>
      </c>
      <c r="U21" s="34">
        <v>7.0000000000000007E-2</v>
      </c>
    </row>
    <row r="22" spans="2:21" ht="15.95" customHeight="1">
      <c r="B22" s="189" t="str">
        <f t="shared" si="0"/>
        <v>Bajoriesgo22019</v>
      </c>
      <c r="C22" s="30" t="s">
        <v>8</v>
      </c>
      <c r="D22" s="30">
        <v>2019</v>
      </c>
      <c r="E22" s="31">
        <v>3.6000000000000004E-2</v>
      </c>
      <c r="G22" s="1" t="str">
        <f t="shared" si="3"/>
        <v>MEDIANORIESGO2019</v>
      </c>
      <c r="H22" s="298" t="s">
        <v>127</v>
      </c>
      <c r="I22" s="33">
        <v>2019</v>
      </c>
      <c r="J22" s="34">
        <v>4.1500000000000002E-2</v>
      </c>
      <c r="L22" s="1" t="str">
        <f t="shared" si="1"/>
        <v>0.2MEDIANORIESGO2019</v>
      </c>
      <c r="M22" s="31">
        <v>0.2</v>
      </c>
      <c r="N22" s="32" t="s">
        <v>127</v>
      </c>
      <c r="O22" s="33">
        <v>2019</v>
      </c>
      <c r="P22" s="34">
        <v>3.5900000000000001E-2</v>
      </c>
      <c r="R22" s="1" t="str">
        <f t="shared" si="2"/>
        <v>BAJORIESGO22019</v>
      </c>
      <c r="S22" s="1" t="s">
        <v>87</v>
      </c>
      <c r="T22" s="1">
        <v>2019</v>
      </c>
      <c r="U22" s="34">
        <v>4.2000000000000003E-2</v>
      </c>
    </row>
    <row r="23" spans="2:21" ht="15.95" customHeight="1">
      <c r="B23" s="189" t="str">
        <f t="shared" si="0"/>
        <v>Bajoriesgo22018</v>
      </c>
      <c r="C23" s="30" t="s">
        <v>8</v>
      </c>
      <c r="D23" s="30">
        <v>2018</v>
      </c>
      <c r="E23" s="31">
        <v>3.7500000000000006E-2</v>
      </c>
      <c r="G23" s="1" t="str">
        <f t="shared" si="3"/>
        <v>MEDIANORIESGO2018</v>
      </c>
      <c r="H23" s="298" t="s">
        <v>127</v>
      </c>
      <c r="I23" s="33">
        <v>2018</v>
      </c>
      <c r="J23" s="34">
        <v>4.1500000000000002E-2</v>
      </c>
      <c r="L23" s="1" t="str">
        <f t="shared" si="1"/>
        <v>0.2MEDIANORIESGO2018</v>
      </c>
      <c r="M23" s="31">
        <v>0.2</v>
      </c>
      <c r="N23" s="32" t="s">
        <v>127</v>
      </c>
      <c r="O23" s="33">
        <v>2018</v>
      </c>
      <c r="P23" s="34">
        <v>3.8399999999999997E-2</v>
      </c>
      <c r="R23" s="1" t="str">
        <f t="shared" si="2"/>
        <v>BAJORIESGO22018</v>
      </c>
      <c r="S23" s="1" t="s">
        <v>87</v>
      </c>
      <c r="T23" s="1">
        <v>2018</v>
      </c>
      <c r="U23" s="34">
        <v>4.4000000000000004E-2</v>
      </c>
    </row>
    <row r="24" spans="2:21" ht="15.95" customHeight="1">
      <c r="B24" s="189" t="str">
        <f t="shared" si="0"/>
        <v>Bajoriesgo2NUEVO 2018</v>
      </c>
      <c r="C24" s="30" t="s">
        <v>8</v>
      </c>
      <c r="D24" s="30" t="s">
        <v>727</v>
      </c>
      <c r="E24" s="31">
        <v>3.5999999999999997E-2</v>
      </c>
      <c r="G24" s="1" t="str">
        <f t="shared" si="3"/>
        <v>MEDIANORIESGONUEVO 2018</v>
      </c>
      <c r="H24" s="298" t="s">
        <v>127</v>
      </c>
      <c r="I24" s="33" t="s">
        <v>727</v>
      </c>
      <c r="J24" s="34">
        <v>4.1500000000000002E-2</v>
      </c>
      <c r="L24" s="1" t="str">
        <f t="shared" si="1"/>
        <v>0.2MEDIANORIESGONUEVO 2018</v>
      </c>
      <c r="M24" s="31">
        <v>0.2</v>
      </c>
      <c r="N24" s="32" t="s">
        <v>127</v>
      </c>
      <c r="O24" s="33" t="s">
        <v>727</v>
      </c>
      <c r="P24" s="34">
        <v>3.5900000000000001E-2</v>
      </c>
      <c r="R24" s="1" t="str">
        <f t="shared" si="2"/>
        <v>BAJORIESGO2NUEVO 2018</v>
      </c>
      <c r="S24" s="1" t="s">
        <v>87</v>
      </c>
      <c r="T24" s="1" t="s">
        <v>727</v>
      </c>
      <c r="U24" s="34">
        <v>4.3999999999999997E-2</v>
      </c>
    </row>
    <row r="25" spans="2:21" ht="15.95" customHeight="1">
      <c r="B25" s="189" t="str">
        <f t="shared" si="0"/>
        <v>Bajoriesgo22017</v>
      </c>
      <c r="C25" s="30" t="s">
        <v>8</v>
      </c>
      <c r="D25" s="30">
        <v>2017</v>
      </c>
      <c r="E25" s="31">
        <v>3.9000000000000007E-2</v>
      </c>
      <c r="G25" s="1" t="str">
        <f t="shared" si="3"/>
        <v>MEDIANORIESGO2017</v>
      </c>
      <c r="H25" s="298" t="s">
        <v>127</v>
      </c>
      <c r="I25" s="33">
        <v>2017</v>
      </c>
      <c r="J25" s="34">
        <v>4.3499999999999997E-2</v>
      </c>
      <c r="L25" s="1" t="str">
        <f t="shared" si="1"/>
        <v>0.2MEDIANORIESGO2017</v>
      </c>
      <c r="M25" s="31">
        <v>0.2</v>
      </c>
      <c r="N25" s="32" t="s">
        <v>127</v>
      </c>
      <c r="O25" s="33">
        <v>2017</v>
      </c>
      <c r="P25" s="34">
        <v>4.0300000000000002E-2</v>
      </c>
      <c r="R25" s="1" t="str">
        <f t="shared" si="2"/>
        <v>BAJORIESGO22017</v>
      </c>
      <c r="S25" s="1" t="s">
        <v>87</v>
      </c>
      <c r="T25" s="1">
        <v>2017</v>
      </c>
      <c r="U25" s="34">
        <v>4.6500000000000007E-2</v>
      </c>
    </row>
    <row r="26" spans="2:21" ht="15.95" customHeight="1">
      <c r="B26" s="189" t="str">
        <f t="shared" si="0"/>
        <v>Bajoriesgo22016</v>
      </c>
      <c r="C26" s="30" t="s">
        <v>8</v>
      </c>
      <c r="D26" s="30">
        <v>2016</v>
      </c>
      <c r="E26" s="31">
        <v>4.1000000000000009E-2</v>
      </c>
      <c r="G26" s="1" t="str">
        <f t="shared" si="3"/>
        <v>MEDIANORIESGO2016</v>
      </c>
      <c r="H26" s="298" t="s">
        <v>127</v>
      </c>
      <c r="I26" s="33">
        <v>2016</v>
      </c>
      <c r="J26" s="34">
        <v>4.5499999999999999E-2</v>
      </c>
      <c r="L26" s="1" t="str">
        <f t="shared" si="1"/>
        <v>0.2MEDIANORIESGO2016</v>
      </c>
      <c r="M26" s="31">
        <v>0.2</v>
      </c>
      <c r="N26" s="32" t="s">
        <v>127</v>
      </c>
      <c r="O26" s="33">
        <v>2016</v>
      </c>
      <c r="P26" s="34">
        <v>4.2699999999999995E-2</v>
      </c>
      <c r="R26" s="1" t="str">
        <f t="shared" si="2"/>
        <v>BAJORIESGO22016</v>
      </c>
      <c r="S26" s="1" t="s">
        <v>87</v>
      </c>
      <c r="T26" s="1">
        <v>2016</v>
      </c>
      <c r="U26" s="34">
        <v>4.9000000000000002E-2</v>
      </c>
    </row>
    <row r="27" spans="2:21" ht="15.95" customHeight="1">
      <c r="B27" s="189" t="str">
        <f t="shared" si="0"/>
        <v>Bajoriesgo22015</v>
      </c>
      <c r="C27" s="30" t="s">
        <v>8</v>
      </c>
      <c r="D27" s="30">
        <v>2015</v>
      </c>
      <c r="E27" s="31">
        <v>4.3500000000000004E-2</v>
      </c>
      <c r="G27" s="1" t="str">
        <f t="shared" si="3"/>
        <v>MEDIANORIESGO2015</v>
      </c>
      <c r="H27" s="298" t="s">
        <v>127</v>
      </c>
      <c r="I27" s="33">
        <v>2015</v>
      </c>
      <c r="J27" s="34">
        <v>4.8000000000000001E-2</v>
      </c>
      <c r="L27" s="1" t="str">
        <f t="shared" si="1"/>
        <v>0.2MEDIANORIESGO2015</v>
      </c>
      <c r="M27" s="31">
        <v>0.2</v>
      </c>
      <c r="N27" s="32" t="s">
        <v>127</v>
      </c>
      <c r="O27" s="33">
        <v>2015</v>
      </c>
      <c r="P27" s="34">
        <v>4.4600000000000001E-2</v>
      </c>
      <c r="R27" s="1" t="str">
        <f t="shared" si="2"/>
        <v>BAJORIESGO22015</v>
      </c>
      <c r="S27" s="1" t="s">
        <v>87</v>
      </c>
      <c r="T27" s="1">
        <v>2015</v>
      </c>
      <c r="U27" s="34">
        <v>5.2000000000000005E-2</v>
      </c>
    </row>
    <row r="28" spans="2:21" ht="15.95" customHeight="1">
      <c r="B28" s="189" t="str">
        <f t="shared" si="0"/>
        <v>Bajoriesgo22014</v>
      </c>
      <c r="C28" s="30" t="s">
        <v>8</v>
      </c>
      <c r="D28" s="30">
        <v>2014</v>
      </c>
      <c r="E28" s="31">
        <v>4.6499999999999993E-2</v>
      </c>
      <c r="G28" s="1" t="str">
        <f t="shared" si="3"/>
        <v>MEDIANORIESGO2014</v>
      </c>
      <c r="H28" s="298" t="s">
        <v>127</v>
      </c>
      <c r="I28" s="33">
        <v>2014</v>
      </c>
      <c r="J28" s="34">
        <v>0.05</v>
      </c>
      <c r="L28" s="1" t="str">
        <f t="shared" si="1"/>
        <v>0.2MEDIANORIESGO2014</v>
      </c>
      <c r="M28" s="31">
        <v>0.2</v>
      </c>
      <c r="N28" s="32" t="s">
        <v>127</v>
      </c>
      <c r="O28" s="33">
        <v>2014</v>
      </c>
      <c r="P28" s="34">
        <v>4.6500000000000007E-2</v>
      </c>
      <c r="R28" s="1" t="str">
        <f t="shared" si="2"/>
        <v>BAJORIESGO22014</v>
      </c>
      <c r="S28" s="1" t="s">
        <v>87</v>
      </c>
      <c r="T28" s="1">
        <v>2014</v>
      </c>
      <c r="U28" s="34">
        <v>5.5E-2</v>
      </c>
    </row>
    <row r="29" spans="2:21" ht="15.95" customHeight="1">
      <c r="B29" s="189" t="str">
        <f t="shared" si="0"/>
        <v>Bajoriesgo22013</v>
      </c>
      <c r="C29" s="30" t="s">
        <v>8</v>
      </c>
      <c r="D29" s="30">
        <v>2013</v>
      </c>
      <c r="E29" s="31">
        <v>4.9499999999999995E-2</v>
      </c>
      <c r="G29" s="1" t="str">
        <f t="shared" si="3"/>
        <v>MEDIANORIESGO2013</v>
      </c>
      <c r="H29" s="298" t="s">
        <v>127</v>
      </c>
      <c r="I29" s="33">
        <v>2013</v>
      </c>
      <c r="J29" s="34">
        <v>5.2999999999999999E-2</v>
      </c>
      <c r="L29" s="1" t="str">
        <f t="shared" si="1"/>
        <v>0.2MEDIANORIESGO2013</v>
      </c>
      <c r="M29" s="31">
        <v>0.2</v>
      </c>
      <c r="N29" s="32" t="s">
        <v>127</v>
      </c>
      <c r="O29" s="33">
        <v>2013</v>
      </c>
      <c r="P29" s="34">
        <v>4.8799999999999996E-2</v>
      </c>
      <c r="R29" s="1" t="str">
        <f t="shared" si="2"/>
        <v>BAJORIESGO22013</v>
      </c>
      <c r="S29" s="1" t="s">
        <v>87</v>
      </c>
      <c r="T29" s="1">
        <v>2013</v>
      </c>
      <c r="U29" s="34">
        <v>5.9000000000000004E-2</v>
      </c>
    </row>
    <row r="30" spans="2:21" ht="15.95" customHeight="1">
      <c r="B30" s="189" t="str">
        <f t="shared" si="0"/>
        <v>Bajoriesgo22012</v>
      </c>
      <c r="C30" s="30" t="s">
        <v>8</v>
      </c>
      <c r="D30" s="30">
        <v>2012</v>
      </c>
      <c r="E30" s="31">
        <v>5.2499999999999991E-2</v>
      </c>
      <c r="G30" s="1" t="str">
        <f t="shared" si="3"/>
        <v>MEDIANORIESGO2012</v>
      </c>
      <c r="H30" s="298" t="s">
        <v>127</v>
      </c>
      <c r="I30" s="33">
        <v>2012</v>
      </c>
      <c r="J30" s="34">
        <v>5.6500000000000002E-2</v>
      </c>
      <c r="L30" s="1" t="str">
        <f t="shared" si="1"/>
        <v>0.2MEDIANORIESGO2012</v>
      </c>
      <c r="M30" s="31">
        <v>0.2</v>
      </c>
      <c r="N30" s="32" t="s">
        <v>127</v>
      </c>
      <c r="O30" s="33">
        <v>2012</v>
      </c>
      <c r="P30" s="34">
        <v>5.0599999999999999E-2</v>
      </c>
      <c r="R30" s="1" t="str">
        <f t="shared" si="2"/>
        <v>BAJORIESGO22012</v>
      </c>
      <c r="S30" s="1" t="s">
        <v>87</v>
      </c>
      <c r="T30" s="1">
        <v>2012</v>
      </c>
      <c r="U30" s="34">
        <v>6.2E-2</v>
      </c>
    </row>
    <row r="31" spans="2:21" ht="15.95" customHeight="1">
      <c r="B31" s="189" t="str">
        <f t="shared" si="0"/>
        <v>Bajoriesgo22011</v>
      </c>
      <c r="C31" s="30" t="s">
        <v>8</v>
      </c>
      <c r="D31" s="30">
        <v>2011</v>
      </c>
      <c r="E31" s="31">
        <v>5.5499999999999987E-2</v>
      </c>
      <c r="G31" s="1" t="str">
        <f t="shared" si="3"/>
        <v>MEDIANORIESGO2011</v>
      </c>
      <c r="H31" s="298" t="s">
        <v>127</v>
      </c>
      <c r="I31" s="33">
        <v>2011</v>
      </c>
      <c r="J31" s="34">
        <v>0.06</v>
      </c>
      <c r="L31" s="1" t="str">
        <f t="shared" si="1"/>
        <v>0.2MEDIANORIESGO2011</v>
      </c>
      <c r="M31" s="31">
        <v>0.2</v>
      </c>
      <c r="N31" s="32" t="s">
        <v>127</v>
      </c>
      <c r="O31" s="33">
        <v>2011</v>
      </c>
      <c r="P31" s="34">
        <v>5.28E-2</v>
      </c>
      <c r="R31" s="1" t="str">
        <f t="shared" si="2"/>
        <v>BAJORIESGO22011</v>
      </c>
      <c r="S31" s="1" t="s">
        <v>87</v>
      </c>
      <c r="T31" s="1">
        <v>2011</v>
      </c>
      <c r="U31" s="34">
        <v>6.5000000000000002E-2</v>
      </c>
    </row>
    <row r="32" spans="2:21" ht="15.95" customHeight="1">
      <c r="B32" s="189" t="str">
        <f t="shared" si="0"/>
        <v>Bajoriesgo22010</v>
      </c>
      <c r="C32" s="30" t="s">
        <v>8</v>
      </c>
      <c r="D32" s="30">
        <v>2010</v>
      </c>
      <c r="E32" s="31">
        <v>5.949999999999999E-2</v>
      </c>
      <c r="G32" s="1" t="str">
        <f t="shared" si="3"/>
        <v>MEDIANORIESGO2010</v>
      </c>
      <c r="H32" s="298" t="s">
        <v>127</v>
      </c>
      <c r="I32" s="33">
        <v>2010</v>
      </c>
      <c r="J32" s="34">
        <v>6.4000000000000001E-2</v>
      </c>
      <c r="L32" s="1" t="str">
        <f t="shared" si="1"/>
        <v>0.2MEDIANORIESGO2010</v>
      </c>
      <c r="M32" s="31">
        <v>0.2</v>
      </c>
      <c r="N32" s="32" t="s">
        <v>127</v>
      </c>
      <c r="O32" s="33">
        <v>2010</v>
      </c>
      <c r="P32" s="34">
        <v>5.4600000000000003E-2</v>
      </c>
      <c r="R32" s="1" t="str">
        <f t="shared" si="2"/>
        <v>BAJORIESGO22010</v>
      </c>
      <c r="S32" s="1" t="s">
        <v>87</v>
      </c>
      <c r="T32" s="1">
        <v>2010</v>
      </c>
      <c r="U32" s="34">
        <v>6.9000000000000006E-2</v>
      </c>
    </row>
    <row r="33" spans="2:21" ht="15.95" customHeight="1">
      <c r="B33" s="189" t="str">
        <f t="shared" si="0"/>
        <v>Bajoriesgo22009</v>
      </c>
      <c r="C33" s="30" t="s">
        <v>8</v>
      </c>
      <c r="D33" s="30">
        <v>2009</v>
      </c>
      <c r="E33" s="31">
        <v>6.2499999999999993E-2</v>
      </c>
      <c r="G33" s="1" t="str">
        <f t="shared" si="3"/>
        <v>MEDIANORIESGO2009</v>
      </c>
      <c r="H33" s="298" t="s">
        <v>127</v>
      </c>
      <c r="I33" s="33">
        <v>2009</v>
      </c>
      <c r="J33" s="34">
        <v>6.8000000000000005E-2</v>
      </c>
      <c r="L33" s="1" t="str">
        <f t="shared" si="1"/>
        <v>0.2MEDIANORIESGO2009</v>
      </c>
      <c r="M33" s="31">
        <v>0.2</v>
      </c>
      <c r="N33" s="32" t="s">
        <v>127</v>
      </c>
      <c r="O33" s="33">
        <v>2009</v>
      </c>
      <c r="P33" s="34">
        <v>5.6600000000000004E-2</v>
      </c>
      <c r="R33" s="1" t="str">
        <f t="shared" si="2"/>
        <v>BAJORIESGO22009</v>
      </c>
      <c r="S33" s="1" t="s">
        <v>87</v>
      </c>
      <c r="T33" s="1">
        <v>2009</v>
      </c>
      <c r="U33" s="34">
        <v>7.2000000000000008E-2</v>
      </c>
    </row>
    <row r="34" spans="2:21" ht="15.95" customHeight="1">
      <c r="B34" s="189" t="str">
        <f t="shared" si="0"/>
        <v>Bajoriesgo22008</v>
      </c>
      <c r="C34" s="30" t="s">
        <v>8</v>
      </c>
      <c r="D34" s="30">
        <v>2008</v>
      </c>
      <c r="E34" s="31">
        <v>6.5500000000000003E-2</v>
      </c>
      <c r="G34" s="1" t="str">
        <f t="shared" si="3"/>
        <v>MEDIANORIESGO2008</v>
      </c>
      <c r="H34" s="298" t="s">
        <v>127</v>
      </c>
      <c r="I34" s="33">
        <v>2008</v>
      </c>
      <c r="J34" s="34">
        <v>7.0999999999999994E-2</v>
      </c>
      <c r="L34" s="1" t="str">
        <f t="shared" si="1"/>
        <v>0.2MEDIANORIESGO2008</v>
      </c>
      <c r="M34" s="31">
        <v>0.2</v>
      </c>
      <c r="N34" s="32" t="s">
        <v>127</v>
      </c>
      <c r="O34" s="33">
        <v>2008</v>
      </c>
      <c r="P34" s="34">
        <v>5.7999999999999996E-2</v>
      </c>
      <c r="R34" s="1" t="str">
        <f t="shared" si="2"/>
        <v>BAJORIESGO22008</v>
      </c>
      <c r="S34" s="1" t="s">
        <v>87</v>
      </c>
      <c r="T34" s="1">
        <v>2008</v>
      </c>
      <c r="U34" s="34">
        <v>7.5999999999999998E-2</v>
      </c>
    </row>
    <row r="35" spans="2:21" ht="15.95" customHeight="1">
      <c r="B35" s="189" t="str">
        <f t="shared" si="0"/>
        <v>Bajoriesgo22007</v>
      </c>
      <c r="C35" s="30" t="s">
        <v>8</v>
      </c>
      <c r="D35" s="30">
        <v>2007</v>
      </c>
      <c r="E35" s="31">
        <v>6.5499999999999989E-2</v>
      </c>
      <c r="G35" s="1" t="str">
        <f t="shared" si="3"/>
        <v>MEDIANORIESGO2007</v>
      </c>
      <c r="H35" s="298" t="s">
        <v>127</v>
      </c>
      <c r="I35" s="33">
        <v>2007</v>
      </c>
      <c r="J35" s="34">
        <v>7.2000000000000008E-2</v>
      </c>
      <c r="L35" s="1" t="str">
        <f t="shared" si="1"/>
        <v>0.2MEDIANORIESGO2007</v>
      </c>
      <c r="M35" s="31">
        <v>0.2</v>
      </c>
      <c r="N35" s="32" t="s">
        <v>127</v>
      </c>
      <c r="O35" s="33">
        <v>2007</v>
      </c>
      <c r="P35" s="34">
        <v>5.8799999999999998E-2</v>
      </c>
      <c r="R35" s="1" t="str">
        <f t="shared" si="2"/>
        <v>BAJORIESGO22007</v>
      </c>
      <c r="S35" s="1" t="s">
        <v>87</v>
      </c>
      <c r="T35" s="1">
        <v>2007</v>
      </c>
      <c r="U35" s="34">
        <v>7.5999999999999998E-2</v>
      </c>
    </row>
    <row r="36" spans="2:21" ht="15.95" customHeight="1">
      <c r="B36" s="189" t="str">
        <f t="shared" si="0"/>
        <v>Bajoriesgo22006</v>
      </c>
      <c r="C36" s="30" t="s">
        <v>8</v>
      </c>
      <c r="D36" s="30">
        <v>2006</v>
      </c>
      <c r="E36" s="31">
        <v>6.5499999999999989E-2</v>
      </c>
      <c r="G36" s="1" t="str">
        <f t="shared" si="3"/>
        <v>MEDIANORIESGO2006</v>
      </c>
      <c r="H36" s="298" t="s">
        <v>127</v>
      </c>
      <c r="I36" s="33">
        <v>2006</v>
      </c>
      <c r="J36" s="34">
        <v>7.2000000000000008E-2</v>
      </c>
      <c r="L36" s="1" t="str">
        <f t="shared" si="1"/>
        <v>0.2MEDIANORIESGO2006</v>
      </c>
      <c r="M36" s="31">
        <v>0.2</v>
      </c>
      <c r="N36" s="32" t="s">
        <v>127</v>
      </c>
      <c r="O36" s="33">
        <v>2006</v>
      </c>
      <c r="P36" s="34">
        <v>5.8799999999999998E-2</v>
      </c>
      <c r="R36" s="1" t="str">
        <f t="shared" si="2"/>
        <v>BAJORIESGO22006</v>
      </c>
      <c r="S36" s="1" t="s">
        <v>87</v>
      </c>
      <c r="T36" s="1">
        <v>2006</v>
      </c>
      <c r="U36" s="34">
        <v>7.5999999999999998E-2</v>
      </c>
    </row>
    <row r="37" spans="2:21" ht="15.95" customHeight="1">
      <c r="B37" s="189" t="str">
        <f t="shared" si="0"/>
        <v>Bajoriesgo22005</v>
      </c>
      <c r="C37" s="30" t="s">
        <v>8</v>
      </c>
      <c r="D37" s="30">
        <v>2005</v>
      </c>
      <c r="E37" s="31">
        <v>6.5500000000000003E-2</v>
      </c>
      <c r="G37" s="1" t="str">
        <f t="shared" si="3"/>
        <v>MEDIANORIESGO2005</v>
      </c>
      <c r="H37" s="298" t="s">
        <v>127</v>
      </c>
      <c r="I37" s="33">
        <v>2005</v>
      </c>
      <c r="J37" s="34">
        <v>7.2000000000000008E-2</v>
      </c>
      <c r="L37" s="1" t="str">
        <f t="shared" si="1"/>
        <v>0.2MEDIANORIESGO2005</v>
      </c>
      <c r="M37" s="31">
        <v>0.2</v>
      </c>
      <c r="N37" s="32" t="s">
        <v>127</v>
      </c>
      <c r="O37" s="33">
        <v>2005</v>
      </c>
      <c r="P37" s="34">
        <v>5.8799999999999998E-2</v>
      </c>
      <c r="R37" s="1" t="str">
        <f t="shared" si="2"/>
        <v>BAJORIESGO22005</v>
      </c>
      <c r="S37" s="1" t="s">
        <v>87</v>
      </c>
      <c r="T37" s="1">
        <v>2005</v>
      </c>
      <c r="U37" s="34">
        <v>7.5999999999999998E-2</v>
      </c>
    </row>
    <row r="38" spans="2:21" ht="15.95" customHeight="1">
      <c r="B38" s="189" t="str">
        <f t="shared" si="0"/>
        <v>Bajoriesgo22004</v>
      </c>
      <c r="C38" s="30" t="s">
        <v>8</v>
      </c>
      <c r="D38" s="30">
        <v>2004</v>
      </c>
      <c r="E38" s="31">
        <v>6.5500000000000003E-2</v>
      </c>
      <c r="G38" s="1" t="str">
        <f t="shared" si="3"/>
        <v>MEDIANORIESGO2004</v>
      </c>
      <c r="H38" s="298" t="s">
        <v>127</v>
      </c>
      <c r="I38" s="33">
        <v>2004</v>
      </c>
      <c r="J38" s="34">
        <v>7.2000000000000008E-2</v>
      </c>
      <c r="L38" s="1" t="str">
        <f t="shared" si="1"/>
        <v>0.2MEDIANORIESGO2004</v>
      </c>
      <c r="M38" s="31">
        <v>0.2</v>
      </c>
      <c r="N38" s="32" t="s">
        <v>127</v>
      </c>
      <c r="O38" s="33">
        <v>2004</v>
      </c>
      <c r="P38" s="34">
        <v>5.8799999999999998E-2</v>
      </c>
      <c r="R38" s="1" t="str">
        <f t="shared" si="2"/>
        <v>BAJORIESGO22004</v>
      </c>
      <c r="S38" s="1" t="s">
        <v>87</v>
      </c>
      <c r="T38" s="1">
        <v>2004</v>
      </c>
      <c r="U38" s="34">
        <v>7.5999999999999998E-2</v>
      </c>
    </row>
    <row r="39" spans="2:21" ht="15.95" customHeight="1">
      <c r="B39" s="189" t="str">
        <f t="shared" si="0"/>
        <v>Bajoriesgo22003</v>
      </c>
      <c r="C39" s="30" t="s">
        <v>8</v>
      </c>
      <c r="D39" s="30">
        <v>2003</v>
      </c>
      <c r="E39" s="31">
        <v>6.5500000000000003E-2</v>
      </c>
      <c r="G39" s="1" t="str">
        <f t="shared" si="3"/>
        <v>MEDIANORIESGO2003</v>
      </c>
      <c r="H39" s="298" t="s">
        <v>127</v>
      </c>
      <c r="I39" s="33">
        <v>2003</v>
      </c>
      <c r="J39" s="34">
        <v>7.2000000000000008E-2</v>
      </c>
      <c r="L39" s="1" t="str">
        <f t="shared" si="1"/>
        <v>0.2MEDIANORIESGO2003</v>
      </c>
      <c r="M39" s="31">
        <v>0.2</v>
      </c>
      <c r="N39" s="32" t="s">
        <v>127</v>
      </c>
      <c r="O39" s="33">
        <v>2003</v>
      </c>
      <c r="P39" s="34">
        <v>5.8799999999999998E-2</v>
      </c>
      <c r="R39" s="1" t="str">
        <f t="shared" si="2"/>
        <v>BAJORIESGO22003</v>
      </c>
      <c r="S39" s="1" t="s">
        <v>87</v>
      </c>
      <c r="T39" s="1">
        <v>2003</v>
      </c>
      <c r="U39" s="34">
        <v>7.5999999999999998E-2</v>
      </c>
    </row>
    <row r="40" spans="2:21" ht="15.95" customHeight="1">
      <c r="B40" s="189" t="str">
        <f t="shared" si="0"/>
        <v>Bajoriesgo22002</v>
      </c>
      <c r="C40" s="30" t="s">
        <v>8</v>
      </c>
      <c r="D40" s="30">
        <v>2002</v>
      </c>
      <c r="E40" s="31">
        <v>6.5500000000000003E-2</v>
      </c>
      <c r="G40" s="1" t="str">
        <f t="shared" si="3"/>
        <v>MEDIANORIESGO2002</v>
      </c>
      <c r="H40" s="298" t="s">
        <v>127</v>
      </c>
      <c r="I40" s="33">
        <v>2002</v>
      </c>
      <c r="J40" s="34">
        <v>7.2000000000000008E-2</v>
      </c>
      <c r="L40" s="1" t="str">
        <f t="shared" si="1"/>
        <v>0.2MEDIANORIESGO2002</v>
      </c>
      <c r="M40" s="31">
        <v>0.2</v>
      </c>
      <c r="N40" s="32" t="s">
        <v>127</v>
      </c>
      <c r="O40" s="33">
        <v>2002</v>
      </c>
      <c r="P40" s="34">
        <v>5.8799999999999998E-2</v>
      </c>
      <c r="R40" s="1" t="str">
        <f t="shared" si="2"/>
        <v>BAJORIESGO22002</v>
      </c>
      <c r="S40" s="1" t="s">
        <v>87</v>
      </c>
      <c r="T40" s="1">
        <v>2002</v>
      </c>
      <c r="U40" s="34">
        <v>7.5999999999999998E-2</v>
      </c>
    </row>
    <row r="41" spans="2:21" ht="15.95" customHeight="1">
      <c r="B41" s="189" t="str">
        <f t="shared" si="0"/>
        <v>Bajoriesgo22001</v>
      </c>
      <c r="C41" s="30" t="s">
        <v>8</v>
      </c>
      <c r="D41" s="30">
        <v>2001</v>
      </c>
      <c r="E41" s="31">
        <v>6.5500000000000003E-2</v>
      </c>
      <c r="G41" s="1" t="str">
        <f t="shared" si="3"/>
        <v>MEDIANORIESGO2001</v>
      </c>
      <c r="H41" s="298" t="s">
        <v>127</v>
      </c>
      <c r="I41" s="33">
        <v>2001</v>
      </c>
      <c r="J41" s="34">
        <v>7.2000000000000008E-2</v>
      </c>
      <c r="L41" s="1" t="str">
        <f t="shared" si="1"/>
        <v>0.2MEDIANORIESGO2001</v>
      </c>
      <c r="M41" s="31">
        <v>0.2</v>
      </c>
      <c r="N41" s="32" t="s">
        <v>127</v>
      </c>
      <c r="O41" s="33">
        <v>2001</v>
      </c>
      <c r="P41" s="34">
        <v>5.8799999999999998E-2</v>
      </c>
      <c r="R41" s="1" t="str">
        <f t="shared" si="2"/>
        <v>BAJORIESGO22001</v>
      </c>
      <c r="S41" s="1" t="s">
        <v>87</v>
      </c>
      <c r="T41" s="1">
        <v>2001</v>
      </c>
      <c r="U41" s="34">
        <v>7.5999999999999998E-2</v>
      </c>
    </row>
    <row r="42" spans="2:21" ht="15.95" customHeight="1">
      <c r="B42" s="189" t="str">
        <f t="shared" si="0"/>
        <v>Altoriesgo12019</v>
      </c>
      <c r="C42" s="30" t="s">
        <v>19</v>
      </c>
      <c r="D42" s="30">
        <v>2019</v>
      </c>
      <c r="E42" s="31">
        <v>3.6000000000000004E-2</v>
      </c>
      <c r="G42" s="1" t="str">
        <f t="shared" si="3"/>
        <v>ALTORIESGO2019</v>
      </c>
      <c r="H42" s="298" t="s">
        <v>128</v>
      </c>
      <c r="I42" s="33">
        <v>2019</v>
      </c>
      <c r="J42" s="34">
        <v>4.4999999999999998E-2</v>
      </c>
      <c r="L42" s="1" t="str">
        <f t="shared" si="1"/>
        <v>0.2ALTORIESGO2019</v>
      </c>
      <c r="M42" s="31">
        <v>0.2</v>
      </c>
      <c r="N42" s="32" t="s">
        <v>128</v>
      </c>
      <c r="O42" s="33">
        <v>2019</v>
      </c>
      <c r="P42" s="34">
        <v>3.9300000000000002E-2</v>
      </c>
      <c r="R42" s="1" t="str">
        <f t="shared" si="2"/>
        <v>MEDIANORIESGO2019</v>
      </c>
      <c r="S42" s="1" t="s">
        <v>127</v>
      </c>
      <c r="T42" s="1">
        <v>2019</v>
      </c>
      <c r="U42" s="34">
        <v>4.5999999999999999E-2</v>
      </c>
    </row>
    <row r="43" spans="2:21" ht="15.95" customHeight="1">
      <c r="B43" s="189" t="str">
        <f t="shared" si="0"/>
        <v>Algoriesgo1NUEVO 2018</v>
      </c>
      <c r="C43" s="30" t="s">
        <v>679</v>
      </c>
      <c r="D43" s="30" t="s">
        <v>727</v>
      </c>
      <c r="E43" s="31">
        <v>3.5999999999999997E-2</v>
      </c>
      <c r="G43" s="1" t="str">
        <f t="shared" si="3"/>
        <v>ALTORIESGONUEVO 2018</v>
      </c>
      <c r="H43" s="298" t="s">
        <v>128</v>
      </c>
      <c r="I43" s="33" t="s">
        <v>727</v>
      </c>
      <c r="J43" s="34">
        <v>4.4999999999999998E-2</v>
      </c>
      <c r="L43" s="1" t="str">
        <f t="shared" si="1"/>
        <v>0.2ALTORIESGONUEVO 2018</v>
      </c>
      <c r="M43" s="31">
        <v>0.2</v>
      </c>
      <c r="N43" s="32" t="s">
        <v>128</v>
      </c>
      <c r="O43" s="33" t="s">
        <v>727</v>
      </c>
      <c r="P43" s="34">
        <v>3.9300000000000002E-2</v>
      </c>
      <c r="R43" s="1" t="str">
        <f t="shared" si="2"/>
        <v>MEDIANORIESGONUEVO 2018</v>
      </c>
      <c r="S43" s="1" t="s">
        <v>127</v>
      </c>
      <c r="T43" s="1" t="s">
        <v>727</v>
      </c>
      <c r="U43" s="34">
        <v>4.5999999999999999E-2</v>
      </c>
    </row>
    <row r="44" spans="2:21" ht="15.95" customHeight="1">
      <c r="B44" s="189" t="str">
        <f t="shared" si="0"/>
        <v>Altoriesgo12018</v>
      </c>
      <c r="C44" s="30" t="s">
        <v>19</v>
      </c>
      <c r="D44" s="30">
        <v>2018</v>
      </c>
      <c r="E44" s="31">
        <v>3.7500000000000006E-2</v>
      </c>
      <c r="G44" s="1" t="str">
        <f t="shared" si="3"/>
        <v>ALTORIESGO2018</v>
      </c>
      <c r="H44" s="298" t="s">
        <v>128</v>
      </c>
      <c r="I44" s="33">
        <v>2018</v>
      </c>
      <c r="J44" s="34">
        <v>4.4999999999999998E-2</v>
      </c>
      <c r="L44" s="1" t="str">
        <f t="shared" si="1"/>
        <v>0.2ALTORIESGO2018</v>
      </c>
      <c r="M44" s="31">
        <v>0.2</v>
      </c>
      <c r="N44" s="32" t="s">
        <v>128</v>
      </c>
      <c r="O44" s="33">
        <v>2018</v>
      </c>
      <c r="P44" s="34">
        <v>4.1399999999999999E-2</v>
      </c>
      <c r="R44" s="1" t="str">
        <f t="shared" si="2"/>
        <v>MEDIANORIESGO2018</v>
      </c>
      <c r="S44" s="1" t="s">
        <v>127</v>
      </c>
      <c r="T44" s="1">
        <v>2018</v>
      </c>
      <c r="U44" s="34">
        <v>4.8000000000000001E-2</v>
      </c>
    </row>
    <row r="45" spans="2:21" ht="15.95" customHeight="1">
      <c r="B45" s="189" t="str">
        <f t="shared" si="0"/>
        <v>Altoriesgo12017</v>
      </c>
      <c r="C45" s="30" t="s">
        <v>19</v>
      </c>
      <c r="D45" s="30">
        <v>2017</v>
      </c>
      <c r="E45" s="31">
        <v>3.9000000000000007E-2</v>
      </c>
      <c r="G45" s="1" t="str">
        <f t="shared" si="3"/>
        <v>ALTORIESGO2017</v>
      </c>
      <c r="H45" s="298" t="s">
        <v>128</v>
      </c>
      <c r="I45" s="33">
        <v>2017</v>
      </c>
      <c r="J45" s="34">
        <v>4.8000000000000001E-2</v>
      </c>
      <c r="L45" s="1" t="str">
        <f t="shared" si="1"/>
        <v>0.2ALTORIESGO2017</v>
      </c>
      <c r="M45" s="31">
        <v>0.2</v>
      </c>
      <c r="N45" s="32" t="s">
        <v>128</v>
      </c>
      <c r="O45" s="33">
        <v>2017</v>
      </c>
      <c r="P45" s="34">
        <v>4.36E-2</v>
      </c>
      <c r="R45" s="1" t="str">
        <f t="shared" si="2"/>
        <v>MEDIANORIESGO2017</v>
      </c>
      <c r="S45" s="1" t="s">
        <v>127</v>
      </c>
      <c r="T45" s="1">
        <v>2017</v>
      </c>
      <c r="U45" s="34">
        <v>5.0499999999999996E-2</v>
      </c>
    </row>
    <row r="46" spans="2:21" ht="15.95" customHeight="1">
      <c r="B46" s="189" t="str">
        <f t="shared" si="0"/>
        <v>Altoriesgo12016</v>
      </c>
      <c r="C46" s="30" t="s">
        <v>19</v>
      </c>
      <c r="D46" s="30">
        <v>2016</v>
      </c>
      <c r="E46" s="31">
        <v>4.1000000000000009E-2</v>
      </c>
      <c r="G46" s="1" t="str">
        <f t="shared" si="3"/>
        <v>ALTORIESGO2016</v>
      </c>
      <c r="H46" s="298" t="s">
        <v>128</v>
      </c>
      <c r="I46" s="33">
        <v>2016</v>
      </c>
      <c r="J46" s="34">
        <v>0.05</v>
      </c>
      <c r="L46" s="1" t="str">
        <f t="shared" si="1"/>
        <v>0.2ALTORIESGO2016</v>
      </c>
      <c r="M46" s="31">
        <v>0.2</v>
      </c>
      <c r="N46" s="32" t="s">
        <v>128</v>
      </c>
      <c r="O46" s="33">
        <v>2016</v>
      </c>
      <c r="P46" s="34">
        <v>4.5999999999999999E-2</v>
      </c>
      <c r="R46" s="1" t="str">
        <f t="shared" si="2"/>
        <v>MEDIANORIESGO2016</v>
      </c>
      <c r="S46" s="1" t="s">
        <v>127</v>
      </c>
      <c r="T46" s="1">
        <v>2016</v>
      </c>
      <c r="U46" s="34">
        <v>5.2999999999999999E-2</v>
      </c>
    </row>
    <row r="47" spans="2:21" ht="15.95" customHeight="1">
      <c r="B47" s="189" t="str">
        <f t="shared" si="0"/>
        <v>Altoriesgo12015</v>
      </c>
      <c r="C47" s="30" t="s">
        <v>19</v>
      </c>
      <c r="D47" s="30">
        <v>2015</v>
      </c>
      <c r="E47" s="31">
        <v>4.3500000000000004E-2</v>
      </c>
      <c r="G47" s="1" t="str">
        <f t="shared" si="3"/>
        <v>ALTORIESGO2015</v>
      </c>
      <c r="H47" s="298" t="s">
        <v>128</v>
      </c>
      <c r="I47" s="33">
        <v>2015</v>
      </c>
      <c r="J47" s="34">
        <v>5.2000000000000005E-2</v>
      </c>
      <c r="L47" s="1" t="str">
        <f t="shared" si="1"/>
        <v>0.2ALTORIESGO2015</v>
      </c>
      <c r="M47" s="31">
        <v>0.2</v>
      </c>
      <c r="N47" s="32" t="s">
        <v>128</v>
      </c>
      <c r="O47" s="33">
        <v>2015</v>
      </c>
      <c r="P47" s="34">
        <v>4.7400000000000005E-2</v>
      </c>
      <c r="R47" s="1" t="str">
        <f t="shared" si="2"/>
        <v>MEDIANORIESGO2015</v>
      </c>
      <c r="S47" s="1" t="s">
        <v>127</v>
      </c>
      <c r="T47" s="1">
        <v>2015</v>
      </c>
      <c r="U47" s="34">
        <v>5.5999999999999994E-2</v>
      </c>
    </row>
    <row r="48" spans="2:21" ht="15.95" customHeight="1">
      <c r="B48" s="189" t="str">
        <f t="shared" si="0"/>
        <v>Altoriesgo12014</v>
      </c>
      <c r="C48" s="30" t="s">
        <v>19</v>
      </c>
      <c r="D48" s="30">
        <v>2014</v>
      </c>
      <c r="E48" s="31">
        <v>4.6499999999999993E-2</v>
      </c>
      <c r="G48" s="1" t="str">
        <f t="shared" si="3"/>
        <v>ALTORIESGO2014</v>
      </c>
      <c r="H48" s="298" t="s">
        <v>128</v>
      </c>
      <c r="I48" s="33">
        <v>2014</v>
      </c>
      <c r="J48" s="34">
        <v>5.4000000000000006E-2</v>
      </c>
      <c r="L48" s="1" t="str">
        <f t="shared" si="1"/>
        <v>0.2ALTORIESGO2014</v>
      </c>
      <c r="M48" s="31">
        <v>0.2</v>
      </c>
      <c r="N48" s="32" t="s">
        <v>128</v>
      </c>
      <c r="O48" s="33">
        <v>2014</v>
      </c>
      <c r="P48" s="34">
        <v>4.99E-2</v>
      </c>
      <c r="R48" s="1" t="str">
        <f t="shared" si="2"/>
        <v>MEDIANORIESGO2014</v>
      </c>
      <c r="S48" s="1" t="s">
        <v>127</v>
      </c>
      <c r="T48" s="1">
        <v>2014</v>
      </c>
      <c r="U48" s="34">
        <v>5.9000000000000004E-2</v>
      </c>
    </row>
    <row r="49" spans="2:21" ht="15.95" customHeight="1">
      <c r="B49" s="189" t="str">
        <f t="shared" si="0"/>
        <v>Altoriesgo12013</v>
      </c>
      <c r="C49" s="30" t="s">
        <v>19</v>
      </c>
      <c r="D49" s="30">
        <v>2013</v>
      </c>
      <c r="E49" s="31">
        <v>4.9499999999999995E-2</v>
      </c>
      <c r="G49" s="1" t="str">
        <f t="shared" si="3"/>
        <v>ALTORIESGO2013</v>
      </c>
      <c r="H49" s="298" t="s">
        <v>128</v>
      </c>
      <c r="I49" s="33">
        <v>2013</v>
      </c>
      <c r="J49" s="34">
        <v>5.5999999999999994E-2</v>
      </c>
      <c r="L49" s="1" t="str">
        <f t="shared" si="1"/>
        <v>0.2ALTORIESGO2013</v>
      </c>
      <c r="M49" s="31">
        <v>0.2</v>
      </c>
      <c r="N49" s="32" t="s">
        <v>128</v>
      </c>
      <c r="O49" s="33">
        <v>2013</v>
      </c>
      <c r="P49" s="34">
        <v>5.2199999999999996E-2</v>
      </c>
      <c r="R49" s="1" t="str">
        <f t="shared" si="2"/>
        <v>MEDIANORIESGO2013</v>
      </c>
      <c r="S49" s="1" t="s">
        <v>127</v>
      </c>
      <c r="T49" s="1">
        <v>2013</v>
      </c>
      <c r="U49" s="34">
        <v>6.3E-2</v>
      </c>
    </row>
    <row r="50" spans="2:21" ht="15.95" customHeight="1">
      <c r="B50" s="189" t="str">
        <f t="shared" si="0"/>
        <v>Altoriesgo12012</v>
      </c>
      <c r="C50" s="30" t="s">
        <v>19</v>
      </c>
      <c r="D50" s="30">
        <v>2012</v>
      </c>
      <c r="E50" s="31">
        <v>5.2499999999999991E-2</v>
      </c>
      <c r="G50" s="1" t="str">
        <f t="shared" si="3"/>
        <v>ALTORIESGO2012</v>
      </c>
      <c r="H50" s="298" t="s">
        <v>128</v>
      </c>
      <c r="I50" s="33">
        <v>2012</v>
      </c>
      <c r="J50" s="34">
        <v>0.06</v>
      </c>
      <c r="L50" s="1" t="str">
        <f t="shared" si="1"/>
        <v>0.2ALTORIESGO2012</v>
      </c>
      <c r="M50" s="31">
        <v>0.2</v>
      </c>
      <c r="N50" s="32" t="s">
        <v>128</v>
      </c>
      <c r="O50" s="33">
        <v>2012</v>
      </c>
      <c r="P50" s="34">
        <v>5.4100000000000002E-2</v>
      </c>
      <c r="R50" s="1" t="str">
        <f t="shared" si="2"/>
        <v>MEDIANORIESGO2012</v>
      </c>
      <c r="S50" s="1" t="s">
        <v>127</v>
      </c>
      <c r="T50" s="1">
        <v>2012</v>
      </c>
      <c r="U50" s="34">
        <v>6.6000000000000003E-2</v>
      </c>
    </row>
    <row r="51" spans="2:21" ht="15.95" customHeight="1">
      <c r="B51" s="189" t="str">
        <f t="shared" si="0"/>
        <v>Altoriesgo12011</v>
      </c>
      <c r="C51" s="30" t="s">
        <v>19</v>
      </c>
      <c r="D51" s="30">
        <v>2011</v>
      </c>
      <c r="E51" s="31">
        <v>5.5499999999999987E-2</v>
      </c>
      <c r="G51" s="1" t="str">
        <f t="shared" si="3"/>
        <v>ALTORIESGO2011</v>
      </c>
      <c r="H51" s="298" t="s">
        <v>128</v>
      </c>
      <c r="I51" s="33">
        <v>2011</v>
      </c>
      <c r="J51" s="34">
        <v>6.4000000000000001E-2</v>
      </c>
      <c r="L51" s="1" t="str">
        <f t="shared" si="1"/>
        <v>0.2ALTORIESGO2011</v>
      </c>
      <c r="M51" s="31">
        <v>0.2</v>
      </c>
      <c r="N51" s="32" t="s">
        <v>128</v>
      </c>
      <c r="O51" s="33">
        <v>2011</v>
      </c>
      <c r="P51" s="34">
        <v>5.5500000000000001E-2</v>
      </c>
      <c r="R51" s="1" t="str">
        <f t="shared" si="2"/>
        <v>MEDIANORIESGO2011</v>
      </c>
      <c r="S51" s="1" t="s">
        <v>127</v>
      </c>
      <c r="T51" s="1">
        <v>2011</v>
      </c>
      <c r="U51" s="34">
        <v>6.9000000000000006E-2</v>
      </c>
    </row>
    <row r="52" spans="2:21" ht="15.95" customHeight="1">
      <c r="B52" s="189" t="str">
        <f t="shared" si="0"/>
        <v>Altoriesgo12010</v>
      </c>
      <c r="C52" s="30" t="s">
        <v>19</v>
      </c>
      <c r="D52" s="30">
        <v>2010</v>
      </c>
      <c r="E52" s="31">
        <v>5.949999999999999E-2</v>
      </c>
      <c r="G52" s="1" t="str">
        <f t="shared" si="3"/>
        <v>ALTORIESGO2010</v>
      </c>
      <c r="H52" s="298" t="s">
        <v>128</v>
      </c>
      <c r="I52" s="33">
        <v>2010</v>
      </c>
      <c r="J52" s="34">
        <v>6.8000000000000005E-2</v>
      </c>
      <c r="L52" s="1" t="str">
        <f t="shared" si="1"/>
        <v>0.2ALTORIESGO2010</v>
      </c>
      <c r="M52" s="31">
        <v>0.2</v>
      </c>
      <c r="N52" s="32" t="s">
        <v>128</v>
      </c>
      <c r="O52" s="33">
        <v>2010</v>
      </c>
      <c r="P52" s="34">
        <v>5.7500000000000002E-2</v>
      </c>
      <c r="R52" s="1" t="str">
        <f t="shared" si="2"/>
        <v>MEDIANORIESGO2010</v>
      </c>
      <c r="S52" s="1" t="s">
        <v>127</v>
      </c>
      <c r="T52" s="1">
        <v>2010</v>
      </c>
      <c r="U52" s="34">
        <v>7.2999999999999995E-2</v>
      </c>
    </row>
    <row r="53" spans="2:21" ht="15.95" customHeight="1">
      <c r="B53" s="189" t="str">
        <f t="shared" si="0"/>
        <v>Altoriesgo12009</v>
      </c>
      <c r="C53" s="30" t="s">
        <v>19</v>
      </c>
      <c r="D53" s="30">
        <v>2009</v>
      </c>
      <c r="E53" s="31">
        <v>6.2499999999999993E-2</v>
      </c>
      <c r="G53" s="1" t="str">
        <f t="shared" si="3"/>
        <v>ALTORIESGO2009</v>
      </c>
      <c r="H53" s="298" t="s">
        <v>128</v>
      </c>
      <c r="I53" s="33">
        <v>2009</v>
      </c>
      <c r="J53" s="34">
        <v>7.2000000000000008E-2</v>
      </c>
      <c r="L53" s="1" t="str">
        <f t="shared" si="1"/>
        <v>0.2ALTORIESGO2009</v>
      </c>
      <c r="M53" s="31">
        <v>0.2</v>
      </c>
      <c r="N53" s="32" t="s">
        <v>128</v>
      </c>
      <c r="O53" s="33">
        <v>2009</v>
      </c>
      <c r="P53" s="34">
        <v>5.9299999999999999E-2</v>
      </c>
      <c r="R53" s="1" t="str">
        <f t="shared" si="2"/>
        <v>MEDIANORIESGO2009</v>
      </c>
      <c r="S53" s="1" t="s">
        <v>127</v>
      </c>
      <c r="T53" s="1">
        <v>2009</v>
      </c>
      <c r="U53" s="34">
        <v>4.5999999999999999E-2</v>
      </c>
    </row>
    <row r="54" spans="2:21" ht="15.95" customHeight="1">
      <c r="B54" s="189" t="str">
        <f t="shared" si="0"/>
        <v>Altoriesgo12008</v>
      </c>
      <c r="C54" s="30" t="s">
        <v>19</v>
      </c>
      <c r="D54" s="30">
        <v>2008</v>
      </c>
      <c r="E54" s="31">
        <v>6.5499999999999989E-2</v>
      </c>
      <c r="G54" s="1" t="str">
        <f t="shared" si="3"/>
        <v>ALTORIESGO2008</v>
      </c>
      <c r="H54" s="298" t="s">
        <v>128</v>
      </c>
      <c r="I54" s="33">
        <v>2008</v>
      </c>
      <c r="J54" s="34">
        <v>7.4999999999999997E-2</v>
      </c>
      <c r="L54" s="1" t="str">
        <f t="shared" si="1"/>
        <v>0.2ALTORIESGO2008</v>
      </c>
      <c r="M54" s="31">
        <v>0.2</v>
      </c>
      <c r="N54" s="32" t="s">
        <v>128</v>
      </c>
      <c r="O54" s="33">
        <v>2008</v>
      </c>
      <c r="P54" s="34">
        <v>6.08E-2</v>
      </c>
      <c r="R54" s="1" t="str">
        <f t="shared" si="2"/>
        <v>MEDIANORIESGO2008</v>
      </c>
      <c r="S54" s="1" t="s">
        <v>127</v>
      </c>
      <c r="T54" s="1">
        <v>2008</v>
      </c>
      <c r="U54" s="34">
        <v>0.08</v>
      </c>
    </row>
    <row r="55" spans="2:21" ht="15.95" customHeight="1">
      <c r="B55" s="189" t="str">
        <f t="shared" si="0"/>
        <v>Altoriesgo12007</v>
      </c>
      <c r="C55" s="30" t="s">
        <v>19</v>
      </c>
      <c r="D55" s="30">
        <v>2007</v>
      </c>
      <c r="E55" s="31">
        <v>6.5499999999999989E-2</v>
      </c>
      <c r="G55" s="1" t="str">
        <f t="shared" si="3"/>
        <v>ALTORIESGO2007</v>
      </c>
      <c r="H55" s="298" t="s">
        <v>128</v>
      </c>
      <c r="I55" s="33">
        <v>2007</v>
      </c>
      <c r="J55" s="34">
        <v>7.5999999999999998E-2</v>
      </c>
      <c r="L55" s="1" t="str">
        <f t="shared" si="1"/>
        <v>0.2ALTORIESGO2007</v>
      </c>
      <c r="M55" s="31">
        <v>0.2</v>
      </c>
      <c r="N55" s="32" t="s">
        <v>128</v>
      </c>
      <c r="O55" s="33">
        <v>2007</v>
      </c>
      <c r="P55" s="34">
        <v>6.2100000000000002E-2</v>
      </c>
      <c r="R55" s="1" t="str">
        <f t="shared" si="2"/>
        <v>MEDIANORIESGO2007</v>
      </c>
      <c r="S55" s="1" t="s">
        <v>127</v>
      </c>
      <c r="T55" s="1">
        <v>2007</v>
      </c>
      <c r="U55" s="34">
        <v>0.08</v>
      </c>
    </row>
    <row r="56" spans="2:21" ht="15.95" customHeight="1">
      <c r="B56" s="189" t="str">
        <f t="shared" si="0"/>
        <v>Altoriesgo12006</v>
      </c>
      <c r="C56" s="30" t="s">
        <v>19</v>
      </c>
      <c r="D56" s="30">
        <v>2006</v>
      </c>
      <c r="E56" s="31">
        <v>6.5499999999999989E-2</v>
      </c>
      <c r="G56" s="1" t="str">
        <f t="shared" si="3"/>
        <v>ALTORIESGO2006</v>
      </c>
      <c r="H56" s="298" t="s">
        <v>128</v>
      </c>
      <c r="I56" s="33">
        <v>2006</v>
      </c>
      <c r="J56" s="34">
        <v>7.5999999999999998E-2</v>
      </c>
      <c r="L56" s="1" t="str">
        <f t="shared" si="1"/>
        <v>0.2ALTORIESGO2006</v>
      </c>
      <c r="M56" s="31">
        <v>0.2</v>
      </c>
      <c r="N56" s="32" t="s">
        <v>128</v>
      </c>
      <c r="O56" s="33">
        <v>2006</v>
      </c>
      <c r="P56" s="34">
        <v>6.2100000000000002E-2</v>
      </c>
      <c r="R56" s="1" t="str">
        <f t="shared" si="2"/>
        <v>MEDIANORIESGO2006</v>
      </c>
      <c r="S56" s="1" t="s">
        <v>127</v>
      </c>
      <c r="T56" s="1">
        <v>2006</v>
      </c>
      <c r="U56" s="34">
        <v>0.08</v>
      </c>
    </row>
    <row r="57" spans="2:21" ht="15.95" customHeight="1">
      <c r="B57" s="189" t="str">
        <f t="shared" si="0"/>
        <v>Altoriesgo12005</v>
      </c>
      <c r="C57" s="30" t="s">
        <v>19</v>
      </c>
      <c r="D57" s="30">
        <v>2005</v>
      </c>
      <c r="E57" s="31">
        <v>6.5500000000000003E-2</v>
      </c>
      <c r="G57" s="1" t="str">
        <f t="shared" si="3"/>
        <v>ALTORIESGO2005</v>
      </c>
      <c r="H57" s="298" t="s">
        <v>128</v>
      </c>
      <c r="I57" s="33">
        <v>2005</v>
      </c>
      <c r="J57" s="34">
        <v>7.5999999999999998E-2</v>
      </c>
      <c r="L57" s="1" t="str">
        <f t="shared" si="1"/>
        <v>0.2ALTORIESGO2005</v>
      </c>
      <c r="M57" s="31">
        <v>0.2</v>
      </c>
      <c r="N57" s="32" t="s">
        <v>128</v>
      </c>
      <c r="O57" s="33">
        <v>2005</v>
      </c>
      <c r="P57" s="34">
        <v>6.2100000000000002E-2</v>
      </c>
      <c r="R57" s="1" t="str">
        <f t="shared" si="2"/>
        <v>MEDIANORIESGO2005</v>
      </c>
      <c r="S57" s="1" t="s">
        <v>127</v>
      </c>
      <c r="T57" s="1">
        <v>2005</v>
      </c>
      <c r="U57" s="34">
        <v>0.08</v>
      </c>
    </row>
    <row r="58" spans="2:21" ht="15.95" customHeight="1">
      <c r="B58" s="189" t="str">
        <f t="shared" si="0"/>
        <v>Altoriesgo12004</v>
      </c>
      <c r="C58" s="30" t="s">
        <v>19</v>
      </c>
      <c r="D58" s="30">
        <v>2004</v>
      </c>
      <c r="E58" s="31">
        <v>6.5500000000000003E-2</v>
      </c>
      <c r="G58" s="1" t="str">
        <f t="shared" si="3"/>
        <v>ALTORIESGO2004</v>
      </c>
      <c r="H58" s="298" t="s">
        <v>128</v>
      </c>
      <c r="I58" s="33">
        <v>2004</v>
      </c>
      <c r="J58" s="34">
        <v>7.5999999999999998E-2</v>
      </c>
      <c r="L58" s="1" t="str">
        <f t="shared" si="1"/>
        <v>0.2ALTORIESGO2004</v>
      </c>
      <c r="M58" s="31">
        <v>0.2</v>
      </c>
      <c r="N58" s="32" t="s">
        <v>128</v>
      </c>
      <c r="O58" s="33">
        <v>2004</v>
      </c>
      <c r="P58" s="34">
        <v>6.2100000000000002E-2</v>
      </c>
      <c r="R58" s="1" t="str">
        <f t="shared" si="2"/>
        <v>MEDIANORIESGO2004</v>
      </c>
      <c r="S58" s="1" t="s">
        <v>127</v>
      </c>
      <c r="T58" s="1">
        <v>2004</v>
      </c>
      <c r="U58" s="34">
        <v>0.08</v>
      </c>
    </row>
    <row r="59" spans="2:21" ht="15.95" customHeight="1">
      <c r="B59" s="189" t="str">
        <f t="shared" si="0"/>
        <v>Altoriesgo12003</v>
      </c>
      <c r="C59" s="30" t="s">
        <v>19</v>
      </c>
      <c r="D59" s="30">
        <v>2003</v>
      </c>
      <c r="E59" s="31">
        <v>6.5500000000000003E-2</v>
      </c>
      <c r="G59" s="1" t="str">
        <f t="shared" si="3"/>
        <v>ALTORIESGO2003</v>
      </c>
      <c r="H59" s="298" t="s">
        <v>128</v>
      </c>
      <c r="I59" s="33">
        <v>2003</v>
      </c>
      <c r="J59" s="34">
        <v>7.5999999999999998E-2</v>
      </c>
      <c r="L59" s="1" t="str">
        <f t="shared" si="1"/>
        <v>0.2ALTORIESGO2003</v>
      </c>
      <c r="M59" s="31">
        <v>0.2</v>
      </c>
      <c r="N59" s="32" t="s">
        <v>128</v>
      </c>
      <c r="O59" s="33">
        <v>2003</v>
      </c>
      <c r="P59" s="34">
        <v>6.2100000000000002E-2</v>
      </c>
      <c r="R59" s="1" t="str">
        <f t="shared" si="2"/>
        <v>MEDIANORIESGO2003</v>
      </c>
      <c r="S59" s="1" t="s">
        <v>127</v>
      </c>
      <c r="T59" s="1">
        <v>2003</v>
      </c>
      <c r="U59" s="34">
        <v>0.08</v>
      </c>
    </row>
    <row r="60" spans="2:21" ht="15.95" customHeight="1">
      <c r="B60" s="189" t="str">
        <f t="shared" si="0"/>
        <v>Altoriesgo12002</v>
      </c>
      <c r="C60" s="30" t="s">
        <v>19</v>
      </c>
      <c r="D60" s="30">
        <v>2002</v>
      </c>
      <c r="E60" s="31">
        <v>6.5500000000000003E-2</v>
      </c>
      <c r="G60" s="1" t="str">
        <f t="shared" si="3"/>
        <v>ALTORIESGO2002</v>
      </c>
      <c r="H60" s="298" t="s">
        <v>128</v>
      </c>
      <c r="I60" s="33">
        <v>2002</v>
      </c>
      <c r="J60" s="34">
        <v>7.5999999999999998E-2</v>
      </c>
      <c r="L60" s="1" t="str">
        <f t="shared" si="1"/>
        <v>0.2ALTORIESGO2002</v>
      </c>
      <c r="M60" s="31">
        <v>0.2</v>
      </c>
      <c r="N60" s="32" t="s">
        <v>128</v>
      </c>
      <c r="O60" s="33">
        <v>2002</v>
      </c>
      <c r="P60" s="34">
        <v>6.2100000000000002E-2</v>
      </c>
      <c r="R60" s="1" t="str">
        <f t="shared" si="2"/>
        <v>MEDIANORIESGO2002</v>
      </c>
      <c r="S60" s="1" t="s">
        <v>127</v>
      </c>
      <c r="T60" s="1">
        <v>2002</v>
      </c>
      <c r="U60" s="34">
        <v>0.08</v>
      </c>
    </row>
    <row r="61" spans="2:21" ht="15.95" customHeight="1">
      <c r="B61" s="189" t="str">
        <f t="shared" si="0"/>
        <v>Altoriesgo12001</v>
      </c>
      <c r="C61" s="30" t="s">
        <v>19</v>
      </c>
      <c r="D61" s="30">
        <v>2001</v>
      </c>
      <c r="E61" s="31">
        <v>6.5500000000000003E-2</v>
      </c>
      <c r="G61" s="1" t="str">
        <f t="shared" si="3"/>
        <v>ALTORIESGO2001</v>
      </c>
      <c r="H61" s="298" t="s">
        <v>128</v>
      </c>
      <c r="I61" s="33">
        <v>2001</v>
      </c>
      <c r="J61" s="34">
        <v>7.5999999999999998E-2</v>
      </c>
      <c r="L61" s="1" t="str">
        <f t="shared" si="1"/>
        <v>0.2ALTORIESGO2001</v>
      </c>
      <c r="M61" s="31">
        <v>0.2</v>
      </c>
      <c r="N61" s="32" t="s">
        <v>128</v>
      </c>
      <c r="O61" s="33">
        <v>2001</v>
      </c>
      <c r="P61" s="34">
        <v>6.2100000000000002E-2</v>
      </c>
      <c r="R61" s="1" t="str">
        <f t="shared" si="2"/>
        <v>MEDIANORIESGO2001</v>
      </c>
      <c r="S61" s="1" t="s">
        <v>127</v>
      </c>
      <c r="T61" s="1">
        <v>2001</v>
      </c>
      <c r="U61" s="34">
        <v>0.08</v>
      </c>
    </row>
    <row r="62" spans="2:21" ht="15.95" customHeight="1">
      <c r="B62" s="189" t="str">
        <f t="shared" si="0"/>
        <v>Altoriesgo22019</v>
      </c>
      <c r="C62" s="30" t="s">
        <v>24</v>
      </c>
      <c r="D62" s="30">
        <v>2019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0.18BAJORIESGO2019</v>
      </c>
      <c r="M62" s="31">
        <v>0.18</v>
      </c>
      <c r="N62" s="32" t="s">
        <v>217</v>
      </c>
      <c r="O62" s="33">
        <v>2019</v>
      </c>
      <c r="P62" s="34">
        <v>3.15E-2</v>
      </c>
      <c r="R62" s="1" t="str">
        <f t="shared" si="2"/>
        <v>ALTORIESGO22019</v>
      </c>
      <c r="S62" s="1" t="s">
        <v>97</v>
      </c>
      <c r="T62" s="1">
        <v>2019</v>
      </c>
      <c r="U62" s="34">
        <v>5.0999999999999997E-2</v>
      </c>
    </row>
    <row r="63" spans="2:21" ht="22.5" customHeight="1">
      <c r="B63" s="189" t="str">
        <f t="shared" si="0"/>
        <v>Altoriesgo2NUEVO 2018</v>
      </c>
      <c r="C63" s="30" t="s">
        <v>24</v>
      </c>
      <c r="D63" s="30" t="s">
        <v>727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2018</v>
      </c>
      <c r="M63" s="31">
        <v>0.18</v>
      </c>
      <c r="N63" s="32" t="s">
        <v>217</v>
      </c>
      <c r="O63" s="33" t="s">
        <v>727</v>
      </c>
      <c r="P63" s="34">
        <v>3.15E-2</v>
      </c>
      <c r="R63" s="1" t="str">
        <f t="shared" si="2"/>
        <v>ALTORIESGO2NUEVO 2018</v>
      </c>
      <c r="S63" s="1" t="s">
        <v>97</v>
      </c>
      <c r="T63" s="1" t="s">
        <v>727</v>
      </c>
      <c r="U63" s="34">
        <v>5.0999999999999997E-2</v>
      </c>
    </row>
    <row r="64" spans="2:21" ht="15.95" customHeight="1">
      <c r="B64" s="189" t="str">
        <f t="shared" si="0"/>
        <v>Altoriesgo22018</v>
      </c>
      <c r="C64" s="30" t="s">
        <v>24</v>
      </c>
      <c r="D64" s="30">
        <v>2018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0.18BAJORIESGO2018</v>
      </c>
      <c r="M64" s="31">
        <v>0.18</v>
      </c>
      <c r="N64" s="32" t="s">
        <v>217</v>
      </c>
      <c r="O64" s="33">
        <v>2018</v>
      </c>
      <c r="P64" s="34">
        <v>3.3799999999999997E-2</v>
      </c>
      <c r="R64" s="1" t="str">
        <f t="shared" si="2"/>
        <v>ALTORIESGO22018</v>
      </c>
      <c r="S64" s="1" t="s">
        <v>97</v>
      </c>
      <c r="T64" s="1">
        <v>2018</v>
      </c>
      <c r="U64" s="34">
        <v>5.3499999999999999E-2</v>
      </c>
    </row>
    <row r="65" spans="2:21" ht="15.95" customHeight="1">
      <c r="B65" s="189" t="str">
        <f t="shared" si="0"/>
        <v>Altoriesgo22017</v>
      </c>
      <c r="C65" s="30" t="s">
        <v>24</v>
      </c>
      <c r="D65" s="30">
        <v>2017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0.18BAJORIESGO2017</v>
      </c>
      <c r="M65" s="31">
        <v>0.18</v>
      </c>
      <c r="N65" s="32" t="s">
        <v>217</v>
      </c>
      <c r="O65" s="33">
        <v>2017</v>
      </c>
      <c r="P65" s="34">
        <v>3.6200000000000003E-2</v>
      </c>
      <c r="R65" s="1" t="str">
        <f t="shared" si="2"/>
        <v>ALTORIESGO22017</v>
      </c>
      <c r="S65" s="1" t="s">
        <v>97</v>
      </c>
      <c r="T65" s="1">
        <v>2017</v>
      </c>
      <c r="U65" s="34">
        <v>5.6600000000000004E-2</v>
      </c>
    </row>
    <row r="66" spans="2:21" ht="15.95" customHeight="1">
      <c r="B66" s="189" t="str">
        <f t="shared" si="0"/>
        <v>Altoriesgo22016</v>
      </c>
      <c r="C66" s="30" t="s">
        <v>24</v>
      </c>
      <c r="D66" s="30">
        <v>2016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0.18BAJORIESGO2016</v>
      </c>
      <c r="M66" s="31">
        <v>0.18</v>
      </c>
      <c r="N66" s="32" t="s">
        <v>217</v>
      </c>
      <c r="O66" s="33">
        <v>2016</v>
      </c>
      <c r="P66" s="34">
        <v>3.7499999999999999E-2</v>
      </c>
      <c r="R66" s="1" t="str">
        <f t="shared" si="2"/>
        <v>ALTORIESGO22016</v>
      </c>
      <c r="S66" s="1" t="s">
        <v>97</v>
      </c>
      <c r="T66" s="1">
        <v>2016</v>
      </c>
      <c r="U66" s="34">
        <v>5.9699999999999996E-2</v>
      </c>
    </row>
    <row r="67" spans="2:21" ht="15.95" customHeight="1">
      <c r="B67" s="189" t="str">
        <f t="shared" ref="B67:B81" si="4">+C67&amp;D67</f>
        <v>Altoriesgo22015</v>
      </c>
      <c r="C67" s="30" t="s">
        <v>24</v>
      </c>
      <c r="D67" s="30">
        <v>2015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0.18BAJORIESGO2015</v>
      </c>
      <c r="M67" s="31">
        <v>0.18</v>
      </c>
      <c r="N67" s="32" t="s">
        <v>217</v>
      </c>
      <c r="O67" s="33">
        <v>2015</v>
      </c>
      <c r="P67" s="34">
        <v>3.9300000000000002E-2</v>
      </c>
      <c r="R67" s="1" t="str">
        <f t="shared" ref="R67:R80" si="6">+S67&amp;T67</f>
        <v>ALTORIESGO22015</v>
      </c>
      <c r="S67" s="1" t="s">
        <v>97</v>
      </c>
      <c r="T67" s="1">
        <v>2015</v>
      </c>
      <c r="U67" s="34">
        <v>6.3399999999999998E-2</v>
      </c>
    </row>
    <row r="68" spans="2:21" ht="15.95" customHeight="1">
      <c r="B68" s="189" t="str">
        <f t="shared" si="4"/>
        <v>Altoriesgo22014</v>
      </c>
      <c r="C68" s="30" t="s">
        <v>24</v>
      </c>
      <c r="D68" s="30">
        <v>2014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0.18BAJORIESGO2014</v>
      </c>
      <c r="M68" s="31">
        <v>0.18</v>
      </c>
      <c r="N68" s="32" t="s">
        <v>217</v>
      </c>
      <c r="O68" s="33">
        <v>2014</v>
      </c>
      <c r="P68" s="34">
        <v>4.1700000000000001E-2</v>
      </c>
      <c r="R68" s="1" t="str">
        <f t="shared" si="6"/>
        <v>ALTORIESGO22014</v>
      </c>
      <c r="S68" s="1" t="s">
        <v>97</v>
      </c>
      <c r="T68" s="1">
        <v>2014</v>
      </c>
      <c r="U68" s="34">
        <v>6.7199999999999996E-2</v>
      </c>
    </row>
    <row r="69" spans="2:21" ht="15.95" customHeight="1">
      <c r="B69" s="189" t="str">
        <f t="shared" si="4"/>
        <v>Altoriesgo22013</v>
      </c>
      <c r="C69" s="30" t="s">
        <v>24</v>
      </c>
      <c r="D69" s="30">
        <v>2013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0.18BAJORIESGO2013</v>
      </c>
      <c r="M69" s="31">
        <v>0.18</v>
      </c>
      <c r="N69" s="32" t="s">
        <v>217</v>
      </c>
      <c r="O69" s="33">
        <v>2013</v>
      </c>
      <c r="P69" s="34">
        <v>4.3499999999999997E-2</v>
      </c>
      <c r="R69" s="1" t="str">
        <f t="shared" si="6"/>
        <v>ALTORIESGO22013</v>
      </c>
      <c r="S69" s="1" t="s">
        <v>97</v>
      </c>
      <c r="T69" s="1">
        <v>2013</v>
      </c>
      <c r="U69" s="34">
        <v>7.22E-2</v>
      </c>
    </row>
    <row r="70" spans="2:21" ht="15.95" customHeight="1">
      <c r="B70" s="189" t="str">
        <f t="shared" si="4"/>
        <v>Altoriesgo22012</v>
      </c>
      <c r="C70" s="30" t="s">
        <v>24</v>
      </c>
      <c r="D70" s="30">
        <v>2012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0.18BAJORIESGO2012</v>
      </c>
      <c r="M70" s="31">
        <v>0.18</v>
      </c>
      <c r="N70" s="32" t="s">
        <v>217</v>
      </c>
      <c r="O70" s="33">
        <v>2012</v>
      </c>
      <c r="P70" s="34">
        <v>4.5400000000000003E-2</v>
      </c>
      <c r="R70" s="1" t="str">
        <f t="shared" si="6"/>
        <v>ALTORIESGO22012</v>
      </c>
      <c r="S70" s="1" t="s">
        <v>97</v>
      </c>
      <c r="T70" s="1">
        <v>2012</v>
      </c>
      <c r="U70" s="34">
        <v>7.5899999999999995E-2</v>
      </c>
    </row>
    <row r="71" spans="2:21" ht="15.95" customHeight="1">
      <c r="B71" s="189" t="str">
        <f t="shared" si="4"/>
        <v>Altoriesgo22011</v>
      </c>
      <c r="C71" s="30" t="s">
        <v>24</v>
      </c>
      <c r="D71" s="30">
        <v>2011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0.18BAJORIESGO2011</v>
      </c>
      <c r="M71" s="31">
        <v>0.18</v>
      </c>
      <c r="N71" s="32" t="s">
        <v>217</v>
      </c>
      <c r="O71" s="33">
        <v>2011</v>
      </c>
      <c r="P71" s="34">
        <v>4.6199999999999998E-2</v>
      </c>
      <c r="R71" s="1" t="str">
        <f t="shared" si="6"/>
        <v>ALTORIESGO22011</v>
      </c>
      <c r="S71" s="1" t="s">
        <v>97</v>
      </c>
      <c r="T71" s="1">
        <v>2011</v>
      </c>
      <c r="U71" s="34">
        <v>7.9600000000000004E-2</v>
      </c>
    </row>
    <row r="72" spans="2:21" ht="15.95" customHeight="1">
      <c r="B72" s="189" t="str">
        <f t="shared" si="4"/>
        <v>Altoriesgo22010</v>
      </c>
      <c r="C72" s="30" t="s">
        <v>24</v>
      </c>
      <c r="D72" s="30">
        <v>2010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0.18BAJORIESGO2010</v>
      </c>
      <c r="M72" s="31">
        <v>0.18</v>
      </c>
      <c r="N72" s="32" t="s">
        <v>217</v>
      </c>
      <c r="O72" s="33">
        <v>2010</v>
      </c>
      <c r="P72" s="34">
        <v>4.7800000000000002E-2</v>
      </c>
      <c r="R72" s="1" t="str">
        <f t="shared" si="6"/>
        <v>ALTORIESGO22010</v>
      </c>
      <c r="S72" s="1" t="s">
        <v>97</v>
      </c>
      <c r="T72" s="1">
        <v>2010</v>
      </c>
      <c r="U72" s="34">
        <v>8.4600000000000009E-2</v>
      </c>
    </row>
    <row r="73" spans="2:21" ht="15.95" customHeight="1">
      <c r="B73" s="189" t="str">
        <f t="shared" si="4"/>
        <v>Altoriesgo22009</v>
      </c>
      <c r="C73" s="30" t="s">
        <v>24</v>
      </c>
      <c r="D73" s="30">
        <v>2009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0.18BAJORIESGO2009</v>
      </c>
      <c r="M73" s="31">
        <v>0.18</v>
      </c>
      <c r="N73" s="32" t="s">
        <v>217</v>
      </c>
      <c r="O73" s="33">
        <v>2009</v>
      </c>
      <c r="P73" s="34">
        <v>4.9100000000000005E-2</v>
      </c>
      <c r="R73" s="1" t="str">
        <f t="shared" si="6"/>
        <v>ALTORIESGO22009</v>
      </c>
      <c r="S73" s="1" t="s">
        <v>97</v>
      </c>
      <c r="T73" s="1">
        <v>2009</v>
      </c>
      <c r="U73" s="34">
        <v>8.8300000000000003E-2</v>
      </c>
    </row>
    <row r="74" spans="2:21" ht="15.95" customHeight="1">
      <c r="B74" s="189" t="str">
        <f t="shared" si="4"/>
        <v>Altoriesgo22008</v>
      </c>
      <c r="C74" s="30" t="s">
        <v>24</v>
      </c>
      <c r="D74" s="30">
        <v>2008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0.18BAJORIESGO2008</v>
      </c>
      <c r="M74" s="31">
        <v>0.18</v>
      </c>
      <c r="N74" s="32" t="s">
        <v>217</v>
      </c>
      <c r="O74" s="33">
        <v>2008</v>
      </c>
      <c r="P74" s="34">
        <v>0.05</v>
      </c>
      <c r="R74" s="1" t="str">
        <f t="shared" si="6"/>
        <v>ALTORIESGO22008</v>
      </c>
      <c r="S74" s="1" t="s">
        <v>97</v>
      </c>
      <c r="T74" s="1">
        <v>2008</v>
      </c>
      <c r="U74" s="34">
        <v>9.3299999999999994E-2</v>
      </c>
    </row>
    <row r="75" spans="2:21" ht="15.95" customHeight="1">
      <c r="B75" s="189" t="str">
        <f t="shared" si="4"/>
        <v>Altoriesgo22007</v>
      </c>
      <c r="C75" s="30" t="s">
        <v>24</v>
      </c>
      <c r="D75" s="30">
        <v>2007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0.18BAJORIESGO2007</v>
      </c>
      <c r="M75" s="31">
        <v>0.18</v>
      </c>
      <c r="N75" s="32" t="s">
        <v>217</v>
      </c>
      <c r="O75" s="33">
        <v>2007</v>
      </c>
      <c r="P75" s="34">
        <v>5.0900000000000001E-2</v>
      </c>
      <c r="R75" s="1" t="str">
        <f t="shared" si="6"/>
        <v>ALTORIESGO22007</v>
      </c>
      <c r="S75" s="1" t="s">
        <v>97</v>
      </c>
      <c r="T75" s="1">
        <v>2007</v>
      </c>
      <c r="U75" s="34">
        <v>9.3299999999999994E-2</v>
      </c>
    </row>
    <row r="76" spans="2:21" ht="15.95" customHeight="1">
      <c r="B76" s="189" t="str">
        <f t="shared" si="4"/>
        <v>Altoriesgo22006</v>
      </c>
      <c r="C76" s="30" t="s">
        <v>24</v>
      </c>
      <c r="D76" s="30">
        <v>2006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0.18BAJORIESGO2006</v>
      </c>
      <c r="M76" s="31">
        <v>0.18</v>
      </c>
      <c r="N76" s="32" t="s">
        <v>217</v>
      </c>
      <c r="O76" s="33">
        <v>2006</v>
      </c>
      <c r="P76" s="34">
        <v>5.0900000000000001E-2</v>
      </c>
      <c r="R76" s="1" t="str">
        <f t="shared" si="6"/>
        <v>ALTORIESGO22006</v>
      </c>
      <c r="S76" s="1" t="s">
        <v>97</v>
      </c>
      <c r="T76" s="1">
        <v>2006</v>
      </c>
      <c r="U76" s="34">
        <v>9.3299999999999994E-2</v>
      </c>
    </row>
    <row r="77" spans="2:21" ht="15.95" customHeight="1">
      <c r="B77" s="189" t="str">
        <f t="shared" si="4"/>
        <v>Altoriesgo22005</v>
      </c>
      <c r="C77" s="30" t="s">
        <v>24</v>
      </c>
      <c r="D77" s="30">
        <v>2005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0.18BAJORIESGO2005</v>
      </c>
      <c r="M77" s="31">
        <v>0.18</v>
      </c>
      <c r="N77" s="32" t="s">
        <v>217</v>
      </c>
      <c r="O77" s="33">
        <v>2005</v>
      </c>
      <c r="P77" s="34">
        <v>5.0900000000000001E-2</v>
      </c>
      <c r="R77" s="1" t="str">
        <f t="shared" si="6"/>
        <v>ALTORIESGO22005</v>
      </c>
      <c r="S77" s="1" t="s">
        <v>97</v>
      </c>
      <c r="T77" s="1">
        <v>2005</v>
      </c>
      <c r="U77" s="34">
        <v>9.3299999999999994E-2</v>
      </c>
    </row>
    <row r="78" spans="2:21" ht="15.95" customHeight="1">
      <c r="B78" s="189" t="str">
        <f t="shared" si="4"/>
        <v>Altoriesgo22004</v>
      </c>
      <c r="C78" s="30" t="s">
        <v>24</v>
      </c>
      <c r="D78" s="30">
        <v>2004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0.18BAJORIESGO2004</v>
      </c>
      <c r="M78" s="31">
        <v>0.18</v>
      </c>
      <c r="N78" s="32" t="s">
        <v>217</v>
      </c>
      <c r="O78" s="33">
        <v>2004</v>
      </c>
      <c r="P78" s="34">
        <v>5.0900000000000001E-2</v>
      </c>
      <c r="R78" s="1" t="str">
        <f t="shared" si="6"/>
        <v>ALTORIESGO22004</v>
      </c>
      <c r="S78" s="1" t="s">
        <v>97</v>
      </c>
      <c r="T78" s="1">
        <v>2004</v>
      </c>
      <c r="U78" s="34">
        <v>9.3299999999999994E-2</v>
      </c>
    </row>
    <row r="79" spans="2:21" ht="15.95" customHeight="1">
      <c r="B79" s="189" t="str">
        <f t="shared" si="4"/>
        <v>Altoriesgo22003</v>
      </c>
      <c r="C79" s="30" t="s">
        <v>24</v>
      </c>
      <c r="D79" s="30">
        <v>2003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0.18BAJORIESGO2003</v>
      </c>
      <c r="M79" s="31">
        <v>0.18</v>
      </c>
      <c r="N79" s="32" t="s">
        <v>217</v>
      </c>
      <c r="O79" s="33">
        <v>2003</v>
      </c>
      <c r="P79" s="34">
        <v>5.0900000000000001E-2</v>
      </c>
      <c r="R79" s="1" t="str">
        <f t="shared" si="6"/>
        <v>ALTORIESGO22003</v>
      </c>
      <c r="S79" s="1" t="s">
        <v>97</v>
      </c>
      <c r="T79" s="1">
        <v>2003</v>
      </c>
      <c r="U79" s="34">
        <v>9.3299999999999994E-2</v>
      </c>
    </row>
    <row r="80" spans="2:21" ht="15.95" customHeight="1">
      <c r="B80" s="189" t="str">
        <f t="shared" si="4"/>
        <v>Altoriesgo22002</v>
      </c>
      <c r="C80" s="30" t="s">
        <v>24</v>
      </c>
      <c r="D80" s="30">
        <v>2002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0.18BAJORIESGO2002</v>
      </c>
      <c r="M80" s="31">
        <v>0.18</v>
      </c>
      <c r="N80" s="32" t="s">
        <v>217</v>
      </c>
      <c r="O80" s="33">
        <v>2002</v>
      </c>
      <c r="P80" s="34">
        <v>5.0900000000000001E-2</v>
      </c>
      <c r="R80" s="1" t="str">
        <f t="shared" si="6"/>
        <v>ALTORIESGO22002</v>
      </c>
      <c r="S80" s="1" t="s">
        <v>97</v>
      </c>
      <c r="T80" s="1">
        <v>2002</v>
      </c>
      <c r="U80" s="34">
        <v>9.3299999999999994E-2</v>
      </c>
    </row>
    <row r="81" spans="2:21" ht="15.95" customHeight="1">
      <c r="B81" s="189" t="str">
        <f t="shared" si="4"/>
        <v>Altoriesgo22001</v>
      </c>
      <c r="C81" s="30" t="s">
        <v>24</v>
      </c>
      <c r="D81" s="30">
        <v>2001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0.18BAJORIESGO2001</v>
      </c>
      <c r="M81" s="31">
        <v>0.18</v>
      </c>
      <c r="N81" s="32" t="s">
        <v>217</v>
      </c>
      <c r="O81" s="33">
        <v>2001</v>
      </c>
      <c r="P81" s="34">
        <v>5.0900000000000001E-2</v>
      </c>
      <c r="R81" s="1" t="str">
        <f>+S81&amp;T81</f>
        <v>ALTORIESGO22001</v>
      </c>
      <c r="S81" s="1" t="s">
        <v>97</v>
      </c>
      <c r="T81" s="1">
        <v>2001</v>
      </c>
      <c r="U81" s="34">
        <v>9.3299999999999994E-2</v>
      </c>
    </row>
    <row r="82" spans="2:21" ht="15.95" customHeight="1">
      <c r="L82" s="1" t="str">
        <f t="shared" si="5"/>
        <v>0.18MEDIANORIESGO2019</v>
      </c>
      <c r="M82" s="31">
        <v>0.18</v>
      </c>
      <c r="N82" s="32" t="s">
        <v>127</v>
      </c>
      <c r="O82" s="33">
        <v>2019</v>
      </c>
      <c r="P82" s="34">
        <v>3.5000000000000003E-2</v>
      </c>
    </row>
    <row r="83" spans="2:21" ht="15.95" customHeight="1">
      <c r="L83" s="1" t="str">
        <f t="shared" si="5"/>
        <v>0.18MEDIANORIESGONUEVO 2018</v>
      </c>
      <c r="M83" s="31">
        <v>0.18</v>
      </c>
      <c r="N83" s="32" t="s">
        <v>127</v>
      </c>
      <c r="O83" s="33" t="s">
        <v>727</v>
      </c>
      <c r="P83" s="34">
        <v>3.5000000000000003E-2</v>
      </c>
    </row>
    <row r="84" spans="2:21" ht="15.95" customHeight="1">
      <c r="L84" s="1" t="str">
        <f t="shared" si="5"/>
        <v>0.18MEDIANORIESGO2018</v>
      </c>
      <c r="M84" s="31">
        <v>0.18</v>
      </c>
      <c r="N84" s="32" t="s">
        <v>127</v>
      </c>
      <c r="O84" s="33">
        <v>2018</v>
      </c>
      <c r="P84" s="34">
        <v>3.7499999999999999E-2</v>
      </c>
    </row>
    <row r="85" spans="2:21" ht="15.95" customHeight="1">
      <c r="L85" s="1" t="str">
        <f t="shared" si="5"/>
        <v>0.18MEDIANORIESGO2017</v>
      </c>
      <c r="M85" s="31">
        <v>0.18</v>
      </c>
      <c r="N85" s="32" t="s">
        <v>127</v>
      </c>
      <c r="O85" s="33">
        <v>2017</v>
      </c>
      <c r="P85" s="34">
        <v>3.9300000000000002E-2</v>
      </c>
    </row>
    <row r="86" spans="2:21" ht="15.95" customHeight="1">
      <c r="L86" s="1" t="str">
        <f t="shared" si="5"/>
        <v>0.18MEDIANORIESGO2016</v>
      </c>
      <c r="M86" s="31">
        <v>0.18</v>
      </c>
      <c r="N86" s="32" t="s">
        <v>127</v>
      </c>
      <c r="O86" s="33">
        <v>2016</v>
      </c>
      <c r="P86" s="34">
        <v>4.1700000000000001E-2</v>
      </c>
    </row>
    <row r="87" spans="2:21" ht="15.95" customHeight="1">
      <c r="L87" s="1" t="str">
        <f t="shared" si="5"/>
        <v>0.18MEDIANORIESGO2015</v>
      </c>
      <c r="M87" s="31">
        <v>0.18</v>
      </c>
      <c r="N87" s="32" t="s">
        <v>127</v>
      </c>
      <c r="O87" s="33">
        <v>2015</v>
      </c>
      <c r="P87" s="34">
        <v>4.3499999999999997E-2</v>
      </c>
    </row>
    <row r="88" spans="2:21" ht="15.95" customHeight="1">
      <c r="L88" s="1" t="str">
        <f t="shared" si="5"/>
        <v>0.18MEDIANORIESGO2014</v>
      </c>
      <c r="M88" s="31">
        <v>0.18</v>
      </c>
      <c r="N88" s="32" t="s">
        <v>127</v>
      </c>
      <c r="O88" s="33">
        <v>2014</v>
      </c>
      <c r="P88" s="34">
        <v>4.5400000000000003E-2</v>
      </c>
    </row>
    <row r="89" spans="2:21" ht="15.95" customHeight="1">
      <c r="L89" s="1" t="str">
        <f t="shared" si="5"/>
        <v>0.18MEDIANORIESGO2013</v>
      </c>
      <c r="M89" s="31">
        <v>0.18</v>
      </c>
      <c r="N89" s="32" t="s">
        <v>127</v>
      </c>
      <c r="O89" s="33">
        <v>2013</v>
      </c>
      <c r="P89" s="34">
        <v>4.7599999999999996E-2</v>
      </c>
    </row>
    <row r="90" spans="2:21" ht="15.95" customHeight="1">
      <c r="L90" s="1" t="str">
        <f t="shared" si="5"/>
        <v>0.18MEDIANORIESGO2012</v>
      </c>
      <c r="M90" s="31">
        <v>0.18</v>
      </c>
      <c r="N90" s="32" t="s">
        <v>127</v>
      </c>
      <c r="O90" s="33">
        <v>2012</v>
      </c>
      <c r="P90" s="34">
        <v>4.9400000000000006E-2</v>
      </c>
    </row>
    <row r="91" spans="2:21" ht="15.95" customHeight="1">
      <c r="L91" s="1" t="str">
        <f t="shared" si="5"/>
        <v>0.18MEDIANORIESGO2011</v>
      </c>
      <c r="M91" s="31">
        <v>0.18</v>
      </c>
      <c r="N91" s="32" t="s">
        <v>127</v>
      </c>
      <c r="O91" s="33">
        <v>2011</v>
      </c>
      <c r="P91" s="34">
        <v>5.1500000000000004E-2</v>
      </c>
    </row>
    <row r="92" spans="2:21" ht="15.95" customHeight="1">
      <c r="L92" s="1" t="str">
        <f t="shared" si="5"/>
        <v>0.18MEDIANORIESGO2010</v>
      </c>
      <c r="M92" s="31">
        <v>0.18</v>
      </c>
      <c r="N92" s="32" t="s">
        <v>127</v>
      </c>
      <c r="O92" s="33">
        <v>2010</v>
      </c>
      <c r="P92" s="34">
        <v>5.33E-2</v>
      </c>
    </row>
    <row r="93" spans="2:21" ht="15.95" customHeight="1">
      <c r="L93" s="1" t="str">
        <f t="shared" si="5"/>
        <v>0.18MEDIANORIESGO2009</v>
      </c>
      <c r="M93" s="31">
        <v>0.18</v>
      </c>
      <c r="N93" s="32" t="s">
        <v>127</v>
      </c>
      <c r="O93" s="33">
        <v>2009</v>
      </c>
      <c r="P93" s="34">
        <v>5.5199999999999999E-2</v>
      </c>
    </row>
    <row r="94" spans="2:21" ht="15.95" customHeight="1">
      <c r="L94" s="1" t="str">
        <f t="shared" si="5"/>
        <v>0.18MEDIANORIESGO2008</v>
      </c>
      <c r="M94" s="31">
        <v>0.18</v>
      </c>
      <c r="N94" s="32" t="s">
        <v>127</v>
      </c>
      <c r="O94" s="33">
        <v>2008</v>
      </c>
      <c r="P94" s="34">
        <v>5.6600000000000004E-2</v>
      </c>
    </row>
    <row r="95" spans="2:21" ht="15.95" customHeight="1">
      <c r="L95" s="1" t="str">
        <f t="shared" si="5"/>
        <v>0.18MEDIANORIESGO2007</v>
      </c>
      <c r="M95" s="31">
        <v>0.18</v>
      </c>
      <c r="N95" s="32" t="s">
        <v>127</v>
      </c>
      <c r="O95" s="33">
        <v>2007</v>
      </c>
      <c r="P95" s="34">
        <v>5.74E-2</v>
      </c>
    </row>
    <row r="96" spans="2:21" ht="15.95" customHeight="1">
      <c r="L96" s="1" t="str">
        <f t="shared" si="5"/>
        <v>0.18MEDIANORIESGO2006</v>
      </c>
      <c r="M96" s="31">
        <v>0.18</v>
      </c>
      <c r="N96" s="32" t="s">
        <v>127</v>
      </c>
      <c r="O96" s="33">
        <v>2006</v>
      </c>
      <c r="P96" s="34">
        <v>5.74E-2</v>
      </c>
    </row>
    <row r="97" spans="12:16" ht="15.95" customHeight="1">
      <c r="L97" s="1" t="str">
        <f t="shared" si="5"/>
        <v>0.18MEDIANORIESGO2005</v>
      </c>
      <c r="M97" s="31">
        <v>0.18</v>
      </c>
      <c r="N97" s="32" t="s">
        <v>127</v>
      </c>
      <c r="O97" s="33">
        <v>2005</v>
      </c>
      <c r="P97" s="34">
        <v>5.74E-2</v>
      </c>
    </row>
    <row r="98" spans="12:16" ht="15.95" customHeight="1">
      <c r="L98" s="1" t="str">
        <f t="shared" si="5"/>
        <v>0.18MEDIANORIESGO2004</v>
      </c>
      <c r="M98" s="31">
        <v>0.18</v>
      </c>
      <c r="N98" s="32" t="s">
        <v>127</v>
      </c>
      <c r="O98" s="33">
        <v>2004</v>
      </c>
      <c r="P98" s="34">
        <v>5.74E-2</v>
      </c>
    </row>
    <row r="99" spans="12:16" ht="15.95" customHeight="1">
      <c r="L99" s="1" t="str">
        <f t="shared" si="5"/>
        <v>0.18MEDIANORIESGO2003</v>
      </c>
      <c r="M99" s="31">
        <v>0.18</v>
      </c>
      <c r="N99" s="32" t="s">
        <v>127</v>
      </c>
      <c r="O99" s="33">
        <v>2003</v>
      </c>
      <c r="P99" s="34">
        <v>5.74E-2</v>
      </c>
    </row>
    <row r="100" spans="12:16" ht="15.95" customHeight="1">
      <c r="L100" s="1" t="str">
        <f t="shared" si="5"/>
        <v>0.18MEDIANORIESGO2002</v>
      </c>
      <c r="M100" s="31">
        <v>0.18</v>
      </c>
      <c r="N100" s="32" t="s">
        <v>127</v>
      </c>
      <c r="O100" s="33">
        <v>2002</v>
      </c>
      <c r="P100" s="34">
        <v>5.74E-2</v>
      </c>
    </row>
    <row r="101" spans="12:16" ht="15.95" customHeight="1">
      <c r="L101" s="1" t="str">
        <f t="shared" si="5"/>
        <v>0.18MEDIANORIESGO2001</v>
      </c>
      <c r="M101" s="31">
        <v>0.18</v>
      </c>
      <c r="N101" s="32" t="s">
        <v>127</v>
      </c>
      <c r="O101" s="33">
        <v>2001</v>
      </c>
      <c r="P101" s="34">
        <v>5.74E-2</v>
      </c>
    </row>
    <row r="102" spans="12:16" ht="15.95" customHeight="1">
      <c r="L102" s="1" t="str">
        <f t="shared" si="5"/>
        <v>0.18ALTORIESGO2019</v>
      </c>
      <c r="M102" s="31">
        <v>0.18</v>
      </c>
      <c r="N102" s="32" t="s">
        <v>128</v>
      </c>
      <c r="O102" s="33">
        <v>2019</v>
      </c>
      <c r="P102" s="34">
        <v>3.8300000000000001E-2</v>
      </c>
    </row>
    <row r="103" spans="12:16" ht="15.95" customHeight="1">
      <c r="L103" s="1" t="str">
        <f t="shared" si="5"/>
        <v>0.18ALTORIESGONUEVO 2018</v>
      </c>
      <c r="M103" s="31">
        <v>0.18</v>
      </c>
      <c r="N103" s="32" t="s">
        <v>128</v>
      </c>
      <c r="O103" s="33" t="s">
        <v>727</v>
      </c>
      <c r="P103" s="34">
        <v>3.8300000000000001E-2</v>
      </c>
    </row>
    <row r="104" spans="12:16" ht="15.95" customHeight="1">
      <c r="L104" s="1" t="str">
        <f t="shared" si="5"/>
        <v>0.18ALTORIESGO2018</v>
      </c>
      <c r="M104" s="31">
        <v>0.18</v>
      </c>
      <c r="N104" s="32" t="s">
        <v>128</v>
      </c>
      <c r="O104" s="33">
        <v>2018</v>
      </c>
      <c r="P104" s="34">
        <v>4.0399999999999998E-2</v>
      </c>
    </row>
    <row r="105" spans="12:16" ht="15.95" customHeight="1">
      <c r="L105" s="1" t="str">
        <f t="shared" si="5"/>
        <v>0.18ALTORIESGO2017</v>
      </c>
      <c r="M105" s="31">
        <v>0.18</v>
      </c>
      <c r="N105" s="32" t="s">
        <v>128</v>
      </c>
      <c r="O105" s="33">
        <v>2017</v>
      </c>
      <c r="P105" s="34">
        <v>4.2500000000000003E-2</v>
      </c>
    </row>
    <row r="106" spans="12:16" ht="15.95" customHeight="1">
      <c r="L106" s="1" t="str">
        <f t="shared" si="5"/>
        <v>0.18ALTORIESGO2016</v>
      </c>
      <c r="M106" s="31">
        <v>0.18</v>
      </c>
      <c r="N106" s="32" t="s">
        <v>128</v>
      </c>
      <c r="O106" s="33">
        <v>2016</v>
      </c>
      <c r="P106" s="34">
        <v>4.4900000000000002E-2</v>
      </c>
    </row>
    <row r="107" spans="12:16" ht="15.95" customHeight="1">
      <c r="L107" s="1" t="str">
        <f t="shared" si="5"/>
        <v>0.18ALTORIESGO2015</v>
      </c>
      <c r="M107" s="31">
        <v>0.18</v>
      </c>
      <c r="N107" s="32" t="s">
        <v>128</v>
      </c>
      <c r="O107" s="33">
        <v>2015</v>
      </c>
      <c r="P107" s="34">
        <v>4.6199999999999998E-2</v>
      </c>
    </row>
    <row r="108" spans="12:16" ht="15.95" customHeight="1">
      <c r="L108" s="1" t="str">
        <f t="shared" si="5"/>
        <v>0.18ALTORIESGO2014</v>
      </c>
      <c r="M108" s="31">
        <v>0.18</v>
      </c>
      <c r="N108" s="32" t="s">
        <v>128</v>
      </c>
      <c r="O108" s="33">
        <v>2014</v>
      </c>
      <c r="P108" s="34">
        <v>4.87E-2</v>
      </c>
    </row>
    <row r="109" spans="12:16" ht="15.95" customHeight="1">
      <c r="L109" s="1" t="str">
        <f t="shared" si="5"/>
        <v>0.18ALTORIESGO2013</v>
      </c>
      <c r="M109" s="31">
        <v>0.18</v>
      </c>
      <c r="N109" s="32" t="s">
        <v>128</v>
      </c>
      <c r="O109" s="33">
        <v>2013</v>
      </c>
      <c r="P109" s="34">
        <v>5.0900000000000001E-2</v>
      </c>
    </row>
    <row r="110" spans="12:16" ht="15.95" customHeight="1">
      <c r="L110" s="1" t="str">
        <f t="shared" si="5"/>
        <v>0.18ALTORIESGO2012</v>
      </c>
      <c r="M110" s="31">
        <v>0.18</v>
      </c>
      <c r="N110" s="32" t="s">
        <v>128</v>
      </c>
      <c r="O110" s="33">
        <v>2012</v>
      </c>
      <c r="P110" s="34">
        <v>5.28E-2</v>
      </c>
    </row>
    <row r="111" spans="12:16" ht="15.95" customHeight="1">
      <c r="L111" s="1" t="str">
        <f t="shared" si="5"/>
        <v>0.18ALTORIESGO2011</v>
      </c>
      <c r="M111" s="31">
        <v>0.18</v>
      </c>
      <c r="N111" s="32" t="s">
        <v>128</v>
      </c>
      <c r="O111" s="33">
        <v>2011</v>
      </c>
      <c r="P111" s="34">
        <v>5.4100000000000002E-2</v>
      </c>
    </row>
    <row r="112" spans="12:16" ht="15.95" customHeight="1">
      <c r="L112" s="1" t="str">
        <f t="shared" si="5"/>
        <v>0.18ALTORIESGO2010</v>
      </c>
      <c r="M112" s="31">
        <v>0.18</v>
      </c>
      <c r="N112" s="32" t="s">
        <v>128</v>
      </c>
      <c r="O112" s="33">
        <v>2010</v>
      </c>
      <c r="P112" s="34">
        <v>5.6100000000000004E-2</v>
      </c>
    </row>
    <row r="113" spans="12:16" ht="15.95" customHeight="1">
      <c r="L113" s="1" t="str">
        <f t="shared" si="5"/>
        <v>0.18ALTORIESGO2009</v>
      </c>
      <c r="M113" s="31">
        <v>0.18</v>
      </c>
      <c r="N113" s="32" t="s">
        <v>128</v>
      </c>
      <c r="O113" s="33">
        <v>2009</v>
      </c>
      <c r="P113" s="34">
        <v>5.79E-2</v>
      </c>
    </row>
    <row r="114" spans="12:16" ht="15.95" customHeight="1">
      <c r="L114" s="1" t="str">
        <f t="shared" si="5"/>
        <v>0.18ALTORIESGO2008</v>
      </c>
      <c r="M114" s="31">
        <v>0.18</v>
      </c>
      <c r="N114" s="32" t="s">
        <v>128</v>
      </c>
      <c r="O114" s="33">
        <v>2008</v>
      </c>
      <c r="P114" s="34">
        <v>5.9299999999999999E-2</v>
      </c>
    </row>
    <row r="115" spans="12:16" ht="15.95" customHeight="1">
      <c r="L115" s="1" t="str">
        <f t="shared" si="5"/>
        <v>0.18ALTORIESGO2007</v>
      </c>
      <c r="M115" s="31">
        <v>0.18</v>
      </c>
      <c r="N115" s="32" t="s">
        <v>128</v>
      </c>
      <c r="O115" s="33">
        <v>2007</v>
      </c>
      <c r="P115" s="34">
        <v>6.0599999999999994E-2</v>
      </c>
    </row>
    <row r="116" spans="12:16" ht="15.95" customHeight="1">
      <c r="L116" s="1" t="str">
        <f t="shared" si="5"/>
        <v>0.18ALTORIESGO2006</v>
      </c>
      <c r="M116" s="31">
        <v>0.18</v>
      </c>
      <c r="N116" s="32" t="s">
        <v>128</v>
      </c>
      <c r="O116" s="33">
        <v>2006</v>
      </c>
      <c r="P116" s="34">
        <v>6.0599999999999994E-2</v>
      </c>
    </row>
    <row r="117" spans="12:16" ht="15.95" customHeight="1">
      <c r="L117" s="1" t="str">
        <f t="shared" si="5"/>
        <v>0.18ALTORIESGO2005</v>
      </c>
      <c r="M117" s="31">
        <v>0.18</v>
      </c>
      <c r="N117" s="32" t="s">
        <v>128</v>
      </c>
      <c r="O117" s="33">
        <v>2005</v>
      </c>
      <c r="P117" s="34">
        <v>6.0599999999999994E-2</v>
      </c>
    </row>
    <row r="118" spans="12:16" ht="15.95" customHeight="1">
      <c r="L118" s="1" t="str">
        <f t="shared" si="5"/>
        <v>0.18ALTORIESGO2004</v>
      </c>
      <c r="M118" s="31">
        <v>0.18</v>
      </c>
      <c r="N118" s="32" t="s">
        <v>128</v>
      </c>
      <c r="O118" s="33">
        <v>2004</v>
      </c>
      <c r="P118" s="34">
        <v>6.0599999999999994E-2</v>
      </c>
    </row>
    <row r="119" spans="12:16" ht="15.95" customHeight="1">
      <c r="L119" s="1" t="str">
        <f t="shared" si="5"/>
        <v>0.18ALTORIESGO2003</v>
      </c>
      <c r="M119" s="31">
        <v>0.18</v>
      </c>
      <c r="N119" s="32" t="s">
        <v>128</v>
      </c>
      <c r="O119" s="33">
        <v>2003</v>
      </c>
      <c r="P119" s="34">
        <v>6.0599999999999994E-2</v>
      </c>
    </row>
    <row r="120" spans="12:16" ht="15.95" customHeight="1">
      <c r="L120" s="1" t="str">
        <f t="shared" si="5"/>
        <v>0.18ALTORIESGO2002</v>
      </c>
      <c r="M120" s="31">
        <v>0.18</v>
      </c>
      <c r="N120" s="32" t="s">
        <v>128</v>
      </c>
      <c r="O120" s="33">
        <v>2002</v>
      </c>
      <c r="P120" s="34">
        <v>6.0599999999999994E-2</v>
      </c>
    </row>
    <row r="121" spans="12:16" ht="15.95" customHeight="1">
      <c r="L121" s="1" t="str">
        <f t="shared" si="5"/>
        <v>0.18ALTORIESGO2001</v>
      </c>
      <c r="M121" s="31">
        <v>0.18</v>
      </c>
      <c r="N121" s="32" t="s">
        <v>128</v>
      </c>
      <c r="O121" s="33">
        <v>2001</v>
      </c>
      <c r="P121" s="34">
        <v>6.0599999999999994E-2</v>
      </c>
    </row>
    <row r="122" spans="12:16" ht="15.95" customHeight="1">
      <c r="L122" s="1" t="str">
        <f t="shared" si="5"/>
        <v>0.15BAJORIESGO2019</v>
      </c>
      <c r="M122" s="31">
        <v>0.15</v>
      </c>
      <c r="N122" s="32" t="s">
        <v>217</v>
      </c>
      <c r="O122" s="33">
        <v>2019</v>
      </c>
      <c r="P122" s="34">
        <v>0.03</v>
      </c>
    </row>
    <row r="123" spans="12:16" ht="15.95" customHeight="1">
      <c r="L123" s="1" t="str">
        <f t="shared" si="5"/>
        <v>0.15BAJORIESGONUEVO 2018</v>
      </c>
      <c r="M123" s="31">
        <v>0.15</v>
      </c>
      <c r="N123" s="32" t="s">
        <v>217</v>
      </c>
      <c r="O123" s="33" t="s">
        <v>727</v>
      </c>
      <c r="P123" s="34">
        <v>0.03</v>
      </c>
    </row>
    <row r="124" spans="12:16" ht="15.95" customHeight="1">
      <c r="L124" s="1" t="str">
        <f t="shared" si="5"/>
        <v>0.15BAJORIESGO2018</v>
      </c>
      <c r="M124" s="31">
        <v>0.15</v>
      </c>
      <c r="N124" s="32" t="s">
        <v>217</v>
      </c>
      <c r="O124" s="33">
        <v>2018</v>
      </c>
      <c r="P124" s="34">
        <v>3.2599999999999997E-2</v>
      </c>
    </row>
    <row r="125" spans="12:16" ht="15.95" customHeight="1">
      <c r="L125" s="1" t="str">
        <f t="shared" si="5"/>
        <v>0.15BAJORIESGO2017</v>
      </c>
      <c r="M125" s="31">
        <v>0.15</v>
      </c>
      <c r="N125" s="32" t="s">
        <v>217</v>
      </c>
      <c r="O125" s="33">
        <v>2017</v>
      </c>
      <c r="P125" s="34">
        <v>3.49E-2</v>
      </c>
    </row>
    <row r="126" spans="12:16" ht="15.95" customHeight="1">
      <c r="L126" s="1" t="str">
        <f t="shared" si="5"/>
        <v>0.15BAJORIESGO2016</v>
      </c>
      <c r="M126" s="31">
        <v>0.15</v>
      </c>
      <c r="N126" s="32" t="s">
        <v>217</v>
      </c>
      <c r="O126" s="33">
        <v>2016</v>
      </c>
      <c r="P126" s="34">
        <v>3.61E-2</v>
      </c>
    </row>
    <row r="127" spans="12:16" ht="15.95" customHeight="1">
      <c r="L127" s="1" t="str">
        <f t="shared" si="5"/>
        <v>0.15BAJORIESGO2015</v>
      </c>
      <c r="M127" s="31">
        <v>0.15</v>
      </c>
      <c r="N127" s="32" t="s">
        <v>217</v>
      </c>
      <c r="O127" s="33">
        <v>2015</v>
      </c>
      <c r="P127" s="34">
        <v>3.7900000000000003E-2</v>
      </c>
    </row>
    <row r="128" spans="12:16" ht="15.95" customHeight="1">
      <c r="L128" s="1" t="str">
        <f t="shared" si="5"/>
        <v>0.15BAJORIESGO2014</v>
      </c>
      <c r="M128" s="31">
        <v>0.15</v>
      </c>
      <c r="N128" s="32" t="s">
        <v>217</v>
      </c>
      <c r="O128" s="33">
        <v>2014</v>
      </c>
      <c r="P128" s="34">
        <v>4.0199999999999993E-2</v>
      </c>
    </row>
    <row r="129" spans="12:16" ht="15.95" customHeight="1">
      <c r="L129" s="1" t="str">
        <f t="shared" si="5"/>
        <v>0.15BAJORIESGO2013</v>
      </c>
      <c r="M129" s="31">
        <v>0.15</v>
      </c>
      <c r="N129" s="32" t="s">
        <v>217</v>
      </c>
      <c r="O129" s="33">
        <v>2013</v>
      </c>
      <c r="P129" s="34">
        <v>4.2000000000000003E-2</v>
      </c>
    </row>
    <row r="130" spans="12:16" ht="15.95" customHeight="1">
      <c r="L130" s="1" t="str">
        <f t="shared" si="5"/>
        <v>0.15BAJORIESGO2012</v>
      </c>
      <c r="M130" s="31">
        <v>0.15</v>
      </c>
      <c r="N130" s="32" t="s">
        <v>217</v>
      </c>
      <c r="O130" s="33">
        <v>2012</v>
      </c>
      <c r="P130" s="34">
        <v>4.3799999999999999E-2</v>
      </c>
    </row>
    <row r="131" spans="12:16" ht="15.95" customHeight="1">
      <c r="L131" s="1" t="str">
        <f t="shared" ref="L131:L181" si="7">+M131&amp;N131&amp;O131</f>
        <v>0.15BAJORIESGO2011</v>
      </c>
      <c r="M131" s="31">
        <v>0.15</v>
      </c>
      <c r="N131" s="32" t="s">
        <v>217</v>
      </c>
      <c r="O131" s="33">
        <v>2011</v>
      </c>
      <c r="P131" s="34">
        <v>4.4600000000000001E-2</v>
      </c>
    </row>
    <row r="132" spans="12:16" ht="15.95" customHeight="1">
      <c r="L132" s="1" t="str">
        <f t="shared" si="7"/>
        <v>0.15BAJORIESGO2010</v>
      </c>
      <c r="M132" s="31">
        <v>0.15</v>
      </c>
      <c r="N132" s="32" t="s">
        <v>217</v>
      </c>
      <c r="O132" s="33">
        <v>2010</v>
      </c>
      <c r="P132" s="34">
        <v>4.6100000000000002E-2</v>
      </c>
    </row>
    <row r="133" spans="12:16" ht="15.95" customHeight="1">
      <c r="L133" s="1" t="str">
        <f t="shared" si="7"/>
        <v>0.15BAJORIESGO2009</v>
      </c>
      <c r="M133" s="31">
        <v>0.15</v>
      </c>
      <c r="N133" s="32" t="s">
        <v>217</v>
      </c>
      <c r="O133" s="33">
        <v>2009</v>
      </c>
      <c r="P133" s="34">
        <v>4.7300000000000002E-2</v>
      </c>
    </row>
    <row r="134" spans="12:16" ht="15.95" customHeight="1">
      <c r="L134" s="1" t="str">
        <f t="shared" si="7"/>
        <v>0.15BAJORIESGO2008</v>
      </c>
      <c r="M134" s="31">
        <v>0.15</v>
      </c>
      <c r="N134" s="32" t="s">
        <v>217</v>
      </c>
      <c r="O134" s="33">
        <v>2008</v>
      </c>
      <c r="P134" s="34">
        <v>4.82E-2</v>
      </c>
    </row>
    <row r="135" spans="12:16" ht="15.95" customHeight="1">
      <c r="L135" s="1" t="str">
        <f t="shared" si="7"/>
        <v>0.15BAJORIESGO2007</v>
      </c>
      <c r="M135" s="31">
        <v>0.15</v>
      </c>
      <c r="N135" s="32" t="s">
        <v>217</v>
      </c>
      <c r="O135" s="33">
        <v>2007</v>
      </c>
      <c r="P135" s="34">
        <v>4.9100000000000005E-2</v>
      </c>
    </row>
    <row r="136" spans="12:16" ht="15.95" customHeight="1">
      <c r="L136" s="1" t="str">
        <f t="shared" si="7"/>
        <v>0.15BAJORIESGO2006</v>
      </c>
      <c r="M136" s="31">
        <v>0.15</v>
      </c>
      <c r="N136" s="32" t="s">
        <v>217</v>
      </c>
      <c r="O136" s="33">
        <v>2006</v>
      </c>
      <c r="P136" s="34">
        <v>4.9100000000000005E-2</v>
      </c>
    </row>
    <row r="137" spans="12:16" ht="15.95" customHeight="1">
      <c r="L137" s="1" t="str">
        <f t="shared" si="7"/>
        <v>0.15BAJORIESGO2005</v>
      </c>
      <c r="M137" s="31">
        <v>0.15</v>
      </c>
      <c r="N137" s="32" t="s">
        <v>217</v>
      </c>
      <c r="O137" s="33">
        <v>2005</v>
      </c>
      <c r="P137" s="34">
        <v>4.9100000000000005E-2</v>
      </c>
    </row>
    <row r="138" spans="12:16" ht="15.95" customHeight="1">
      <c r="L138" s="1" t="str">
        <f t="shared" si="7"/>
        <v>0.15BAJORIESGO2004</v>
      </c>
      <c r="M138" s="31">
        <v>0.15</v>
      </c>
      <c r="N138" s="32" t="s">
        <v>217</v>
      </c>
      <c r="O138" s="33">
        <v>2004</v>
      </c>
      <c r="P138" s="34">
        <v>4.9100000000000005E-2</v>
      </c>
    </row>
    <row r="139" spans="12:16" ht="15.95" customHeight="1">
      <c r="L139" s="1" t="str">
        <f t="shared" si="7"/>
        <v>0.15BAJORIESGO2003</v>
      </c>
      <c r="M139" s="31">
        <v>0.15</v>
      </c>
      <c r="N139" s="32" t="s">
        <v>217</v>
      </c>
      <c r="O139" s="33">
        <v>2003</v>
      </c>
      <c r="P139" s="34">
        <v>4.9100000000000005E-2</v>
      </c>
    </row>
    <row r="140" spans="12:16" ht="15.95" customHeight="1">
      <c r="L140" s="1" t="str">
        <f t="shared" si="7"/>
        <v>0.15BAJORIESGO2002</v>
      </c>
      <c r="M140" s="31">
        <v>0.15</v>
      </c>
      <c r="N140" s="32" t="s">
        <v>217</v>
      </c>
      <c r="O140" s="33">
        <v>2002</v>
      </c>
      <c r="P140" s="34">
        <v>4.9100000000000005E-2</v>
      </c>
    </row>
    <row r="141" spans="12:16" ht="15.95" customHeight="1">
      <c r="L141" s="1" t="str">
        <f t="shared" si="7"/>
        <v>0.15BAJORIESGO2001</v>
      </c>
      <c r="M141" s="31">
        <v>0.15</v>
      </c>
      <c r="N141" s="32" t="s">
        <v>217</v>
      </c>
      <c r="O141" s="33">
        <v>2001</v>
      </c>
      <c r="P141" s="34">
        <v>4.9100000000000005E-2</v>
      </c>
    </row>
    <row r="142" spans="12:16" ht="15.95" customHeight="1">
      <c r="L142" s="1" t="str">
        <f t="shared" si="7"/>
        <v>0.15MEDIANORIESGO2019</v>
      </c>
      <c r="M142" s="31">
        <v>0.15</v>
      </c>
      <c r="N142" s="32" t="s">
        <v>127</v>
      </c>
      <c r="O142" s="33">
        <v>2019</v>
      </c>
      <c r="P142" s="34">
        <v>3.3799999999999997E-2</v>
      </c>
    </row>
    <row r="143" spans="12:16" ht="15.95" customHeight="1">
      <c r="L143" s="1" t="str">
        <f t="shared" si="7"/>
        <v>0.15MEDIANORIESGONUEVO 2018</v>
      </c>
      <c r="M143" s="31">
        <v>0.15</v>
      </c>
      <c r="N143" s="32" t="s">
        <v>127</v>
      </c>
      <c r="O143" s="33" t="s">
        <v>727</v>
      </c>
      <c r="P143" s="34">
        <v>3.3799999999999997E-2</v>
      </c>
    </row>
    <row r="144" spans="12:16" ht="15.95" customHeight="1">
      <c r="L144" s="1" t="str">
        <f t="shared" si="7"/>
        <v>0.15MEDIANORIESGO2018</v>
      </c>
      <c r="M144" s="31">
        <v>0.15</v>
      </c>
      <c r="N144" s="32" t="s">
        <v>127</v>
      </c>
      <c r="O144" s="33">
        <v>2018</v>
      </c>
      <c r="P144" s="34">
        <v>3.61E-2</v>
      </c>
    </row>
    <row r="145" spans="12:16" ht="15.95" customHeight="1">
      <c r="L145" s="1" t="str">
        <f t="shared" si="7"/>
        <v>0.15MEDIANORIESGO2017</v>
      </c>
      <c r="M145" s="31">
        <v>0.15</v>
      </c>
      <c r="N145" s="32" t="s">
        <v>127</v>
      </c>
      <c r="O145" s="33">
        <v>2017</v>
      </c>
      <c r="P145" s="34">
        <v>3.7900000000000003E-2</v>
      </c>
    </row>
    <row r="146" spans="12:16" ht="15.95" customHeight="1">
      <c r="L146" s="1" t="str">
        <f t="shared" si="7"/>
        <v>0.15MEDIANORIESGO2016</v>
      </c>
      <c r="M146" s="31">
        <v>0.15</v>
      </c>
      <c r="N146" s="32" t="s">
        <v>127</v>
      </c>
      <c r="O146" s="33">
        <v>2016</v>
      </c>
      <c r="P146" s="34">
        <v>4.0199999999999993E-2</v>
      </c>
    </row>
    <row r="147" spans="12:16" ht="15.95" customHeight="1">
      <c r="L147" s="1" t="str">
        <f t="shared" si="7"/>
        <v>0.15MEDIANORIESGO2015</v>
      </c>
      <c r="M147" s="31">
        <v>0.15</v>
      </c>
      <c r="N147" s="32" t="s">
        <v>127</v>
      </c>
      <c r="O147" s="33">
        <v>2015</v>
      </c>
      <c r="P147" s="34">
        <v>4.2000000000000003E-2</v>
      </c>
    </row>
    <row r="148" spans="12:16" ht="15.95" customHeight="1">
      <c r="L148" s="1" t="str">
        <f t="shared" si="7"/>
        <v>0.15MEDIANORIESGO2014</v>
      </c>
      <c r="M148" s="31">
        <v>0.15</v>
      </c>
      <c r="N148" s="32" t="s">
        <v>127</v>
      </c>
      <c r="O148" s="33">
        <v>2014</v>
      </c>
      <c r="P148" s="34">
        <v>4.3799999999999999E-2</v>
      </c>
    </row>
    <row r="149" spans="12:16" ht="15.95" customHeight="1">
      <c r="L149" s="1" t="str">
        <f t="shared" si="7"/>
        <v>0.15MEDIANORIESGO2013</v>
      </c>
      <c r="M149" s="31">
        <v>0.15</v>
      </c>
      <c r="N149" s="32" t="s">
        <v>127</v>
      </c>
      <c r="O149" s="33">
        <v>2013</v>
      </c>
      <c r="P149" s="34">
        <v>4.5899999999999996E-2</v>
      </c>
    </row>
    <row r="150" spans="12:16" ht="15.95" customHeight="1">
      <c r="L150" s="1" t="str">
        <f t="shared" si="7"/>
        <v>0.15MEDIANORIESGO2012</v>
      </c>
      <c r="M150" s="31">
        <v>0.15</v>
      </c>
      <c r="N150" s="32" t="s">
        <v>127</v>
      </c>
      <c r="O150" s="33">
        <v>2012</v>
      </c>
      <c r="P150" s="34">
        <v>4.7599999999999996E-2</v>
      </c>
    </row>
    <row r="151" spans="12:16" ht="15.95" customHeight="1">
      <c r="L151" s="1" t="str">
        <f t="shared" si="7"/>
        <v>0.15MEDIANORIESGO2011</v>
      </c>
      <c r="M151" s="31">
        <v>0.15</v>
      </c>
      <c r="N151" s="32" t="s">
        <v>127</v>
      </c>
      <c r="O151" s="33">
        <v>2011</v>
      </c>
      <c r="P151" s="34">
        <v>4.9699999999999994E-2</v>
      </c>
    </row>
    <row r="152" spans="12:16" ht="15.95" customHeight="1">
      <c r="L152" s="1" t="str">
        <f t="shared" si="7"/>
        <v>0.15MEDIANORIESGO2010</v>
      </c>
      <c r="M152" s="31">
        <v>0.15</v>
      </c>
      <c r="N152" s="32" t="s">
        <v>127</v>
      </c>
      <c r="O152" s="33">
        <v>2010</v>
      </c>
      <c r="P152" s="34">
        <v>5.1399999999999994E-2</v>
      </c>
    </row>
    <row r="153" spans="12:16" ht="15.95" customHeight="1">
      <c r="L153" s="1" t="str">
        <f t="shared" si="7"/>
        <v>0.15MEDIANORIESGO2009</v>
      </c>
      <c r="M153" s="31">
        <v>0.15</v>
      </c>
      <c r="N153" s="32" t="s">
        <v>127</v>
      </c>
      <c r="O153" s="33">
        <v>2009</v>
      </c>
      <c r="P153" s="34">
        <v>5.33E-2</v>
      </c>
    </row>
    <row r="154" spans="12:16" ht="15.95" customHeight="1">
      <c r="L154" s="1" t="str">
        <f t="shared" si="7"/>
        <v>0.15MEDIANORIESGO2008</v>
      </c>
      <c r="M154" s="31">
        <v>0.15</v>
      </c>
      <c r="N154" s="32" t="s">
        <v>127</v>
      </c>
      <c r="O154" s="33">
        <v>2008</v>
      </c>
      <c r="P154" s="34">
        <v>5.4600000000000003E-2</v>
      </c>
    </row>
    <row r="155" spans="12:16" ht="15.95" customHeight="1">
      <c r="L155" s="1" t="str">
        <f t="shared" si="7"/>
        <v>0.15MEDIANORIESGO2007</v>
      </c>
      <c r="M155" s="31">
        <v>0.15</v>
      </c>
      <c r="N155" s="32" t="s">
        <v>127</v>
      </c>
      <c r="O155" s="33">
        <v>2007</v>
      </c>
      <c r="P155" s="34">
        <v>5.5300000000000002E-2</v>
      </c>
    </row>
    <row r="156" spans="12:16" ht="15.95" customHeight="1">
      <c r="L156" s="1" t="str">
        <f t="shared" si="7"/>
        <v>0.15MEDIANORIESGO2006</v>
      </c>
      <c r="M156" s="31">
        <v>0.15</v>
      </c>
      <c r="N156" s="32" t="s">
        <v>127</v>
      </c>
      <c r="O156" s="33">
        <v>2006</v>
      </c>
      <c r="P156" s="34">
        <v>5.5300000000000002E-2</v>
      </c>
    </row>
    <row r="157" spans="12:16" ht="15.95" customHeight="1">
      <c r="L157" s="1" t="str">
        <f t="shared" si="7"/>
        <v>0.15MEDIANORIESGO2005</v>
      </c>
      <c r="M157" s="31">
        <v>0.15</v>
      </c>
      <c r="N157" s="32" t="s">
        <v>127</v>
      </c>
      <c r="O157" s="33">
        <v>2005</v>
      </c>
      <c r="P157" s="34">
        <v>5.5300000000000002E-2</v>
      </c>
    </row>
    <row r="158" spans="12:16" ht="15.95" customHeight="1">
      <c r="L158" s="1" t="str">
        <f t="shared" si="7"/>
        <v>0.15MEDIANORIESGO2004</v>
      </c>
      <c r="M158" s="31">
        <v>0.15</v>
      </c>
      <c r="N158" s="32" t="s">
        <v>127</v>
      </c>
      <c r="O158" s="33">
        <v>2004</v>
      </c>
      <c r="P158" s="34">
        <v>5.5300000000000002E-2</v>
      </c>
    </row>
    <row r="159" spans="12:16" ht="15.95" customHeight="1">
      <c r="L159" s="1" t="str">
        <f t="shared" si="7"/>
        <v>0.15MEDIANORIESGO2003</v>
      </c>
      <c r="M159" s="31">
        <v>0.15</v>
      </c>
      <c r="N159" s="32" t="s">
        <v>127</v>
      </c>
      <c r="O159" s="33">
        <v>2003</v>
      </c>
      <c r="P159" s="34">
        <v>5.5300000000000002E-2</v>
      </c>
    </row>
    <row r="160" spans="12:16" ht="15.95" customHeight="1">
      <c r="L160" s="1" t="str">
        <f t="shared" si="7"/>
        <v>0.15MEDIANORIESGO2002</v>
      </c>
      <c r="M160" s="31">
        <v>0.15</v>
      </c>
      <c r="N160" s="32" t="s">
        <v>127</v>
      </c>
      <c r="O160" s="33">
        <v>2002</v>
      </c>
      <c r="P160" s="34">
        <v>5.5300000000000002E-2</v>
      </c>
    </row>
    <row r="161" spans="12:16" ht="15.95" customHeight="1">
      <c r="L161" s="1" t="str">
        <f t="shared" si="7"/>
        <v>0.15MEDIANORIESGO2001</v>
      </c>
      <c r="M161" s="31">
        <v>0.15</v>
      </c>
      <c r="N161" s="32" t="s">
        <v>127</v>
      </c>
      <c r="O161" s="33">
        <v>2001</v>
      </c>
      <c r="P161" s="34">
        <v>5.5300000000000002E-2</v>
      </c>
    </row>
    <row r="162" spans="12:16" ht="15.95" customHeight="1">
      <c r="L162" s="1" t="str">
        <f t="shared" si="7"/>
        <v>0.15ALTORIESGO2019</v>
      </c>
      <c r="M162" s="31">
        <v>0.15</v>
      </c>
      <c r="N162" s="32" t="s">
        <v>128</v>
      </c>
      <c r="O162" s="33">
        <v>2019</v>
      </c>
      <c r="P162" s="34">
        <v>3.7000000000000005E-2</v>
      </c>
    </row>
    <row r="163" spans="12:16" ht="15.95" customHeight="1">
      <c r="L163" s="1" t="str">
        <f t="shared" si="7"/>
        <v>0.15ALTORIESGONUEVO 2018</v>
      </c>
      <c r="M163" s="31">
        <v>0.15</v>
      </c>
      <c r="N163" s="32" t="s">
        <v>128</v>
      </c>
      <c r="O163" s="33" t="s">
        <v>727</v>
      </c>
      <c r="P163" s="34">
        <v>3.6999999999999998E-2</v>
      </c>
    </row>
    <row r="164" spans="12:16" ht="15.95" customHeight="1">
      <c r="L164" s="1" t="str">
        <f t="shared" si="7"/>
        <v>0.15ALTORIESGO2018</v>
      </c>
      <c r="M164" s="31">
        <v>0.15</v>
      </c>
      <c r="N164" s="32" t="s">
        <v>128</v>
      </c>
      <c r="O164" s="33">
        <v>2018</v>
      </c>
      <c r="P164" s="34">
        <v>3.9E-2</v>
      </c>
    </row>
    <row r="165" spans="12:16" ht="15.95" customHeight="1">
      <c r="L165" s="1" t="str">
        <f t="shared" si="7"/>
        <v>0.15ALTORIESGO2017</v>
      </c>
      <c r="M165" s="31">
        <v>0.15</v>
      </c>
      <c r="N165" s="32" t="s">
        <v>128</v>
      </c>
      <c r="O165" s="33">
        <v>2017</v>
      </c>
      <c r="P165" s="34">
        <v>4.0999999999999995E-2</v>
      </c>
    </row>
    <row r="166" spans="12:16" ht="15.95" customHeight="1">
      <c r="L166" s="1" t="str">
        <f t="shared" si="7"/>
        <v>0.15ALTORIESGO2016</v>
      </c>
      <c r="M166" s="31">
        <v>0.15</v>
      </c>
      <c r="N166" s="32" t="s">
        <v>128</v>
      </c>
      <c r="O166" s="33">
        <v>2016</v>
      </c>
      <c r="P166" s="34">
        <v>4.3299999999999998E-2</v>
      </c>
    </row>
    <row r="167" spans="12:16" ht="15.95" customHeight="1">
      <c r="L167" s="1" t="str">
        <f t="shared" si="7"/>
        <v>0.15ALTORIESGO2015</v>
      </c>
      <c r="M167" s="31">
        <v>0.15</v>
      </c>
      <c r="N167" s="32" t="s">
        <v>128</v>
      </c>
      <c r="O167" s="33">
        <v>2015</v>
      </c>
      <c r="P167" s="34">
        <v>4.4600000000000001E-2</v>
      </c>
    </row>
    <row r="168" spans="12:16" ht="15.95" customHeight="1">
      <c r="L168" s="1" t="str">
        <f t="shared" si="7"/>
        <v>0.15ALTORIESGO2014</v>
      </c>
      <c r="M168" s="31">
        <v>0.15</v>
      </c>
      <c r="N168" s="32" t="s">
        <v>128</v>
      </c>
      <c r="O168" s="33">
        <v>2014</v>
      </c>
      <c r="P168" s="34">
        <v>4.7E-2</v>
      </c>
    </row>
    <row r="169" spans="12:16" ht="15.95" customHeight="1">
      <c r="L169" s="1" t="str">
        <f t="shared" si="7"/>
        <v>0.15ALTORIESGO2013</v>
      </c>
      <c r="M169" s="31">
        <v>0.15</v>
      </c>
      <c r="N169" s="32" t="s">
        <v>128</v>
      </c>
      <c r="O169" s="33">
        <v>2013</v>
      </c>
      <c r="P169" s="34">
        <v>4.9100000000000005E-2</v>
      </c>
    </row>
    <row r="170" spans="12:16" ht="15.95" customHeight="1">
      <c r="L170" s="1" t="str">
        <f t="shared" si="7"/>
        <v>0.15ALTORIESGO2012</v>
      </c>
      <c r="M170" s="31">
        <v>0.15</v>
      </c>
      <c r="N170" s="32" t="s">
        <v>128</v>
      </c>
      <c r="O170" s="33">
        <v>2012</v>
      </c>
      <c r="P170" s="34">
        <v>5.0900000000000001E-2</v>
      </c>
    </row>
    <row r="171" spans="12:16" ht="15.95" customHeight="1">
      <c r="L171" s="1" t="str">
        <f t="shared" si="7"/>
        <v>0.15ALTORIESGO2011</v>
      </c>
      <c r="M171" s="31">
        <v>0.15</v>
      </c>
      <c r="N171" s="32" t="s">
        <v>128</v>
      </c>
      <c r="O171" s="33">
        <v>2011</v>
      </c>
      <c r="P171" s="34">
        <v>5.2199999999999996E-2</v>
      </c>
    </row>
    <row r="172" spans="12:16" ht="15.95" customHeight="1">
      <c r="L172" s="1" t="str">
        <f t="shared" si="7"/>
        <v>0.15ALTORIESGO2010</v>
      </c>
      <c r="M172" s="31">
        <v>0.15</v>
      </c>
      <c r="N172" s="32" t="s">
        <v>128</v>
      </c>
      <c r="O172" s="33">
        <v>2010</v>
      </c>
      <c r="P172" s="34">
        <v>5.4100000000000002E-2</v>
      </c>
    </row>
    <row r="173" spans="12:16" ht="15.95" customHeight="1">
      <c r="L173" s="1" t="str">
        <f t="shared" si="7"/>
        <v>0.15ALTORIESGO2009</v>
      </c>
      <c r="M173" s="31">
        <v>0.15</v>
      </c>
      <c r="N173" s="32" t="s">
        <v>128</v>
      </c>
      <c r="O173" s="33">
        <v>2009</v>
      </c>
      <c r="P173" s="34">
        <v>5.5800000000000002E-2</v>
      </c>
    </row>
    <row r="174" spans="12:16" ht="15.95" customHeight="1">
      <c r="L174" s="1" t="str">
        <f t="shared" si="7"/>
        <v>0.15ALTORIESGO2008</v>
      </c>
      <c r="M174" s="31">
        <v>0.15</v>
      </c>
      <c r="N174" s="32" t="s">
        <v>128</v>
      </c>
      <c r="O174" s="33">
        <v>2008</v>
      </c>
      <c r="P174" s="34">
        <v>5.7200000000000001E-2</v>
      </c>
    </row>
    <row r="175" spans="12:16" ht="15.95" customHeight="1">
      <c r="L175" s="1" t="str">
        <f t="shared" si="7"/>
        <v>0.15ALTORIESGO2007</v>
      </c>
      <c r="M175" s="31">
        <v>0.15</v>
      </c>
      <c r="N175" s="32" t="s">
        <v>128</v>
      </c>
      <c r="O175" s="33">
        <v>2007</v>
      </c>
      <c r="P175" s="34">
        <v>5.8400000000000001E-2</v>
      </c>
    </row>
    <row r="176" spans="12:16" ht="15.95" customHeight="1">
      <c r="L176" s="1" t="str">
        <f t="shared" si="7"/>
        <v>0.15ALTORIESGO2006</v>
      </c>
      <c r="M176" s="31">
        <v>0.15</v>
      </c>
      <c r="N176" s="32" t="s">
        <v>128</v>
      </c>
      <c r="O176" s="33">
        <v>2006</v>
      </c>
      <c r="P176" s="34">
        <v>5.8400000000000001E-2</v>
      </c>
    </row>
    <row r="177" spans="12:16" ht="15.95" customHeight="1">
      <c r="L177" s="1" t="str">
        <f t="shared" si="7"/>
        <v>0.15ALTORIESGO2005</v>
      </c>
      <c r="M177" s="31">
        <v>0.15</v>
      </c>
      <c r="N177" s="32" t="s">
        <v>128</v>
      </c>
      <c r="O177" s="33">
        <v>2005</v>
      </c>
      <c r="P177" s="34">
        <v>5.8400000000000001E-2</v>
      </c>
    </row>
    <row r="178" spans="12:16" ht="15.95" customHeight="1">
      <c r="L178" s="1" t="str">
        <f t="shared" si="7"/>
        <v>0.15ALTORIESGO2004</v>
      </c>
      <c r="M178" s="31">
        <v>0.15</v>
      </c>
      <c r="N178" s="32" t="s">
        <v>128</v>
      </c>
      <c r="O178" s="33">
        <v>2004</v>
      </c>
      <c r="P178" s="34">
        <v>5.8400000000000001E-2</v>
      </c>
    </row>
    <row r="179" spans="12:16" ht="15.95" customHeight="1">
      <c r="L179" s="1" t="str">
        <f t="shared" si="7"/>
        <v>0.15ALTORIESGO2003</v>
      </c>
      <c r="M179" s="31">
        <v>0.15</v>
      </c>
      <c r="N179" s="32" t="s">
        <v>128</v>
      </c>
      <c r="O179" s="33">
        <v>2003</v>
      </c>
      <c r="P179" s="34">
        <v>5.8400000000000001E-2</v>
      </c>
    </row>
    <row r="180" spans="12:16" ht="15.95" customHeight="1">
      <c r="L180" s="1" t="str">
        <f t="shared" si="7"/>
        <v>0.15ALTORIESGO2002</v>
      </c>
      <c r="M180" s="31">
        <v>0.15</v>
      </c>
      <c r="N180" s="32" t="s">
        <v>128</v>
      </c>
      <c r="O180" s="33">
        <v>2002</v>
      </c>
      <c r="P180" s="34">
        <v>5.8400000000000001E-2</v>
      </c>
    </row>
    <row r="181" spans="12:16" ht="15.95" customHeight="1">
      <c r="L181" s="1" t="str">
        <f t="shared" si="7"/>
        <v>0.15ALTORIESGO2001</v>
      </c>
      <c r="M181" s="31">
        <v>0.15</v>
      </c>
      <c r="N181" s="32" t="s">
        <v>128</v>
      </c>
      <c r="O181" s="33">
        <v>2001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T46"/>
  <sheetViews>
    <sheetView workbookViewId="0">
      <selection activeCell="C16" sqref="C16"/>
    </sheetView>
  </sheetViews>
  <sheetFormatPr baseColWidth="10" defaultColWidth="11.42578125" defaultRowHeight="15"/>
  <cols>
    <col min="1" max="8" width="11.42578125" style="58"/>
    <col min="9" max="9" width="12.28515625" style="58" bestFit="1" customWidth="1"/>
    <col min="10" max="10" width="14.42578125" style="58" customWidth="1"/>
    <col min="11" max="11" width="15.28515625" style="58" customWidth="1"/>
    <col min="12" max="13" width="11.42578125" style="58"/>
    <col min="14" max="14" width="13" style="58" bestFit="1" customWidth="1"/>
    <col min="15" max="15" width="9.140625" style="58" bestFit="1" customWidth="1"/>
    <col min="16" max="16" width="9.140625" style="58" customWidth="1"/>
    <col min="17" max="17" width="11.42578125" style="58"/>
    <col min="18" max="18" width="14.42578125" style="58" customWidth="1"/>
    <col min="19" max="16384" width="11.42578125" style="58"/>
  </cols>
  <sheetData>
    <row r="2" spans="2:17" ht="26.25">
      <c r="B2" s="65" t="s">
        <v>230</v>
      </c>
    </row>
    <row r="3" spans="2:17" ht="18.75">
      <c r="H3" s="74"/>
      <c r="I3" s="75" t="s">
        <v>169</v>
      </c>
      <c r="J3" s="76"/>
      <c r="K3" s="68"/>
      <c r="L3" s="68"/>
      <c r="M3" s="68"/>
      <c r="N3" s="301"/>
      <c r="O3" s="301"/>
      <c r="P3" s="301"/>
      <c r="Q3" s="301"/>
    </row>
    <row r="4" spans="2:17" ht="21">
      <c r="B4" s="53" t="s">
        <v>168</v>
      </c>
      <c r="E4" s="67" t="s">
        <v>173</v>
      </c>
      <c r="M4" s="81"/>
      <c r="N4" s="221"/>
      <c r="O4" s="221"/>
      <c r="P4" s="221"/>
      <c r="Q4" s="81"/>
    </row>
    <row r="5" spans="2:17">
      <c r="B5" s="47" t="s">
        <v>227</v>
      </c>
      <c r="C5" s="47" t="s">
        <v>226</v>
      </c>
      <c r="E5" s="66" t="s">
        <v>219</v>
      </c>
      <c r="F5" s="93">
        <v>0.2</v>
      </c>
      <c r="I5" s="73" t="s">
        <v>706</v>
      </c>
      <c r="J5" s="73" t="s">
        <v>707</v>
      </c>
      <c r="K5" s="73" t="s">
        <v>708</v>
      </c>
      <c r="L5" s="69"/>
      <c r="M5" s="73" t="s">
        <v>719</v>
      </c>
      <c r="N5" s="73" t="s">
        <v>720</v>
      </c>
      <c r="O5" s="222"/>
      <c r="P5" s="222"/>
      <c r="Q5" s="222"/>
    </row>
    <row r="6" spans="2:17">
      <c r="B6" s="46">
        <v>0.2</v>
      </c>
      <c r="C6" s="38">
        <v>0</v>
      </c>
      <c r="E6" s="66" t="s">
        <v>220</v>
      </c>
      <c r="F6" s="93">
        <v>0.18</v>
      </c>
      <c r="I6" s="72">
        <v>0.2</v>
      </c>
      <c r="J6" s="72">
        <v>0.2</v>
      </c>
      <c r="K6" s="72">
        <v>0.2</v>
      </c>
      <c r="L6" s="69"/>
      <c r="M6" s="72">
        <v>0.2</v>
      </c>
      <c r="N6" s="70">
        <v>0</v>
      </c>
      <c r="O6" s="79"/>
      <c r="P6" s="79"/>
      <c r="Q6" s="80"/>
    </row>
    <row r="7" spans="2:17">
      <c r="B7" s="46">
        <v>0.19189999999999999</v>
      </c>
      <c r="C7" s="46">
        <v>0.01</v>
      </c>
      <c r="E7" s="66" t="s">
        <v>221</v>
      </c>
      <c r="F7" s="93">
        <v>0.15</v>
      </c>
      <c r="I7" s="72">
        <v>0.19020000000000001</v>
      </c>
      <c r="J7" s="72">
        <v>0.19020000000000001</v>
      </c>
      <c r="K7" s="72">
        <v>0.19189999999999999</v>
      </c>
      <c r="L7" s="69"/>
      <c r="M7" s="72">
        <v>0.19020000000000001</v>
      </c>
      <c r="N7" s="70">
        <v>0.01</v>
      </c>
      <c r="O7" s="79"/>
      <c r="P7" s="79"/>
      <c r="Q7" s="80"/>
    </row>
    <row r="8" spans="2:17">
      <c r="B8" s="46">
        <v>0.1837</v>
      </c>
      <c r="C8" s="46">
        <v>0.02</v>
      </c>
      <c r="I8" s="72">
        <v>0.1802</v>
      </c>
      <c r="J8" s="72">
        <v>0.1802</v>
      </c>
      <c r="K8" s="72">
        <v>0.1837</v>
      </c>
      <c r="L8" s="69"/>
      <c r="M8" s="72">
        <v>0.1802</v>
      </c>
      <c r="N8" s="70">
        <v>0.02</v>
      </c>
      <c r="O8" s="79"/>
      <c r="P8" s="79"/>
      <c r="Q8" s="80"/>
    </row>
    <row r="9" spans="2:17">
      <c r="B9" s="46">
        <v>0.17530000000000001</v>
      </c>
      <c r="C9" s="46">
        <v>0.03</v>
      </c>
      <c r="I9" s="72">
        <v>0.17</v>
      </c>
      <c r="J9" s="72">
        <v>0.17</v>
      </c>
      <c r="K9" s="72">
        <v>0.17530000000000001</v>
      </c>
      <c r="L9" s="69"/>
      <c r="M9" s="72">
        <v>0.17</v>
      </c>
      <c r="N9" s="70">
        <v>0.03</v>
      </c>
      <c r="O9" s="79"/>
      <c r="P9" s="79"/>
      <c r="Q9" s="80"/>
    </row>
    <row r="10" spans="2:17">
      <c r="B10" s="46">
        <v>0.16669999999999999</v>
      </c>
      <c r="C10" s="46">
        <v>0.04</v>
      </c>
      <c r="I10" s="72">
        <v>0.1595</v>
      </c>
      <c r="J10" s="72">
        <v>0.1595</v>
      </c>
      <c r="K10" s="72">
        <v>0.16669999999999999</v>
      </c>
      <c r="L10" s="69"/>
      <c r="M10" s="72">
        <v>0.1595</v>
      </c>
      <c r="N10" s="70">
        <v>0.04</v>
      </c>
      <c r="O10" s="79"/>
      <c r="P10" s="79"/>
      <c r="Q10" s="80"/>
    </row>
    <row r="11" spans="2:17">
      <c r="B11" s="46">
        <v>0.15790000000000001</v>
      </c>
      <c r="C11" s="46">
        <v>0.05</v>
      </c>
      <c r="I11" s="72">
        <v>0.1487</v>
      </c>
      <c r="J11" s="72">
        <v>0.1487</v>
      </c>
      <c r="K11" s="72">
        <v>0.15790000000000001</v>
      </c>
      <c r="L11" s="69"/>
      <c r="M11" s="72">
        <v>0.1487</v>
      </c>
      <c r="N11" s="70">
        <v>0.05</v>
      </c>
      <c r="O11" s="79"/>
      <c r="P11" s="79"/>
      <c r="Q11" s="80"/>
    </row>
    <row r="12" spans="2:17">
      <c r="B12" s="46">
        <v>0.1489</v>
      </c>
      <c r="C12" s="46">
        <v>0.06</v>
      </c>
      <c r="I12" s="72">
        <v>0.13769999999999999</v>
      </c>
      <c r="J12" s="72">
        <v>0.13769999999999999</v>
      </c>
      <c r="K12" s="72">
        <v>0.1489</v>
      </c>
      <c r="L12" s="69"/>
      <c r="M12" s="72">
        <v>0.13769999999999999</v>
      </c>
      <c r="N12" s="70">
        <v>0.06</v>
      </c>
      <c r="O12" s="79"/>
      <c r="P12" s="79"/>
      <c r="Q12" s="80"/>
    </row>
    <row r="13" spans="2:17">
      <c r="B13" s="46">
        <v>0.13980000000000001</v>
      </c>
      <c r="C13" s="46">
        <v>7.0000000000000007E-2</v>
      </c>
      <c r="I13" s="72">
        <v>0.1263</v>
      </c>
      <c r="J13" s="72">
        <v>0.1263</v>
      </c>
      <c r="K13" s="72">
        <v>0.13980000000000001</v>
      </c>
      <c r="L13" s="69"/>
      <c r="M13" s="72">
        <v>0.1263</v>
      </c>
      <c r="N13" s="70">
        <v>7.0000000000000007E-2</v>
      </c>
      <c r="O13" s="79"/>
      <c r="P13" s="79"/>
      <c r="Q13" s="80"/>
    </row>
    <row r="14" spans="2:17">
      <c r="B14" s="46">
        <v>0.13039999999999999</v>
      </c>
      <c r="C14" s="46">
        <v>0.08</v>
      </c>
      <c r="I14" s="72">
        <v>0.1147</v>
      </c>
      <c r="J14" s="72">
        <v>0.1147</v>
      </c>
      <c r="K14" s="72">
        <v>0.13039999999999999</v>
      </c>
      <c r="L14" s="69"/>
      <c r="M14" s="72">
        <v>0.1147</v>
      </c>
      <c r="N14" s="70">
        <v>0.08</v>
      </c>
      <c r="O14" s="79"/>
      <c r="P14" s="79"/>
      <c r="Q14" s="80"/>
    </row>
    <row r="15" spans="2:17">
      <c r="B15" s="46">
        <v>0.12089999999999999</v>
      </c>
      <c r="C15" s="46">
        <v>0.09</v>
      </c>
      <c r="I15" s="72">
        <v>0.1027</v>
      </c>
      <c r="J15" s="72">
        <v>0.1027</v>
      </c>
      <c r="K15" s="72">
        <v>0.12089999999999999</v>
      </c>
      <c r="L15" s="69"/>
      <c r="M15" s="72">
        <v>0.1027</v>
      </c>
      <c r="N15" s="70">
        <v>0.09</v>
      </c>
      <c r="O15" s="79"/>
      <c r="P15" s="79"/>
      <c r="Q15" s="80"/>
    </row>
    <row r="16" spans="2:17">
      <c r="B16" s="46">
        <v>0.1111</v>
      </c>
      <c r="C16" s="46">
        <v>0.1</v>
      </c>
      <c r="I16" s="72">
        <v>9.0399999999999994E-2</v>
      </c>
      <c r="J16" s="72">
        <v>9.0399999999999994E-2</v>
      </c>
      <c r="K16" s="72">
        <v>0.1111</v>
      </c>
      <c r="L16" s="69"/>
      <c r="M16" s="72">
        <v>9.0399999999999994E-2</v>
      </c>
      <c r="N16" s="70">
        <v>0.1</v>
      </c>
      <c r="O16" s="79"/>
      <c r="P16" s="79"/>
      <c r="Q16" s="80"/>
    </row>
    <row r="17" spans="9:20">
      <c r="I17" s="69"/>
      <c r="J17" s="69"/>
      <c r="K17" s="69"/>
      <c r="L17" s="69"/>
      <c r="M17" s="70">
        <v>0.19189999999999999</v>
      </c>
      <c r="N17" s="70">
        <v>0.01</v>
      </c>
      <c r="O17" s="80"/>
      <c r="P17" s="80"/>
      <c r="Q17" s="78"/>
    </row>
    <row r="18" spans="9:20">
      <c r="I18" s="69"/>
      <c r="J18" s="69"/>
      <c r="K18" s="69"/>
      <c r="L18" s="69"/>
      <c r="M18" s="70">
        <v>0.1837</v>
      </c>
      <c r="N18" s="70">
        <v>0.02</v>
      </c>
      <c r="O18" s="79"/>
      <c r="P18" s="79"/>
      <c r="Q18" s="80"/>
    </row>
    <row r="19" spans="9:20">
      <c r="I19" s="69"/>
      <c r="J19" s="69"/>
      <c r="K19" s="69"/>
      <c r="L19" s="69"/>
      <c r="M19" s="70">
        <v>0.17530000000000001</v>
      </c>
      <c r="N19" s="70">
        <v>0.03</v>
      </c>
      <c r="O19" s="79"/>
      <c r="P19" s="79"/>
      <c r="Q19" s="80"/>
    </row>
    <row r="20" spans="9:20">
      <c r="M20" s="70">
        <v>0.16669999999999999</v>
      </c>
      <c r="N20" s="70">
        <v>0.04</v>
      </c>
      <c r="O20" s="79"/>
      <c r="P20" s="79"/>
      <c r="Q20" s="80"/>
    </row>
    <row r="21" spans="9:20">
      <c r="M21" s="70">
        <v>0.15790000000000001</v>
      </c>
      <c r="N21" s="70">
        <v>0.05</v>
      </c>
      <c r="O21" s="79"/>
      <c r="P21" s="79"/>
      <c r="Q21" s="80"/>
    </row>
    <row r="22" spans="9:20">
      <c r="M22" s="70">
        <v>0.1489</v>
      </c>
      <c r="N22" s="70">
        <v>0.06</v>
      </c>
      <c r="O22" s="79"/>
      <c r="P22" s="79"/>
      <c r="Q22" s="80"/>
    </row>
    <row r="23" spans="9:20">
      <c r="M23" s="70">
        <v>0.13980000000000001</v>
      </c>
      <c r="N23" s="70">
        <v>7.0000000000000007E-2</v>
      </c>
      <c r="O23" s="79"/>
      <c r="P23" s="79"/>
      <c r="Q23" s="80"/>
    </row>
    <row r="24" spans="9:20">
      <c r="M24" s="70">
        <v>0.13039999999999999</v>
      </c>
      <c r="N24" s="70">
        <v>0.08</v>
      </c>
      <c r="O24" s="79"/>
      <c r="P24" s="79"/>
      <c r="Q24" s="80"/>
    </row>
    <row r="25" spans="9:20">
      <c r="M25" s="70">
        <v>0.12089999999999999</v>
      </c>
      <c r="N25" s="70">
        <v>0.09</v>
      </c>
      <c r="O25" s="79"/>
      <c r="P25" s="79"/>
      <c r="Q25" s="80"/>
    </row>
    <row r="26" spans="9:20">
      <c r="M26" s="70">
        <v>0.1111</v>
      </c>
      <c r="N26" s="70">
        <v>0.1</v>
      </c>
      <c r="O26" s="79"/>
      <c r="P26" s="79"/>
      <c r="Q26" s="80"/>
    </row>
    <row r="27" spans="9:20">
      <c r="M27" s="78"/>
      <c r="N27" s="78"/>
      <c r="O27" s="79"/>
      <c r="P27" s="79"/>
      <c r="Q27" s="80"/>
    </row>
    <row r="28" spans="9:20">
      <c r="M28" s="78"/>
      <c r="N28" s="78"/>
      <c r="O28" s="80"/>
      <c r="P28" s="80"/>
      <c r="Q28" s="78"/>
      <c r="S28" s="79"/>
      <c r="T28" s="79"/>
    </row>
    <row r="29" spans="9:20">
      <c r="M29" s="78"/>
      <c r="N29" s="78"/>
      <c r="O29" s="79"/>
      <c r="P29" s="79"/>
      <c r="Q29" s="80"/>
    </row>
    <row r="30" spans="9:20">
      <c r="M30" s="78"/>
      <c r="N30" s="78"/>
      <c r="O30" s="79"/>
      <c r="P30" s="79"/>
      <c r="Q30" s="80"/>
    </row>
    <row r="31" spans="9:20">
      <c r="M31" s="78"/>
      <c r="N31" s="78"/>
      <c r="O31" s="79"/>
      <c r="P31" s="79"/>
      <c r="Q31" s="80"/>
    </row>
    <row r="32" spans="9:20">
      <c r="M32" s="78"/>
      <c r="N32" s="78"/>
      <c r="O32" s="79"/>
      <c r="P32" s="79"/>
      <c r="Q32" s="80"/>
    </row>
    <row r="33" spans="13:17">
      <c r="M33" s="78"/>
      <c r="N33" s="78"/>
      <c r="O33" s="79"/>
      <c r="P33" s="79"/>
      <c r="Q33" s="80"/>
    </row>
    <row r="34" spans="13:17">
      <c r="M34" s="78"/>
      <c r="N34" s="78"/>
      <c r="O34" s="79"/>
      <c r="P34" s="79"/>
      <c r="Q34" s="80"/>
    </row>
    <row r="35" spans="13:17">
      <c r="M35" s="78"/>
      <c r="N35" s="78"/>
      <c r="O35" s="79"/>
      <c r="P35" s="79"/>
      <c r="Q35" s="80"/>
    </row>
    <row r="36" spans="13:17">
      <c r="M36" s="78"/>
      <c r="N36" s="78"/>
      <c r="O36" s="79"/>
      <c r="P36" s="79"/>
      <c r="Q36" s="80"/>
    </row>
    <row r="37" spans="13:17">
      <c r="M37" s="78"/>
      <c r="N37" s="78"/>
      <c r="O37" s="79"/>
      <c r="P37" s="79"/>
      <c r="Q37" s="80"/>
    </row>
    <row r="38" spans="13:17">
      <c r="M38" s="78"/>
      <c r="N38" s="78"/>
      <c r="O38" s="79"/>
      <c r="P38" s="79"/>
      <c r="Q38" s="80"/>
    </row>
    <row r="39" spans="13:17">
      <c r="N39" s="78"/>
      <c r="O39" s="79"/>
      <c r="P39" s="79"/>
      <c r="Q39" s="80"/>
    </row>
    <row r="40" spans="13:17">
      <c r="N40" s="78"/>
      <c r="O40" s="79"/>
      <c r="P40" s="79"/>
      <c r="Q40" s="80"/>
    </row>
    <row r="41" spans="13:17">
      <c r="N41" s="78"/>
      <c r="O41" s="79"/>
      <c r="P41" s="79"/>
      <c r="Q41" s="80"/>
    </row>
    <row r="42" spans="13:17">
      <c r="N42" s="78"/>
      <c r="O42" s="79"/>
      <c r="P42" s="79"/>
      <c r="Q42" s="80"/>
    </row>
    <row r="43" spans="13:17">
      <c r="N43" s="78"/>
      <c r="O43" s="79"/>
      <c r="P43" s="79"/>
      <c r="Q43" s="80"/>
    </row>
    <row r="44" spans="13:17">
      <c r="N44" s="78"/>
      <c r="O44" s="79"/>
      <c r="P44" s="79"/>
      <c r="Q44" s="80"/>
    </row>
    <row r="45" spans="13:17">
      <c r="N45" s="78"/>
      <c r="O45" s="79"/>
      <c r="P45" s="79"/>
      <c r="Q45" s="80"/>
    </row>
    <row r="46" spans="13:17">
      <c r="N46" s="81"/>
      <c r="O46" s="81"/>
      <c r="P46" s="81"/>
      <c r="Q46" s="81"/>
    </row>
  </sheetData>
  <mergeCells count="1">
    <mergeCell ref="N3:Q3"/>
  </mergeCells>
  <pageMargins left="0.7" right="0.7" top="0.75" bottom="0.75" header="0.3" footer="0.3"/>
  <pageSetup paperSize="9"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43E72"/>
  </sheetPr>
  <dimension ref="A1:AB49"/>
  <sheetViews>
    <sheetView topLeftCell="F1" zoomScale="120" zoomScaleNormal="120" workbookViewId="0">
      <selection activeCell="L29" sqref="L29"/>
    </sheetView>
  </sheetViews>
  <sheetFormatPr baseColWidth="10" defaultColWidth="11.42578125" defaultRowHeight="11.25"/>
  <cols>
    <col min="1" max="6" width="11.42578125" style="187"/>
    <col min="7" max="7" width="16.85546875" style="187" bestFit="1" customWidth="1"/>
    <col min="8" max="10" width="11.42578125" style="187"/>
    <col min="11" max="11" width="27.42578125" style="187" bestFit="1" customWidth="1"/>
    <col min="12" max="12" width="11.42578125" style="187"/>
    <col min="13" max="13" width="14.7109375" style="187" bestFit="1" customWidth="1"/>
    <col min="14" max="14" width="11.42578125" style="187"/>
    <col min="15" max="15" width="14.85546875" style="187" bestFit="1" customWidth="1"/>
    <col min="16" max="16" width="15.85546875" style="187" customWidth="1"/>
    <col min="17" max="22" width="11.42578125" style="187"/>
    <col min="23" max="23" width="16.140625" style="187" customWidth="1"/>
    <col min="24" max="25" width="11.42578125" style="187"/>
    <col min="26" max="26" width="20.42578125" style="187" bestFit="1" customWidth="1"/>
    <col min="27" max="27" width="13.42578125" style="187" bestFit="1" customWidth="1"/>
    <col min="28" max="28" width="12.28515625" style="187" customWidth="1"/>
    <col min="29" max="16384" width="11.42578125" style="187"/>
  </cols>
  <sheetData>
    <row r="1" spans="1:28" ht="12.75">
      <c r="A1" s="206" t="s">
        <v>150</v>
      </c>
      <c r="B1" s="206" t="s">
        <v>152</v>
      </c>
      <c r="C1" s="206" t="s">
        <v>57</v>
      </c>
      <c r="D1" s="206" t="s">
        <v>456</v>
      </c>
      <c r="E1" s="206" t="s">
        <v>457</v>
      </c>
      <c r="F1" s="206" t="s">
        <v>458</v>
      </c>
      <c r="G1" s="206" t="s">
        <v>85</v>
      </c>
      <c r="H1" s="206" t="s">
        <v>70</v>
      </c>
      <c r="I1" s="206" t="s">
        <v>174</v>
      </c>
      <c r="J1" s="206" t="s">
        <v>66</v>
      </c>
      <c r="K1" s="206" t="s">
        <v>459</v>
      </c>
      <c r="L1" s="206" t="s">
        <v>59</v>
      </c>
      <c r="M1" s="206" t="s">
        <v>460</v>
      </c>
      <c r="N1" s="206" t="s">
        <v>96</v>
      </c>
      <c r="O1" s="206" t="s">
        <v>461</v>
      </c>
      <c r="P1" s="207" t="s">
        <v>98</v>
      </c>
      <c r="Q1" s="206" t="s">
        <v>100</v>
      </c>
      <c r="R1" s="206" t="s">
        <v>108</v>
      </c>
      <c r="S1" s="206" t="s">
        <v>462</v>
      </c>
      <c r="T1" s="206" t="s">
        <v>44</v>
      </c>
      <c r="U1" s="206" t="s">
        <v>37</v>
      </c>
      <c r="V1" s="206" t="s">
        <v>463</v>
      </c>
      <c r="W1" s="206" t="s">
        <v>109</v>
      </c>
      <c r="X1" s="206" t="s">
        <v>28</v>
      </c>
      <c r="Y1" s="206" t="s">
        <v>68</v>
      </c>
      <c r="Z1" s="206" t="s">
        <v>64</v>
      </c>
      <c r="AA1" s="206" t="s">
        <v>121</v>
      </c>
      <c r="AB1" s="206" t="s">
        <v>464</v>
      </c>
    </row>
    <row r="2" spans="1:28">
      <c r="A2" s="204" t="s">
        <v>465</v>
      </c>
      <c r="B2" s="204" t="s">
        <v>466</v>
      </c>
      <c r="C2" s="204" t="s">
        <v>133</v>
      </c>
      <c r="D2" s="204" t="s">
        <v>467</v>
      </c>
      <c r="E2" s="204" t="s">
        <v>468</v>
      </c>
      <c r="F2" s="204" t="s">
        <v>469</v>
      </c>
      <c r="G2" s="204" t="s">
        <v>470</v>
      </c>
      <c r="H2" s="204" t="s">
        <v>471</v>
      </c>
      <c r="I2" s="204" t="s">
        <v>472</v>
      </c>
      <c r="J2" s="204" t="s">
        <v>91</v>
      </c>
      <c r="K2" s="204" t="s">
        <v>473</v>
      </c>
      <c r="L2" s="204" t="s">
        <v>176</v>
      </c>
      <c r="M2" s="204" t="s">
        <v>474</v>
      </c>
      <c r="N2" s="204">
        <v>2</v>
      </c>
      <c r="O2" s="204" t="s">
        <v>475</v>
      </c>
      <c r="P2" s="204" t="s">
        <v>476</v>
      </c>
      <c r="Q2" s="204" t="s">
        <v>477</v>
      </c>
      <c r="R2" s="204">
        <v>106</v>
      </c>
      <c r="S2" s="204" t="s">
        <v>478</v>
      </c>
      <c r="T2" s="204" t="s">
        <v>45</v>
      </c>
      <c r="U2" s="204" t="s">
        <v>38</v>
      </c>
      <c r="V2" s="204" t="s">
        <v>479</v>
      </c>
      <c r="W2" s="204" t="s">
        <v>110</v>
      </c>
      <c r="X2" s="204" t="s">
        <v>29</v>
      </c>
      <c r="Y2" s="204" t="s">
        <v>161</v>
      </c>
      <c r="Z2" s="204" t="s">
        <v>208</v>
      </c>
      <c r="AA2" s="204" t="s">
        <v>124</v>
      </c>
      <c r="AB2" s="204">
        <v>440</v>
      </c>
    </row>
    <row r="3" spans="1:28">
      <c r="A3" s="204" t="s">
        <v>480</v>
      </c>
      <c r="B3" s="204" t="s">
        <v>481</v>
      </c>
      <c r="C3" s="204" t="s">
        <v>79</v>
      </c>
      <c r="D3" s="204" t="s">
        <v>482</v>
      </c>
      <c r="E3" s="204" t="s">
        <v>483</v>
      </c>
      <c r="F3" s="204" t="s">
        <v>484</v>
      </c>
      <c r="G3" s="204" t="s">
        <v>485</v>
      </c>
      <c r="H3" s="204" t="s">
        <v>486</v>
      </c>
      <c r="I3" s="204" t="s">
        <v>487</v>
      </c>
      <c r="J3" s="204" t="s">
        <v>488</v>
      </c>
      <c r="K3" s="204" t="s">
        <v>489</v>
      </c>
      <c r="L3" s="204" t="s">
        <v>490</v>
      </c>
      <c r="M3" s="204" t="s">
        <v>491</v>
      </c>
      <c r="N3" s="204">
        <v>3</v>
      </c>
      <c r="O3" s="204" t="s">
        <v>492</v>
      </c>
      <c r="P3" s="204" t="s">
        <v>493</v>
      </c>
      <c r="Q3" s="204" t="s">
        <v>477</v>
      </c>
      <c r="R3" s="204">
        <v>205</v>
      </c>
      <c r="S3" s="204"/>
      <c r="T3" s="204" t="s">
        <v>46</v>
      </c>
      <c r="U3" s="204" t="s">
        <v>39</v>
      </c>
      <c r="V3" s="204" t="s">
        <v>494</v>
      </c>
      <c r="W3" s="204" t="s">
        <v>495</v>
      </c>
      <c r="X3" s="204" t="s">
        <v>30</v>
      </c>
      <c r="Y3" s="204" t="s">
        <v>111</v>
      </c>
      <c r="Z3" s="204" t="s">
        <v>496</v>
      </c>
      <c r="AA3" s="204" t="s">
        <v>497</v>
      </c>
      <c r="AB3" s="204">
        <v>460</v>
      </c>
    </row>
    <row r="4" spans="1:28">
      <c r="A4" s="204" t="s">
        <v>498</v>
      </c>
      <c r="B4" s="204" t="s">
        <v>499</v>
      </c>
      <c r="C4" s="204" t="s">
        <v>134</v>
      </c>
      <c r="D4" s="204" t="s">
        <v>500</v>
      </c>
      <c r="E4" s="204" t="s">
        <v>501</v>
      </c>
      <c r="F4" s="204" t="s">
        <v>502</v>
      </c>
      <c r="G4" s="204" t="s">
        <v>503</v>
      </c>
      <c r="H4" s="204" t="s">
        <v>504</v>
      </c>
      <c r="I4" s="204" t="s">
        <v>22</v>
      </c>
      <c r="J4" s="204" t="s">
        <v>90</v>
      </c>
      <c r="K4" s="204" t="s">
        <v>505</v>
      </c>
      <c r="L4" s="204" t="s">
        <v>506</v>
      </c>
      <c r="M4" s="204" t="s">
        <v>507</v>
      </c>
      <c r="N4" s="204">
        <v>5</v>
      </c>
      <c r="O4" s="204" t="s">
        <v>508</v>
      </c>
      <c r="P4" s="204" t="s">
        <v>509</v>
      </c>
      <c r="Q4" s="204" t="s">
        <v>101</v>
      </c>
      <c r="R4" s="204">
        <v>206</v>
      </c>
      <c r="S4" s="204"/>
      <c r="T4" s="204" t="s">
        <v>47</v>
      </c>
      <c r="U4" s="204" t="s">
        <v>40</v>
      </c>
      <c r="V4" s="204" t="s">
        <v>510</v>
      </c>
      <c r="W4" s="204" t="s">
        <v>511</v>
      </c>
      <c r="X4" s="204" t="s">
        <v>31</v>
      </c>
      <c r="Y4" s="204" t="s">
        <v>76</v>
      </c>
      <c r="Z4" s="204" t="s">
        <v>131</v>
      </c>
      <c r="AA4" s="204" t="s">
        <v>512</v>
      </c>
      <c r="AB4" s="204">
        <v>480</v>
      </c>
    </row>
    <row r="5" spans="1:28">
      <c r="A5" s="204" t="s">
        <v>513</v>
      </c>
      <c r="B5" s="204" t="s">
        <v>514</v>
      </c>
      <c r="C5" s="204" t="s">
        <v>135</v>
      </c>
      <c r="D5" s="204" t="s">
        <v>515</v>
      </c>
      <c r="E5" s="204" t="s">
        <v>516</v>
      </c>
      <c r="F5" s="204"/>
      <c r="G5" s="204" t="s">
        <v>86</v>
      </c>
      <c r="H5" s="204" t="s">
        <v>517</v>
      </c>
      <c r="I5" s="204" t="s">
        <v>175</v>
      </c>
      <c r="J5" s="204" t="s">
        <v>92</v>
      </c>
      <c r="K5" s="204" t="s">
        <v>518</v>
      </c>
      <c r="L5" s="204" t="s">
        <v>94</v>
      </c>
      <c r="M5" s="204" t="s">
        <v>519</v>
      </c>
      <c r="N5" s="204">
        <v>6</v>
      </c>
      <c r="O5" s="204" t="s">
        <v>520</v>
      </c>
      <c r="P5" s="204" t="s">
        <v>99</v>
      </c>
      <c r="Q5" s="204" t="s">
        <v>521</v>
      </c>
      <c r="R5" s="204">
        <v>207</v>
      </c>
      <c r="S5" s="204"/>
      <c r="T5" s="204" t="s">
        <v>48</v>
      </c>
      <c r="U5" s="204" t="s">
        <v>41</v>
      </c>
      <c r="V5" s="204" t="s">
        <v>522</v>
      </c>
      <c r="W5" s="204" t="s">
        <v>523</v>
      </c>
      <c r="X5" s="204" t="s">
        <v>33</v>
      </c>
      <c r="Y5" s="204" t="s">
        <v>113</v>
      </c>
      <c r="Z5" s="204" t="s">
        <v>524</v>
      </c>
      <c r="AA5" s="204" t="s">
        <v>122</v>
      </c>
      <c r="AB5" s="204" t="s">
        <v>525</v>
      </c>
    </row>
    <row r="6" spans="1:28">
      <c r="A6" s="204" t="s">
        <v>526</v>
      </c>
      <c r="B6" s="204" t="s">
        <v>527</v>
      </c>
      <c r="C6" s="204" t="s">
        <v>136</v>
      </c>
      <c r="D6" s="204" t="s">
        <v>528</v>
      </c>
      <c r="E6" s="204"/>
      <c r="F6" s="204"/>
      <c r="G6" s="204" t="s">
        <v>529</v>
      </c>
      <c r="H6" s="204" t="s">
        <v>530</v>
      </c>
      <c r="I6" s="204" t="s">
        <v>531</v>
      </c>
      <c r="J6" s="204" t="s">
        <v>532</v>
      </c>
      <c r="K6" s="204" t="s">
        <v>533</v>
      </c>
      <c r="L6" s="204" t="s">
        <v>534</v>
      </c>
      <c r="M6" s="204"/>
      <c r="N6" s="204">
        <v>121</v>
      </c>
      <c r="O6" s="204" t="s">
        <v>535</v>
      </c>
      <c r="P6" s="204" t="s">
        <v>536</v>
      </c>
      <c r="Q6" s="204" t="s">
        <v>537</v>
      </c>
      <c r="R6" s="204">
        <v>208</v>
      </c>
      <c r="S6" s="204"/>
      <c r="T6" s="204" t="s">
        <v>49</v>
      </c>
      <c r="U6" s="204" t="s">
        <v>42</v>
      </c>
      <c r="V6" s="204"/>
      <c r="W6" s="204" t="s">
        <v>538</v>
      </c>
      <c r="X6" s="204" t="s">
        <v>34</v>
      </c>
      <c r="Y6" s="204" t="s">
        <v>162</v>
      </c>
      <c r="Z6" s="204" t="s">
        <v>539</v>
      </c>
      <c r="AA6" s="204" t="s">
        <v>540</v>
      </c>
      <c r="AB6" s="204" t="s">
        <v>541</v>
      </c>
    </row>
    <row r="7" spans="1:28">
      <c r="A7" s="204" t="s">
        <v>542</v>
      </c>
      <c r="B7" s="204" t="s">
        <v>543</v>
      </c>
      <c r="C7" s="204" t="s">
        <v>82</v>
      </c>
      <c r="D7" s="204" t="s">
        <v>544</v>
      </c>
      <c r="E7" s="204"/>
      <c r="F7" s="204"/>
      <c r="G7" s="204" t="s">
        <v>545</v>
      </c>
      <c r="H7" s="204" t="s">
        <v>546</v>
      </c>
      <c r="I7" s="204" t="s">
        <v>547</v>
      </c>
      <c r="J7" s="204" t="s">
        <v>548</v>
      </c>
      <c r="K7" s="204" t="s">
        <v>549</v>
      </c>
      <c r="L7" s="204" t="s">
        <v>550</v>
      </c>
      <c r="M7" s="204"/>
      <c r="N7" s="204">
        <v>323</v>
      </c>
      <c r="O7" s="204" t="s">
        <v>551</v>
      </c>
      <c r="P7" s="204" t="s">
        <v>552</v>
      </c>
      <c r="Q7" s="204" t="s">
        <v>553</v>
      </c>
      <c r="R7" s="205">
        <v>301</v>
      </c>
      <c r="S7" s="204"/>
      <c r="T7" s="204" t="s">
        <v>50</v>
      </c>
      <c r="U7" s="204" t="s">
        <v>43</v>
      </c>
      <c r="V7" s="204"/>
      <c r="W7" s="204" t="s">
        <v>554</v>
      </c>
      <c r="X7" s="204" t="s">
        <v>35</v>
      </c>
      <c r="Y7" s="204" t="s">
        <v>163</v>
      </c>
      <c r="Z7" s="204" t="s">
        <v>555</v>
      </c>
      <c r="AA7" s="204" t="s">
        <v>556</v>
      </c>
      <c r="AB7" s="204" t="s">
        <v>557</v>
      </c>
    </row>
    <row r="8" spans="1:28">
      <c r="A8" s="204" t="s">
        <v>558</v>
      </c>
      <c r="B8" s="204" t="s">
        <v>559</v>
      </c>
      <c r="C8" s="204" t="s">
        <v>137</v>
      </c>
      <c r="D8" s="203" t="s">
        <v>700</v>
      </c>
      <c r="E8" s="204"/>
      <c r="F8" s="204"/>
      <c r="G8" s="203" t="s">
        <v>701</v>
      </c>
      <c r="H8" s="203" t="s">
        <v>704</v>
      </c>
      <c r="I8" s="204" t="s">
        <v>560</v>
      </c>
      <c r="J8" s="204" t="s">
        <v>561</v>
      </c>
      <c r="K8" s="204" t="s">
        <v>562</v>
      </c>
      <c r="L8" s="204" t="s">
        <v>177</v>
      </c>
      <c r="M8" s="204"/>
      <c r="N8" s="204">
        <v>623</v>
      </c>
      <c r="O8" s="205" t="s">
        <v>563</v>
      </c>
      <c r="P8" s="204" t="s">
        <v>205</v>
      </c>
      <c r="Q8" s="204" t="s">
        <v>564</v>
      </c>
      <c r="R8" s="204">
        <v>306</v>
      </c>
      <c r="S8" s="204"/>
      <c r="T8" s="204" t="s">
        <v>51</v>
      </c>
      <c r="U8" s="204"/>
      <c r="V8" s="204"/>
      <c r="W8" s="204" t="s">
        <v>565</v>
      </c>
      <c r="X8" s="204" t="s">
        <v>36</v>
      </c>
      <c r="Y8" s="204" t="s">
        <v>77</v>
      </c>
      <c r="Z8" s="204" t="s">
        <v>119</v>
      </c>
      <c r="AA8" s="204" t="s">
        <v>566</v>
      </c>
      <c r="AB8" s="204" t="s">
        <v>567</v>
      </c>
    </row>
    <row r="9" spans="1:28">
      <c r="A9" s="204" t="s">
        <v>568</v>
      </c>
      <c r="B9" s="204" t="s">
        <v>569</v>
      </c>
      <c r="C9" s="204" t="s">
        <v>84</v>
      </c>
      <c r="D9" s="204"/>
      <c r="E9" s="204"/>
      <c r="F9" s="204"/>
      <c r="G9" s="203" t="s">
        <v>702</v>
      </c>
      <c r="H9" s="203" t="s">
        <v>71</v>
      </c>
      <c r="I9" s="204" t="s">
        <v>570</v>
      </c>
      <c r="J9" s="204" t="s">
        <v>571</v>
      </c>
      <c r="K9" s="204" t="s">
        <v>572</v>
      </c>
      <c r="L9" s="204" t="s">
        <v>180</v>
      </c>
      <c r="M9" s="204"/>
      <c r="N9" s="205" t="s">
        <v>153</v>
      </c>
      <c r="O9" s="204" t="s">
        <v>573</v>
      </c>
      <c r="P9" s="204" t="s">
        <v>574</v>
      </c>
      <c r="Q9" s="204" t="s">
        <v>105</v>
      </c>
      <c r="R9" s="204">
        <v>307</v>
      </c>
      <c r="S9" s="204"/>
      <c r="T9" s="204" t="s">
        <v>52</v>
      </c>
      <c r="U9" s="204"/>
      <c r="V9" s="204"/>
      <c r="W9" s="204" t="s">
        <v>178</v>
      </c>
      <c r="X9" s="208" t="s">
        <v>711</v>
      </c>
      <c r="Y9" s="204" t="s">
        <v>164</v>
      </c>
      <c r="Z9" s="204" t="s">
        <v>201</v>
      </c>
      <c r="AA9" s="204" t="s">
        <v>575</v>
      </c>
      <c r="AB9" s="204" t="s">
        <v>576</v>
      </c>
    </row>
    <row r="10" spans="1:28">
      <c r="A10" s="202" t="s">
        <v>685</v>
      </c>
      <c r="B10" s="204" t="s">
        <v>578</v>
      </c>
      <c r="C10" s="204" t="s">
        <v>138</v>
      </c>
      <c r="D10" s="204"/>
      <c r="E10" s="204"/>
      <c r="F10" s="204"/>
      <c r="G10" s="203">
        <v>500</v>
      </c>
      <c r="H10" s="203" t="s">
        <v>703</v>
      </c>
      <c r="I10" s="204" t="s">
        <v>579</v>
      </c>
      <c r="J10" s="204" t="s">
        <v>580</v>
      </c>
      <c r="K10" s="204" t="s">
        <v>581</v>
      </c>
      <c r="L10" s="204" t="s">
        <v>582</v>
      </c>
      <c r="M10" s="204"/>
      <c r="N10" s="204" t="s">
        <v>154</v>
      </c>
      <c r="O10" s="204" t="s">
        <v>583</v>
      </c>
      <c r="P10" s="71" t="s">
        <v>709</v>
      </c>
      <c r="Q10" s="204" t="s">
        <v>104</v>
      </c>
      <c r="R10" s="204">
        <v>308</v>
      </c>
      <c r="S10" s="204"/>
      <c r="T10" s="204" t="s">
        <v>53</v>
      </c>
      <c r="U10" s="204"/>
      <c r="V10" s="204"/>
      <c r="W10" s="204"/>
      <c r="X10" s="204"/>
      <c r="Y10" s="204" t="s">
        <v>78</v>
      </c>
      <c r="Z10" s="204" t="s">
        <v>118</v>
      </c>
      <c r="AA10" s="204" t="s">
        <v>584</v>
      </c>
      <c r="AB10" s="204" t="s">
        <v>585</v>
      </c>
    </row>
    <row r="11" spans="1:28">
      <c r="A11" s="204" t="s">
        <v>577</v>
      </c>
      <c r="B11" s="204" t="s">
        <v>587</v>
      </c>
      <c r="C11" s="204" t="s">
        <v>139</v>
      </c>
      <c r="D11" s="204"/>
      <c r="E11" s="204"/>
      <c r="F11" s="204"/>
      <c r="G11" s="204"/>
      <c r="H11" s="204"/>
      <c r="I11" s="203" t="s">
        <v>705</v>
      </c>
      <c r="J11" s="204" t="s">
        <v>7</v>
      </c>
      <c r="K11" s="204" t="s">
        <v>588</v>
      </c>
      <c r="L11" s="204" t="s">
        <v>589</v>
      </c>
      <c r="M11" s="204"/>
      <c r="N11" s="204" t="s">
        <v>155</v>
      </c>
      <c r="O11" s="204" t="s">
        <v>590</v>
      </c>
      <c r="P11" s="204"/>
      <c r="Q11" s="204" t="s">
        <v>102</v>
      </c>
      <c r="R11" s="204">
        <v>405</v>
      </c>
      <c r="S11" s="204"/>
      <c r="T11" s="204" t="s">
        <v>54</v>
      </c>
      <c r="U11" s="204"/>
      <c r="V11" s="204"/>
      <c r="W11" s="204"/>
      <c r="X11" s="204"/>
      <c r="Y11" s="204" t="s">
        <v>165</v>
      </c>
      <c r="Z11" s="204" t="s">
        <v>115</v>
      </c>
      <c r="AA11" s="204" t="s">
        <v>123</v>
      </c>
      <c r="AB11" s="204" t="s">
        <v>591</v>
      </c>
    </row>
    <row r="12" spans="1:28">
      <c r="A12" s="204" t="s">
        <v>586</v>
      </c>
      <c r="B12" s="204" t="s">
        <v>593</v>
      </c>
      <c r="C12" s="204" t="s">
        <v>81</v>
      </c>
      <c r="D12" s="204"/>
      <c r="E12" s="204"/>
      <c r="F12" s="204"/>
      <c r="G12" s="204"/>
      <c r="H12" s="204"/>
      <c r="I12" s="204"/>
      <c r="J12" s="204" t="s">
        <v>179</v>
      </c>
      <c r="K12" s="204" t="s">
        <v>594</v>
      </c>
      <c r="L12" s="204" t="s">
        <v>60</v>
      </c>
      <c r="M12" s="204"/>
      <c r="N12" s="204" t="s">
        <v>156</v>
      </c>
      <c r="O12" s="204" t="s">
        <v>595</v>
      </c>
      <c r="P12" s="204"/>
      <c r="Q12" s="204" t="s">
        <v>106</v>
      </c>
      <c r="R12" s="204">
        <v>406</v>
      </c>
      <c r="S12" s="204"/>
      <c r="T12" s="204" t="s">
        <v>55</v>
      </c>
      <c r="U12" s="204"/>
      <c r="V12" s="204"/>
      <c r="W12" s="204"/>
      <c r="X12" s="204"/>
      <c r="Y12" s="204" t="s">
        <v>112</v>
      </c>
      <c r="Z12" s="204" t="s">
        <v>115</v>
      </c>
      <c r="AA12" s="204" t="s">
        <v>596</v>
      </c>
      <c r="AB12" s="204" t="s">
        <v>597</v>
      </c>
    </row>
    <row r="13" spans="1:28">
      <c r="A13" s="204" t="s">
        <v>592</v>
      </c>
      <c r="B13" s="204" t="s">
        <v>599</v>
      </c>
      <c r="C13" s="204" t="s">
        <v>83</v>
      </c>
      <c r="D13" s="204"/>
      <c r="E13" s="204"/>
      <c r="F13" s="204"/>
      <c r="G13" s="204"/>
      <c r="H13" s="204"/>
      <c r="I13" s="204"/>
      <c r="J13" s="204" t="s">
        <v>600</v>
      </c>
      <c r="K13" s="204"/>
      <c r="L13" s="204" t="s">
        <v>95</v>
      </c>
      <c r="M13" s="204"/>
      <c r="N13" s="204" t="s">
        <v>157</v>
      </c>
      <c r="O13" s="204" t="s">
        <v>601</v>
      </c>
      <c r="P13" s="204"/>
      <c r="Q13" s="204" t="s">
        <v>602</v>
      </c>
      <c r="R13" s="204">
        <v>407</v>
      </c>
      <c r="S13" s="204"/>
      <c r="T13" s="204" t="s">
        <v>56</v>
      </c>
      <c r="U13" s="204"/>
      <c r="V13" s="204"/>
      <c r="W13" s="204"/>
      <c r="X13" s="204"/>
      <c r="Y13" s="204" t="s">
        <v>72</v>
      </c>
      <c r="Z13" s="204" t="s">
        <v>603</v>
      </c>
      <c r="AA13" s="204" t="s">
        <v>604</v>
      </c>
      <c r="AB13" s="204" t="s">
        <v>605</v>
      </c>
    </row>
    <row r="14" spans="1:28">
      <c r="A14" s="204" t="s">
        <v>598</v>
      </c>
      <c r="B14" s="205" t="s">
        <v>607</v>
      </c>
      <c r="C14" s="204" t="s">
        <v>58</v>
      </c>
      <c r="D14" s="204"/>
      <c r="E14" s="204"/>
      <c r="F14" s="204"/>
      <c r="G14" s="204"/>
      <c r="H14" s="204"/>
      <c r="I14" s="204"/>
      <c r="J14" s="204" t="s">
        <v>196</v>
      </c>
      <c r="K14" s="204"/>
      <c r="L14" s="204" t="s">
        <v>608</v>
      </c>
      <c r="M14" s="204"/>
      <c r="N14" s="205" t="s">
        <v>159</v>
      </c>
      <c r="O14" s="204" t="s">
        <v>609</v>
      </c>
      <c r="P14" s="204"/>
      <c r="Q14" s="204" t="s">
        <v>610</v>
      </c>
      <c r="R14" s="204">
        <v>508</v>
      </c>
      <c r="S14" s="204"/>
      <c r="T14" s="204" t="s">
        <v>61</v>
      </c>
      <c r="U14" s="204"/>
      <c r="V14" s="204"/>
      <c r="W14" s="204"/>
      <c r="X14" s="204"/>
      <c r="Y14" s="204" t="s">
        <v>166</v>
      </c>
      <c r="Z14" s="204" t="s">
        <v>116</v>
      </c>
      <c r="AA14" s="204" t="s">
        <v>611</v>
      </c>
      <c r="AB14" s="204" t="s">
        <v>612</v>
      </c>
    </row>
    <row r="15" spans="1:28">
      <c r="A15" s="204" t="s">
        <v>606</v>
      </c>
      <c r="B15" s="204" t="s">
        <v>614</v>
      </c>
      <c r="C15" s="204" t="s">
        <v>140</v>
      </c>
      <c r="D15" s="204"/>
      <c r="E15" s="204"/>
      <c r="F15" s="204"/>
      <c r="G15" s="204"/>
      <c r="H15" s="204"/>
      <c r="I15" s="204"/>
      <c r="J15" s="204" t="s">
        <v>615</v>
      </c>
      <c r="K15" s="204"/>
      <c r="L15" s="204" t="s">
        <v>616</v>
      </c>
      <c r="M15" s="204"/>
      <c r="N15" s="204" t="s">
        <v>158</v>
      </c>
      <c r="O15" s="204" t="s">
        <v>617</v>
      </c>
      <c r="P15" s="204"/>
      <c r="Q15" s="204" t="s">
        <v>107</v>
      </c>
      <c r="R15" s="204">
        <v>607</v>
      </c>
      <c r="S15" s="204"/>
      <c r="T15" s="204"/>
      <c r="U15" s="204"/>
      <c r="V15" s="204"/>
      <c r="W15" s="204"/>
      <c r="X15" s="204"/>
      <c r="Y15" s="204" t="s">
        <v>73</v>
      </c>
      <c r="Z15" s="204" t="s">
        <v>618</v>
      </c>
      <c r="AA15" s="204" t="s">
        <v>619</v>
      </c>
      <c r="AB15" s="204" t="s">
        <v>620</v>
      </c>
    </row>
    <row r="16" spans="1:28">
      <c r="A16" s="204" t="s">
        <v>613</v>
      </c>
      <c r="B16" s="204" t="s">
        <v>622</v>
      </c>
      <c r="C16" s="204" t="s">
        <v>141</v>
      </c>
      <c r="D16" s="204"/>
      <c r="E16" s="204"/>
      <c r="F16" s="204"/>
      <c r="G16" s="204"/>
      <c r="H16" s="204"/>
      <c r="I16" s="204"/>
      <c r="J16" s="204" t="s">
        <v>623</v>
      </c>
      <c r="K16" s="204"/>
      <c r="L16" s="204" t="s">
        <v>624</v>
      </c>
      <c r="M16" s="204"/>
      <c r="N16" s="204"/>
      <c r="O16" s="204" t="s">
        <v>625</v>
      </c>
      <c r="P16" s="204"/>
      <c r="Q16" s="204" t="s">
        <v>130</v>
      </c>
      <c r="R16" s="204">
        <v>2008</v>
      </c>
      <c r="S16" s="204"/>
      <c r="T16" s="204"/>
      <c r="U16" s="204"/>
      <c r="V16" s="204"/>
      <c r="W16" s="204"/>
      <c r="X16" s="204"/>
      <c r="Y16" s="204" t="s">
        <v>74</v>
      </c>
      <c r="Z16" s="204" t="s">
        <v>626</v>
      </c>
      <c r="AA16" s="204" t="s">
        <v>125</v>
      </c>
      <c r="AB16" s="204"/>
    </row>
    <row r="17" spans="1:28">
      <c r="A17" s="205" t="s">
        <v>621</v>
      </c>
      <c r="B17" s="205" t="s">
        <v>628</v>
      </c>
      <c r="C17" s="204" t="s">
        <v>142</v>
      </c>
      <c r="D17" s="204"/>
      <c r="E17" s="204"/>
      <c r="F17" s="204"/>
      <c r="G17" s="204"/>
      <c r="H17" s="204"/>
      <c r="I17" s="204"/>
      <c r="J17" s="204" t="s">
        <v>197</v>
      </c>
      <c r="K17" s="204"/>
      <c r="L17" s="204" t="s">
        <v>629</v>
      </c>
      <c r="M17" s="204"/>
      <c r="N17" s="204"/>
      <c r="O17" s="204" t="s">
        <v>630</v>
      </c>
      <c r="P17" s="204"/>
      <c r="Q17" s="204" t="s">
        <v>103</v>
      </c>
      <c r="R17" s="204">
        <v>3008</v>
      </c>
      <c r="S17" s="204"/>
      <c r="T17" s="204"/>
      <c r="U17" s="204"/>
      <c r="V17" s="204"/>
      <c r="W17" s="204"/>
      <c r="X17" s="204"/>
      <c r="Y17" s="71" t="s">
        <v>712</v>
      </c>
      <c r="Z17" s="204" t="s">
        <v>631</v>
      </c>
      <c r="AA17" s="71" t="s">
        <v>714</v>
      </c>
      <c r="AB17" s="204"/>
    </row>
    <row r="18" spans="1:28">
      <c r="A18" s="204" t="s">
        <v>627</v>
      </c>
      <c r="B18" s="204" t="s">
        <v>632</v>
      </c>
      <c r="C18" s="204" t="s">
        <v>143</v>
      </c>
      <c r="D18" s="204"/>
      <c r="E18" s="204"/>
      <c r="F18" s="204"/>
      <c r="G18" s="204"/>
      <c r="H18" s="204"/>
      <c r="I18" s="204"/>
      <c r="J18" s="204" t="s">
        <v>170</v>
      </c>
      <c r="K18" s="204"/>
      <c r="L18" s="204" t="s">
        <v>198</v>
      </c>
      <c r="M18" s="204"/>
      <c r="N18" s="204"/>
      <c r="O18" s="204" t="s">
        <v>633</v>
      </c>
      <c r="P18" s="204"/>
      <c r="Q18" s="204" t="s">
        <v>634</v>
      </c>
      <c r="R18" s="204" t="s">
        <v>148</v>
      </c>
      <c r="S18" s="204"/>
      <c r="T18" s="204"/>
      <c r="U18" s="204"/>
      <c r="V18" s="204"/>
      <c r="W18" s="204"/>
      <c r="X18" s="204"/>
      <c r="Y18" s="204"/>
      <c r="Z18" s="204" t="s">
        <v>120</v>
      </c>
      <c r="AA18" s="204"/>
      <c r="AB18" s="204"/>
    </row>
    <row r="19" spans="1:28">
      <c r="A19" s="204" t="s">
        <v>151</v>
      </c>
      <c r="B19" s="204" t="s">
        <v>636</v>
      </c>
      <c r="C19" s="204" t="s">
        <v>144</v>
      </c>
      <c r="D19" s="204"/>
      <c r="E19" s="204"/>
      <c r="F19" s="204"/>
      <c r="G19" s="204"/>
      <c r="H19" s="204"/>
      <c r="I19" s="204"/>
      <c r="J19" s="204" t="s">
        <v>637</v>
      </c>
      <c r="K19" s="204"/>
      <c r="L19" s="204" t="s">
        <v>638</v>
      </c>
      <c r="M19" s="204"/>
      <c r="N19" s="204"/>
      <c r="O19" s="204" t="s">
        <v>639</v>
      </c>
      <c r="P19" s="204"/>
      <c r="Q19" s="204" t="s">
        <v>640</v>
      </c>
      <c r="R19" s="204" t="s">
        <v>52</v>
      </c>
      <c r="S19" s="204"/>
      <c r="T19" s="204"/>
      <c r="U19" s="204"/>
      <c r="V19" s="204"/>
      <c r="W19" s="204"/>
      <c r="X19" s="204"/>
      <c r="Y19" s="204"/>
      <c r="Z19" s="204" t="s">
        <v>641</v>
      </c>
      <c r="AA19" s="204"/>
      <c r="AB19" s="204"/>
    </row>
    <row r="20" spans="1:28">
      <c r="A20" s="204" t="s">
        <v>635</v>
      </c>
      <c r="B20" s="204" t="s">
        <v>642</v>
      </c>
      <c r="C20" s="204" t="s">
        <v>145</v>
      </c>
      <c r="D20" s="204"/>
      <c r="E20" s="204"/>
      <c r="F20" s="204"/>
      <c r="G20" s="204"/>
      <c r="H20" s="204"/>
      <c r="I20" s="204"/>
      <c r="J20" s="204" t="s">
        <v>643</v>
      </c>
      <c r="K20" s="204"/>
      <c r="L20" s="204" t="s">
        <v>608</v>
      </c>
      <c r="M20" s="204"/>
      <c r="N20" s="204"/>
      <c r="O20" s="204" t="s">
        <v>644</v>
      </c>
      <c r="P20" s="204"/>
      <c r="Q20" s="71" t="s">
        <v>710</v>
      </c>
      <c r="R20" s="71">
        <v>5008</v>
      </c>
      <c r="S20" s="204"/>
      <c r="T20" s="204"/>
      <c r="U20" s="204"/>
      <c r="V20" s="204"/>
      <c r="W20" s="204"/>
      <c r="X20" s="204"/>
      <c r="Y20" s="204"/>
      <c r="Z20" s="204" t="s">
        <v>65</v>
      </c>
      <c r="AA20" s="204"/>
      <c r="AB20" s="204"/>
    </row>
    <row r="21" spans="1:28">
      <c r="A21" s="204"/>
      <c r="B21" s="204" t="s">
        <v>645</v>
      </c>
      <c r="C21" s="204" t="s">
        <v>146</v>
      </c>
      <c r="D21" s="204"/>
      <c r="E21" s="204"/>
      <c r="F21" s="204"/>
      <c r="G21" s="204"/>
      <c r="H21" s="204"/>
      <c r="I21" s="204"/>
      <c r="J21" s="204" t="s">
        <v>75</v>
      </c>
      <c r="K21" s="204"/>
      <c r="L21" s="204"/>
      <c r="M21" s="204"/>
      <c r="N21" s="204"/>
      <c r="O21" s="204" t="s">
        <v>646</v>
      </c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71" t="s">
        <v>713</v>
      </c>
      <c r="AA21" s="204"/>
      <c r="AB21" s="204"/>
    </row>
    <row r="22" spans="1:28">
      <c r="A22" s="204"/>
      <c r="B22" s="204" t="s">
        <v>647</v>
      </c>
      <c r="C22" s="205" t="s">
        <v>147</v>
      </c>
      <c r="D22" s="204"/>
      <c r="E22" s="204"/>
      <c r="F22" s="204"/>
      <c r="G22" s="204"/>
      <c r="H22" s="204"/>
      <c r="I22" s="204"/>
      <c r="J22" s="204" t="s">
        <v>67</v>
      </c>
      <c r="K22" s="204"/>
      <c r="L22" s="204"/>
      <c r="M22" s="204"/>
      <c r="N22" s="204"/>
      <c r="O22" s="204" t="s">
        <v>648</v>
      </c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</row>
    <row r="23" spans="1:28">
      <c r="A23" s="204"/>
      <c r="B23" s="204" t="s">
        <v>649</v>
      </c>
      <c r="C23" s="204" t="s">
        <v>62</v>
      </c>
      <c r="D23" s="204"/>
      <c r="E23" s="204"/>
      <c r="F23" s="204"/>
      <c r="G23" s="204"/>
      <c r="H23" s="204"/>
      <c r="I23" s="204"/>
      <c r="J23" s="204" t="s">
        <v>650</v>
      </c>
      <c r="K23" s="204"/>
      <c r="L23" s="204"/>
      <c r="M23" s="204"/>
      <c r="N23" s="204"/>
      <c r="O23" s="204" t="s">
        <v>651</v>
      </c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</row>
    <row r="24" spans="1:28">
      <c r="A24" s="204"/>
      <c r="B24" s="204" t="s">
        <v>652</v>
      </c>
      <c r="C24" s="203" t="s">
        <v>697</v>
      </c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 t="s">
        <v>653</v>
      </c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</row>
    <row r="25" spans="1:28">
      <c r="A25" s="204"/>
      <c r="B25" s="204" t="s">
        <v>652</v>
      </c>
      <c r="C25" s="203" t="s">
        <v>698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 t="s">
        <v>654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</row>
    <row r="26" spans="1:28">
      <c r="A26" s="204"/>
      <c r="B26" s="204" t="s">
        <v>655</v>
      </c>
      <c r="C26" s="203" t="s">
        <v>699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 t="s">
        <v>656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</row>
    <row r="27" spans="1:28">
      <c r="A27" s="204"/>
      <c r="B27" s="204" t="s">
        <v>657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 t="s">
        <v>658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</row>
    <row r="28" spans="1:28">
      <c r="A28" s="204"/>
      <c r="B28" s="204" t="s">
        <v>659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 t="s">
        <v>660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</row>
    <row r="29" spans="1:28">
      <c r="A29" s="204"/>
      <c r="B29" s="204" t="s">
        <v>661</v>
      </c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 t="s">
        <v>662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</row>
    <row r="30" spans="1:28">
      <c r="A30" s="204"/>
      <c r="B30" s="204" t="s">
        <v>663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 t="s">
        <v>664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</row>
    <row r="31" spans="1:28">
      <c r="A31" s="204"/>
      <c r="B31" s="204" t="s">
        <v>665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 t="s">
        <v>666</v>
      </c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</row>
    <row r="32" spans="1:28">
      <c r="A32" s="204"/>
      <c r="B32" s="204" t="s">
        <v>167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 t="s">
        <v>667</v>
      </c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</row>
    <row r="33" spans="1:28">
      <c r="A33" s="204"/>
      <c r="B33" s="204" t="s">
        <v>668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 t="s">
        <v>669</v>
      </c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</row>
    <row r="34" spans="1:28">
      <c r="A34" s="204"/>
      <c r="B34" s="204" t="s">
        <v>670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 t="s">
        <v>671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</row>
    <row r="35" spans="1:28">
      <c r="A35" s="204"/>
      <c r="B35" s="204" t="s">
        <v>672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 t="s">
        <v>673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</row>
    <row r="36" spans="1:28">
      <c r="A36" s="204"/>
      <c r="B36" s="204" t="s">
        <v>674</v>
      </c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 t="s">
        <v>675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</row>
    <row r="37" spans="1:28">
      <c r="A37" s="204"/>
      <c r="B37" s="203" t="s">
        <v>686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 t="s">
        <v>676</v>
      </c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</row>
    <row r="38" spans="1:28">
      <c r="A38" s="204"/>
      <c r="B38" s="203" t="s">
        <v>687</v>
      </c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 t="s">
        <v>677</v>
      </c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</row>
    <row r="39" spans="1:28" s="188" customFormat="1">
      <c r="A39" s="205"/>
      <c r="B39" s="202" t="s">
        <v>688</v>
      </c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</row>
    <row r="40" spans="1:28">
      <c r="B40" s="202" t="s">
        <v>689</v>
      </c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</row>
    <row r="41" spans="1:28">
      <c r="B41" s="202" t="s">
        <v>690</v>
      </c>
    </row>
    <row r="42" spans="1:28">
      <c r="B42" s="202" t="s">
        <v>691</v>
      </c>
    </row>
    <row r="43" spans="1:28">
      <c r="B43" s="202" t="s">
        <v>692</v>
      </c>
    </row>
    <row r="44" spans="1:28">
      <c r="B44" s="202" t="s">
        <v>693</v>
      </c>
    </row>
    <row r="45" spans="1:28">
      <c r="B45" s="202" t="s">
        <v>694</v>
      </c>
    </row>
    <row r="46" spans="1:28">
      <c r="B46" s="202"/>
    </row>
    <row r="47" spans="1:28">
      <c r="B47" s="202"/>
    </row>
    <row r="48" spans="1:28">
      <c r="B48" s="187" t="s">
        <v>695</v>
      </c>
    </row>
    <row r="49" spans="2:2">
      <c r="B49" s="187" t="s">
        <v>696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38"/>
  <sheetViews>
    <sheetView workbookViewId="0">
      <selection activeCell="E14" sqref="E14"/>
    </sheetView>
  </sheetViews>
  <sheetFormatPr baseColWidth="10" defaultRowHeight="15"/>
  <cols>
    <col min="2" max="2" width="17.42578125" bestFit="1" customWidth="1"/>
    <col min="4" max="4" width="14.28515625" customWidth="1"/>
    <col min="5" max="5" width="30.28515625" customWidth="1"/>
    <col min="8" max="8" width="38.7109375" bestFit="1" customWidth="1"/>
    <col min="9" max="9" width="27.42578125" bestFit="1" customWidth="1"/>
    <col min="10" max="10" width="12" bestFit="1" customWidth="1"/>
    <col min="11" max="11" width="45.42578125" bestFit="1" customWidth="1"/>
  </cols>
  <sheetData>
    <row r="2" spans="2:13">
      <c r="B2" t="s">
        <v>368</v>
      </c>
    </row>
    <row r="5" spans="2:13">
      <c r="B5" s="36" t="s">
        <v>229</v>
      </c>
      <c r="C5" s="158"/>
      <c r="D5" s="303" t="s">
        <v>229</v>
      </c>
      <c r="E5" s="303"/>
      <c r="H5" s="159" t="s">
        <v>173</v>
      </c>
      <c r="I5" s="160" t="s">
        <v>433</v>
      </c>
      <c r="J5" s="160" t="s">
        <v>224</v>
      </c>
      <c r="K5" s="160" t="s">
        <v>434</v>
      </c>
    </row>
    <row r="6" spans="2:13" ht="33" customHeight="1">
      <c r="B6" s="161" t="str">
        <f>+C6&amp;D6</f>
        <v>Daño PropioBajoriesgo1</v>
      </c>
      <c r="C6" s="161" t="s">
        <v>371</v>
      </c>
      <c r="D6" s="161" t="s">
        <v>4</v>
      </c>
      <c r="E6" s="162" t="s">
        <v>435</v>
      </c>
      <c r="H6" s="163" t="str">
        <f t="shared" ref="H6:H8" si="0">+I6&amp;J6</f>
        <v>Responsabilidad Civil frente a tercerosBAJORIESGO</v>
      </c>
      <c r="I6" s="163" t="s">
        <v>286</v>
      </c>
      <c r="J6" s="164" t="s">
        <v>217</v>
      </c>
      <c r="K6" s="165" t="s">
        <v>436</v>
      </c>
    </row>
    <row r="7" spans="2:13" ht="45">
      <c r="B7" s="161" t="str">
        <f t="shared" ref="B7:B13" si="1">+C7&amp;D7</f>
        <v>Daño PropioBajoriesgo2</v>
      </c>
      <c r="C7" s="161" t="s">
        <v>371</v>
      </c>
      <c r="D7" s="161" t="s">
        <v>8</v>
      </c>
      <c r="E7" s="162" t="s">
        <v>437</v>
      </c>
      <c r="H7" s="163" t="str">
        <f t="shared" si="0"/>
        <v>Responsabilidad Civil frente a tercerosMEDIANORIESGO</v>
      </c>
      <c r="I7" s="163" t="s">
        <v>286</v>
      </c>
      <c r="J7" s="164" t="s">
        <v>127</v>
      </c>
      <c r="K7" s="165" t="s">
        <v>438</v>
      </c>
      <c r="M7" s="163" t="s">
        <v>439</v>
      </c>
    </row>
    <row r="8" spans="2:13" ht="45">
      <c r="B8" s="161" t="str">
        <f t="shared" si="1"/>
        <v>Daño PropioAltoriesgo1</v>
      </c>
      <c r="C8" s="161" t="s">
        <v>371</v>
      </c>
      <c r="D8" s="161" t="s">
        <v>19</v>
      </c>
      <c r="E8" s="162" t="s">
        <v>440</v>
      </c>
      <c r="H8" s="163" t="str">
        <f t="shared" si="0"/>
        <v>Responsabilidad Civil frente a tercerosALTORIESGO</v>
      </c>
      <c r="I8" s="163" t="s">
        <v>286</v>
      </c>
      <c r="J8" s="164" t="s">
        <v>128</v>
      </c>
      <c r="K8" s="165" t="s">
        <v>438</v>
      </c>
    </row>
    <row r="9" spans="2:13" ht="45">
      <c r="B9" s="161" t="str">
        <f t="shared" si="1"/>
        <v>Daño PropioAltoriesgo2</v>
      </c>
      <c r="C9" s="161" t="s">
        <v>371</v>
      </c>
      <c r="D9" s="161" t="s">
        <v>24</v>
      </c>
      <c r="E9" s="162" t="s">
        <v>441</v>
      </c>
      <c r="H9" s="163" t="str">
        <f>+I9&amp;J9</f>
        <v>Daño PropioBAJORIESGO</v>
      </c>
      <c r="I9" s="163" t="s">
        <v>371</v>
      </c>
      <c r="J9" s="164" t="s">
        <v>217</v>
      </c>
      <c r="K9" s="165" t="s">
        <v>436</v>
      </c>
    </row>
    <row r="10" spans="2:13" ht="33.75">
      <c r="B10" s="39" t="str">
        <f t="shared" si="1"/>
        <v>Robo ParcialBajoriesgo1</v>
      </c>
      <c r="C10" s="166" t="s">
        <v>373</v>
      </c>
      <c r="D10" s="167" t="s">
        <v>4</v>
      </c>
      <c r="E10" s="168" t="s">
        <v>442</v>
      </c>
      <c r="H10" s="163" t="str">
        <f t="shared" ref="H10:H17" si="2">+I10&amp;J10</f>
        <v>Daño PropioMEDIANORIESGO</v>
      </c>
      <c r="I10" s="163" t="s">
        <v>371</v>
      </c>
      <c r="J10" s="164" t="s">
        <v>127</v>
      </c>
      <c r="K10" s="165" t="s">
        <v>438</v>
      </c>
    </row>
    <row r="11" spans="2:13" ht="33.75">
      <c r="B11" s="39" t="str">
        <f t="shared" si="1"/>
        <v>Robo ParcialBajoriesgo2</v>
      </c>
      <c r="C11" s="166" t="s">
        <v>373</v>
      </c>
      <c r="D11" s="167" t="s">
        <v>8</v>
      </c>
      <c r="E11" s="168" t="s">
        <v>442</v>
      </c>
      <c r="H11" s="163" t="str">
        <f t="shared" si="2"/>
        <v>Daño PropioALTORIESGO</v>
      </c>
      <c r="I11" s="163" t="s">
        <v>371</v>
      </c>
      <c r="J11" s="164" t="s">
        <v>128</v>
      </c>
      <c r="K11" s="165" t="s">
        <v>438</v>
      </c>
    </row>
    <row r="12" spans="2:13">
      <c r="B12" s="39" t="str">
        <f t="shared" si="1"/>
        <v>Robo ParcialAltoriesgo1</v>
      </c>
      <c r="C12" s="166" t="s">
        <v>373</v>
      </c>
      <c r="D12" s="167" t="s">
        <v>19</v>
      </c>
      <c r="E12" s="168" t="s">
        <v>443</v>
      </c>
      <c r="H12" s="287" t="str">
        <f t="shared" si="2"/>
        <v>Robo TotalBAJORIESGO</v>
      </c>
      <c r="I12" s="287" t="s">
        <v>374</v>
      </c>
      <c r="J12" s="288" t="s">
        <v>217</v>
      </c>
      <c r="K12" s="288" t="s">
        <v>375</v>
      </c>
    </row>
    <row r="13" spans="2:13" ht="22.5">
      <c r="B13" s="39" t="str">
        <f t="shared" si="1"/>
        <v>Robo ParcialAltoriesgo2</v>
      </c>
      <c r="C13" s="166" t="s">
        <v>373</v>
      </c>
      <c r="D13" s="167" t="s">
        <v>24</v>
      </c>
      <c r="E13" s="168" t="s">
        <v>442</v>
      </c>
      <c r="H13" s="287" t="str">
        <f t="shared" si="2"/>
        <v>Robo TotalMEDIANORIESGO</v>
      </c>
      <c r="I13" s="287" t="s">
        <v>374</v>
      </c>
      <c r="J13" s="288" t="s">
        <v>127</v>
      </c>
      <c r="K13" s="289" t="s">
        <v>444</v>
      </c>
    </row>
    <row r="14" spans="2:13" ht="20.100000000000001" customHeight="1">
      <c r="H14" s="287" t="str">
        <f t="shared" si="2"/>
        <v>Robo TotalALTORIESGO</v>
      </c>
      <c r="I14" s="287" t="s">
        <v>374</v>
      </c>
      <c r="J14" s="288" t="s">
        <v>128</v>
      </c>
      <c r="K14" s="289" t="s">
        <v>444</v>
      </c>
    </row>
    <row r="15" spans="2:13" ht="20.100000000000001" customHeight="1">
      <c r="H15" s="163" t="str">
        <f t="shared" si="2"/>
        <v>Deducible para menor de 25 añosBAJORIESGO</v>
      </c>
      <c r="I15" s="163" t="s">
        <v>439</v>
      </c>
      <c r="J15" s="164" t="s">
        <v>217</v>
      </c>
      <c r="K15" s="164" t="s">
        <v>445</v>
      </c>
    </row>
    <row r="16" spans="2:13" ht="20.100000000000001" customHeight="1">
      <c r="B16" s="2"/>
      <c r="C16" s="2"/>
      <c r="D16" s="2"/>
      <c r="E16" s="181"/>
      <c r="H16" s="163" t="str">
        <f t="shared" si="2"/>
        <v>Deducible para menor de 25 añosMEDIANORIESGO</v>
      </c>
      <c r="I16" s="163" t="s">
        <v>439</v>
      </c>
      <c r="J16" s="164" t="s">
        <v>127</v>
      </c>
      <c r="K16" s="164" t="s">
        <v>446</v>
      </c>
    </row>
    <row r="17" spans="2:15" ht="20.100000000000001" customHeight="1">
      <c r="B17" s="2"/>
      <c r="C17" s="158"/>
      <c r="D17" s="303" t="s">
        <v>454</v>
      </c>
      <c r="E17" s="303"/>
      <c r="H17" s="163" t="str">
        <f t="shared" si="2"/>
        <v>Deducible para menor de 25 añosALTORIESGO</v>
      </c>
      <c r="I17" s="163" t="s">
        <v>439</v>
      </c>
      <c r="J17" s="164" t="s">
        <v>128</v>
      </c>
      <c r="K17" s="164" t="s">
        <v>446</v>
      </c>
    </row>
    <row r="18" spans="2:15" ht="52.5" customHeight="1">
      <c r="B18" s="169" t="str">
        <f>+C18&amp;D18</f>
        <v>Daño PropioBR</v>
      </c>
      <c r="C18" s="170" t="s">
        <v>371</v>
      </c>
      <c r="D18" s="169" t="s">
        <v>706</v>
      </c>
      <c r="E18" s="171" t="s">
        <v>447</v>
      </c>
    </row>
    <row r="19" spans="2:15" ht="58.5" customHeight="1">
      <c r="B19" s="169" t="str">
        <f t="shared" ref="B19:B20" si="3">+C19&amp;D19</f>
        <v>Daño PropioMR</v>
      </c>
      <c r="C19" s="170" t="s">
        <v>371</v>
      </c>
      <c r="D19" s="169" t="s">
        <v>707</v>
      </c>
      <c r="E19" s="171" t="s">
        <v>447</v>
      </c>
      <c r="H19" s="39" t="s">
        <v>182</v>
      </c>
      <c r="I19" s="158"/>
      <c r="J19" s="303"/>
      <c r="K19" s="303"/>
    </row>
    <row r="20" spans="2:15" ht="60" customHeight="1">
      <c r="B20" s="169" t="str">
        <f t="shared" si="3"/>
        <v>Daño PropioAR</v>
      </c>
      <c r="C20" s="170" t="s">
        <v>371</v>
      </c>
      <c r="D20" s="169" t="s">
        <v>708</v>
      </c>
      <c r="E20" s="171" t="s">
        <v>441</v>
      </c>
      <c r="H20" s="39" t="str">
        <f>+I20&amp;J20</f>
        <v>Daño PropioBajo Riesgo1</v>
      </c>
      <c r="I20" s="172" t="s">
        <v>371</v>
      </c>
      <c r="J20" s="173" t="s">
        <v>448</v>
      </c>
      <c r="K20" s="174" t="s">
        <v>453</v>
      </c>
    </row>
    <row r="21" spans="2:15" ht="60" customHeight="1">
      <c r="B21" s="169"/>
      <c r="C21" s="170"/>
      <c r="D21" s="169"/>
      <c r="E21" s="171"/>
      <c r="H21" s="39" t="str">
        <f t="shared" ref="H21:H28" si="4">+I21&amp;J21</f>
        <v>Daño PropioBajo Riesgo2</v>
      </c>
      <c r="I21" s="172" t="s">
        <v>371</v>
      </c>
      <c r="J21" s="173" t="s">
        <v>449</v>
      </c>
      <c r="K21" s="174" t="s">
        <v>453</v>
      </c>
    </row>
    <row r="22" spans="2:15" ht="60" customHeight="1">
      <c r="B22" s="39"/>
      <c r="C22" s="175"/>
      <c r="D22" s="167"/>
      <c r="E22" s="168"/>
      <c r="H22" s="39" t="str">
        <f t="shared" si="4"/>
        <v>Daño PropioAlto Riesgo1</v>
      </c>
      <c r="I22" s="172" t="s">
        <v>371</v>
      </c>
      <c r="J22" s="173" t="s">
        <v>450</v>
      </c>
      <c r="K22" s="174" t="s">
        <v>453</v>
      </c>
    </row>
    <row r="23" spans="2:15" ht="60" customHeight="1">
      <c r="B23" s="39"/>
      <c r="C23" s="175"/>
      <c r="D23" s="167"/>
      <c r="E23" s="168"/>
      <c r="H23" s="39" t="str">
        <f t="shared" si="4"/>
        <v>Daño PropioAlto Riesgo2</v>
      </c>
      <c r="I23" s="172" t="s">
        <v>371</v>
      </c>
      <c r="J23" s="173" t="s">
        <v>451</v>
      </c>
      <c r="K23" s="174" t="s">
        <v>441</v>
      </c>
    </row>
    <row r="24" spans="2:15" ht="60" customHeight="1">
      <c r="B24" s="39"/>
      <c r="C24" s="175"/>
      <c r="D24" s="167"/>
      <c r="E24" s="168"/>
      <c r="H24" s="39" t="str">
        <f t="shared" si="4"/>
        <v>Robo ParcialBajo Riesgo1</v>
      </c>
      <c r="I24" s="176" t="s">
        <v>373</v>
      </c>
      <c r="J24" s="173" t="s">
        <v>448</v>
      </c>
      <c r="K24" s="174" t="s">
        <v>441</v>
      </c>
    </row>
    <row r="25" spans="2:15" ht="60" customHeight="1">
      <c r="H25" s="39" t="str">
        <f t="shared" si="4"/>
        <v>Robo ParcialBajo Riesgo2</v>
      </c>
      <c r="I25" s="176" t="s">
        <v>373</v>
      </c>
      <c r="J25" s="173" t="s">
        <v>449</v>
      </c>
      <c r="K25" s="174" t="s">
        <v>441</v>
      </c>
    </row>
    <row r="26" spans="2:15" ht="60" customHeight="1">
      <c r="H26" s="39" t="str">
        <f t="shared" si="4"/>
        <v>Robo ParcialAlto Riesgo1</v>
      </c>
      <c r="I26" s="176" t="s">
        <v>373</v>
      </c>
      <c r="J26" s="173" t="s">
        <v>450</v>
      </c>
      <c r="K26" s="174" t="s">
        <v>441</v>
      </c>
    </row>
    <row r="27" spans="2:15" ht="60" customHeight="1">
      <c r="H27" s="39" t="str">
        <f t="shared" si="4"/>
        <v>Robo ParcialAlto Riesgo2</v>
      </c>
      <c r="I27" s="176" t="s">
        <v>373</v>
      </c>
      <c r="J27" s="173" t="s">
        <v>451</v>
      </c>
      <c r="K27" s="174" t="s">
        <v>441</v>
      </c>
    </row>
    <row r="28" spans="2:15" ht="95.25" customHeight="1">
      <c r="H28" s="180" t="str">
        <f t="shared" si="4"/>
        <v>Daño PropioMedianoRiesgo</v>
      </c>
      <c r="I28" s="179" t="s">
        <v>371</v>
      </c>
      <c r="J28" s="178" t="s">
        <v>452</v>
      </c>
      <c r="K28" s="174" t="s">
        <v>453</v>
      </c>
    </row>
    <row r="31" spans="2:15">
      <c r="H31" s="302"/>
      <c r="I31" s="302"/>
      <c r="J31" s="302"/>
      <c r="K31" s="302"/>
      <c r="L31" s="177"/>
      <c r="M31" s="177"/>
      <c r="N31" s="177"/>
      <c r="O31" s="177"/>
    </row>
    <row r="32" spans="2:15">
      <c r="H32" s="302"/>
      <c r="I32" s="302"/>
      <c r="J32" s="302"/>
      <c r="K32" s="302"/>
      <c r="L32" s="302"/>
      <c r="M32" s="302"/>
      <c r="N32" s="302"/>
      <c r="O32" s="302"/>
    </row>
    <row r="33" spans="8:15">
      <c r="H33" s="302"/>
      <c r="I33" s="302"/>
      <c r="J33" s="302"/>
      <c r="K33" s="302"/>
      <c r="L33" s="302"/>
      <c r="M33" s="177"/>
      <c r="N33" s="177"/>
      <c r="O33" s="177"/>
    </row>
    <row r="34" spans="8:15">
      <c r="H34" s="302"/>
      <c r="I34" s="302"/>
      <c r="J34" s="302"/>
      <c r="K34" s="302"/>
      <c r="L34" s="302"/>
      <c r="M34" s="302"/>
      <c r="N34" s="302"/>
      <c r="O34" s="302"/>
    </row>
    <row r="35" spans="8:15">
      <c r="H35" s="302"/>
      <c r="I35" s="302"/>
      <c r="J35" s="302"/>
      <c r="K35" s="302"/>
      <c r="L35" s="302"/>
      <c r="M35" s="177"/>
      <c r="N35" s="177"/>
      <c r="O35" s="177"/>
    </row>
    <row r="36" spans="8:15">
      <c r="H36" s="302"/>
      <c r="I36" s="302"/>
      <c r="J36" s="302"/>
      <c r="K36" s="302"/>
      <c r="L36" s="302"/>
      <c r="M36" s="302"/>
      <c r="N36" s="302"/>
      <c r="O36" s="302"/>
    </row>
    <row r="37" spans="8:15">
      <c r="H37" s="302"/>
      <c r="I37" s="302"/>
      <c r="J37" s="302"/>
      <c r="K37" s="302"/>
      <c r="L37" s="177"/>
      <c r="M37" s="177"/>
      <c r="N37" s="177"/>
      <c r="O37" s="177"/>
    </row>
    <row r="38" spans="8:15">
      <c r="H38" s="302"/>
      <c r="I38" s="302"/>
      <c r="J38" s="302"/>
      <c r="K38" s="302"/>
      <c r="L38" s="302"/>
      <c r="M38" s="302"/>
      <c r="N38" s="302"/>
      <c r="O38" s="302"/>
    </row>
  </sheetData>
  <mergeCells count="11">
    <mergeCell ref="H33:L33"/>
    <mergeCell ref="D17:E17"/>
    <mergeCell ref="D5:E5"/>
    <mergeCell ref="J19:K19"/>
    <mergeCell ref="H31:K31"/>
    <mergeCell ref="H32:O32"/>
    <mergeCell ref="H34:O34"/>
    <mergeCell ref="H35:L35"/>
    <mergeCell ref="H36:O36"/>
    <mergeCell ref="H37:K37"/>
    <mergeCell ref="H38:O38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39</vt:i4>
      </vt:variant>
    </vt:vector>
  </HeadingPairs>
  <TitlesOfParts>
    <vt:vector size="51" baseType="lpstr">
      <vt:lpstr>V1 -CLA</vt:lpstr>
      <vt:lpstr>V1 GPS</vt:lpstr>
      <vt:lpstr>V1 TASAS BACKUP</vt:lpstr>
      <vt:lpstr>V1 DESC</vt:lpstr>
      <vt:lpstr>Hoja1</vt:lpstr>
      <vt:lpstr>V1 TASAS</vt:lpstr>
      <vt:lpstr>V1 Desccuentos Contra Comsiones</vt:lpstr>
      <vt:lpstr>V1 MARCAS - MODELOS</vt:lpstr>
      <vt:lpstr>DEDUCIBLES</vt:lpstr>
      <vt:lpstr>V1 FINANCIAMIENTOS</vt:lpstr>
      <vt:lpstr>INGRESO DE INFORMACION</vt:lpstr>
      <vt:lpstr>V1 COTIZACION</vt:lpstr>
      <vt:lpstr>Altoriesgo</vt:lpstr>
      <vt:lpstr>Altoriesgo1</vt:lpstr>
      <vt:lpstr>Altoriesgo2</vt:lpstr>
      <vt:lpstr>AR</vt:lpstr>
      <vt:lpstr>'V1 COTIZACION'!Área_de_impresión</vt:lpstr>
      <vt:lpstr>AUDI</vt:lpstr>
      <vt:lpstr>Bajoriesgo</vt:lpstr>
      <vt:lpstr>Bajoriesgo1</vt:lpstr>
      <vt:lpstr>Bajoriesgo2</vt:lpstr>
      <vt:lpstr>BMW</vt:lpstr>
      <vt:lpstr>BR</vt:lpstr>
      <vt:lpstr>CHEVROLET</vt:lpstr>
      <vt:lpstr>CITROEN</vt:lpstr>
      <vt:lpstr>DAIHATSU</vt:lpstr>
      <vt:lpstr>DODGE</vt:lpstr>
      <vt:lpstr>FIAT</vt:lpstr>
      <vt:lpstr>FORD</vt:lpstr>
      <vt:lpstr>HONDA</vt:lpstr>
      <vt:lpstr>HYUNDAI</vt:lpstr>
      <vt:lpstr>JEEP</vt:lpstr>
      <vt:lpstr>KIA</vt:lpstr>
      <vt:lpstr>LANDROVER</vt:lpstr>
      <vt:lpstr>MAZDA</vt:lpstr>
      <vt:lpstr>Medianoriesgo</vt:lpstr>
      <vt:lpstr>MERCEDESBENZ</vt:lpstr>
      <vt:lpstr>MITSUBISHI</vt:lpstr>
      <vt:lpstr>MR</vt:lpstr>
      <vt:lpstr>NISSAN</vt:lpstr>
      <vt:lpstr>PEUGEOT</vt:lpstr>
      <vt:lpstr>PORSCHE</vt:lpstr>
      <vt:lpstr>RENAULT</vt:lpstr>
      <vt:lpstr>SEAT</vt:lpstr>
      <vt:lpstr>SKODA</vt:lpstr>
      <vt:lpstr>SSANGYONG</vt:lpstr>
      <vt:lpstr>SUBARU</vt:lpstr>
      <vt:lpstr>SUZUKI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CIRRUS_SV01</cp:lastModifiedBy>
  <cp:lastPrinted>2018-12-28T20:39:49Z</cp:lastPrinted>
  <dcterms:created xsi:type="dcterms:W3CDTF">2018-10-15T02:01:39Z</dcterms:created>
  <dcterms:modified xsi:type="dcterms:W3CDTF">2019-01-18T22:24:02Z</dcterms:modified>
</cp:coreProperties>
</file>