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omcastcorp-my.sharepoint.com/personal/cbatti545_cable_comcast_com/Documents/Documents_old/"/>
    </mc:Choice>
  </mc:AlternateContent>
  <xr:revisionPtr revIDLastSave="3" documentId="13_ncr:1_{81238DBB-EAD0-4DC9-A324-BEA99DAA72A6}" xr6:coauthVersionLast="47" xr6:coauthVersionMax="47" xr10:uidLastSave="{7D696F4E-E9A7-47F2-9D0C-0CDBBD1382B7}"/>
  <bookViews>
    <workbookView xWindow="28680" yWindow="-120" windowWidth="29040" windowHeight="15720" xr2:uid="{2671095E-21CC-416B-8A78-E283F284257B}"/>
  </bookViews>
  <sheets>
    <sheet name="Basics" sheetId="1" r:id="rId1"/>
    <sheet name="Builder" sheetId="2" r:id="rId2"/>
    <sheet name="Restructure Calculator" sheetId="4" r:id="rId3"/>
    <sheet name="Cut Calculator" sheetId="3" r:id="rId4"/>
    <sheet name="Placeholder"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3" l="1"/>
  <c r="I20" i="2"/>
  <c r="I21" i="2"/>
  <c r="I22" i="2"/>
  <c r="I23" i="2"/>
  <c r="I24" i="2"/>
  <c r="I25" i="2"/>
  <c r="I26" i="2"/>
  <c r="O19" i="4"/>
  <c r="O20" i="4"/>
  <c r="O21" i="4"/>
  <c r="O22" i="4"/>
  <c r="O23" i="4"/>
  <c r="O24" i="4"/>
  <c r="O18" i="4"/>
  <c r="D18" i="3"/>
  <c r="D33" i="4"/>
  <c r="D32" i="4"/>
  <c r="D31" i="4"/>
  <c r="D30" i="4"/>
  <c r="G29" i="4"/>
  <c r="D29" i="4"/>
  <c r="G28" i="4"/>
  <c r="D28" i="4"/>
  <c r="H27" i="4"/>
  <c r="G27" i="4"/>
  <c r="D27" i="4"/>
  <c r="I26" i="4"/>
  <c r="H26" i="4"/>
  <c r="G26" i="4"/>
  <c r="D26" i="4"/>
  <c r="I25" i="4"/>
  <c r="H25" i="4"/>
  <c r="G25" i="4"/>
  <c r="D25" i="4"/>
  <c r="I24" i="4"/>
  <c r="H24" i="4"/>
  <c r="G24" i="4"/>
  <c r="E24" i="4"/>
  <c r="D24" i="4"/>
  <c r="I23" i="4"/>
  <c r="H23" i="4"/>
  <c r="G23" i="4"/>
  <c r="E23" i="4"/>
  <c r="D23" i="4"/>
  <c r="I22" i="4"/>
  <c r="H22" i="4"/>
  <c r="G22" i="4"/>
  <c r="E22" i="4"/>
  <c r="D22" i="4"/>
  <c r="I21" i="4"/>
  <c r="H21" i="4"/>
  <c r="G21" i="4"/>
  <c r="E21" i="4"/>
  <c r="D21" i="4"/>
  <c r="N21" i="4" s="1"/>
  <c r="I20" i="4"/>
  <c r="H20" i="4"/>
  <c r="G20" i="4"/>
  <c r="E20" i="4"/>
  <c r="D20" i="4"/>
  <c r="N20" i="4" s="1"/>
  <c r="C18" i="4" a="1"/>
  <c r="N16" i="4"/>
  <c r="N15" i="4"/>
  <c r="I15" i="4"/>
  <c r="G15" i="4"/>
  <c r="N14" i="4"/>
  <c r="G14" i="4"/>
  <c r="N13" i="4"/>
  <c r="I13" i="4"/>
  <c r="G13" i="4"/>
  <c r="N12" i="4"/>
  <c r="I12" i="4"/>
  <c r="G12" i="4"/>
  <c r="N11" i="4"/>
  <c r="I11" i="4"/>
  <c r="G11" i="4"/>
  <c r="N10" i="4"/>
  <c r="I10" i="4"/>
  <c r="G10" i="4"/>
  <c r="N9" i="4"/>
  <c r="I9" i="4"/>
  <c r="G9" i="4"/>
  <c r="F9" i="4"/>
  <c r="G8" i="4"/>
  <c r="F8" i="4"/>
  <c r="F7" i="4"/>
  <c r="F2" i="4" s="1"/>
  <c r="F6" i="4"/>
  <c r="F5" i="4"/>
  <c r="D5" i="4" a="1"/>
  <c r="I7" i="4" s="1"/>
  <c r="I3" i="4"/>
  <c r="E2" i="4"/>
  <c r="D33" i="3"/>
  <c r="D32" i="3"/>
  <c r="D31" i="3"/>
  <c r="D30" i="3"/>
  <c r="G29" i="3"/>
  <c r="D29" i="3"/>
  <c r="G28" i="3"/>
  <c r="D28" i="3"/>
  <c r="G27" i="3"/>
  <c r="D27" i="3"/>
  <c r="H26" i="3"/>
  <c r="G26" i="3"/>
  <c r="D26" i="3"/>
  <c r="H25" i="3"/>
  <c r="G25" i="3"/>
  <c r="D25" i="3"/>
  <c r="H24" i="3"/>
  <c r="G24" i="3"/>
  <c r="E24" i="3"/>
  <c r="D24" i="3"/>
  <c r="H23" i="3"/>
  <c r="G23" i="3"/>
  <c r="E23" i="3"/>
  <c r="D23" i="3"/>
  <c r="H22" i="3"/>
  <c r="G22" i="3"/>
  <c r="E22" i="3"/>
  <c r="D22" i="3"/>
  <c r="H21" i="3"/>
  <c r="G21" i="3"/>
  <c r="E21" i="3"/>
  <c r="D21" i="3"/>
  <c r="E20" i="3"/>
  <c r="D20" i="3"/>
  <c r="G16" i="3"/>
  <c r="H15" i="3"/>
  <c r="G15" i="3"/>
  <c r="K14" i="3"/>
  <c r="G14" i="3"/>
  <c r="K13" i="3"/>
  <c r="H13" i="3"/>
  <c r="G13" i="3"/>
  <c r="K12" i="3"/>
  <c r="H12" i="3"/>
  <c r="G12" i="3"/>
  <c r="K11" i="3"/>
  <c r="H11" i="3"/>
  <c r="G11" i="3"/>
  <c r="K10" i="3"/>
  <c r="H10" i="3"/>
  <c r="G10" i="3"/>
  <c r="H9" i="3"/>
  <c r="G9" i="3"/>
  <c r="K9" i="3" s="1"/>
  <c r="F9" i="3"/>
  <c r="F8" i="3"/>
  <c r="F7" i="3"/>
  <c r="F6" i="3"/>
  <c r="F5" i="3"/>
  <c r="D5" i="3" a="1"/>
  <c r="H3" i="3"/>
  <c r="B4" i="3" s="1"/>
  <c r="E2" i="3"/>
  <c r="F9" i="2"/>
  <c r="H21" i="2"/>
  <c r="H22" i="2"/>
  <c r="H23" i="2"/>
  <c r="H24" i="2"/>
  <c r="H25" i="2"/>
  <c r="H26" i="2"/>
  <c r="H27" i="2"/>
  <c r="G21" i="2"/>
  <c r="G22" i="2"/>
  <c r="G23" i="2"/>
  <c r="G24" i="2"/>
  <c r="G25" i="2"/>
  <c r="G26" i="2"/>
  <c r="G27" i="2"/>
  <c r="G28" i="2"/>
  <c r="G29" i="2"/>
  <c r="E21" i="2"/>
  <c r="E22" i="2"/>
  <c r="E23" i="2"/>
  <c r="E24" i="2"/>
  <c r="L10" i="2"/>
  <c r="L11" i="2"/>
  <c r="L12" i="2"/>
  <c r="L13" i="2"/>
  <c r="L14" i="2"/>
  <c r="L15" i="2"/>
  <c r="L16" i="2"/>
  <c r="E2" i="2"/>
  <c r="D21" i="2"/>
  <c r="D22" i="2"/>
  <c r="D23" i="2"/>
  <c r="D24" i="2"/>
  <c r="D25" i="2"/>
  <c r="D26" i="2"/>
  <c r="D27" i="2"/>
  <c r="D28" i="2"/>
  <c r="D29" i="2"/>
  <c r="D30" i="2"/>
  <c r="L30" i="2" s="1"/>
  <c r="D31" i="2"/>
  <c r="L31" i="2" s="1"/>
  <c r="D32" i="2"/>
  <c r="D33" i="2"/>
  <c r="C18" i="2" a="1"/>
  <c r="D5" i="2" a="1"/>
  <c r="F6" i="2"/>
  <c r="F7" i="2"/>
  <c r="F8" i="2"/>
  <c r="F5" i="2"/>
  <c r="I3" i="2"/>
  <c r="B4" i="2" s="1"/>
  <c r="I12" i="2"/>
  <c r="I13" i="2"/>
  <c r="I15" i="2"/>
  <c r="G13" i="2"/>
  <c r="G14" i="2"/>
  <c r="G15" i="2"/>
  <c r="M25" i="2" l="1"/>
  <c r="M31" i="2"/>
  <c r="N23" i="4"/>
  <c r="N22" i="4"/>
  <c r="G6" i="4"/>
  <c r="N24" i="4"/>
  <c r="F2" i="3"/>
  <c r="B4" i="4"/>
  <c r="I6" i="4"/>
  <c r="N6" i="4" s="1"/>
  <c r="I8" i="4"/>
  <c r="N8" i="4" s="1"/>
  <c r="D5" i="4"/>
  <c r="G7" i="4"/>
  <c r="N7" i="4" s="1"/>
  <c r="C18" i="4"/>
  <c r="H7" i="3"/>
  <c r="G7" i="3"/>
  <c r="D19" i="3"/>
  <c r="G6" i="3"/>
  <c r="G8" i="3"/>
  <c r="H6" i="3"/>
  <c r="H8" i="3"/>
  <c r="D5" i="3"/>
  <c r="E18" i="3" s="1"/>
  <c r="F2" i="2"/>
  <c r="L29" i="2"/>
  <c r="L28" i="2"/>
  <c r="L27" i="2"/>
  <c r="L26" i="2"/>
  <c r="L25" i="2"/>
  <c r="D5" i="2"/>
  <c r="G5" i="2" s="1"/>
  <c r="G8" i="2"/>
  <c r="L21" i="2"/>
  <c r="L24" i="2"/>
  <c r="L23" i="2"/>
  <c r="M23" i="2" s="1"/>
  <c r="L22" i="2"/>
  <c r="D20" i="2"/>
  <c r="C18" i="2"/>
  <c r="I11" i="2"/>
  <c r="I7" i="2"/>
  <c r="I10" i="2"/>
  <c r="I9" i="2"/>
  <c r="I8" i="2"/>
  <c r="G9" i="2"/>
  <c r="I6" i="2"/>
  <c r="G12" i="2"/>
  <c r="G11" i="2"/>
  <c r="G10" i="2"/>
  <c r="G6" i="2"/>
  <c r="G7" i="2"/>
  <c r="M26" i="2" l="1"/>
  <c r="M27" i="2"/>
  <c r="M29" i="2"/>
  <c r="M28" i="2"/>
  <c r="M21" i="2"/>
  <c r="M22" i="2"/>
  <c r="M30" i="2"/>
  <c r="M24" i="2"/>
  <c r="F18" i="3"/>
  <c r="G18" i="3" s="1"/>
  <c r="K6" i="3"/>
  <c r="K8" i="3"/>
  <c r="K7" i="3"/>
  <c r="I5" i="4"/>
  <c r="I2" i="4" s="1"/>
  <c r="G5" i="4"/>
  <c r="N5" i="4" s="1"/>
  <c r="C4" i="4" s="1"/>
  <c r="D18" i="4"/>
  <c r="I18" i="4" s="1"/>
  <c r="D19" i="4"/>
  <c r="H5" i="3"/>
  <c r="H2" i="3" s="1"/>
  <c r="G5" i="3"/>
  <c r="B11" i="2"/>
  <c r="E20" i="2"/>
  <c r="L7" i="2"/>
  <c r="G20" i="2"/>
  <c r="H20" i="2" s="1"/>
  <c r="L9" i="2"/>
  <c r="D18" i="2"/>
  <c r="D19" i="2"/>
  <c r="L6" i="2"/>
  <c r="L8" i="2"/>
  <c r="I5" i="2"/>
  <c r="I2" i="2" s="1"/>
  <c r="I19" i="2" l="1"/>
  <c r="I18" i="2"/>
  <c r="K5" i="3"/>
  <c r="C4" i="3" s="1"/>
  <c r="G2" i="4"/>
  <c r="B11" i="4"/>
  <c r="B12" i="4" s="1"/>
  <c r="I19" i="4"/>
  <c r="E19" i="4"/>
  <c r="G19" i="4"/>
  <c r="H19" i="4" s="1"/>
  <c r="G18" i="4"/>
  <c r="H18" i="4" s="1"/>
  <c r="G2" i="3"/>
  <c r="B11" i="3"/>
  <c r="B12" i="3" s="1"/>
  <c r="G18" i="2"/>
  <c r="H18" i="2" s="1"/>
  <c r="L20" i="2"/>
  <c r="M20" i="2" s="1"/>
  <c r="G19" i="2"/>
  <c r="E19" i="2"/>
  <c r="B12" i="2"/>
  <c r="G2" i="2"/>
  <c r="L5" i="2"/>
  <c r="C4" i="2" s="1"/>
  <c r="N19" i="4" l="1"/>
  <c r="N18" i="4"/>
  <c r="L18" i="2"/>
  <c r="M18" i="2" s="1"/>
  <c r="L19" i="2"/>
  <c r="M19" i="2" s="1"/>
  <c r="H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<sst xmlns="http://schemas.openxmlformats.org/spreadsheetml/2006/main" count="101" uniqueCount="53">
  <si>
    <t>Term:</t>
  </si>
  <si>
    <t>Value:</t>
  </si>
  <si>
    <t>S-Bonus:</t>
  </si>
  <si>
    <t>Prorated thru length of contract with Jun 1 designation</t>
  </si>
  <si>
    <t>Restructure</t>
  </si>
  <si>
    <t>Cut before Jun1 reaminder of gauranteed counts this year</t>
  </si>
  <si>
    <t>Option Bonus:</t>
  </si>
  <si>
    <t>Roster Bonus:</t>
  </si>
  <si>
    <t>Workout Bonus:</t>
  </si>
  <si>
    <t>P5</t>
  </si>
  <si>
    <t>S-Bonus</t>
  </si>
  <si>
    <t>Incentive Bonus</t>
  </si>
  <si>
    <t>Reporting Bonus</t>
  </si>
  <si>
    <t>Prorated thru length of contract with Jun 1 designation if ully guaranteed, else fully counted in year paid</t>
  </si>
  <si>
    <t>proration in max 5 years</t>
  </si>
  <si>
    <t>Roster Bonus</t>
  </si>
  <si>
    <t>Option Bonus</t>
  </si>
  <si>
    <t>Proration Limit:</t>
  </si>
  <si>
    <t>Year</t>
  </si>
  <si>
    <t>Incentives are written into some contracts to pay a player for reaching certain performance criteria.  Incentives come in two varieties – Likely To Be Earned (LTBE) and Not Likely To Be Earned (NLTBE) – each of which has different Salary Cap implications.</t>
  </si>
  <si>
    <t>Likely To Be Earned Incentives (LTBE) are incentives based on performance levels that were reached in the prior season.  LTBEs count against the Salary Cap in the year they are scheduled.</t>
  </si>
  <si>
    <t>Workout Bonus</t>
  </si>
  <si>
    <t>P5 reduced to league min and diff is 'Restrcutured' to S-Bonus, to be paid immediately with same proration as s-bonus Prorated thru length of contract with Jun 1 designation</t>
  </si>
  <si>
    <t>Cap Hit</t>
  </si>
  <si>
    <t>Option Year:</t>
  </si>
  <si>
    <t>Restructure Year:</t>
  </si>
  <si>
    <t>Input</t>
  </si>
  <si>
    <t>https://nflpa.com/reports/public-salary-cap-report</t>
  </si>
  <si>
    <t>Guaranteed</t>
  </si>
  <si>
    <t>Gauranteed Money:</t>
  </si>
  <si>
    <t>Fully Guaranteed:</t>
  </si>
  <si>
    <t>https://sumersports.com/the-zone/void-years-explained/</t>
  </si>
  <si>
    <t>Voids are added during restructure to help prorate s-bonus</t>
  </si>
  <si>
    <t>Veteran: 4 CS (6 or games more on team)</t>
  </si>
  <si>
    <t>https://sumersports.com/the-zone/contract-restructures-explained/</t>
  </si>
  <si>
    <t>https://russellstreetreport.com/salarycap/nfl-salary-cap-faqs/</t>
  </si>
  <si>
    <t>Contract Year</t>
  </si>
  <si>
    <t>Restructure Year</t>
  </si>
  <si>
    <t>P5 (New)</t>
  </si>
  <si>
    <t>Savings</t>
  </si>
  <si>
    <t>Restructure Portion</t>
  </si>
  <si>
    <t>Backloaded base salary ideal for restrucutre</t>
  </si>
  <si>
    <t>Cut Year:</t>
  </si>
  <si>
    <t>Salary Owed</t>
  </si>
  <si>
    <t>S-Bonus Owed</t>
  </si>
  <si>
    <t>Dead Money</t>
  </si>
  <si>
    <t>Pre 6/1</t>
  </si>
  <si>
    <t>Post 6/1</t>
  </si>
  <si>
    <t>Timing</t>
  </si>
  <si>
    <t>Cut post Jun1 CY $ counts CY and remainder counts CY+1 but no CY P5</t>
  </si>
  <si>
    <t>Other Bonus</t>
  </si>
  <si>
    <t>ACCRUED SZN DIFFERS FROM CREDITED SZN</t>
  </si>
  <si>
    <t>https://overthecap.com/examining-the-pros-and-cons-of-void-years-for-salary-cap-relief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</si>
</sst>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9" x14ac:knownFonts="1">
    <font>
      <sz val="11"/>
      <color theme="1"/>
      <name val="Aptos Narrow"/>
      <family val="2"/>
      <scheme val="minor"/>
    </font>
    <font>
      <sz val="11"/>
      <color theme="1"/>
      <name val="Aptos Narrow"/>
      <family val="2"/>
      <scheme val="minor"/>
    </font>
    <font>
      <b/>
      <u/>
      <sz val="11"/>
      <color theme="1"/>
      <name val="Aptos Narrow"/>
      <family val="2"/>
      <scheme val="minor"/>
    </font>
    <font>
      <i/>
      <u/>
      <sz val="11"/>
      <color theme="1"/>
      <name val="Aptos Narrow"/>
      <family val="2"/>
      <scheme val="minor"/>
    </font>
    <font>
      <i/>
      <sz val="11"/>
      <color theme="1"/>
      <name val="Aptos Narrow"/>
      <family val="2"/>
      <scheme val="minor"/>
    </font>
    <font>
      <b/>
      <sz val="11"/>
      <color theme="1"/>
      <name val="Aptos Narrow"/>
      <family val="2"/>
      <scheme val="minor"/>
    </font>
    <font>
      <b/>
      <sz val="11"/>
      <name val="Aptos Narrow"/>
      <family val="2"/>
      <scheme val="minor"/>
    </font>
    <font>
      <b/>
      <u/>
      <sz val="11"/>
      <name val="Aptos Narrow"/>
      <family val="2"/>
      <scheme val="minor"/>
    </font>
    <font>
      <u/>
      <sz val="11"/>
      <color theme="1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00B050"/>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0" fontId="8" fillId="0" borderId="0" applyNumberFormat="0" applyFill="0" applyBorder="0" applyAlignment="0" applyProtection="0"/>
  </cellStyleXfs>
  <cellXfs count="24">
    <xf numFmtId="0" fontId="0" fillId="0" borderId="0" xfId="0"/>
    <xf numFmtId="0" fontId="0" fillId="2" borderId="0" xfId="0" applyFill="1"/>
    <xf numFmtId="44" fontId="0" fillId="0" borderId="0" xfId="1" applyFont="1"/>
    <xf numFmtId="0" fontId="0" fillId="0" borderId="0" xfId="0" applyAlignment="1">
      <alignment horizontal="center"/>
    </xf>
    <xf numFmtId="0" fontId="0" fillId="2" borderId="0" xfId="0" applyFill="1" applyAlignment="1">
      <alignment horizontal="center"/>
    </xf>
    <xf numFmtId="0" fontId="2" fillId="0" borderId="0" xfId="0" applyFont="1"/>
    <xf numFmtId="1" fontId="2" fillId="0" borderId="0" xfId="0" applyNumberFormat="1" applyFont="1" applyAlignment="1">
      <alignment horizontal="center"/>
    </xf>
    <xf numFmtId="1" fontId="0" fillId="0" borderId="0" xfId="0" applyNumberFormat="1" applyAlignment="1">
      <alignment horizontal="center"/>
    </xf>
    <xf numFmtId="44" fontId="0" fillId="0" borderId="0" xfId="1" applyFont="1" applyAlignment="1">
      <alignment horizontal="center"/>
    </xf>
    <xf numFmtId="44" fontId="0" fillId="0" borderId="0" xfId="0" applyNumberFormat="1"/>
    <xf numFmtId="0" fontId="2" fillId="3" borderId="0" xfId="0" applyFont="1" applyFill="1" applyAlignment="1">
      <alignment horizontal="center"/>
    </xf>
    <xf numFmtId="44" fontId="0" fillId="2" borderId="1" xfId="1" applyFont="1" applyFill="1" applyBorder="1" applyAlignment="1">
      <alignment horizontal="center"/>
    </xf>
    <xf numFmtId="44" fontId="0" fillId="2" borderId="1" xfId="1" applyFont="1" applyFill="1" applyBorder="1"/>
    <xf numFmtId="44" fontId="0" fillId="0" borderId="0" xfId="1" applyFont="1" applyFill="1"/>
    <xf numFmtId="0" fontId="3" fillId="3" borderId="0" xfId="0" applyFont="1" applyFill="1" applyAlignment="1">
      <alignment horizontal="center"/>
    </xf>
    <xf numFmtId="44" fontId="4" fillId="0" borderId="0" xfId="1" applyFont="1" applyFill="1"/>
    <xf numFmtId="44" fontId="0" fillId="2" borderId="0" xfId="1" applyFont="1" applyFill="1"/>
    <xf numFmtId="0" fontId="0" fillId="4" borderId="0" xfId="0" applyFill="1" applyAlignment="1">
      <alignment horizontal="center"/>
    </xf>
    <xf numFmtId="0" fontId="6" fillId="5" borderId="0" xfId="0" applyFont="1" applyFill="1" applyAlignment="1">
      <alignment horizontal="center"/>
    </xf>
    <xf numFmtId="0" fontId="5" fillId="6" borderId="0" xfId="0" applyFont="1" applyFill="1" applyAlignment="1">
      <alignment horizontal="center"/>
    </xf>
    <xf numFmtId="0" fontId="7" fillId="7" borderId="0" xfId="0" applyFont="1" applyFill="1" applyAlignment="1">
      <alignment horizontal="center"/>
    </xf>
    <xf numFmtId="0" fontId="2" fillId="7" borderId="0" xfId="0" applyFont="1" applyFill="1" applyAlignment="1">
      <alignment horizontal="center"/>
    </xf>
    <xf numFmtId="1" fontId="0" fillId="2" borderId="0" xfId="0" applyNumberFormat="1" applyFill="1" applyAlignment="1">
      <alignment horizontal="center"/>
    </xf>
    <xf numFmtId="0" fontId="8" fillId="0" borderId="0" xfId="2"/>
  </cellXfs>
  <cellStyles count="3">
    <cellStyle name="Currency" xfId="1" builtinId="4"/>
    <cellStyle name="Hyperlink" xfId="2" builtinId="8"/>
    <cellStyle name="Normal" xfId="0" builtinId="0"/>
  </cellStyles>
  <dxfs count="23">
    <dxf>
      <fill>
        <patternFill>
          <bgColor theme="9" tint="0.59996337778862885"/>
        </patternFill>
      </fill>
    </dxf>
    <dxf>
      <fill>
        <patternFill>
          <bgColor rgb="FFFF7C80"/>
        </patternFill>
      </fill>
    </dxf>
    <dxf>
      <fill>
        <patternFill>
          <bgColor theme="9" tint="0.59996337778862885"/>
        </patternFill>
      </fill>
    </dxf>
    <dxf>
      <fill>
        <patternFill>
          <bgColor rgb="FFF49E9A"/>
        </patternFill>
      </fill>
    </dxf>
    <dxf>
      <fill>
        <patternFill>
          <bgColor rgb="FFFFFF00"/>
        </patternFill>
      </fill>
    </dxf>
    <dxf>
      <fill>
        <patternFill>
          <bgColor theme="9" tint="0.59996337778862885"/>
        </patternFill>
      </fill>
    </dxf>
    <dxf>
      <fill>
        <patternFill>
          <bgColor rgb="FFF49E9A"/>
        </patternFill>
      </fill>
    </dxf>
    <dxf>
      <fill>
        <patternFill>
          <bgColor theme="9" tint="0.59996337778862885"/>
        </patternFill>
      </fill>
    </dxf>
    <dxf>
      <fill>
        <patternFill>
          <bgColor rgb="FFFF7C80"/>
        </patternFill>
      </fill>
    </dxf>
    <dxf>
      <fill>
        <patternFill>
          <bgColor theme="9" tint="0.59996337778862885"/>
        </patternFill>
      </fill>
    </dxf>
    <dxf>
      <fill>
        <patternFill>
          <bgColor rgb="FFF49E9A"/>
        </patternFill>
      </fill>
    </dxf>
    <dxf>
      <fill>
        <patternFill>
          <bgColor theme="9" tint="0.59996337778862885"/>
        </patternFill>
      </fill>
    </dxf>
    <dxf>
      <fill>
        <patternFill>
          <bgColor rgb="FFF49E9A"/>
        </patternFill>
      </fill>
    </dxf>
    <dxf>
      <fill>
        <patternFill>
          <bgColor rgb="FFFFFF00"/>
        </patternFill>
      </fill>
    </dxf>
    <dxf>
      <fill>
        <patternFill>
          <bgColor theme="9" tint="0.59996337778862885"/>
        </patternFill>
      </fill>
    </dxf>
    <dxf>
      <fill>
        <patternFill>
          <bgColor rgb="FFF49E9A"/>
        </patternFill>
      </fill>
    </dxf>
    <dxf>
      <fill>
        <patternFill>
          <bgColor theme="9" tint="0.59996337778862885"/>
        </patternFill>
      </fill>
    </dxf>
    <dxf>
      <fill>
        <patternFill>
          <bgColor rgb="FFF49E9A"/>
        </patternFill>
      </fill>
    </dxf>
    <dxf>
      <fill>
        <patternFill>
          <bgColor theme="9" tint="0.59996337778862885"/>
        </patternFill>
      </fill>
    </dxf>
    <dxf>
      <fill>
        <patternFill>
          <bgColor rgb="FFF49E9A"/>
        </patternFill>
      </fill>
    </dxf>
    <dxf>
      <fill>
        <patternFill>
          <bgColor rgb="FFFFFF00"/>
        </patternFill>
      </fill>
    </dxf>
    <dxf>
      <fill>
        <patternFill>
          <bgColor theme="9" tint="0.59996337778862885"/>
        </patternFill>
      </fill>
    </dxf>
    <dxf>
      <fill>
        <patternFill>
          <bgColor rgb="FFF49E9A"/>
        </patternFill>
      </fill>
    </dxf>
  </dxfs>
  <tableStyles count="0" defaultTableStyle="TableStyleMedium2" defaultPivotStyle="PivotStyleLight16"/>
  <colors>
    <mruColors>
      <color rgb="FFFF7C80"/>
      <color rgb="FFF49E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590550</xdr:colOff>
      <xdr:row>19</xdr:row>
      <xdr:rowOff>9525</xdr:rowOff>
    </xdr:from>
    <xdr:to>
      <xdr:col>17</xdr:col>
      <xdr:colOff>172498</xdr:colOff>
      <xdr:row>39</xdr:row>
      <xdr:rowOff>19557</xdr:rowOff>
    </xdr:to>
    <xdr:pic>
      <xdr:nvPicPr>
        <xdr:cNvPr id="2" name="Picture 1">
          <a:extLst>
            <a:ext uri="{FF2B5EF4-FFF2-40B4-BE49-F238E27FC236}">
              <a16:creationId xmlns:a16="http://schemas.microsoft.com/office/drawing/2014/main" id="{7EB63381-6636-D664-98D5-6089A17D9D20}"/>
            </a:ext>
          </a:extLst>
        </xdr:cNvPr>
        <xdr:cNvPicPr>
          <a:picLocks noChangeAspect="1"/>
        </xdr:cNvPicPr>
      </xdr:nvPicPr>
      <xdr:blipFill>
        <a:blip xmlns:r="http://schemas.openxmlformats.org/officeDocument/2006/relationships" r:embed="rId1"/>
        <a:stretch>
          <a:fillRect/>
        </a:stretch>
      </xdr:blipFill>
      <xdr:spPr>
        <a:xfrm>
          <a:off x="6115050" y="4352925"/>
          <a:ext cx="7506748" cy="3629532"/>
        </a:xfrm>
        <a:prstGeom prst="rect">
          <a:avLst/>
        </a:prstGeom>
      </xdr:spPr>
    </xdr:pic>
    <xdr:clientData/>
  </xdr:twoCellAnchor>
  <xdr:twoCellAnchor editAs="oneCell">
    <xdr:from>
      <xdr:col>8</xdr:col>
      <xdr:colOff>171450</xdr:colOff>
      <xdr:row>1</xdr:row>
      <xdr:rowOff>0</xdr:rowOff>
    </xdr:from>
    <xdr:to>
      <xdr:col>23</xdr:col>
      <xdr:colOff>201305</xdr:colOff>
      <xdr:row>10</xdr:row>
      <xdr:rowOff>136771</xdr:rowOff>
    </xdr:to>
    <xdr:pic>
      <xdr:nvPicPr>
        <xdr:cNvPr id="3" name="Picture 2">
          <a:extLst>
            <a:ext uri="{FF2B5EF4-FFF2-40B4-BE49-F238E27FC236}">
              <a16:creationId xmlns:a16="http://schemas.microsoft.com/office/drawing/2014/main" id="{12700999-9219-E76D-CC37-2D799A1F3BCF}"/>
            </a:ext>
          </a:extLst>
        </xdr:cNvPr>
        <xdr:cNvPicPr>
          <a:picLocks noChangeAspect="1"/>
        </xdr:cNvPicPr>
      </xdr:nvPicPr>
      <xdr:blipFill>
        <a:blip xmlns:r="http://schemas.openxmlformats.org/officeDocument/2006/relationships" r:embed="rId2"/>
        <a:stretch>
          <a:fillRect/>
        </a:stretch>
      </xdr:blipFill>
      <xdr:spPr>
        <a:xfrm>
          <a:off x="8134350" y="628650"/>
          <a:ext cx="9170680" cy="17623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umersports.com/the-zone/void-years-explai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775E4-3A42-41DF-B572-6B83968CC058}">
  <dimension ref="A2:G46"/>
  <sheetViews>
    <sheetView tabSelected="1" topLeftCell="A4" workbookViewId="0">
      <selection activeCell="A23" sqref="A23"/>
    </sheetView>
  </sheetViews>
  <sheetFormatPr defaultRowHeight="14.5" x14ac:dyDescent="0.35"/>
  <cols>
    <col min="1" max="1" width="14.453125" bestFit="1" customWidth="1"/>
    <col min="2" max="2" width="47.1796875" bestFit="1" customWidth="1"/>
  </cols>
  <sheetData>
    <row r="2" spans="1:5" x14ac:dyDescent="0.35">
      <c r="B2" t="s">
        <v>5</v>
      </c>
    </row>
    <row r="3" spans="1:5" x14ac:dyDescent="0.35">
      <c r="B3" t="s">
        <v>49</v>
      </c>
    </row>
    <row r="5" spans="1:5" x14ac:dyDescent="0.35">
      <c r="A5" t="s">
        <v>2</v>
      </c>
      <c r="B5" t="s">
        <v>3</v>
      </c>
      <c r="E5" t="s">
        <v>14</v>
      </c>
    </row>
    <row r="7" spans="1:5" x14ac:dyDescent="0.35">
      <c r="A7" t="s">
        <v>6</v>
      </c>
      <c r="B7" t="s">
        <v>3</v>
      </c>
    </row>
    <row r="9" spans="1:5" x14ac:dyDescent="0.35">
      <c r="A9" t="s">
        <v>7</v>
      </c>
      <c r="B9" t="s">
        <v>13</v>
      </c>
    </row>
    <row r="11" spans="1:5" x14ac:dyDescent="0.35">
      <c r="A11" t="s">
        <v>8</v>
      </c>
      <c r="B11" t="s">
        <v>3</v>
      </c>
    </row>
    <row r="13" spans="1:5" x14ac:dyDescent="0.35">
      <c r="A13" t="s">
        <v>4</v>
      </c>
      <c r="B13" t="s">
        <v>22</v>
      </c>
    </row>
    <row r="15" spans="1:5" x14ac:dyDescent="0.35">
      <c r="A15" t="s">
        <v>19</v>
      </c>
    </row>
    <row r="17" spans="1:1" x14ac:dyDescent="0.35">
      <c r="A17" t="s">
        <v>20</v>
      </c>
    </row>
    <row r="19" spans="1:1" x14ac:dyDescent="0.35">
      <c r="A19" t="s">
        <v>33</v>
      </c>
    </row>
    <row r="22" spans="1:1" x14ac:dyDescent="0.35">
      <c r="A22" t="s">
        <v>27</v>
      </c>
    </row>
    <row r="23" spans="1:1" x14ac:dyDescent="0.35">
      <c r="A23" s="23" t="s">
        <v>31</v>
      </c>
    </row>
    <row r="24" spans="1:1" x14ac:dyDescent="0.35">
      <c r="A24" t="s">
        <v>34</v>
      </c>
    </row>
    <row r="26" spans="1:1" x14ac:dyDescent="0.35">
      <c r="A26" t="s">
        <v>32</v>
      </c>
    </row>
    <row r="28" spans="1:1" x14ac:dyDescent="0.35">
      <c r="A28" t="s">
        <v>35</v>
      </c>
    </row>
    <row r="35" spans="1:7" x14ac:dyDescent="0.35">
      <c r="A35" t="s">
        <v>51</v>
      </c>
    </row>
    <row r="39" spans="1:7" x14ac:dyDescent="0.35">
      <c r="A39" t="s">
        <v>52</v>
      </c>
    </row>
    <row r="46" spans="1:7" x14ac:dyDescent="0.35">
      <c r="G46" t="s">
        <v>41</v>
      </c>
    </row>
  </sheetData>
  <hyperlinks>
    <hyperlink ref="A23" r:id="rId1" xr:uid="{07705CCF-D83C-4D4C-B89B-031BC501BC2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C637E-9840-4784-9EC5-780AACA3773A}">
  <dimension ref="A1:M33"/>
  <sheetViews>
    <sheetView zoomScale="90" zoomScaleNormal="90" workbookViewId="0">
      <selection activeCell="F33" sqref="F33"/>
    </sheetView>
  </sheetViews>
  <sheetFormatPr defaultColWidth="16.81640625" defaultRowHeight="14.5" x14ac:dyDescent="0.35"/>
  <cols>
    <col min="4" max="4" width="16.81640625" style="7"/>
    <col min="7" max="7" width="16.81640625" style="3"/>
  </cols>
  <sheetData>
    <row r="1" spans="1:12" x14ac:dyDescent="0.35">
      <c r="A1" s="1" t="s">
        <v>26</v>
      </c>
      <c r="E1" s="10" t="s">
        <v>9</v>
      </c>
      <c r="F1" s="14" t="s">
        <v>28</v>
      </c>
      <c r="G1" s="10" t="s">
        <v>10</v>
      </c>
      <c r="H1" s="10"/>
      <c r="I1" s="10" t="s">
        <v>16</v>
      </c>
      <c r="J1" s="10" t="s">
        <v>15</v>
      </c>
      <c r="K1" s="10" t="s">
        <v>50</v>
      </c>
      <c r="L1" s="18" t="s">
        <v>23</v>
      </c>
    </row>
    <row r="2" spans="1:12" x14ac:dyDescent="0.35">
      <c r="E2" s="3" t="str">
        <f>IF(E3=SUM(E5:E16),"Ok","Check")</f>
        <v>Ok</v>
      </c>
      <c r="F2" s="3" t="str">
        <f>IF(F3=SUM(F5:F16),"Ok","Check")</f>
        <v>Ok</v>
      </c>
      <c r="G2" s="3" t="str">
        <f>IF(G3=SUM(G5:G16),"Ok","Check")</f>
        <v>Ok</v>
      </c>
      <c r="I2" s="3" t="str">
        <f>IF(I3=SUM(I5:I16),"Ok","Check")</f>
        <v>Ok</v>
      </c>
    </row>
    <row r="3" spans="1:12" x14ac:dyDescent="0.35">
      <c r="C3" s="3"/>
      <c r="E3" s="12">
        <v>14000000</v>
      </c>
      <c r="F3" s="12">
        <v>7000000</v>
      </c>
      <c r="G3" s="11">
        <v>10000000</v>
      </c>
      <c r="I3" s="12">
        <f>IF(B5=1,"n/a",4000000)</f>
        <v>4000000</v>
      </c>
    </row>
    <row r="4" spans="1:12" x14ac:dyDescent="0.35">
      <c r="A4" s="5" t="s">
        <v>1</v>
      </c>
      <c r="B4" s="9">
        <f>SUM(E3,G3:K3)</f>
        <v>28000000</v>
      </c>
      <c r="C4" s="3" t="str">
        <f>IF(B4=SUM(L5:L16),"Ok","Check")</f>
        <v>Ok</v>
      </c>
      <c r="D4" s="6" t="s">
        <v>18</v>
      </c>
    </row>
    <row r="5" spans="1:12" x14ac:dyDescent="0.35">
      <c r="A5" s="5" t="s">
        <v>0</v>
      </c>
      <c r="B5" s="4">
        <v>4</v>
      </c>
      <c r="D5" s="7" cm="1">
        <f t="array" ref="D5:D8">_xlfn.SEQUENCE(B5)</f>
        <v>1</v>
      </c>
      <c r="E5" s="13">
        <v>1000000</v>
      </c>
      <c r="F5" s="15">
        <f>0.5*E5</f>
        <v>500000</v>
      </c>
      <c r="G5" s="8">
        <f>IF(D5&gt;5, "n/a", IF(ISBLANK(D5), "", IF(D5&lt;=$B$6, $G$3/(IF($B$6&gt;=$B$5, $B$5, $B$6)), "")))</f>
        <v>2500000</v>
      </c>
      <c r="I5" s="8" t="str">
        <f t="shared" ref="I5:I13" si="0">IF($B$7=1,"n/a",IF(ISBLANK(D5),"",IF(OR(D5&lt;$B$7,(D5-$B$7+1&gt;5)),"n/a",IF(D5-$B$7&lt;=5,$I$3/IF($B$5-$B$7&gt;=5,5,$B$5-$B$7+1),""))))</f>
        <v>n/a</v>
      </c>
      <c r="L5" s="9">
        <f t="shared" ref="L5:L16" si="1">IF(ISBLANK(D5), "",SUM(G5:K5,E5))</f>
        <v>3500000</v>
      </c>
    </row>
    <row r="6" spans="1:12" x14ac:dyDescent="0.35">
      <c r="A6" s="5" t="s">
        <v>17</v>
      </c>
      <c r="B6" s="17">
        <v>5</v>
      </c>
      <c r="D6" s="7">
        <v>2</v>
      </c>
      <c r="E6" s="13">
        <v>3000000</v>
      </c>
      <c r="F6" s="15">
        <f t="shared" ref="F6:F9" si="2">0.5*E6</f>
        <v>1500000</v>
      </c>
      <c r="G6" s="8">
        <f t="shared" ref="G6:G15" si="3">IF(D6&gt;5, "n/a", IF(ISBLANK(D6), "", IF(D6&lt;=$B$6, $G$3/(IF($B$6&gt;$B$5, $B$5, $B$6)), "")))</f>
        <v>2500000</v>
      </c>
      <c r="I6" s="8">
        <f t="shared" si="0"/>
        <v>1333333.3333333333</v>
      </c>
      <c r="L6" s="9">
        <f t="shared" si="1"/>
        <v>6833333.333333333</v>
      </c>
    </row>
    <row r="7" spans="1:12" x14ac:dyDescent="0.35">
      <c r="A7" s="5" t="s">
        <v>24</v>
      </c>
      <c r="B7" s="4">
        <v>2</v>
      </c>
      <c r="D7" s="7">
        <v>3</v>
      </c>
      <c r="E7" s="13">
        <v>5000000</v>
      </c>
      <c r="F7" s="15">
        <f t="shared" si="2"/>
        <v>2500000</v>
      </c>
      <c r="G7" s="8">
        <f t="shared" si="3"/>
        <v>2500000</v>
      </c>
      <c r="I7" s="8">
        <f t="shared" si="0"/>
        <v>1333333.3333333333</v>
      </c>
      <c r="L7" s="9">
        <f t="shared" si="1"/>
        <v>8833333.3333333321</v>
      </c>
    </row>
    <row r="8" spans="1:12" x14ac:dyDescent="0.35">
      <c r="A8" s="5" t="s">
        <v>25</v>
      </c>
      <c r="B8" s="4">
        <v>3</v>
      </c>
      <c r="D8" s="7">
        <v>4</v>
      </c>
      <c r="E8" s="13">
        <v>5000000</v>
      </c>
      <c r="F8" s="15">
        <f t="shared" si="2"/>
        <v>2500000</v>
      </c>
      <c r="G8" s="8">
        <f>IF(D8&gt;5, "n/a", IF(ISBLANK(D8), "", IF(D8&lt;=$B$6, $G$3/(IF($B$6&gt;$B$5, $B$5, $B$6)), "")))</f>
        <v>2500000</v>
      </c>
      <c r="I8" s="8">
        <f t="shared" si="0"/>
        <v>1333333.3333333333</v>
      </c>
      <c r="L8" s="9">
        <f t="shared" si="1"/>
        <v>8833333.3333333321</v>
      </c>
    </row>
    <row r="9" spans="1:12" x14ac:dyDescent="0.35">
      <c r="E9" s="13"/>
      <c r="F9" s="15">
        <f t="shared" si="2"/>
        <v>0</v>
      </c>
      <c r="G9" s="8" t="str">
        <f t="shared" si="3"/>
        <v/>
      </c>
      <c r="I9" s="8" t="str">
        <f t="shared" si="0"/>
        <v/>
      </c>
      <c r="L9" s="9" t="str">
        <f t="shared" si="1"/>
        <v/>
      </c>
    </row>
    <row r="10" spans="1:12" x14ac:dyDescent="0.35">
      <c r="E10" s="13"/>
      <c r="F10" s="13"/>
      <c r="G10" s="8" t="str">
        <f t="shared" si="3"/>
        <v/>
      </c>
      <c r="I10" s="8" t="str">
        <f t="shared" si="0"/>
        <v/>
      </c>
      <c r="L10" s="9" t="str">
        <f t="shared" si="1"/>
        <v/>
      </c>
    </row>
    <row r="11" spans="1:12" x14ac:dyDescent="0.35">
      <c r="A11" s="5" t="s">
        <v>30</v>
      </c>
      <c r="B11" s="9">
        <f>SUM(F5:G15)</f>
        <v>17000000</v>
      </c>
      <c r="E11" s="13"/>
      <c r="F11" s="13"/>
      <c r="G11" s="8" t="str">
        <f t="shared" si="3"/>
        <v/>
      </c>
      <c r="I11" s="8" t="str">
        <f t="shared" si="0"/>
        <v/>
      </c>
      <c r="L11" s="9" t="str">
        <f t="shared" si="1"/>
        <v/>
      </c>
    </row>
    <row r="12" spans="1:12" x14ac:dyDescent="0.35">
      <c r="A12" s="5" t="s">
        <v>29</v>
      </c>
      <c r="B12" s="9">
        <f>B11+SUM(I5:J15)</f>
        <v>21000000</v>
      </c>
      <c r="E12" s="13"/>
      <c r="F12" s="13"/>
      <c r="G12" s="8" t="str">
        <f t="shared" si="3"/>
        <v/>
      </c>
      <c r="I12" s="8" t="str">
        <f t="shared" si="0"/>
        <v/>
      </c>
      <c r="L12" s="9" t="str">
        <f t="shared" si="1"/>
        <v/>
      </c>
    </row>
    <row r="13" spans="1:12" x14ac:dyDescent="0.35">
      <c r="E13" s="2"/>
      <c r="F13" s="2"/>
      <c r="G13" s="8" t="str">
        <f t="shared" si="3"/>
        <v/>
      </c>
      <c r="I13" s="8" t="str">
        <f t="shared" si="0"/>
        <v/>
      </c>
      <c r="L13" s="9" t="str">
        <f t="shared" si="1"/>
        <v/>
      </c>
    </row>
    <row r="14" spans="1:12" x14ac:dyDescent="0.35">
      <c r="E14" s="2"/>
      <c r="F14" s="2"/>
      <c r="G14" s="8" t="str">
        <f t="shared" si="3"/>
        <v/>
      </c>
      <c r="I14" s="8"/>
      <c r="L14" s="9" t="str">
        <f t="shared" si="1"/>
        <v/>
      </c>
    </row>
    <row r="15" spans="1:12" x14ac:dyDescent="0.35">
      <c r="E15" s="2"/>
      <c r="F15" s="2"/>
      <c r="G15" s="8" t="str">
        <f t="shared" si="3"/>
        <v/>
      </c>
      <c r="I15" s="8" t="str">
        <f>IF(B15=1,"n/a",IF(ISBLANK(D15),"",IF(D15&lt;$B$7,"n/a",IF(D15-$B$7&lt;=5,$I$3/IF($B$5-$B$7&gt;5,5,$B$5-$B$7+1),""))))</f>
        <v/>
      </c>
      <c r="L15" s="9" t="str">
        <f t="shared" si="1"/>
        <v/>
      </c>
    </row>
    <row r="16" spans="1:12" x14ac:dyDescent="0.35">
      <c r="C16" s="7"/>
      <c r="E16" s="2"/>
      <c r="F16" s="2"/>
      <c r="G16" s="8"/>
      <c r="I16" s="8"/>
      <c r="L16" s="9" t="str">
        <f t="shared" si="1"/>
        <v/>
      </c>
    </row>
    <row r="17" spans="3:13" x14ac:dyDescent="0.35">
      <c r="C17" s="6" t="s">
        <v>37</v>
      </c>
      <c r="D17" s="6" t="s">
        <v>36</v>
      </c>
      <c r="E17" s="10" t="s">
        <v>38</v>
      </c>
      <c r="F17" s="2"/>
      <c r="G17" s="10" t="s">
        <v>10</v>
      </c>
      <c r="H17" s="14" t="s">
        <v>40</v>
      </c>
      <c r="I17" s="10" t="s">
        <v>16</v>
      </c>
      <c r="J17" s="10" t="s">
        <v>15</v>
      </c>
      <c r="K17" s="10" t="s">
        <v>50</v>
      </c>
      <c r="L17" s="18" t="s">
        <v>23</v>
      </c>
      <c r="M17" s="19" t="s">
        <v>39</v>
      </c>
    </row>
    <row r="18" spans="3:13" x14ac:dyDescent="0.35">
      <c r="C18" s="7" cm="1">
        <f t="array" ref="C18:C19">_xlfn.SEQUENCE(B5-B8+1)</f>
        <v>1</v>
      </c>
      <c r="D18" s="7">
        <f>IF(ISBLANK(C18),"",$B$8)</f>
        <v>3</v>
      </c>
      <c r="E18" s="16">
        <v>900000</v>
      </c>
      <c r="G18" s="8">
        <f>IF(ISBLANK(C18),"",(VLOOKUP(D18,$D$6:$G$16,4))+((VLOOKUP($B$8,$D$6:$E$16,2)-$E$18)/($B$5-$B$8+1)))</f>
        <v>4550000</v>
      </c>
      <c r="H18" s="2">
        <f>IF(ISBLANK(C18),"",G18-VLOOKUP(D18,$D$6:$G$14,4))</f>
        <v>2050000</v>
      </c>
      <c r="I18" s="2">
        <f t="shared" ref="I18:I26" si="4">IF(ISBLANK(C18),"",VLOOKUP(D18,$D$6:$I$14,6))</f>
        <v>1333333.3333333333</v>
      </c>
      <c r="L18" s="9">
        <f t="shared" ref="L18:L31" si="5">IF(ISBLANK(D18), "",SUM(G18,I18:K18,E18))</f>
        <v>6783333.333333333</v>
      </c>
      <c r="M18" s="9">
        <f>VLOOKUP(D18,$D$5:$L$15,9)-L18</f>
        <v>2049999.9999999991</v>
      </c>
    </row>
    <row r="19" spans="3:13" x14ac:dyDescent="0.35">
      <c r="C19" s="7">
        <v>2</v>
      </c>
      <c r="D19" s="7">
        <f>IF(ISBLANK(C19),"",$B$8+C18)</f>
        <v>4</v>
      </c>
      <c r="E19" s="13">
        <f>IF(ISBLANK(C19),"",VLOOKUP(D19,$D$6:$E$16,2))</f>
        <v>5000000</v>
      </c>
      <c r="G19" s="8">
        <f t="shared" ref="G19:G24" si="6">IF(ISBLANK(C19),"",(VLOOKUP(D19,$D$6:$G$16,4))+((VLOOKUP($B$8,$D$6:$E$16,2)-$E$18)/($B$5-$B$8+1)))</f>
        <v>4550000</v>
      </c>
      <c r="H19" s="2">
        <f t="shared" ref="H19:H27" si="7">IF(ISBLANK(C19),"",G19-VLOOKUP(D19,$D$6:$G$14,4))</f>
        <v>2050000</v>
      </c>
      <c r="I19" s="2">
        <f t="shared" si="4"/>
        <v>1333333.3333333333</v>
      </c>
      <c r="L19" s="9">
        <f t="shared" si="5"/>
        <v>10883333.333333332</v>
      </c>
      <c r="M19" s="9">
        <f t="shared" ref="M19:M31" si="8">VLOOKUP(D19,$D$5:$L$15,9)-L19</f>
        <v>-2050000</v>
      </c>
    </row>
    <row r="20" spans="3:13" x14ac:dyDescent="0.35">
      <c r="C20" s="3"/>
      <c r="D20" s="7" t="str">
        <f>IF(ISBLANK(C20),"",$B$8+C19)</f>
        <v/>
      </c>
      <c r="E20" s="13" t="str">
        <f>IF(ISBLANK(C20),"",VLOOKUP(D20,$D$6:$E$16,2))</f>
        <v/>
      </c>
      <c r="G20" s="8" t="str">
        <f t="shared" si="6"/>
        <v/>
      </c>
      <c r="H20" s="2" t="str">
        <f t="shared" si="7"/>
        <v/>
      </c>
      <c r="I20" s="2" t="str">
        <f t="shared" si="4"/>
        <v/>
      </c>
      <c r="L20" s="9">
        <f t="shared" si="5"/>
        <v>0</v>
      </c>
      <c r="M20" s="9" t="e">
        <f t="shared" si="8"/>
        <v>#N/A</v>
      </c>
    </row>
    <row r="21" spans="3:13" x14ac:dyDescent="0.35">
      <c r="C21" s="3"/>
      <c r="D21" s="7" t="str">
        <f t="shared" ref="D21:D31" si="9">IF(ISBLANK(C21),"",$B$8+C20)</f>
        <v/>
      </c>
      <c r="E21" s="13" t="str">
        <f t="shared" ref="E21:E24" si="10">IF(ISBLANK(C21),"",VLOOKUP(D21,$D$6:$E$16,2))</f>
        <v/>
      </c>
      <c r="G21" s="8" t="str">
        <f t="shared" si="6"/>
        <v/>
      </c>
      <c r="H21" s="2" t="str">
        <f t="shared" si="7"/>
        <v/>
      </c>
      <c r="I21" s="2" t="str">
        <f t="shared" si="4"/>
        <v/>
      </c>
      <c r="L21" s="9">
        <f t="shared" si="5"/>
        <v>0</v>
      </c>
      <c r="M21" s="9" t="e">
        <f t="shared" si="8"/>
        <v>#N/A</v>
      </c>
    </row>
    <row r="22" spans="3:13" x14ac:dyDescent="0.35">
      <c r="C22" s="3"/>
      <c r="D22" s="7" t="str">
        <f t="shared" si="9"/>
        <v/>
      </c>
      <c r="E22" s="13" t="str">
        <f t="shared" si="10"/>
        <v/>
      </c>
      <c r="G22" s="8" t="str">
        <f t="shared" si="6"/>
        <v/>
      </c>
      <c r="H22" s="2" t="str">
        <f t="shared" si="7"/>
        <v/>
      </c>
      <c r="I22" s="2" t="str">
        <f t="shared" si="4"/>
        <v/>
      </c>
      <c r="L22" s="9">
        <f t="shared" si="5"/>
        <v>0</v>
      </c>
      <c r="M22" s="9" t="e">
        <f t="shared" si="8"/>
        <v>#N/A</v>
      </c>
    </row>
    <row r="23" spans="3:13" x14ac:dyDescent="0.35">
      <c r="C23" s="3"/>
      <c r="D23" s="7" t="str">
        <f t="shared" si="9"/>
        <v/>
      </c>
      <c r="E23" s="13" t="str">
        <f t="shared" si="10"/>
        <v/>
      </c>
      <c r="G23" s="8" t="str">
        <f t="shared" si="6"/>
        <v/>
      </c>
      <c r="H23" s="2" t="str">
        <f t="shared" si="7"/>
        <v/>
      </c>
      <c r="I23" s="2" t="str">
        <f t="shared" si="4"/>
        <v/>
      </c>
      <c r="L23" s="9">
        <f t="shared" si="5"/>
        <v>0</v>
      </c>
      <c r="M23" s="9" t="e">
        <f t="shared" si="8"/>
        <v>#N/A</v>
      </c>
    </row>
    <row r="24" spans="3:13" x14ac:dyDescent="0.35">
      <c r="C24" s="3"/>
      <c r="D24" s="7" t="str">
        <f t="shared" si="9"/>
        <v/>
      </c>
      <c r="E24" s="13" t="str">
        <f t="shared" si="10"/>
        <v/>
      </c>
      <c r="G24" s="8" t="str">
        <f t="shared" si="6"/>
        <v/>
      </c>
      <c r="H24" s="2" t="str">
        <f t="shared" si="7"/>
        <v/>
      </c>
      <c r="I24" s="2" t="str">
        <f t="shared" si="4"/>
        <v/>
      </c>
      <c r="L24" s="9">
        <f t="shared" si="5"/>
        <v>0</v>
      </c>
      <c r="M24" s="9" t="e">
        <f t="shared" si="8"/>
        <v>#N/A</v>
      </c>
    </row>
    <row r="25" spans="3:13" x14ac:dyDescent="0.35">
      <c r="C25" s="3"/>
      <c r="D25" s="7" t="str">
        <f t="shared" si="9"/>
        <v/>
      </c>
      <c r="G25" s="8" t="str">
        <f t="shared" ref="G25" si="11">IF(ISBLANK(C25),"",G14+((VLOOKUP($B$8,$D$6:$E$16,2)-$E$18)/($B$5-$B$8+1)))</f>
        <v/>
      </c>
      <c r="H25" s="2" t="str">
        <f t="shared" si="7"/>
        <v/>
      </c>
      <c r="I25" s="2" t="str">
        <f t="shared" si="4"/>
        <v/>
      </c>
      <c r="L25" s="9">
        <f t="shared" si="5"/>
        <v>0</v>
      </c>
      <c r="M25" s="9" t="e">
        <f t="shared" si="8"/>
        <v>#N/A</v>
      </c>
    </row>
    <row r="26" spans="3:13" x14ac:dyDescent="0.35">
      <c r="C26" s="3"/>
      <c r="D26" s="7" t="str">
        <f t="shared" si="9"/>
        <v/>
      </c>
      <c r="G26" s="8" t="str">
        <f t="shared" ref="G26:G29" si="12">IF(ISBLANK(C26),"",G15+(($E$7-$E$18)/($B$5-$B$8+1)))</f>
        <v/>
      </c>
      <c r="H26" s="2" t="str">
        <f t="shared" si="7"/>
        <v/>
      </c>
      <c r="I26" s="2" t="str">
        <f t="shared" si="4"/>
        <v/>
      </c>
      <c r="L26" s="9">
        <f t="shared" si="5"/>
        <v>0</v>
      </c>
      <c r="M26" s="9" t="e">
        <f t="shared" si="8"/>
        <v>#N/A</v>
      </c>
    </row>
    <row r="27" spans="3:13" x14ac:dyDescent="0.35">
      <c r="C27" s="3"/>
      <c r="D27" s="7" t="str">
        <f t="shared" si="9"/>
        <v/>
      </c>
      <c r="G27" s="8" t="str">
        <f t="shared" si="12"/>
        <v/>
      </c>
      <c r="H27" s="2" t="str">
        <f t="shared" si="7"/>
        <v/>
      </c>
      <c r="L27" s="9">
        <f t="shared" si="5"/>
        <v>0</v>
      </c>
      <c r="M27" s="9" t="e">
        <f t="shared" si="8"/>
        <v>#N/A</v>
      </c>
    </row>
    <row r="28" spans="3:13" x14ac:dyDescent="0.35">
      <c r="C28" s="3"/>
      <c r="D28" s="7" t="str">
        <f t="shared" si="9"/>
        <v/>
      </c>
      <c r="G28" s="8" t="str">
        <f t="shared" si="12"/>
        <v/>
      </c>
      <c r="J28" s="9"/>
      <c r="L28" s="9">
        <f t="shared" si="5"/>
        <v>0</v>
      </c>
      <c r="M28" s="9" t="e">
        <f t="shared" si="8"/>
        <v>#N/A</v>
      </c>
    </row>
    <row r="29" spans="3:13" x14ac:dyDescent="0.35">
      <c r="C29" s="3"/>
      <c r="D29" s="7" t="str">
        <f t="shared" si="9"/>
        <v/>
      </c>
      <c r="G29" s="8" t="str">
        <f t="shared" si="12"/>
        <v/>
      </c>
      <c r="L29" s="9">
        <f t="shared" si="5"/>
        <v>0</v>
      </c>
      <c r="M29" s="9" t="e">
        <f t="shared" si="8"/>
        <v>#N/A</v>
      </c>
    </row>
    <row r="30" spans="3:13" x14ac:dyDescent="0.35">
      <c r="C30" s="3"/>
      <c r="D30" s="7" t="str">
        <f t="shared" si="9"/>
        <v/>
      </c>
      <c r="L30" s="9">
        <f t="shared" si="5"/>
        <v>0</v>
      </c>
      <c r="M30" s="9" t="e">
        <f t="shared" si="8"/>
        <v>#N/A</v>
      </c>
    </row>
    <row r="31" spans="3:13" x14ac:dyDescent="0.35">
      <c r="C31" s="3"/>
      <c r="D31" s="7" t="str">
        <f t="shared" si="9"/>
        <v/>
      </c>
      <c r="L31" s="9">
        <f t="shared" si="5"/>
        <v>0</v>
      </c>
      <c r="M31" s="9" t="e">
        <f t="shared" si="8"/>
        <v>#N/A</v>
      </c>
    </row>
    <row r="32" spans="3:13" x14ac:dyDescent="0.35">
      <c r="D32" s="7" t="str">
        <f t="shared" ref="D32:D33" si="13">IF(ISBLANK(C32),"",$B$8+1)</f>
        <v/>
      </c>
    </row>
    <row r="33" spans="4:4" x14ac:dyDescent="0.35">
      <c r="D33" s="7" t="str">
        <f t="shared" si="13"/>
        <v/>
      </c>
    </row>
  </sheetData>
  <conditionalFormatting sqref="C4">
    <cfRule type="containsText" dxfId="22" priority="1" operator="containsText" text="Check">
      <formula>NOT(ISERROR(SEARCH("Check",C4)))</formula>
    </cfRule>
    <cfRule type="containsText" dxfId="21" priority="2" operator="containsText" text="Ok">
      <formula>NOT(ISERROR(SEARCH("Ok",C4)))</formula>
    </cfRule>
  </conditionalFormatting>
  <conditionalFormatting sqref="E5:F16 F17 E18:F18 F19:F20">
    <cfRule type="cellIs" dxfId="20" priority="3" operator="greaterThanOrEqual">
      <formula>1</formula>
    </cfRule>
  </conditionalFormatting>
  <conditionalFormatting sqref="E2:G2">
    <cfRule type="containsText" dxfId="19" priority="6" operator="containsText" text="Check">
      <formula>NOT(ISERROR(SEARCH("Check",E2)))</formula>
    </cfRule>
    <cfRule type="containsText" dxfId="18" priority="7" operator="containsText" text="Ok">
      <formula>NOT(ISERROR(SEARCH("Ok",E2)))</formula>
    </cfRule>
  </conditionalFormatting>
  <conditionalFormatting sqref="I2">
    <cfRule type="containsText" dxfId="17" priority="4" operator="containsText" text="Check">
      <formula>NOT(ISERROR(SEARCH("Check",I2)))</formula>
    </cfRule>
    <cfRule type="containsText" dxfId="16" priority="5" operator="containsText" text="Ok">
      <formula>NOT(ISERROR(SEARCH("Ok",I2)))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F4E5A-4945-40BB-BAD4-1D5CC434947E}">
  <dimension ref="A1:O33"/>
  <sheetViews>
    <sheetView zoomScale="90" zoomScaleNormal="90" workbookViewId="0">
      <selection activeCell="E39" sqref="E39"/>
    </sheetView>
  </sheetViews>
  <sheetFormatPr defaultColWidth="16.81640625" defaultRowHeight="14.5" x14ac:dyDescent="0.35"/>
  <cols>
    <col min="4" max="4" width="16.81640625" style="7"/>
    <col min="7" max="7" width="16.81640625" style="3"/>
  </cols>
  <sheetData>
    <row r="1" spans="1:14" x14ac:dyDescent="0.35">
      <c r="A1" s="1" t="s">
        <v>26</v>
      </c>
      <c r="E1" s="10" t="s">
        <v>9</v>
      </c>
      <c r="F1" s="14" t="s">
        <v>28</v>
      </c>
      <c r="G1" s="10" t="s">
        <v>10</v>
      </c>
      <c r="H1" s="10"/>
      <c r="I1" s="10" t="s">
        <v>16</v>
      </c>
      <c r="J1" s="10" t="s">
        <v>15</v>
      </c>
      <c r="K1" t="s">
        <v>11</v>
      </c>
      <c r="L1" t="s">
        <v>21</v>
      </c>
      <c r="M1" t="s">
        <v>12</v>
      </c>
      <c r="N1" s="18" t="s">
        <v>23</v>
      </c>
    </row>
    <row r="2" spans="1:14" x14ac:dyDescent="0.35">
      <c r="E2" s="3" t="str">
        <f>IF(E3=SUM(E5:E16),"Ok","Check")</f>
        <v>Ok</v>
      </c>
      <c r="F2" s="3" t="str">
        <f>IF(F3=SUM(F5:F16),"Ok","Check")</f>
        <v>Ok</v>
      </c>
      <c r="G2" s="3" t="str">
        <f>IF(G3=SUM(G5:G16),"Ok","Check")</f>
        <v>Ok</v>
      </c>
      <c r="I2" s="3" t="str">
        <f>IF(I3=SUM(I5:I16),"Ok","Check")</f>
        <v>Ok</v>
      </c>
    </row>
    <row r="3" spans="1:14" x14ac:dyDescent="0.35">
      <c r="C3" s="3"/>
      <c r="E3" s="12">
        <v>14000000</v>
      </c>
      <c r="F3" s="12">
        <v>7000000</v>
      </c>
      <c r="G3" s="11">
        <v>10000000</v>
      </c>
      <c r="I3" s="12">
        <f>IF(B5=1,"n/a",4000000)</f>
        <v>4000000</v>
      </c>
    </row>
    <row r="4" spans="1:14" x14ac:dyDescent="0.35">
      <c r="A4" s="5" t="s">
        <v>1</v>
      </c>
      <c r="B4" s="9">
        <f>SUM(E3,G3:M3)</f>
        <v>28000000</v>
      </c>
      <c r="C4" s="3" t="str">
        <f>IF(B4=SUM(N5:N16),"Ok","Check")</f>
        <v>Ok</v>
      </c>
      <c r="D4" s="6" t="s">
        <v>18</v>
      </c>
    </row>
    <row r="5" spans="1:14" x14ac:dyDescent="0.35">
      <c r="A5" s="5" t="s">
        <v>0</v>
      </c>
      <c r="B5" s="4">
        <v>4</v>
      </c>
      <c r="D5" s="7" cm="1">
        <f t="array" ref="D5:D8">_xlfn.SEQUENCE(B5)</f>
        <v>1</v>
      </c>
      <c r="E5" s="13">
        <v>1000000</v>
      </c>
      <c r="F5" s="15">
        <f>0.5*E5</f>
        <v>500000</v>
      </c>
      <c r="G5" s="8">
        <f>IF(D5&gt;5, "n/a", IF(ISBLANK(D5), "", IF(D5&lt;=$B$6, $G$3/(IF($B$6&gt;=$B$5, $B$5, $B$6)), "")))</f>
        <v>2500000</v>
      </c>
      <c r="I5" s="8" t="str">
        <f t="shared" ref="I5:I13" si="0">IF($B$7=1,"n/a",IF(ISBLANK(D5),"",IF(OR(D5&lt;$B$7,(D5-$B$7+1&gt;5)),"n/a",IF(D5-$B$7&lt;=5,$I$3/IF($B$5-$B$7&gt;=5,5,$B$5-$B$7+1),""))))</f>
        <v>n/a</v>
      </c>
      <c r="N5" s="9">
        <f t="shared" ref="N5:N16" si="1">IF(ISBLANK(D5), "",SUM(G5:M5,E5))</f>
        <v>3500000</v>
      </c>
    </row>
    <row r="6" spans="1:14" x14ac:dyDescent="0.35">
      <c r="A6" s="5" t="s">
        <v>17</v>
      </c>
      <c r="B6" s="17">
        <v>5</v>
      </c>
      <c r="D6" s="7">
        <v>2</v>
      </c>
      <c r="E6" s="13">
        <v>3000000</v>
      </c>
      <c r="F6" s="15">
        <f t="shared" ref="F6:F9" si="2">0.5*E6</f>
        <v>1500000</v>
      </c>
      <c r="G6" s="8">
        <f t="shared" ref="G6:G15" si="3">IF(D6&gt;5, "n/a", IF(ISBLANK(D6), "", IF(D6&lt;=$B$6, $G$3/(IF($B$6&gt;$B$5, $B$5, $B$6)), "")))</f>
        <v>2500000</v>
      </c>
      <c r="I6" s="8">
        <f t="shared" si="0"/>
        <v>1333333.3333333333</v>
      </c>
      <c r="N6" s="9">
        <f t="shared" si="1"/>
        <v>6833333.333333333</v>
      </c>
    </row>
    <row r="7" spans="1:14" x14ac:dyDescent="0.35">
      <c r="A7" s="5" t="s">
        <v>24</v>
      </c>
      <c r="B7" s="4">
        <v>2</v>
      </c>
      <c r="D7" s="7">
        <v>3</v>
      </c>
      <c r="E7" s="13">
        <v>5000000</v>
      </c>
      <c r="F7" s="15">
        <f t="shared" si="2"/>
        <v>2500000</v>
      </c>
      <c r="G7" s="8">
        <f t="shared" si="3"/>
        <v>2500000</v>
      </c>
      <c r="I7" s="8">
        <f t="shared" si="0"/>
        <v>1333333.3333333333</v>
      </c>
      <c r="N7" s="9">
        <f t="shared" si="1"/>
        <v>8833333.3333333321</v>
      </c>
    </row>
    <row r="8" spans="1:14" x14ac:dyDescent="0.35">
      <c r="A8" s="5" t="s">
        <v>25</v>
      </c>
      <c r="B8" s="4">
        <v>3</v>
      </c>
      <c r="D8" s="7">
        <v>4</v>
      </c>
      <c r="E8" s="13">
        <v>5000000</v>
      </c>
      <c r="F8" s="15">
        <f t="shared" si="2"/>
        <v>2500000</v>
      </c>
      <c r="G8" s="8">
        <f>IF(D8&gt;5, "n/a", IF(ISBLANK(D8), "", IF(D8&lt;=$B$6, $G$3/(IF($B$6&gt;$B$5, $B$5, $B$6)), "")))</f>
        <v>2500000</v>
      </c>
      <c r="I8" s="8">
        <f t="shared" si="0"/>
        <v>1333333.3333333333</v>
      </c>
      <c r="N8" s="9">
        <f t="shared" si="1"/>
        <v>8833333.3333333321</v>
      </c>
    </row>
    <row r="9" spans="1:14" x14ac:dyDescent="0.35">
      <c r="E9" s="13"/>
      <c r="F9" s="15">
        <f t="shared" si="2"/>
        <v>0</v>
      </c>
      <c r="G9" s="8" t="str">
        <f t="shared" si="3"/>
        <v/>
      </c>
      <c r="I9" s="8" t="str">
        <f t="shared" si="0"/>
        <v/>
      </c>
      <c r="N9" s="9" t="str">
        <f t="shared" si="1"/>
        <v/>
      </c>
    </row>
    <row r="10" spans="1:14" x14ac:dyDescent="0.35">
      <c r="E10" s="13"/>
      <c r="F10" s="13"/>
      <c r="G10" s="8" t="str">
        <f t="shared" si="3"/>
        <v/>
      </c>
      <c r="I10" s="8" t="str">
        <f t="shared" si="0"/>
        <v/>
      </c>
      <c r="N10" s="9" t="str">
        <f t="shared" si="1"/>
        <v/>
      </c>
    </row>
    <row r="11" spans="1:14" x14ac:dyDescent="0.35">
      <c r="A11" s="5" t="s">
        <v>30</v>
      </c>
      <c r="B11" s="9">
        <f>SUM(F5:G15)</f>
        <v>17000000</v>
      </c>
      <c r="E11" s="13"/>
      <c r="F11" s="13"/>
      <c r="G11" s="8" t="str">
        <f t="shared" si="3"/>
        <v/>
      </c>
      <c r="I11" s="8" t="str">
        <f t="shared" si="0"/>
        <v/>
      </c>
      <c r="N11" s="9" t="str">
        <f t="shared" si="1"/>
        <v/>
      </c>
    </row>
    <row r="12" spans="1:14" x14ac:dyDescent="0.35">
      <c r="A12" s="5" t="s">
        <v>29</v>
      </c>
      <c r="B12" s="9">
        <f>B11+SUM(I5:J15)</f>
        <v>21000000</v>
      </c>
      <c r="E12" s="13"/>
      <c r="F12" s="13"/>
      <c r="G12" s="8" t="str">
        <f t="shared" si="3"/>
        <v/>
      </c>
      <c r="I12" s="8" t="str">
        <f t="shared" si="0"/>
        <v/>
      </c>
      <c r="N12" s="9" t="str">
        <f t="shared" si="1"/>
        <v/>
      </c>
    </row>
    <row r="13" spans="1:14" x14ac:dyDescent="0.35">
      <c r="E13" s="2"/>
      <c r="F13" s="2"/>
      <c r="G13" s="8" t="str">
        <f t="shared" si="3"/>
        <v/>
      </c>
      <c r="I13" s="8" t="str">
        <f t="shared" si="0"/>
        <v/>
      </c>
      <c r="N13" s="9" t="str">
        <f t="shared" si="1"/>
        <v/>
      </c>
    </row>
    <row r="14" spans="1:14" x14ac:dyDescent="0.35">
      <c r="E14" s="2"/>
      <c r="F14" s="2"/>
      <c r="G14" s="8" t="str">
        <f t="shared" si="3"/>
        <v/>
      </c>
      <c r="I14" s="8"/>
      <c r="N14" s="9" t="str">
        <f t="shared" si="1"/>
        <v/>
      </c>
    </row>
    <row r="15" spans="1:14" x14ac:dyDescent="0.35">
      <c r="E15" s="2"/>
      <c r="F15" s="2"/>
      <c r="G15" s="8" t="str">
        <f t="shared" si="3"/>
        <v/>
      </c>
      <c r="I15" s="8" t="str">
        <f>IF(B15=1,"n/a",IF(ISBLANK(D15),"",IF(D15&lt;$B$7,"n/a",IF(D15-$B$7&lt;=5,$I$3/IF($B$5-$B$7&gt;5,5,$B$5-$B$7+1),""))))</f>
        <v/>
      </c>
      <c r="N15" s="9" t="str">
        <f t="shared" si="1"/>
        <v/>
      </c>
    </row>
    <row r="16" spans="1:14" x14ac:dyDescent="0.35">
      <c r="C16" s="7"/>
      <c r="E16" s="2"/>
      <c r="F16" s="2"/>
      <c r="G16" s="8"/>
      <c r="I16" s="8"/>
      <c r="N16" s="9" t="str">
        <f t="shared" si="1"/>
        <v/>
      </c>
    </row>
    <row r="17" spans="3:15" x14ac:dyDescent="0.35">
      <c r="C17" s="6" t="s">
        <v>37</v>
      </c>
      <c r="D17" s="6" t="s">
        <v>36</v>
      </c>
      <c r="E17" s="10" t="s">
        <v>38</v>
      </c>
      <c r="F17" s="2"/>
      <c r="G17" s="10" t="s">
        <v>10</v>
      </c>
      <c r="H17" s="14" t="s">
        <v>40</v>
      </c>
      <c r="I17" s="10" t="s">
        <v>16</v>
      </c>
      <c r="N17" s="20" t="s">
        <v>23</v>
      </c>
      <c r="O17" s="21" t="s">
        <v>39</v>
      </c>
    </row>
    <row r="18" spans="3:15" x14ac:dyDescent="0.35">
      <c r="C18" s="7" cm="1">
        <f t="array" ref="C18:C19">_xlfn.SEQUENCE(B5-B8+1)</f>
        <v>1</v>
      </c>
      <c r="D18" s="7">
        <f>IF(ISBLANK(C18),"",$B$8)</f>
        <v>3</v>
      </c>
      <c r="E18" s="16">
        <v>900000</v>
      </c>
      <c r="G18" s="8">
        <f>IF(ISBLANK(C18),"",(VLOOKUP(D18,$D$6:$G$16,4))+((VLOOKUP($B$8,$D$6:$E$16,2)-$E$18)/($B$5-$B$8+1)))</f>
        <v>4550000</v>
      </c>
      <c r="H18" s="2">
        <f>IF(ISBLANK(C18),"",G18-VLOOKUP(D18,$D$6:$G$14,4))</f>
        <v>2050000</v>
      </c>
      <c r="I18" s="2">
        <f>IF(ISBLANK(C18),"",VLOOKUP(D18,$D$6:$I$14,6))</f>
        <v>1333333.3333333333</v>
      </c>
      <c r="N18" s="9">
        <f t="shared" ref="N18:N24" si="4">IF(ISBLANK(D18), "",SUM(G18,I18:M18,E18))</f>
        <v>6783333.333333333</v>
      </c>
      <c r="O18" s="9">
        <f>VLOOKUP(D18,$D$5:$N$15,11)-N18</f>
        <v>2049999.9999999991</v>
      </c>
    </row>
    <row r="19" spans="3:15" x14ac:dyDescent="0.35">
      <c r="C19" s="7">
        <v>2</v>
      </c>
      <c r="D19" s="7">
        <f>IF(ISBLANK(C19),"",$B$8+C18)</f>
        <v>4</v>
      </c>
      <c r="E19" s="13">
        <f>IF(ISBLANK(C19),"",VLOOKUP(D19,$D$6:$E$16,2))</f>
        <v>5000000</v>
      </c>
      <c r="G19" s="8">
        <f t="shared" ref="G19:G24" si="5">IF(ISBLANK(C19),"",(VLOOKUP(D19,$D$6:$G$16,4))+((VLOOKUP($B$8,$D$6:$E$16,2)-$E$18)/($B$5-$B$8+1)))</f>
        <v>4550000</v>
      </c>
      <c r="H19" s="2">
        <f t="shared" ref="H19:H27" si="6">IF(ISBLANK(C19),"",G19-VLOOKUP(D19,$D$6:$G$14,4))</f>
        <v>2050000</v>
      </c>
      <c r="I19" s="2">
        <f t="shared" ref="I19:I26" si="7">IF(ISBLANK(C19),"",VLOOKUP(D19,$D$6:$I$14,6))</f>
        <v>1333333.3333333333</v>
      </c>
      <c r="N19" s="9">
        <f t="shared" si="4"/>
        <v>10883333.333333332</v>
      </c>
      <c r="O19" s="9">
        <f t="shared" ref="O19:O24" si="8">VLOOKUP(D19,$D$5:$N$15,11)-N19</f>
        <v>-2050000</v>
      </c>
    </row>
    <row r="20" spans="3:15" x14ac:dyDescent="0.35">
      <c r="C20" s="3"/>
      <c r="D20" s="7" t="str">
        <f>IF(ISBLANK(C20),"",$B$8+C19)</f>
        <v/>
      </c>
      <c r="E20" s="13" t="str">
        <f>IF(ISBLANK(C20),"",VLOOKUP(D20,$D$6:$E$16,2))</f>
        <v/>
      </c>
      <c r="G20" s="8" t="str">
        <f t="shared" si="5"/>
        <v/>
      </c>
      <c r="H20" s="2" t="str">
        <f t="shared" si="6"/>
        <v/>
      </c>
      <c r="I20" s="2" t="str">
        <f t="shared" si="7"/>
        <v/>
      </c>
      <c r="N20" s="9">
        <f t="shared" si="4"/>
        <v>0</v>
      </c>
      <c r="O20" s="9" t="e">
        <f t="shared" si="8"/>
        <v>#N/A</v>
      </c>
    </row>
    <row r="21" spans="3:15" x14ac:dyDescent="0.35">
      <c r="C21" s="3"/>
      <c r="D21" s="7" t="str">
        <f t="shared" ref="D21:D31" si="9">IF(ISBLANK(C21),"",$B$8+C20)</f>
        <v/>
      </c>
      <c r="E21" s="13" t="str">
        <f t="shared" ref="E21:E24" si="10">IF(ISBLANK(C21),"",VLOOKUP(D21,$D$6:$E$16,2))</f>
        <v/>
      </c>
      <c r="G21" s="8" t="str">
        <f t="shared" si="5"/>
        <v/>
      </c>
      <c r="H21" s="2" t="str">
        <f t="shared" si="6"/>
        <v/>
      </c>
      <c r="I21" s="2" t="str">
        <f t="shared" si="7"/>
        <v/>
      </c>
      <c r="N21" s="9">
        <f t="shared" si="4"/>
        <v>0</v>
      </c>
      <c r="O21" s="9" t="e">
        <f t="shared" si="8"/>
        <v>#N/A</v>
      </c>
    </row>
    <row r="22" spans="3:15" x14ac:dyDescent="0.35">
      <c r="C22" s="3"/>
      <c r="D22" s="7" t="str">
        <f t="shared" si="9"/>
        <v/>
      </c>
      <c r="E22" s="13" t="str">
        <f t="shared" si="10"/>
        <v/>
      </c>
      <c r="G22" s="8" t="str">
        <f t="shared" si="5"/>
        <v/>
      </c>
      <c r="H22" s="2" t="str">
        <f t="shared" si="6"/>
        <v/>
      </c>
      <c r="I22" s="2" t="str">
        <f t="shared" si="7"/>
        <v/>
      </c>
      <c r="N22" s="9">
        <f t="shared" si="4"/>
        <v>0</v>
      </c>
      <c r="O22" s="9" t="e">
        <f t="shared" si="8"/>
        <v>#N/A</v>
      </c>
    </row>
    <row r="23" spans="3:15" x14ac:dyDescent="0.35">
      <c r="C23" s="3"/>
      <c r="D23" s="7" t="str">
        <f t="shared" si="9"/>
        <v/>
      </c>
      <c r="E23" s="13" t="str">
        <f t="shared" si="10"/>
        <v/>
      </c>
      <c r="G23" s="8" t="str">
        <f t="shared" si="5"/>
        <v/>
      </c>
      <c r="H23" s="2" t="str">
        <f t="shared" si="6"/>
        <v/>
      </c>
      <c r="I23" s="2" t="str">
        <f t="shared" si="7"/>
        <v/>
      </c>
      <c r="N23" s="9">
        <f t="shared" si="4"/>
        <v>0</v>
      </c>
      <c r="O23" s="9" t="e">
        <f t="shared" si="8"/>
        <v>#N/A</v>
      </c>
    </row>
    <row r="24" spans="3:15" x14ac:dyDescent="0.35">
      <c r="C24" s="3"/>
      <c r="D24" s="7" t="str">
        <f t="shared" si="9"/>
        <v/>
      </c>
      <c r="E24" s="13" t="str">
        <f t="shared" si="10"/>
        <v/>
      </c>
      <c r="G24" s="8" t="str">
        <f t="shared" si="5"/>
        <v/>
      </c>
      <c r="H24" s="2" t="str">
        <f t="shared" si="6"/>
        <v/>
      </c>
      <c r="I24" s="2" t="str">
        <f t="shared" si="7"/>
        <v/>
      </c>
      <c r="N24" s="9">
        <f t="shared" si="4"/>
        <v>0</v>
      </c>
      <c r="O24" s="9" t="e">
        <f t="shared" si="8"/>
        <v>#N/A</v>
      </c>
    </row>
    <row r="25" spans="3:15" x14ac:dyDescent="0.35">
      <c r="C25" s="3"/>
      <c r="D25" s="7" t="str">
        <f t="shared" si="9"/>
        <v/>
      </c>
      <c r="G25" s="8" t="str">
        <f t="shared" ref="G25" si="11">IF(ISBLANK(C25),"",G14+((VLOOKUP($B$8,$D$6:$E$16,2)-$E$18)/($B$5-$B$8+1)))</f>
        <v/>
      </c>
      <c r="H25" s="2" t="str">
        <f t="shared" si="6"/>
        <v/>
      </c>
      <c r="I25" s="2" t="str">
        <f t="shared" si="7"/>
        <v/>
      </c>
      <c r="N25" s="9"/>
      <c r="O25" s="9"/>
    </row>
    <row r="26" spans="3:15" x14ac:dyDescent="0.35">
      <c r="C26" s="3"/>
      <c r="D26" s="7" t="str">
        <f t="shared" si="9"/>
        <v/>
      </c>
      <c r="G26" s="8" t="str">
        <f t="shared" ref="G26:G29" si="12">IF(ISBLANK(C26),"",G15+(($E$7-$E$18)/($B$5-$B$8+1)))</f>
        <v/>
      </c>
      <c r="H26" s="2" t="str">
        <f t="shared" si="6"/>
        <v/>
      </c>
      <c r="I26" s="2" t="str">
        <f t="shared" si="7"/>
        <v/>
      </c>
      <c r="N26" s="9"/>
      <c r="O26" s="9"/>
    </row>
    <row r="27" spans="3:15" x14ac:dyDescent="0.35">
      <c r="C27" s="3"/>
      <c r="D27" s="7" t="str">
        <f t="shared" si="9"/>
        <v/>
      </c>
      <c r="G27" s="8" t="str">
        <f t="shared" si="12"/>
        <v/>
      </c>
      <c r="H27" s="2" t="str">
        <f t="shared" si="6"/>
        <v/>
      </c>
      <c r="N27" s="9"/>
      <c r="O27" s="9"/>
    </row>
    <row r="28" spans="3:15" x14ac:dyDescent="0.35">
      <c r="C28" s="3"/>
      <c r="D28" s="7" t="str">
        <f t="shared" si="9"/>
        <v/>
      </c>
      <c r="G28" s="8" t="str">
        <f t="shared" si="12"/>
        <v/>
      </c>
      <c r="N28" s="9"/>
      <c r="O28" s="9"/>
    </row>
    <row r="29" spans="3:15" x14ac:dyDescent="0.35">
      <c r="C29" s="3"/>
      <c r="D29" s="7" t="str">
        <f t="shared" si="9"/>
        <v/>
      </c>
      <c r="G29" s="8" t="str">
        <f t="shared" si="12"/>
        <v/>
      </c>
      <c r="N29" s="9"/>
      <c r="O29" s="9"/>
    </row>
    <row r="30" spans="3:15" x14ac:dyDescent="0.35">
      <c r="C30" s="3"/>
      <c r="D30" s="7" t="str">
        <f t="shared" si="9"/>
        <v/>
      </c>
      <c r="N30" s="9"/>
      <c r="O30" s="9"/>
    </row>
    <row r="31" spans="3:15" x14ac:dyDescent="0.35">
      <c r="C31" s="3"/>
      <c r="D31" s="7" t="str">
        <f t="shared" si="9"/>
        <v/>
      </c>
      <c r="N31" s="9"/>
      <c r="O31" s="9"/>
    </row>
    <row r="32" spans="3:15" x14ac:dyDescent="0.35">
      <c r="D32" s="7" t="str">
        <f t="shared" ref="D32:D33" si="13">IF(ISBLANK(C32),"",$B$8+1)</f>
        <v/>
      </c>
    </row>
    <row r="33" spans="4:4" x14ac:dyDescent="0.35">
      <c r="D33" s="7" t="str">
        <f t="shared" si="13"/>
        <v/>
      </c>
    </row>
  </sheetData>
  <conditionalFormatting sqref="C4">
    <cfRule type="containsText" dxfId="15" priority="3" operator="containsText" text="Check">
      <formula>NOT(ISERROR(SEARCH("Check",C4)))</formula>
    </cfRule>
    <cfRule type="containsText" dxfId="14" priority="4" operator="containsText" text="Ok">
      <formula>NOT(ISERROR(SEARCH("Ok",C4)))</formula>
    </cfRule>
  </conditionalFormatting>
  <conditionalFormatting sqref="E5:F16 F17 E18:F18 F19:F20">
    <cfRule type="cellIs" dxfId="13" priority="5" operator="greaterThanOrEqual">
      <formula>1</formula>
    </cfRule>
  </conditionalFormatting>
  <conditionalFormatting sqref="E2:G2">
    <cfRule type="containsText" dxfId="12" priority="8" operator="containsText" text="Check">
      <formula>NOT(ISERROR(SEARCH("Check",E2)))</formula>
    </cfRule>
    <cfRule type="containsText" dxfId="11" priority="9" operator="containsText" text="Ok">
      <formula>NOT(ISERROR(SEARCH("Ok",E2)))</formula>
    </cfRule>
  </conditionalFormatting>
  <conditionalFormatting sqref="I2">
    <cfRule type="containsText" dxfId="10" priority="6" operator="containsText" text="Check">
      <formula>NOT(ISERROR(SEARCH("Check",I2)))</formula>
    </cfRule>
    <cfRule type="containsText" dxfId="9" priority="7" operator="containsText" text="Ok">
      <formula>NOT(ISERROR(SEARCH("Ok",I2)))</formula>
    </cfRule>
  </conditionalFormatting>
  <conditionalFormatting sqref="O18:O24">
    <cfRule type="cellIs" dxfId="8" priority="1" operator="lessThan">
      <formula>0</formula>
    </cfRule>
    <cfRule type="cellIs" dxfId="7" priority="2"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8C689-28D6-4C52-A3C2-70AAD983587D}">
  <dimension ref="A1:L33"/>
  <sheetViews>
    <sheetView zoomScale="90" zoomScaleNormal="90" workbookViewId="0">
      <selection activeCell="B28" sqref="B28"/>
    </sheetView>
  </sheetViews>
  <sheetFormatPr defaultColWidth="16.81640625" defaultRowHeight="14.5" x14ac:dyDescent="0.35"/>
  <cols>
    <col min="4" max="4" width="16.81640625" style="7"/>
    <col min="7" max="7" width="16.81640625" style="3"/>
  </cols>
  <sheetData>
    <row r="1" spans="1:11" x14ac:dyDescent="0.35">
      <c r="A1" s="1" t="s">
        <v>26</v>
      </c>
      <c r="E1" s="10" t="s">
        <v>9</v>
      </c>
      <c r="F1" s="14" t="s">
        <v>28</v>
      </c>
      <c r="G1" s="10" t="s">
        <v>10</v>
      </c>
      <c r="H1" s="10" t="s">
        <v>16</v>
      </c>
      <c r="I1" s="10" t="s">
        <v>15</v>
      </c>
      <c r="J1" s="10" t="s">
        <v>50</v>
      </c>
      <c r="K1" s="18" t="s">
        <v>23</v>
      </c>
    </row>
    <row r="2" spans="1:11" x14ac:dyDescent="0.35">
      <c r="E2" s="3" t="str">
        <f>IF(E3=SUM(E5:E16),"Ok","Check")</f>
        <v>Ok</v>
      </c>
      <c r="F2" s="3" t="str">
        <f>IF(F3=SUM(F5:F16),"Ok","Check")</f>
        <v>Ok</v>
      </c>
      <c r="G2" s="3" t="str">
        <f>IF(G3=SUM(G5:G15),"Ok","Check")</f>
        <v>Ok</v>
      </c>
      <c r="H2" s="3" t="str">
        <f>IF(H3=SUM(H5:H15),"Ok","Check")</f>
        <v>Ok</v>
      </c>
    </row>
    <row r="3" spans="1:11" x14ac:dyDescent="0.35">
      <c r="C3" s="3"/>
      <c r="E3" s="12">
        <v>14000000</v>
      </c>
      <c r="F3" s="12">
        <v>7000000</v>
      </c>
      <c r="G3" s="11">
        <v>10000000</v>
      </c>
      <c r="H3" s="12">
        <f>IF(B5=1,"n/a",4000000)</f>
        <v>4000000</v>
      </c>
    </row>
    <row r="4" spans="1:11" x14ac:dyDescent="0.35">
      <c r="A4" s="5" t="s">
        <v>1</v>
      </c>
      <c r="B4" s="9">
        <f>SUM(E3,G3:J3)</f>
        <v>28000000</v>
      </c>
      <c r="C4" s="3" t="str">
        <f>IF(B4=SUM(K5:K16),"Ok","Check")</f>
        <v>Ok</v>
      </c>
      <c r="D4" s="6" t="s">
        <v>18</v>
      </c>
    </row>
    <row r="5" spans="1:11" x14ac:dyDescent="0.35">
      <c r="A5" s="5" t="s">
        <v>0</v>
      </c>
      <c r="B5" s="4">
        <v>4</v>
      </c>
      <c r="D5" s="7" cm="1">
        <f t="array" ref="D5:D8">_xlfn.SEQUENCE(B5)</f>
        <v>1</v>
      </c>
      <c r="E5" s="13">
        <v>1000000</v>
      </c>
      <c r="F5" s="15">
        <f>0.5*E5</f>
        <v>500000</v>
      </c>
      <c r="G5" s="8">
        <f>IF(D5&gt;5, "n/a", IF(ISBLANK(D5), "", IF(D5&lt;=$B$6, $G$3/(IF($B$6&gt;=$B$5, $B$5, $B$6)), "")))</f>
        <v>2500000</v>
      </c>
      <c r="H5" s="8" t="str">
        <f t="shared" ref="H5:H13" si="0">IF($B$7=1,"n/a",IF(ISBLANK(D5),"",IF(OR(D5&lt;$B$7,(D5-$B$7+1&gt;5)),"n/a",IF(D5-$B$7&lt;=5,$H$3/IF($B$5-$B$7&gt;=5,5,$B$5-$B$7+1),""))))</f>
        <v>n/a</v>
      </c>
      <c r="K5" s="9">
        <f t="shared" ref="K5:K14" si="1">IF(ISBLANK(D5), "",SUM(G5:J5,E5))</f>
        <v>3500000</v>
      </c>
    </row>
    <row r="6" spans="1:11" x14ac:dyDescent="0.35">
      <c r="A6" s="5" t="s">
        <v>17</v>
      </c>
      <c r="B6" s="17">
        <v>5</v>
      </c>
      <c r="D6" s="7">
        <v>2</v>
      </c>
      <c r="E6" s="13">
        <v>3000000</v>
      </c>
      <c r="F6" s="15">
        <f t="shared" ref="F6:F9" si="2">0.5*E6</f>
        <v>1500000</v>
      </c>
      <c r="G6" s="8">
        <f t="shared" ref="G6:G15" si="3">IF(D6&gt;5, "n/a", IF(ISBLANK(D6), "", IF(D6&lt;=$B$6, $G$3/(IF($B$6&gt;$B$5, $B$5, $B$6)), "")))</f>
        <v>2500000</v>
      </c>
      <c r="H6" s="8">
        <f t="shared" si="0"/>
        <v>1333333.3333333333</v>
      </c>
      <c r="K6" s="9">
        <f t="shared" si="1"/>
        <v>6833333.333333333</v>
      </c>
    </row>
    <row r="7" spans="1:11" x14ac:dyDescent="0.35">
      <c r="A7" s="5" t="s">
        <v>24</v>
      </c>
      <c r="B7" s="4">
        <v>2</v>
      </c>
      <c r="D7" s="7">
        <v>3</v>
      </c>
      <c r="E7" s="13">
        <v>5000000</v>
      </c>
      <c r="F7" s="15">
        <f t="shared" si="2"/>
        <v>2500000</v>
      </c>
      <c r="G7" s="8">
        <f t="shared" si="3"/>
        <v>2500000</v>
      </c>
      <c r="H7" s="8">
        <f t="shared" si="0"/>
        <v>1333333.3333333333</v>
      </c>
      <c r="K7" s="9">
        <f t="shared" si="1"/>
        <v>8833333.3333333321</v>
      </c>
    </row>
    <row r="8" spans="1:11" x14ac:dyDescent="0.35">
      <c r="A8" s="5" t="s">
        <v>42</v>
      </c>
      <c r="B8" s="4">
        <v>2</v>
      </c>
      <c r="D8" s="7">
        <v>4</v>
      </c>
      <c r="E8" s="13">
        <v>5000000</v>
      </c>
      <c r="F8" s="15">
        <f t="shared" si="2"/>
        <v>2500000</v>
      </c>
      <c r="G8" s="8">
        <f>IF(D8&gt;5, "n/a", IF(ISBLANK(D8), "", IF(D8&lt;=$B$6, $G$3/(IF($B$6&gt;$B$5, $B$5, $B$6)), "")))</f>
        <v>2500000</v>
      </c>
      <c r="H8" s="8">
        <f t="shared" si="0"/>
        <v>1333333.3333333333</v>
      </c>
      <c r="K8" s="9">
        <f t="shared" si="1"/>
        <v>8833333.3333333321</v>
      </c>
    </row>
    <row r="9" spans="1:11" x14ac:dyDescent="0.35">
      <c r="E9" s="13"/>
      <c r="F9" s="15">
        <f t="shared" si="2"/>
        <v>0</v>
      </c>
      <c r="G9" s="8" t="str">
        <f t="shared" si="3"/>
        <v/>
      </c>
      <c r="H9" s="8" t="str">
        <f t="shared" si="0"/>
        <v/>
      </c>
      <c r="K9" s="9" t="str">
        <f t="shared" si="1"/>
        <v/>
      </c>
    </row>
    <row r="10" spans="1:11" x14ac:dyDescent="0.35">
      <c r="E10" s="13"/>
      <c r="F10" s="13"/>
      <c r="G10" s="8" t="str">
        <f t="shared" si="3"/>
        <v/>
      </c>
      <c r="H10" s="8" t="str">
        <f t="shared" si="0"/>
        <v/>
      </c>
      <c r="K10" s="9" t="str">
        <f t="shared" si="1"/>
        <v/>
      </c>
    </row>
    <row r="11" spans="1:11" x14ac:dyDescent="0.35">
      <c r="A11" s="5" t="s">
        <v>30</v>
      </c>
      <c r="B11" s="9">
        <f>SUM(F5:G15)</f>
        <v>17000000</v>
      </c>
      <c r="E11" s="13"/>
      <c r="F11" s="13"/>
      <c r="G11" s="8" t="str">
        <f t="shared" si="3"/>
        <v/>
      </c>
      <c r="H11" s="8" t="str">
        <f t="shared" si="0"/>
        <v/>
      </c>
      <c r="K11" s="9" t="str">
        <f t="shared" si="1"/>
        <v/>
      </c>
    </row>
    <row r="12" spans="1:11" x14ac:dyDescent="0.35">
      <c r="A12" s="5" t="s">
        <v>29</v>
      </c>
      <c r="B12" s="9">
        <f>B11+SUM(H5:I15)</f>
        <v>21000000</v>
      </c>
      <c r="E12" s="13"/>
      <c r="F12" s="13"/>
      <c r="G12" s="8" t="str">
        <f t="shared" si="3"/>
        <v/>
      </c>
      <c r="H12" s="8" t="str">
        <f t="shared" si="0"/>
        <v/>
      </c>
      <c r="K12" s="9" t="str">
        <f t="shared" si="1"/>
        <v/>
      </c>
    </row>
    <row r="13" spans="1:11" x14ac:dyDescent="0.35">
      <c r="E13" s="2"/>
      <c r="F13" s="2"/>
      <c r="G13" s="8" t="str">
        <f t="shared" si="3"/>
        <v/>
      </c>
      <c r="H13" s="8" t="str">
        <f t="shared" si="0"/>
        <v/>
      </c>
      <c r="K13" s="9" t="str">
        <f t="shared" si="1"/>
        <v/>
      </c>
    </row>
    <row r="14" spans="1:11" x14ac:dyDescent="0.35">
      <c r="E14" s="2"/>
      <c r="F14" s="2"/>
      <c r="G14" s="8" t="str">
        <f t="shared" si="3"/>
        <v/>
      </c>
      <c r="H14" s="8"/>
      <c r="K14" s="9" t="str">
        <f t="shared" si="1"/>
        <v/>
      </c>
    </row>
    <row r="15" spans="1:11" x14ac:dyDescent="0.35">
      <c r="E15" s="2"/>
      <c r="F15" s="2"/>
      <c r="G15" s="8" t="str">
        <f t="shared" si="3"/>
        <v/>
      </c>
      <c r="H15" s="8" t="str">
        <f>IF(B15=1,"n/a",IF(ISBLANK(D15),"",IF(D15&lt;$B$7,"n/a",IF(D15-$B$7&lt;=5,$H$3/IF($B$5-$B$7&gt;5,5,$B$5-$B$7+1),""))))</f>
        <v/>
      </c>
    </row>
    <row r="16" spans="1:11" x14ac:dyDescent="0.35">
      <c r="C16" s="7"/>
      <c r="E16" s="2"/>
      <c r="F16" s="2"/>
      <c r="G16" s="9" t="str">
        <f>IF(ISBLANK(D15), "",SUM(G15:J15,E15))</f>
        <v/>
      </c>
    </row>
    <row r="17" spans="3:12" x14ac:dyDescent="0.35">
      <c r="C17" s="6" t="s">
        <v>48</v>
      </c>
      <c r="D17" s="6" t="s">
        <v>36</v>
      </c>
      <c r="E17" s="10" t="s">
        <v>43</v>
      </c>
      <c r="F17" s="10" t="s">
        <v>44</v>
      </c>
      <c r="G17" s="20" t="s">
        <v>45</v>
      </c>
      <c r="H17" s="21" t="s">
        <v>39</v>
      </c>
    </row>
    <row r="18" spans="3:12" x14ac:dyDescent="0.35">
      <c r="C18" s="22" t="s">
        <v>47</v>
      </c>
      <c r="D18" s="7">
        <f>B8</f>
        <v>2</v>
      </c>
      <c r="E18" s="13">
        <f>SUMIF($D$5:$D$13,"&gt;="&amp;$B$8,F5:F13)</f>
        <v>6500000</v>
      </c>
      <c r="F18" s="13">
        <f>SUMIF($D$5:$D$13,"&gt;="&amp;$B$8,G5:G13)</f>
        <v>7500000</v>
      </c>
      <c r="G18" s="9">
        <f>SUM(E18:F18)</f>
        <v>14000000</v>
      </c>
      <c r="H18" s="9">
        <f>VLOOKUP(D18,$D$5:$K$15,8)-G18</f>
        <v>-7166666.666666667</v>
      </c>
    </row>
    <row r="19" spans="3:12" x14ac:dyDescent="0.35">
      <c r="C19" s="7"/>
      <c r="D19" s="7" t="str">
        <f>IF(ISBLANK(C19),"",$B$8+C18)</f>
        <v/>
      </c>
      <c r="K19" s="9"/>
      <c r="L19" s="9"/>
    </row>
    <row r="20" spans="3:12" x14ac:dyDescent="0.35">
      <c r="C20" s="3"/>
      <c r="D20" s="7" t="str">
        <f>IF(ISBLANK(C20),"",$B$8+C19)</f>
        <v/>
      </c>
      <c r="E20" s="13" t="str">
        <f>IF(ISBLANK(C20),"",VLOOKUP(D20,$D$6:$E$16,2))</f>
        <v/>
      </c>
      <c r="K20" s="9"/>
      <c r="L20" s="9"/>
    </row>
    <row r="21" spans="3:12" x14ac:dyDescent="0.35">
      <c r="C21" s="3"/>
      <c r="D21" s="7" t="str">
        <f t="shared" ref="D21:D31" si="4">IF(ISBLANK(C21),"",$B$8+C20)</f>
        <v/>
      </c>
      <c r="E21" s="13" t="str">
        <f t="shared" ref="E21:E24" si="5">IF(ISBLANK(C21),"",VLOOKUP(D21,$D$6:$E$16,2))</f>
        <v/>
      </c>
      <c r="G21" s="8" t="str">
        <f>IF(ISBLANK(C21),"",(VLOOKUP(D21,$D$6:$G$16,4))+((VLOOKUP($B$8,$D$6:$E$16,2)-#REF!)/($B$5-$B$8+1)))</f>
        <v/>
      </c>
      <c r="H21" s="2" t="str">
        <f t="shared" ref="H21:H26" si="6">IF(ISBLANK(C21),"",VLOOKUP(D21,$D$6:$H$14,6))</f>
        <v/>
      </c>
      <c r="K21" s="9"/>
      <c r="L21" s="9"/>
    </row>
    <row r="22" spans="3:12" x14ac:dyDescent="0.35">
      <c r="C22" s="3"/>
      <c r="D22" s="7" t="str">
        <f t="shared" si="4"/>
        <v/>
      </c>
      <c r="E22" s="13" t="str">
        <f t="shared" si="5"/>
        <v/>
      </c>
      <c r="G22" s="8" t="str">
        <f>IF(ISBLANK(C22),"",(VLOOKUP(D22,$D$6:$G$16,4))+((VLOOKUP($B$8,$D$6:$E$16,2)-#REF!)/($B$5-$B$8+1)))</f>
        <v/>
      </c>
      <c r="H22" s="2" t="str">
        <f t="shared" si="6"/>
        <v/>
      </c>
      <c r="K22" s="9"/>
      <c r="L22" s="9"/>
    </row>
    <row r="23" spans="3:12" x14ac:dyDescent="0.35">
      <c r="C23" s="3"/>
      <c r="D23" s="7" t="str">
        <f t="shared" si="4"/>
        <v/>
      </c>
      <c r="E23" s="13" t="str">
        <f t="shared" si="5"/>
        <v/>
      </c>
      <c r="G23" s="8" t="str">
        <f>IF(ISBLANK(C23),"",(VLOOKUP(D23,$D$6:$G$16,4))+((VLOOKUP($B$8,$D$6:$E$16,2)-#REF!)/($B$5-$B$8+1)))</f>
        <v/>
      </c>
      <c r="H23" s="2" t="str">
        <f t="shared" si="6"/>
        <v/>
      </c>
      <c r="K23" s="9"/>
      <c r="L23" s="9"/>
    </row>
    <row r="24" spans="3:12" x14ac:dyDescent="0.35">
      <c r="C24" s="3"/>
      <c r="D24" s="7" t="str">
        <f t="shared" si="4"/>
        <v/>
      </c>
      <c r="E24" s="13" t="str">
        <f t="shared" si="5"/>
        <v/>
      </c>
      <c r="G24" s="8" t="str">
        <f>IF(ISBLANK(C24),"",(VLOOKUP(D24,$D$6:$G$16,4))+((VLOOKUP($B$8,$D$6:$E$16,2)-#REF!)/($B$5-$B$8+1)))</f>
        <v/>
      </c>
      <c r="H24" s="2" t="str">
        <f t="shared" si="6"/>
        <v/>
      </c>
      <c r="K24" s="9"/>
      <c r="L24" s="9"/>
    </row>
    <row r="25" spans="3:12" x14ac:dyDescent="0.35">
      <c r="C25" s="3"/>
      <c r="D25" s="7" t="str">
        <f t="shared" si="4"/>
        <v/>
      </c>
      <c r="G25" s="8" t="str">
        <f>IF(ISBLANK(C25),"",G14+((VLOOKUP($B$8,$D$6:$E$16,2)-#REF!)/($B$5-$B$8+1)))</f>
        <v/>
      </c>
      <c r="H25" s="2" t="str">
        <f t="shared" si="6"/>
        <v/>
      </c>
      <c r="K25" s="9"/>
      <c r="L25" s="9"/>
    </row>
    <row r="26" spans="3:12" x14ac:dyDescent="0.35">
      <c r="C26" s="3"/>
      <c r="D26" s="7" t="str">
        <f t="shared" si="4"/>
        <v/>
      </c>
      <c r="G26" s="8" t="str">
        <f>IF(ISBLANK(C26),"",G15+(($E$7-#REF!)/($B$5-$B$8+1)))</f>
        <v/>
      </c>
      <c r="H26" s="2" t="str">
        <f t="shared" si="6"/>
        <v/>
      </c>
      <c r="K26" s="9"/>
      <c r="L26" s="9"/>
    </row>
    <row r="27" spans="3:12" x14ac:dyDescent="0.35">
      <c r="C27" s="3"/>
      <c r="D27" s="7" t="str">
        <f t="shared" si="4"/>
        <v/>
      </c>
      <c r="G27" s="8" t="str">
        <f>IF(ISBLANK(C27),"",#REF!+(($E$7-#REF!)/($B$5-$B$8+1)))</f>
        <v/>
      </c>
      <c r="K27" s="9"/>
      <c r="L27" s="9"/>
    </row>
    <row r="28" spans="3:12" x14ac:dyDescent="0.35">
      <c r="C28" s="3"/>
      <c r="D28" s="7" t="str">
        <f t="shared" si="4"/>
        <v/>
      </c>
      <c r="G28" s="8" t="str">
        <f>IF(ISBLANK(C28),"",F17+(($E$7-#REF!)/($B$5-$B$8+1)))</f>
        <v/>
      </c>
      <c r="K28" s="9"/>
      <c r="L28" s="9"/>
    </row>
    <row r="29" spans="3:12" x14ac:dyDescent="0.35">
      <c r="C29" s="3"/>
      <c r="D29" s="7" t="str">
        <f t="shared" si="4"/>
        <v/>
      </c>
      <c r="G29" s="8" t="str">
        <f>IF(ISBLANK(C29),"",F18+(($E$7-#REF!)/($B$5-$B$8+1)))</f>
        <v/>
      </c>
      <c r="K29" s="9"/>
      <c r="L29" s="9"/>
    </row>
    <row r="30" spans="3:12" x14ac:dyDescent="0.35">
      <c r="C30" s="3"/>
      <c r="D30" s="7" t="str">
        <f t="shared" si="4"/>
        <v/>
      </c>
      <c r="K30" s="9"/>
      <c r="L30" s="9"/>
    </row>
    <row r="31" spans="3:12" x14ac:dyDescent="0.35">
      <c r="C31" s="3"/>
      <c r="D31" s="7" t="str">
        <f t="shared" si="4"/>
        <v/>
      </c>
      <c r="K31" s="9"/>
      <c r="L31" s="9"/>
    </row>
    <row r="32" spans="3:12" x14ac:dyDescent="0.35">
      <c r="D32" s="7" t="str">
        <f t="shared" ref="D32:D33" si="7">IF(ISBLANK(C32),"",$B$8+1)</f>
        <v/>
      </c>
    </row>
    <row r="33" spans="4:4" x14ac:dyDescent="0.35">
      <c r="D33" s="7" t="str">
        <f t="shared" si="7"/>
        <v/>
      </c>
    </row>
  </sheetData>
  <conditionalFormatting sqref="C4">
    <cfRule type="containsText" dxfId="6" priority="3" operator="containsText" text="Check">
      <formula>NOT(ISERROR(SEARCH("Check",C4)))</formula>
    </cfRule>
    <cfRule type="containsText" dxfId="5" priority="4" operator="containsText" text="Ok">
      <formula>NOT(ISERROR(SEARCH("Ok",C4)))</formula>
    </cfRule>
  </conditionalFormatting>
  <conditionalFormatting sqref="E5:F16 F19:F20">
    <cfRule type="cellIs" dxfId="4" priority="5" operator="greaterThanOrEqual">
      <formula>1</formula>
    </cfRule>
  </conditionalFormatting>
  <conditionalFormatting sqref="E2:H2">
    <cfRule type="containsText" dxfId="3" priority="6" operator="containsText" text="Check">
      <formula>NOT(ISERROR(SEARCH("Check",E2)))</formula>
    </cfRule>
    <cfRule type="containsText" dxfId="2" priority="7" operator="containsText" text="Ok">
      <formula>NOT(ISERROR(SEARCH("Ok",E2)))</formula>
    </cfRule>
  </conditionalFormatting>
  <conditionalFormatting sqref="H18">
    <cfRule type="cellIs" dxfId="1" priority="1" operator="lessThan">
      <formula>0</formula>
    </cfRule>
    <cfRule type="cellIs" dxfId="0" priority="2" operator="greaterThan">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ut Timing" prompt="Select from dropdown" xr:uid="{0F390F23-B912-4E51-B79A-BF852E4C31A0}">
          <x14:formula1>
            <xm:f>Placeholder!$D$11:$D$12</xm:f>
          </x14:formula1>
          <xm:sqref>C18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88AF-915F-4715-B221-0C54D6844792}">
  <dimension ref="D11:D12"/>
  <sheetViews>
    <sheetView workbookViewId="0">
      <selection activeCell="D12" sqref="D12"/>
    </sheetView>
  </sheetViews>
  <sheetFormatPr defaultRowHeight="14.5" x14ac:dyDescent="0.35"/>
  <sheetData>
    <row r="11" spans="4:4" x14ac:dyDescent="0.35">
      <c r="D11" t="s">
        <v>46</v>
      </c>
    </row>
    <row r="12" spans="4:4" x14ac:dyDescent="0.35">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Basics</vt:lpstr>
      <vt:lpstr>Builder</vt:lpstr>
      <vt:lpstr>Restructure Calculator</vt:lpstr>
      <vt:lpstr>Cut Calculator</vt:lpstr>
      <vt:lpstr>Placeholder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Battinieri, Christopher</dc:creator>
  <cp:lastModifiedBy>Battinieri, Christopher</cp:lastModifiedBy>
  <dcterms:created xsi:type="dcterms:W3CDTF">2024-05-30T15:00:21Z</dcterms:created>
  <dcterms:modified xsi:type="dcterms:W3CDTF">2024-12-09T18:36:56Z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ec73f6c-70eb-4b84-9ffa-39fe698bd292_Enabled">
    <vt:lpwstr>true</vt:lpwstr>
  </property>
  <property fmtid="{D5CDD505-2E9C-101B-9397-08002B2CF9AE}" pid="3" name="MSIP_Label_7ec73f6c-70eb-4b84-9ffa-39fe698bd292_SetDate">
    <vt:lpwstr>2024-05-30T15:12:07Z</vt:lpwstr>
  </property>
  <property fmtid="{D5CDD505-2E9C-101B-9397-08002B2CF9AE}" pid="4" name="MSIP_Label_7ec73f6c-70eb-4b84-9ffa-39fe698bd292_Method">
    <vt:lpwstr>Privileged</vt:lpwstr>
  </property>
  <property fmtid="{D5CDD505-2E9C-101B-9397-08002B2CF9AE}" pid="5" name="MSIP_Label_7ec73f6c-70eb-4b84-9ffa-39fe698bd292_Name">
    <vt:lpwstr>Non-Business Information (NB)</vt:lpwstr>
  </property>
  <property fmtid="{D5CDD505-2E9C-101B-9397-08002B2CF9AE}" pid="6" name="MSIP_Label_7ec73f6c-70eb-4b84-9ffa-39fe698bd292_SiteId">
    <vt:lpwstr>906aefe9-76a7-4f65-b82d-5ec20775d5aa</vt:lpwstr>
  </property>
  <property fmtid="{D5CDD505-2E9C-101B-9397-08002B2CF9AE}" pid="7" name="MSIP_Label_7ec73f6c-70eb-4b84-9ffa-39fe698bd292_ActionId">
    <vt:lpwstr>80c9532c-712a-48c4-aa84-90bed0d97c97</vt:lpwstr>
  </property>
  <property fmtid="{D5CDD505-2E9C-101B-9397-08002B2CF9AE}" pid="8" name="MSIP_Label_7ec73f6c-70eb-4b84-9ffa-39fe698bd292_ContentBits">
    <vt:lpwstr>0</vt:lpwstr>
  </property>
</Properties>
</file>