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omhughes/Document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C15" i="1"/>
  <c r="E15" i="1"/>
  <c r="F15" i="1"/>
  <c r="M20" i="1"/>
  <c r="A21" i="1"/>
  <c r="A24" i="1"/>
  <c r="I20" i="1"/>
  <c r="L20" i="1"/>
  <c r="O20" i="1"/>
  <c r="E21" i="1"/>
  <c r="M21" i="1"/>
  <c r="I21" i="1"/>
  <c r="L21" i="1"/>
  <c r="O21" i="1"/>
  <c r="F21" i="1"/>
  <c r="E22" i="1"/>
  <c r="M22" i="1"/>
  <c r="I22" i="1"/>
  <c r="L22" i="1"/>
  <c r="O22" i="1"/>
  <c r="F22" i="1"/>
  <c r="E23" i="1"/>
  <c r="M23" i="1"/>
  <c r="I23" i="1"/>
  <c r="L23" i="1"/>
  <c r="O23" i="1"/>
  <c r="F23" i="1"/>
  <c r="E24" i="1"/>
  <c r="M24" i="1"/>
  <c r="I24" i="1"/>
  <c r="L24" i="1"/>
  <c r="O24" i="1"/>
  <c r="F24" i="1"/>
  <c r="E25" i="1"/>
  <c r="M25" i="1"/>
  <c r="I25" i="1"/>
  <c r="L25" i="1"/>
  <c r="O25" i="1"/>
  <c r="F25" i="1"/>
  <c r="E26" i="1"/>
  <c r="M26" i="1"/>
  <c r="I26" i="1"/>
  <c r="L26" i="1"/>
  <c r="O26" i="1"/>
  <c r="F26" i="1"/>
  <c r="E27" i="1"/>
  <c r="M27" i="1"/>
  <c r="I27" i="1"/>
  <c r="L27" i="1"/>
  <c r="O27" i="1"/>
  <c r="F27" i="1"/>
  <c r="E28" i="1"/>
  <c r="M28" i="1"/>
  <c r="I28" i="1"/>
  <c r="L28" i="1"/>
  <c r="O28" i="1"/>
  <c r="F28" i="1"/>
  <c r="E29" i="1"/>
  <c r="M29" i="1"/>
  <c r="I29" i="1"/>
  <c r="L29" i="1"/>
  <c r="O29" i="1"/>
  <c r="F29" i="1"/>
  <c r="E30" i="1"/>
  <c r="M30" i="1"/>
  <c r="I30" i="1"/>
  <c r="L30" i="1"/>
  <c r="O30" i="1"/>
  <c r="F30" i="1"/>
  <c r="E31" i="1"/>
  <c r="M31" i="1"/>
  <c r="I31" i="1"/>
  <c r="L31" i="1"/>
  <c r="O31" i="1"/>
  <c r="F31" i="1"/>
  <c r="E32" i="1"/>
  <c r="M32" i="1"/>
  <c r="I32" i="1"/>
  <c r="L32" i="1"/>
  <c r="O32" i="1"/>
  <c r="F32" i="1"/>
  <c r="E33" i="1"/>
  <c r="M33" i="1"/>
  <c r="I33" i="1"/>
  <c r="L33" i="1"/>
  <c r="O33" i="1"/>
  <c r="F33" i="1"/>
  <c r="E34" i="1"/>
  <c r="M34" i="1"/>
  <c r="L34" i="1"/>
  <c r="O34" i="1"/>
  <c r="F34" i="1"/>
  <c r="E35" i="1"/>
  <c r="M35" i="1"/>
  <c r="L35" i="1"/>
  <c r="O35" i="1"/>
  <c r="F35" i="1"/>
  <c r="E36" i="1"/>
  <c r="M36" i="1"/>
  <c r="L36" i="1"/>
  <c r="O36" i="1"/>
  <c r="F36" i="1"/>
  <c r="E37" i="1"/>
  <c r="M37" i="1"/>
  <c r="L37" i="1"/>
  <c r="O37" i="1"/>
  <c r="F37" i="1"/>
  <c r="E38" i="1"/>
  <c r="M38" i="1"/>
  <c r="L38" i="1"/>
  <c r="O38" i="1"/>
  <c r="E39" i="1"/>
  <c r="M39" i="1"/>
  <c r="L39" i="1"/>
  <c r="O39" i="1"/>
  <c r="E40" i="1"/>
  <c r="M40" i="1"/>
  <c r="I40" i="1"/>
  <c r="L40" i="1"/>
  <c r="O40" i="1"/>
  <c r="E41" i="1"/>
  <c r="M41" i="1"/>
  <c r="I41" i="1"/>
  <c r="L41" i="1"/>
  <c r="O41" i="1"/>
  <c r="E42" i="1"/>
  <c r="M42" i="1"/>
  <c r="I42" i="1"/>
  <c r="L42" i="1"/>
  <c r="O42" i="1"/>
  <c r="E43" i="1"/>
  <c r="M43" i="1"/>
  <c r="A44" i="1"/>
  <c r="I43" i="1"/>
  <c r="L43" i="1"/>
  <c r="O43" i="1"/>
  <c r="E44" i="1"/>
  <c r="M44" i="1"/>
  <c r="I44" i="1"/>
  <c r="L44" i="1"/>
  <c r="O44" i="1"/>
  <c r="R43" i="1"/>
  <c r="R30" i="1"/>
  <c r="E45" i="1"/>
  <c r="M45" i="1"/>
  <c r="I45" i="1"/>
  <c r="L45" i="1"/>
  <c r="O45" i="1"/>
  <c r="E46" i="1"/>
  <c r="M46" i="1"/>
  <c r="I46" i="1"/>
  <c r="L46" i="1"/>
  <c r="O46" i="1"/>
  <c r="E47" i="1"/>
  <c r="M47" i="1"/>
  <c r="I47" i="1"/>
  <c r="L47" i="1"/>
  <c r="O47" i="1"/>
  <c r="E48" i="1"/>
  <c r="M48" i="1"/>
  <c r="I48" i="1"/>
  <c r="L48" i="1"/>
  <c r="O48" i="1"/>
  <c r="E49" i="1"/>
  <c r="M49" i="1"/>
  <c r="I49" i="1"/>
  <c r="L49" i="1"/>
  <c r="O49" i="1"/>
  <c r="E50" i="1"/>
  <c r="M50" i="1"/>
  <c r="I50" i="1"/>
  <c r="J50" i="1"/>
  <c r="L50" i="1"/>
  <c r="O50" i="1"/>
  <c r="E51" i="1"/>
  <c r="M51" i="1"/>
  <c r="I51" i="1"/>
  <c r="J51" i="1"/>
  <c r="L51" i="1"/>
  <c r="O51" i="1"/>
  <c r="E52" i="1"/>
  <c r="M52" i="1"/>
  <c r="I52" i="1"/>
  <c r="J52" i="1"/>
  <c r="L52" i="1"/>
  <c r="O52" i="1"/>
  <c r="E53" i="1"/>
  <c r="M53" i="1"/>
  <c r="I53" i="1"/>
  <c r="J53" i="1"/>
  <c r="L53" i="1"/>
  <c r="O53" i="1"/>
  <c r="E54" i="1"/>
  <c r="M54" i="1"/>
  <c r="I54" i="1"/>
  <c r="J54" i="1"/>
  <c r="L54" i="1"/>
  <c r="O54" i="1"/>
  <c r="E55" i="1"/>
  <c r="M55" i="1"/>
  <c r="I55" i="1"/>
  <c r="J55" i="1"/>
  <c r="L55" i="1"/>
  <c r="O55" i="1"/>
  <c r="O58" i="1"/>
  <c r="A52" i="1"/>
  <c r="O57" i="1"/>
  <c r="E57" i="1"/>
  <c r="A41" i="1"/>
  <c r="A35" i="1"/>
  <c r="A32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0" i="1"/>
  <c r="N21" i="1"/>
  <c r="N22" i="1"/>
  <c r="N23" i="1"/>
  <c r="N24" i="1"/>
  <c r="N25" i="1"/>
  <c r="N26" i="1"/>
  <c r="N27" i="1"/>
  <c r="N28" i="1"/>
  <c r="N29" i="1"/>
  <c r="N20" i="1"/>
  <c r="P44" i="1"/>
  <c r="P45" i="1"/>
  <c r="P46" i="1"/>
  <c r="P47" i="1"/>
  <c r="P48" i="1"/>
  <c r="P49" i="1"/>
  <c r="P50" i="1"/>
  <c r="P51" i="1"/>
  <c r="P52" i="1"/>
  <c r="P53" i="1"/>
  <c r="P54" i="1"/>
  <c r="P55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1" i="1"/>
  <c r="D3" i="1"/>
  <c r="B3" i="1"/>
  <c r="E3" i="1"/>
  <c r="D4" i="1"/>
  <c r="E4" i="1"/>
  <c r="D5" i="1"/>
  <c r="E5" i="1"/>
  <c r="E6" i="1"/>
</calcChain>
</file>

<file path=xl/sharedStrings.xml><?xml version="1.0" encoding="utf-8"?>
<sst xmlns="http://schemas.openxmlformats.org/spreadsheetml/2006/main" count="53" uniqueCount="47">
  <si>
    <t>Age</t>
  </si>
  <si>
    <t>25-29</t>
  </si>
  <si>
    <t>30-34</t>
  </si>
  <si>
    <t>Number</t>
  </si>
  <si>
    <t>22-24</t>
  </si>
  <si>
    <t>USA Popuation</t>
  </si>
  <si>
    <t>Size</t>
  </si>
  <si>
    <t>TOTAL</t>
  </si>
  <si>
    <t>% graduated from university</t>
  </si>
  <si>
    <t>% employed</t>
  </si>
  <si>
    <t>Per day</t>
  </si>
  <si>
    <t>Facebook CAC estimate</t>
  </si>
  <si>
    <t>click through</t>
  </si>
  <si>
    <t>convert</t>
  </si>
  <si>
    <t>CPC</t>
  </si>
  <si>
    <t>Cost per month</t>
  </si>
  <si>
    <t>COGS</t>
  </si>
  <si>
    <t>FB ads cost per day</t>
  </si>
  <si>
    <t>Month</t>
  </si>
  <si>
    <t>rev per lead</t>
  </si>
  <si>
    <t>Revenue</t>
  </si>
  <si>
    <t>Events</t>
  </si>
  <si>
    <t>customers convert</t>
  </si>
  <si>
    <t>Growth rate</t>
  </si>
  <si>
    <t>Salary Costs</t>
  </si>
  <si>
    <t>Salary per month</t>
  </si>
  <si>
    <t>Other costs</t>
  </si>
  <si>
    <t>total salary cost per month</t>
  </si>
  <si>
    <t>Rent</t>
  </si>
  <si>
    <t>3 founders get salary of $50K each</t>
  </si>
  <si>
    <t>Increase founder salary to $80K per year</t>
  </si>
  <si>
    <t>Increase founder salary to $120K per year</t>
  </si>
  <si>
    <t>Get an office space and hire 2 people at 70K each</t>
  </si>
  <si>
    <t>Hire 4 more people at 100K per year</t>
  </si>
  <si>
    <t>Total Losses</t>
  </si>
  <si>
    <t>Increase founder salary to $200K per year</t>
  </si>
  <si>
    <t>Increase everyone's salary to an average of $120K per year</t>
  </si>
  <si>
    <t>Hire 6 more people at 150K per year</t>
  </si>
  <si>
    <t>Operating Profit</t>
  </si>
  <si>
    <t>Profit Growth</t>
  </si>
  <si>
    <t>http://www.census.gov/population/age/data/2012comp.html</t>
  </si>
  <si>
    <t>https://www.census.gov/hhes/socdemo/education/data/cps/2014/tables.html</t>
  </si>
  <si>
    <t>http://www.epi.org/publication/the-class-of-2015/</t>
  </si>
  <si>
    <t>Revenue Projections</t>
  </si>
  <si>
    <t>TOTAL Operating Profit</t>
  </si>
  <si>
    <t>Total Customers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</si>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</sst>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10" fontId="0" fillId="0" borderId="0" xfId="2" applyNumberFormat="1" applyFon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left"/>
    </xf>
    <xf numFmtId="165" fontId="0" fillId="0" borderId="0" xfId="1" applyNumberFormat="1" applyFont="1" applyFill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9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0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Sheet1!$N$20:$N$55</c:f>
              <c:numCache>
                <c:formatCode>"$"#,##0.00</c:formatCode>
                <c:ptCount val="36"/>
                <c:pt idx="0">
                  <c:v>-4120.0</c:v>
                </c:pt>
                <c:pt idx="1">
                  <c:v>-3270.0</c:v>
                </c:pt>
                <c:pt idx="2">
                  <c:v>-2325.65</c:v>
                </c:pt>
                <c:pt idx="3">
                  <c:v>-1233.934182499999</c:v>
                </c:pt>
                <c:pt idx="4">
                  <c:v>33.93271144316895</c:v>
                </c:pt>
                <c:pt idx="5">
                  <c:v>1513.432105806693</c:v>
                </c:pt>
                <c:pt idx="6">
                  <c:v>3248.538886721122</c:v>
                </c:pt>
                <c:pt idx="7">
                  <c:v>5216.139205711186</c:v>
                </c:pt>
                <c:pt idx="8">
                  <c:v>7538.288277739457</c:v>
                </c:pt>
                <c:pt idx="9">
                  <c:v>10293.98991091488</c:v>
                </c:pt>
                <c:pt idx="10">
                  <c:v>13544.81266090751</c:v>
                </c:pt>
                <c:pt idx="11">
                  <c:v>13684.19601363749</c:v>
                </c:pt>
                <c:pt idx="12">
                  <c:v>13846.19046587507</c:v>
                </c:pt>
                <c:pt idx="13">
                  <c:v>14042.1767812047</c:v>
                </c:pt>
                <c:pt idx="14">
                  <c:v>21780.85385022072</c:v>
                </c:pt>
                <c:pt idx="15">
                  <c:v>22073.52359492983</c:v>
                </c:pt>
                <c:pt idx="16">
                  <c:v>22434.97870690256</c:v>
                </c:pt>
                <c:pt idx="17">
                  <c:v>22867.59620831826</c:v>
                </c:pt>
                <c:pt idx="18">
                  <c:v>41406.7333991475</c:v>
                </c:pt>
                <c:pt idx="19">
                  <c:v>42064.080078977</c:v>
                </c:pt>
                <c:pt idx="20">
                  <c:v>64519.56276143907</c:v>
                </c:pt>
                <c:pt idx="21">
                  <c:v>65466.14198039355</c:v>
                </c:pt>
                <c:pt idx="22">
                  <c:v>66602.03704313893</c:v>
                </c:pt>
                <c:pt idx="23">
                  <c:v>76298.44445176673</c:v>
                </c:pt>
                <c:pt idx="24">
                  <c:v>77934.13334212007</c:v>
                </c:pt>
                <c:pt idx="25">
                  <c:v>79896.96001054407</c:v>
                </c:pt>
                <c:pt idx="26">
                  <c:v>82252.35201265289</c:v>
                </c:pt>
                <c:pt idx="27">
                  <c:v>118412.1557485168</c:v>
                </c:pt>
                <c:pt idx="28">
                  <c:v>121803.9202315535</c:v>
                </c:pt>
                <c:pt idx="29">
                  <c:v>125874.0376111975</c:v>
                </c:pt>
                <c:pt idx="30">
                  <c:v>130794.1784667704</c:v>
                </c:pt>
                <c:pt idx="31">
                  <c:v>248321.8141601244</c:v>
                </c:pt>
                <c:pt idx="32">
                  <c:v>255354.9769921493</c:v>
                </c:pt>
                <c:pt idx="33">
                  <c:v>263794.7723905791</c:v>
                </c:pt>
                <c:pt idx="34">
                  <c:v>273922.526868695</c:v>
                </c:pt>
                <c:pt idx="35">
                  <c:v>286075.832242434</c:v>
                </c:pt>
              </c:numCache>
            </c:numRef>
          </c:val>
        </c:ser>
        <c:ser>
          <c:idx val="1"/>
          <c:order val="1"/>
          <c:tx>
            <c:strRef>
              <c:f>Sheet1!$O$19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Sheet1!$O$20:$O$55</c:f>
              <c:numCache>
                <c:formatCode>"$"#,##0.00</c:formatCode>
                <c:ptCount val="36"/>
                <c:pt idx="0">
                  <c:v>-8520.0</c:v>
                </c:pt>
                <c:pt idx="1">
                  <c:v>-8110.0</c:v>
                </c:pt>
                <c:pt idx="2">
                  <c:v>-7654.49</c:v>
                </c:pt>
                <c:pt idx="3">
                  <c:v>-7127.8976645</c:v>
                </c:pt>
                <c:pt idx="4">
                  <c:v>-6516.338339186236</c:v>
                </c:pt>
                <c:pt idx="5">
                  <c:v>-5802.697454846184</c:v>
                </c:pt>
                <c:pt idx="6">
                  <c:v>-4965.76359581687</c:v>
                </c:pt>
                <c:pt idx="7">
                  <c:v>-4016.685794892252</c:v>
                </c:pt>
                <c:pt idx="8">
                  <c:v>-2896.590360149203</c:v>
                </c:pt>
                <c:pt idx="9">
                  <c:v>-1567.369572382233</c:v>
                </c:pt>
                <c:pt idx="10">
                  <c:v>19.1063657359864</c:v>
                </c:pt>
                <c:pt idx="11">
                  <c:v>1924.012186378966</c:v>
                </c:pt>
                <c:pt idx="12">
                  <c:v>4137.936366959251</c:v>
                </c:pt>
                <c:pt idx="13">
                  <c:v>6816.416009797581</c:v>
                </c:pt>
                <c:pt idx="14">
                  <c:v>2578.33595301655</c:v>
                </c:pt>
                <c:pt idx="15">
                  <c:v>6578.15579737426</c:v>
                </c:pt>
                <c:pt idx="16">
                  <c:v>11518.04232766834</c:v>
                </c:pt>
                <c:pt idx="17">
                  <c:v>17430.48151368284</c:v>
                </c:pt>
                <c:pt idx="18">
                  <c:v>6798.689788349242</c:v>
                </c:pt>
                <c:pt idx="19">
                  <c:v>15782.42774601908</c:v>
                </c:pt>
                <c:pt idx="20">
                  <c:v>4896.24662855624</c:v>
                </c:pt>
                <c:pt idx="21">
                  <c:v>17832.82928760081</c:v>
                </c:pt>
                <c:pt idx="22">
                  <c:v>33356.7284784543</c:v>
                </c:pt>
                <c:pt idx="23">
                  <c:v>43652.07417414516</c:v>
                </c:pt>
                <c:pt idx="24">
                  <c:v>66006.4890089742</c:v>
                </c:pt>
                <c:pt idx="25">
                  <c:v>92831.78681076903</c:v>
                </c:pt>
                <c:pt idx="26">
                  <c:v>125022.1441729228</c:v>
                </c:pt>
                <c:pt idx="27">
                  <c:v>130317.239674174</c:v>
                </c:pt>
                <c:pt idx="28">
                  <c:v>176671.3542756755</c:v>
                </c:pt>
                <c:pt idx="29">
                  <c:v>232296.2917974773</c:v>
                </c:pt>
                <c:pt idx="30">
                  <c:v>299010.2168236393</c:v>
                </c:pt>
                <c:pt idx="31">
                  <c:v>267443.4601883673</c:v>
                </c:pt>
                <c:pt idx="32">
                  <c:v>363563.3522260407</c:v>
                </c:pt>
                <c:pt idx="33">
                  <c:v>478907.2226712488</c:v>
                </c:pt>
                <c:pt idx="34">
                  <c:v>617319.8672054985</c:v>
                </c:pt>
                <c:pt idx="35">
                  <c:v>783415.0406465983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55776"/>
        <c:axId val="2094685088"/>
      </c:areaChart>
      <c:catAx>
        <c:axId val="-2129855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85088"/>
        <c:crosses val="autoZero"/>
        <c:auto val="1"/>
        <c:lblAlgn val="ctr"/>
        <c:lblOffset val="100"/>
        <c:noMultiLvlLbl val="0"/>
      </c:catAx>
      <c:valAx>
        <c:axId val="20946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330968</xdr:colOff>
      <xdr:row>62</xdr:row>
      <xdr:rowOff>65167</xdr:rowOff>
    </xdr:from>
    <xdr:to>
      <xdr:col>13</xdr:col>
      <xdr:colOff>487473</xdr:colOff>
      <xdr:row>87</xdr:row>
      <xdr:rowOff>192424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.org/publication/the-class-of-2015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census.gov/population/age/data/2012comp.html" TargetMode="External"/><Relationship Id="rId2" Type="http://schemas.openxmlformats.org/officeDocument/2006/relationships/hyperlink" Target="https://www.census.gov/hhes/socdemo/education/data/cps/2014/tab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="99" workbookViewId="0">
      <selection activeCell="F9" sqref="F9"/>
    </sheetView>
  </sheetViews>
  <sheetFormatPr baseColWidth="10" defaultRowHeight="16" x14ac:dyDescent="0.2"/>
  <cols>
    <col min="1" max="1" width="27.33203125" customWidth="1"/>
    <col min="2" max="2" width="24.6640625" bestFit="1" customWidth="1"/>
    <col min="3" max="3" width="17" customWidth="1"/>
    <col min="4" max="4" width="16.83203125" bestFit="1" customWidth="1"/>
    <col min="5" max="5" width="16.6640625" bestFit="1" customWidth="1"/>
    <col min="6" max="6" width="24.33203125" customWidth="1"/>
    <col min="7" max="7" width="15.83203125" customWidth="1"/>
    <col min="8" max="11" width="15.6640625" customWidth="1"/>
    <col min="12" max="12" width="16.5" bestFit="1" customWidth="1"/>
    <col min="13" max="13" width="18" bestFit="1" customWidth="1"/>
    <col min="14" max="14" width="20.1640625" bestFit="1" customWidth="1"/>
    <col min="15" max="15" width="20.5" bestFit="1" customWidth="1"/>
    <col min="18" max="18" width="11.33203125" bestFit="1" customWidth="1"/>
    <col min="19" max="19" width="11" bestFit="1" customWidth="1"/>
  </cols>
  <sheetData>
    <row r="1" spans="1:14" x14ac:dyDescent="0.2">
      <c r="A1" s="20" t="s">
        <v>5</v>
      </c>
      <c r="B1" s="20"/>
      <c r="C1" s="20"/>
      <c r="D1" s="20"/>
      <c r="E1" s="20"/>
    </row>
    <row r="2" spans="1:14" x14ac:dyDescent="0.2">
      <c r="A2" s="31" t="s">
        <v>0</v>
      </c>
      <c r="B2" s="21" t="s">
        <v>3</v>
      </c>
      <c r="C2" s="21" t="s">
        <v>8</v>
      </c>
      <c r="D2" s="21" t="s">
        <v>9</v>
      </c>
      <c r="E2" s="21" t="s">
        <v>6</v>
      </c>
      <c r="H2" s="3"/>
      <c r="I2" s="3"/>
      <c r="J2" s="3"/>
      <c r="K2" s="3"/>
      <c r="L2" s="3"/>
    </row>
    <row r="3" spans="1:14" x14ac:dyDescent="0.2">
      <c r="A3" s="32" t="s">
        <v>4</v>
      </c>
      <c r="B3" s="28">
        <f>21878/2*1000</f>
        <v>10939000</v>
      </c>
      <c r="C3" s="33">
        <v>0.3196</v>
      </c>
      <c r="D3" s="34">
        <f>1-7.2%</f>
        <v>0.92799999999999994</v>
      </c>
      <c r="E3" s="28">
        <f>B3*C3*D3</f>
        <v>3244384.8831999996</v>
      </c>
    </row>
    <row r="4" spans="1:14" x14ac:dyDescent="0.2">
      <c r="A4" s="32" t="s">
        <v>1</v>
      </c>
      <c r="B4" s="28">
        <v>20893000</v>
      </c>
      <c r="C4" s="33">
        <v>0.34039999999999998</v>
      </c>
      <c r="D4" s="34">
        <f t="shared" ref="D4:D5" si="0">1-7.2%</f>
        <v>0.92799999999999994</v>
      </c>
      <c r="E4" s="28">
        <f>B4*C4*D4</f>
        <v>6599914.841599999</v>
      </c>
    </row>
    <row r="5" spans="1:14" x14ac:dyDescent="0.2">
      <c r="A5" s="32" t="s">
        <v>2</v>
      </c>
      <c r="B5" s="28">
        <v>20326000</v>
      </c>
      <c r="C5" s="33">
        <v>0.34039999999999998</v>
      </c>
      <c r="D5" s="34">
        <f t="shared" si="0"/>
        <v>0.92799999999999994</v>
      </c>
      <c r="E5" s="28">
        <f>B5*C5*D5</f>
        <v>6420804.5311999992</v>
      </c>
    </row>
    <row r="6" spans="1:14" x14ac:dyDescent="0.2">
      <c r="A6" s="35"/>
      <c r="B6" s="4"/>
      <c r="C6" s="4"/>
      <c r="D6" s="21" t="s">
        <v>7</v>
      </c>
      <c r="E6" s="36">
        <f>SUM(E3:E5)</f>
        <v>16265104.255999997</v>
      </c>
    </row>
    <row r="7" spans="1:14" x14ac:dyDescent="0.2">
      <c r="A7" s="1"/>
    </row>
    <row r="8" spans="1:14" x14ac:dyDescent="0.2">
      <c r="A8" s="19" t="s">
        <v>40</v>
      </c>
    </row>
    <row r="9" spans="1:14" x14ac:dyDescent="0.2">
      <c r="A9" s="19" t="s">
        <v>41</v>
      </c>
    </row>
    <row r="10" spans="1:14" x14ac:dyDescent="0.2">
      <c r="A10" s="19" t="s">
        <v>42</v>
      </c>
    </row>
    <row r="13" spans="1:14" x14ac:dyDescent="0.2">
      <c r="A13" s="22" t="s">
        <v>11</v>
      </c>
      <c r="B13" s="23"/>
      <c r="C13" s="23"/>
      <c r="D13" s="23"/>
      <c r="E13" s="23"/>
      <c r="F13" s="24"/>
    </row>
    <row r="14" spans="1:14" x14ac:dyDescent="0.2">
      <c r="A14" s="26" t="s">
        <v>10</v>
      </c>
      <c r="B14" s="26" t="s">
        <v>12</v>
      </c>
      <c r="C14" s="26" t="s">
        <v>13</v>
      </c>
      <c r="D14" s="26" t="s">
        <v>17</v>
      </c>
      <c r="E14" s="27" t="s">
        <v>14</v>
      </c>
      <c r="F14" s="27" t="s">
        <v>46</v>
      </c>
    </row>
    <row r="15" spans="1:14" x14ac:dyDescent="0.2">
      <c r="A15" s="28">
        <v>2000</v>
      </c>
      <c r="B15" s="26">
        <f>A15*0.08</f>
        <v>160</v>
      </c>
      <c r="C15" s="26">
        <f>B15*0.01</f>
        <v>1.6</v>
      </c>
      <c r="D15" s="29">
        <v>4</v>
      </c>
      <c r="E15" s="30">
        <f>D15/C15</f>
        <v>2.5</v>
      </c>
      <c r="F15" s="30">
        <f>E15*3</f>
        <v>7.5</v>
      </c>
      <c r="I15" s="7"/>
      <c r="J15" s="7"/>
      <c r="K15" s="7"/>
      <c r="L15" s="7"/>
      <c r="M15" s="8"/>
      <c r="N15" s="8"/>
    </row>
    <row r="18" spans="1:18" x14ac:dyDescent="0.2">
      <c r="A18" s="18" t="s">
        <v>43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8" x14ac:dyDescent="0.2">
      <c r="C19" s="3" t="s">
        <v>21</v>
      </c>
      <c r="D19" s="3" t="s">
        <v>18</v>
      </c>
      <c r="E19" s="3" t="s">
        <v>22</v>
      </c>
      <c r="F19" s="3" t="s">
        <v>23</v>
      </c>
      <c r="G19" s="3" t="s">
        <v>19</v>
      </c>
      <c r="H19" s="3" t="s">
        <v>14</v>
      </c>
      <c r="I19" s="3" t="s">
        <v>24</v>
      </c>
      <c r="J19" s="3" t="s">
        <v>28</v>
      </c>
      <c r="K19" s="3" t="s">
        <v>26</v>
      </c>
      <c r="L19" s="3" t="s">
        <v>15</v>
      </c>
      <c r="M19" s="3" t="s">
        <v>20</v>
      </c>
      <c r="N19" s="3" t="s">
        <v>16</v>
      </c>
      <c r="O19" s="3" t="s">
        <v>38</v>
      </c>
      <c r="P19" s="3" t="s">
        <v>39</v>
      </c>
    </row>
    <row r="20" spans="1:18" x14ac:dyDescent="0.2">
      <c r="A20" t="s">
        <v>25</v>
      </c>
      <c r="C20" s="10" t="s">
        <v>29</v>
      </c>
      <c r="D20">
        <v>1</v>
      </c>
      <c r="E20" s="6">
        <v>40</v>
      </c>
      <c r="F20" s="5">
        <v>0.1</v>
      </c>
      <c r="G20" s="13">
        <v>110</v>
      </c>
      <c r="H20" s="13">
        <v>7.5</v>
      </c>
      <c r="I20" s="14">
        <f>$A$24</f>
        <v>12500</v>
      </c>
      <c r="J20" s="14">
        <v>0</v>
      </c>
      <c r="K20" s="14">
        <v>120</v>
      </c>
      <c r="L20" s="14">
        <f>E20*H20+I20+J20+K20</f>
        <v>12920</v>
      </c>
      <c r="M20" s="14">
        <f>E20*G20</f>
        <v>4400</v>
      </c>
      <c r="N20" s="14">
        <f>O20+M20</f>
        <v>-4120</v>
      </c>
      <c r="O20" s="16">
        <f>M20-L20</f>
        <v>-8520</v>
      </c>
    </row>
    <row r="21" spans="1:18" x14ac:dyDescent="0.2">
      <c r="A21">
        <f>50000/12</f>
        <v>4166.666666666667</v>
      </c>
      <c r="D21">
        <v>2</v>
      </c>
      <c r="E21" s="6">
        <f>E20*(1+F20)</f>
        <v>44</v>
      </c>
      <c r="F21" s="5">
        <f>F20*1.01</f>
        <v>0.10100000000000001</v>
      </c>
      <c r="G21" s="13">
        <v>110</v>
      </c>
      <c r="H21" s="13">
        <v>7.5</v>
      </c>
      <c r="I21" s="14">
        <f t="shared" ref="I21:I33" si="1">$A$24</f>
        <v>12500</v>
      </c>
      <c r="J21" s="14">
        <v>0</v>
      </c>
      <c r="K21" s="14">
        <v>120</v>
      </c>
      <c r="L21" s="14">
        <f t="shared" ref="L21:L55" si="2">E21*H21+I21+J21+K21</f>
        <v>12950</v>
      </c>
      <c r="M21" s="14">
        <f t="shared" ref="M21:M42" si="3">E21*G21</f>
        <v>4840</v>
      </c>
      <c r="N21" s="14">
        <f t="shared" ref="N21:N29" si="4">O21+M21</f>
        <v>-3270</v>
      </c>
      <c r="O21" s="16">
        <f t="shared" ref="O21:O43" si="5">M21-L21</f>
        <v>-8110</v>
      </c>
      <c r="P21" s="12">
        <f>O21/O20-1</f>
        <v>-4.8122065727699503E-2</v>
      </c>
    </row>
    <row r="22" spans="1:18" x14ac:dyDescent="0.2">
      <c r="D22">
        <v>3</v>
      </c>
      <c r="E22" s="6">
        <f t="shared" ref="E22:E43" si="6">E21*(1+F21)</f>
        <v>48.444000000000003</v>
      </c>
      <c r="F22" s="5">
        <f t="shared" ref="F22:F37" si="7">F21*1.05</f>
        <v>0.10605000000000001</v>
      </c>
      <c r="G22" s="13">
        <v>110</v>
      </c>
      <c r="H22" s="13">
        <v>7.5</v>
      </c>
      <c r="I22" s="14">
        <f t="shared" si="1"/>
        <v>12500</v>
      </c>
      <c r="J22" s="14">
        <v>0</v>
      </c>
      <c r="K22" s="14">
        <v>120</v>
      </c>
      <c r="L22" s="14">
        <f t="shared" si="2"/>
        <v>12983.33</v>
      </c>
      <c r="M22" s="14">
        <f t="shared" si="3"/>
        <v>5328.84</v>
      </c>
      <c r="N22" s="14">
        <f t="shared" si="4"/>
        <v>-2325.6499999999996</v>
      </c>
      <c r="O22" s="16">
        <f t="shared" si="5"/>
        <v>-7654.49</v>
      </c>
      <c r="P22" s="12">
        <f t="shared" ref="P22:P55" si="8">O22/O21-1</f>
        <v>-5.6166461159062875E-2</v>
      </c>
    </row>
    <row r="23" spans="1:18" x14ac:dyDescent="0.2">
      <c r="A23" t="s">
        <v>27</v>
      </c>
      <c r="D23">
        <v>4</v>
      </c>
      <c r="E23" s="6">
        <f t="shared" si="6"/>
        <v>53.581486200000001</v>
      </c>
      <c r="F23" s="5">
        <f t="shared" si="7"/>
        <v>0.11135250000000001</v>
      </c>
      <c r="G23" s="13">
        <v>110</v>
      </c>
      <c r="H23" s="13">
        <v>7.5</v>
      </c>
      <c r="I23" s="14">
        <f t="shared" si="1"/>
        <v>12500</v>
      </c>
      <c r="J23" s="14">
        <v>0</v>
      </c>
      <c r="K23" s="14">
        <v>120</v>
      </c>
      <c r="L23" s="14">
        <f t="shared" si="2"/>
        <v>13021.861146499999</v>
      </c>
      <c r="M23" s="14">
        <f t="shared" si="3"/>
        <v>5893.9634820000001</v>
      </c>
      <c r="N23" s="14">
        <f t="shared" si="4"/>
        <v>-1233.9341824999992</v>
      </c>
      <c r="O23" s="16">
        <f t="shared" si="5"/>
        <v>-7127.8976644999993</v>
      </c>
      <c r="P23" s="12">
        <f t="shared" si="8"/>
        <v>-6.8795221562769071E-2</v>
      </c>
    </row>
    <row r="24" spans="1:18" x14ac:dyDescent="0.2">
      <c r="A24" s="9">
        <f>A21*3</f>
        <v>12500</v>
      </c>
      <c r="D24">
        <v>5</v>
      </c>
      <c r="E24" s="6">
        <f t="shared" si="6"/>
        <v>59.547918642085499</v>
      </c>
      <c r="F24" s="5">
        <f t="shared" si="7"/>
        <v>0.11692012500000001</v>
      </c>
      <c r="G24" s="13">
        <v>110</v>
      </c>
      <c r="H24" s="13">
        <v>7.5</v>
      </c>
      <c r="I24" s="14">
        <f t="shared" si="1"/>
        <v>12500</v>
      </c>
      <c r="J24" s="14">
        <v>0</v>
      </c>
      <c r="K24" s="14">
        <v>120</v>
      </c>
      <c r="L24" s="14">
        <f t="shared" si="2"/>
        <v>13066.609389815641</v>
      </c>
      <c r="M24" s="14">
        <f t="shared" si="3"/>
        <v>6550.2710506294052</v>
      </c>
      <c r="N24" s="14">
        <f t="shared" si="4"/>
        <v>33.932711443168955</v>
      </c>
      <c r="O24" s="16">
        <f t="shared" si="5"/>
        <v>-6516.3383391862362</v>
      </c>
      <c r="P24" s="12">
        <f t="shared" si="8"/>
        <v>-8.5797994597985316E-2</v>
      </c>
    </row>
    <row r="25" spans="1:18" x14ac:dyDescent="0.2">
      <c r="D25">
        <v>6</v>
      </c>
      <c r="E25" s="6">
        <f t="shared" si="6"/>
        <v>66.510268733207965</v>
      </c>
      <c r="F25" s="5">
        <f t="shared" si="7"/>
        <v>0.12276613125000002</v>
      </c>
      <c r="G25" s="13">
        <v>110</v>
      </c>
      <c r="H25" s="13">
        <v>7.5</v>
      </c>
      <c r="I25" s="14">
        <f>$A$24</f>
        <v>12500</v>
      </c>
      <c r="J25" s="14">
        <v>0</v>
      </c>
      <c r="K25" s="14">
        <v>120</v>
      </c>
      <c r="L25" s="14">
        <f t="shared" si="2"/>
        <v>13118.827015499061</v>
      </c>
      <c r="M25" s="14">
        <f t="shared" si="3"/>
        <v>7316.1295606528765</v>
      </c>
      <c r="N25" s="14">
        <f t="shared" si="4"/>
        <v>1513.4321058066926</v>
      </c>
      <c r="O25" s="16">
        <f t="shared" si="5"/>
        <v>-5802.697454846184</v>
      </c>
      <c r="P25" s="12">
        <f t="shared" si="8"/>
        <v>-0.10951562782560675</v>
      </c>
    </row>
    <row r="26" spans="1:18" x14ac:dyDescent="0.2">
      <c r="D26">
        <v>7</v>
      </c>
      <c r="E26" s="6">
        <f t="shared" si="6"/>
        <v>74.675477113981756</v>
      </c>
      <c r="F26" s="5">
        <f t="shared" ref="F26" si="9">F25*1.01</f>
        <v>0.12399379256250002</v>
      </c>
      <c r="G26" s="13">
        <v>110</v>
      </c>
      <c r="H26" s="13">
        <v>7.5</v>
      </c>
      <c r="I26" s="14">
        <f t="shared" si="1"/>
        <v>12500</v>
      </c>
      <c r="J26" s="14">
        <v>0</v>
      </c>
      <c r="K26" s="14">
        <v>120</v>
      </c>
      <c r="L26" s="14">
        <f t="shared" si="2"/>
        <v>13180.066078354863</v>
      </c>
      <c r="M26" s="14">
        <f t="shared" si="3"/>
        <v>8214.3024825379925</v>
      </c>
      <c r="N26" s="14">
        <f t="shared" si="4"/>
        <v>3248.5388867211223</v>
      </c>
      <c r="O26" s="16">
        <f t="shared" si="5"/>
        <v>-4965.7635958168703</v>
      </c>
      <c r="P26" s="12">
        <f t="shared" si="8"/>
        <v>-0.14423186208516514</v>
      </c>
    </row>
    <row r="27" spans="1:18" x14ac:dyDescent="0.2">
      <c r="D27">
        <v>8</v>
      </c>
      <c r="E27" s="6">
        <f t="shared" si="6"/>
        <v>83.934772732758532</v>
      </c>
      <c r="F27" s="5">
        <f t="shared" si="7"/>
        <v>0.13019348219062504</v>
      </c>
      <c r="G27" s="13">
        <v>110</v>
      </c>
      <c r="H27" s="13">
        <v>7.5</v>
      </c>
      <c r="I27" s="14">
        <f t="shared" si="1"/>
        <v>12500</v>
      </c>
      <c r="J27" s="14">
        <v>0</v>
      </c>
      <c r="K27" s="14">
        <v>120</v>
      </c>
      <c r="L27" s="14">
        <f t="shared" si="2"/>
        <v>13249.510795495689</v>
      </c>
      <c r="M27" s="14">
        <f t="shared" si="3"/>
        <v>9232.8250006034377</v>
      </c>
      <c r="N27" s="14">
        <f t="shared" si="4"/>
        <v>5216.1392057111862</v>
      </c>
      <c r="O27" s="16">
        <f t="shared" si="5"/>
        <v>-4016.6857948922516</v>
      </c>
      <c r="P27" s="12">
        <f t="shared" si="8"/>
        <v>-0.19112424154144514</v>
      </c>
    </row>
    <row r="28" spans="1:18" x14ac:dyDescent="0.2">
      <c r="D28">
        <v>9</v>
      </c>
      <c r="E28" s="6">
        <f t="shared" si="6"/>
        <v>94.862533071715092</v>
      </c>
      <c r="F28" s="5">
        <f t="shared" si="7"/>
        <v>0.13670315630015631</v>
      </c>
      <c r="G28" s="13">
        <v>110</v>
      </c>
      <c r="H28" s="13">
        <v>7.5</v>
      </c>
      <c r="I28" s="14">
        <f t="shared" si="1"/>
        <v>12500</v>
      </c>
      <c r="J28" s="14">
        <v>0</v>
      </c>
      <c r="K28" s="14">
        <v>120</v>
      </c>
      <c r="L28" s="14">
        <f t="shared" si="2"/>
        <v>13331.468998037863</v>
      </c>
      <c r="M28" s="14">
        <f t="shared" si="3"/>
        <v>10434.87863788866</v>
      </c>
      <c r="N28" s="14">
        <f t="shared" si="4"/>
        <v>7538.288277739457</v>
      </c>
      <c r="O28" s="16">
        <f t="shared" si="5"/>
        <v>-2896.5903601492028</v>
      </c>
      <c r="P28" s="12">
        <f t="shared" si="8"/>
        <v>-0.27886060596708828</v>
      </c>
    </row>
    <row r="29" spans="1:18" x14ac:dyDescent="0.2">
      <c r="D29">
        <v>10</v>
      </c>
      <c r="E29" s="6">
        <f t="shared" si="6"/>
        <v>107.83054075724651</v>
      </c>
      <c r="F29" s="5">
        <f t="shared" si="7"/>
        <v>0.14353831411516413</v>
      </c>
      <c r="G29" s="13">
        <v>110</v>
      </c>
      <c r="H29" s="13">
        <v>7.5</v>
      </c>
      <c r="I29" s="14">
        <f t="shared" si="1"/>
        <v>12500</v>
      </c>
      <c r="J29" s="14">
        <v>0</v>
      </c>
      <c r="K29" s="14">
        <v>120</v>
      </c>
      <c r="L29" s="14">
        <f t="shared" si="2"/>
        <v>13428.729055679349</v>
      </c>
      <c r="M29" s="14">
        <f t="shared" si="3"/>
        <v>11861.359483297116</v>
      </c>
      <c r="N29" s="14">
        <f t="shared" si="4"/>
        <v>10293.989910914883</v>
      </c>
      <c r="O29" s="16">
        <f t="shared" si="5"/>
        <v>-1567.3695723822329</v>
      </c>
      <c r="P29" s="12">
        <f t="shared" si="8"/>
        <v>-0.45889153193843468</v>
      </c>
    </row>
    <row r="30" spans="1:18" x14ac:dyDescent="0.2">
      <c r="C30" s="10"/>
      <c r="D30">
        <v>11</v>
      </c>
      <c r="E30" s="6">
        <f>E29*(1+F29)</f>
        <v>123.30835478766816</v>
      </c>
      <c r="F30" s="5">
        <f t="shared" si="7"/>
        <v>0.15071522982092234</v>
      </c>
      <c r="G30" s="13">
        <v>110</v>
      </c>
      <c r="H30" s="13">
        <v>7.5</v>
      </c>
      <c r="I30" s="14">
        <f t="shared" si="1"/>
        <v>12500</v>
      </c>
      <c r="J30" s="14">
        <v>0</v>
      </c>
      <c r="K30" s="14">
        <v>120</v>
      </c>
      <c r="L30" s="14">
        <f t="shared" si="2"/>
        <v>13544.812660907512</v>
      </c>
      <c r="M30" s="14">
        <f t="shared" si="3"/>
        <v>13563.919026643498</v>
      </c>
      <c r="N30" s="14">
        <f>M30-O30</f>
        <v>13544.812660907512</v>
      </c>
      <c r="O30" s="16">
        <f t="shared" si="5"/>
        <v>19.106365735986401</v>
      </c>
      <c r="P30" s="12">
        <f t="shared" si="8"/>
        <v>-1.012190083355355</v>
      </c>
      <c r="R30" s="13">
        <f>SUM(O20:O31)</f>
        <v>-55234.71422965802</v>
      </c>
    </row>
    <row r="31" spans="1:18" x14ac:dyDescent="0.2">
      <c r="A31" t="s">
        <v>25</v>
      </c>
      <c r="D31">
        <v>12</v>
      </c>
      <c r="E31" s="6">
        <f t="shared" si="6"/>
        <v>141.89280181833138</v>
      </c>
      <c r="F31" s="5">
        <f t="shared" ref="F31" si="10">F30*1.01</f>
        <v>0.15222238211913156</v>
      </c>
      <c r="G31" s="13">
        <v>110</v>
      </c>
      <c r="H31" s="13">
        <v>7.5</v>
      </c>
      <c r="I31" s="14">
        <f t="shared" si="1"/>
        <v>12500</v>
      </c>
      <c r="J31" s="14">
        <v>0</v>
      </c>
      <c r="K31" s="14">
        <v>120</v>
      </c>
      <c r="L31" s="14">
        <f t="shared" si="2"/>
        <v>13684.196013637486</v>
      </c>
      <c r="M31" s="14">
        <f t="shared" si="3"/>
        <v>15608.208200016452</v>
      </c>
      <c r="N31" s="14">
        <f t="shared" ref="N31:N55" si="11">M31-O31</f>
        <v>13684.196013637486</v>
      </c>
      <c r="O31" s="16">
        <f t="shared" si="5"/>
        <v>1924.0121863789664</v>
      </c>
      <c r="P31" s="12">
        <f t="shared" si="8"/>
        <v>99.700060543441481</v>
      </c>
    </row>
    <row r="32" spans="1:18" x14ac:dyDescent="0.2">
      <c r="A32">
        <f>80000/12</f>
        <v>6666.666666666667</v>
      </c>
      <c r="D32">
        <v>13</v>
      </c>
      <c r="E32" s="6">
        <f t="shared" si="6"/>
        <v>163.49206211667561</v>
      </c>
      <c r="F32" s="5">
        <f t="shared" si="7"/>
        <v>0.15983350122508813</v>
      </c>
      <c r="G32" s="13">
        <v>110</v>
      </c>
      <c r="H32" s="13">
        <v>7.5</v>
      </c>
      <c r="I32" s="14">
        <f t="shared" si="1"/>
        <v>12500</v>
      </c>
      <c r="J32" s="14">
        <v>0</v>
      </c>
      <c r="K32" s="14">
        <v>120</v>
      </c>
      <c r="L32" s="14">
        <f t="shared" si="2"/>
        <v>13846.190465875066</v>
      </c>
      <c r="M32" s="14">
        <f t="shared" si="3"/>
        <v>17984.126832834318</v>
      </c>
      <c r="N32" s="14">
        <f t="shared" si="11"/>
        <v>13846.190465875066</v>
      </c>
      <c r="O32" s="16">
        <f t="shared" si="5"/>
        <v>4137.9363669592512</v>
      </c>
      <c r="P32" s="12">
        <f t="shared" si="8"/>
        <v>1.1506809552734381</v>
      </c>
    </row>
    <row r="33" spans="1:18" x14ac:dyDescent="0.2">
      <c r="D33">
        <v>14</v>
      </c>
      <c r="E33" s="6">
        <f t="shared" si="6"/>
        <v>189.62357082729349</v>
      </c>
      <c r="F33" s="5">
        <f t="shared" si="7"/>
        <v>0.16782517628634255</v>
      </c>
      <c r="G33" s="13">
        <v>110</v>
      </c>
      <c r="H33" s="13">
        <v>7.5</v>
      </c>
      <c r="I33" s="14">
        <f t="shared" si="1"/>
        <v>12500</v>
      </c>
      <c r="J33" s="14">
        <v>0</v>
      </c>
      <c r="K33" s="14">
        <v>120</v>
      </c>
      <c r="L33" s="14">
        <f t="shared" si="2"/>
        <v>14042.176781204702</v>
      </c>
      <c r="M33" s="14">
        <f t="shared" si="3"/>
        <v>20858.592791002284</v>
      </c>
      <c r="N33" s="14">
        <f t="shared" si="11"/>
        <v>14042.176781204702</v>
      </c>
      <c r="O33" s="16">
        <f t="shared" si="5"/>
        <v>6816.4160097975819</v>
      </c>
      <c r="P33" s="12">
        <f t="shared" si="8"/>
        <v>0.64729841285756717</v>
      </c>
    </row>
    <row r="34" spans="1:18" x14ac:dyDescent="0.2">
      <c r="A34" t="s">
        <v>27</v>
      </c>
      <c r="C34" s="10" t="s">
        <v>30</v>
      </c>
      <c r="D34">
        <v>15</v>
      </c>
      <c r="E34" s="6">
        <f t="shared" si="6"/>
        <v>221.44718002942977</v>
      </c>
      <c r="F34" s="5">
        <f t="shared" si="7"/>
        <v>0.17621643510065968</v>
      </c>
      <c r="G34" s="13">
        <v>110</v>
      </c>
      <c r="H34" s="13">
        <v>7.5</v>
      </c>
      <c r="I34" s="14">
        <v>20000</v>
      </c>
      <c r="J34" s="14">
        <v>0</v>
      </c>
      <c r="K34" s="14">
        <v>120</v>
      </c>
      <c r="L34" s="14">
        <f t="shared" si="2"/>
        <v>21780.853850220723</v>
      </c>
      <c r="M34" s="14">
        <f t="shared" si="3"/>
        <v>24359.189803237274</v>
      </c>
      <c r="N34" s="14">
        <f t="shared" si="11"/>
        <v>21780.853850220723</v>
      </c>
      <c r="O34" s="16">
        <f t="shared" si="5"/>
        <v>2578.3359530165508</v>
      </c>
      <c r="P34" s="12">
        <f t="shared" si="8"/>
        <v>-0.62174609805056247</v>
      </c>
    </row>
    <row r="35" spans="1:18" x14ac:dyDescent="0.2">
      <c r="A35" s="9">
        <f>80000/12*3</f>
        <v>20000</v>
      </c>
      <c r="D35">
        <v>16</v>
      </c>
      <c r="E35" s="6">
        <f t="shared" si="6"/>
        <v>260.46981265730989</v>
      </c>
      <c r="F35" s="5">
        <f t="shared" si="7"/>
        <v>0.18502725685569268</v>
      </c>
      <c r="G35" s="13">
        <v>110</v>
      </c>
      <c r="H35" s="13">
        <v>7.5</v>
      </c>
      <c r="I35" s="14">
        <v>20000</v>
      </c>
      <c r="J35" s="14">
        <v>0</v>
      </c>
      <c r="K35" s="14">
        <v>120</v>
      </c>
      <c r="L35" s="14">
        <f t="shared" si="2"/>
        <v>22073.523594929826</v>
      </c>
      <c r="M35" s="14">
        <f t="shared" si="3"/>
        <v>28651.679392304086</v>
      </c>
      <c r="N35" s="14">
        <f t="shared" si="11"/>
        <v>22073.523594929826</v>
      </c>
      <c r="O35" s="16">
        <f t="shared" si="5"/>
        <v>6578.1557973742601</v>
      </c>
      <c r="P35" s="12">
        <f t="shared" si="8"/>
        <v>1.5513183375805153</v>
      </c>
    </row>
    <row r="36" spans="1:18" x14ac:dyDescent="0.2">
      <c r="B36" s="2"/>
      <c r="D36">
        <v>17</v>
      </c>
      <c r="E36" s="6">
        <f t="shared" si="6"/>
        <v>308.66382758700814</v>
      </c>
      <c r="F36" s="5">
        <f t="shared" ref="F36" si="12">F35*1.01</f>
        <v>0.18687752942424962</v>
      </c>
      <c r="G36" s="13">
        <v>110</v>
      </c>
      <c r="H36" s="13">
        <v>7.5</v>
      </c>
      <c r="I36" s="14">
        <v>20000</v>
      </c>
      <c r="J36" s="14">
        <v>0</v>
      </c>
      <c r="K36" s="14">
        <v>120</v>
      </c>
      <c r="L36" s="14">
        <f t="shared" si="2"/>
        <v>22434.978706902562</v>
      </c>
      <c r="M36" s="14">
        <f t="shared" si="3"/>
        <v>33953.021034570898</v>
      </c>
      <c r="N36" s="14">
        <f t="shared" si="11"/>
        <v>22434.978706902562</v>
      </c>
      <c r="O36" s="16">
        <f t="shared" si="5"/>
        <v>11518.042327668336</v>
      </c>
      <c r="P36" s="12">
        <f t="shared" si="8"/>
        <v>0.75095310638064894</v>
      </c>
    </row>
    <row r="37" spans="1:18" x14ac:dyDescent="0.2">
      <c r="D37">
        <v>18</v>
      </c>
      <c r="E37" s="6">
        <f t="shared" si="6"/>
        <v>366.34616110910082</v>
      </c>
      <c r="F37" s="5">
        <f t="shared" si="7"/>
        <v>0.19622140589546211</v>
      </c>
      <c r="G37" s="13">
        <v>110</v>
      </c>
      <c r="H37" s="13">
        <v>7.5</v>
      </c>
      <c r="I37" s="14">
        <v>20000</v>
      </c>
      <c r="J37" s="14">
        <v>0</v>
      </c>
      <c r="K37" s="14">
        <v>120</v>
      </c>
      <c r="L37" s="14">
        <f t="shared" si="2"/>
        <v>22867.596208318257</v>
      </c>
      <c r="M37" s="14">
        <f t="shared" si="3"/>
        <v>40298.077722001093</v>
      </c>
      <c r="N37" s="14">
        <f t="shared" si="11"/>
        <v>22867.596208318257</v>
      </c>
      <c r="O37" s="16">
        <f t="shared" si="5"/>
        <v>17430.481513682837</v>
      </c>
      <c r="P37" s="12">
        <f t="shared" si="8"/>
        <v>0.51331980017227363</v>
      </c>
    </row>
    <row r="38" spans="1:18" x14ac:dyDescent="0.2">
      <c r="D38">
        <v>19</v>
      </c>
      <c r="E38" s="6">
        <f t="shared" si="6"/>
        <v>438.23111988633406</v>
      </c>
      <c r="F38" s="5">
        <v>0.2</v>
      </c>
      <c r="G38" s="13">
        <v>110</v>
      </c>
      <c r="H38" s="13">
        <v>7.5</v>
      </c>
      <c r="I38" s="14">
        <v>20000</v>
      </c>
      <c r="J38" s="14">
        <v>18000</v>
      </c>
      <c r="K38" s="14">
        <v>120</v>
      </c>
      <c r="L38" s="14">
        <f t="shared" si="2"/>
        <v>41406.733399147502</v>
      </c>
      <c r="M38" s="14">
        <f t="shared" si="3"/>
        <v>48205.423187496745</v>
      </c>
      <c r="N38" s="14">
        <f t="shared" si="11"/>
        <v>41406.733399147502</v>
      </c>
      <c r="O38" s="16">
        <f t="shared" si="5"/>
        <v>6798.689788349242</v>
      </c>
      <c r="P38" s="12">
        <f t="shared" si="8"/>
        <v>-0.60995398876317286</v>
      </c>
    </row>
    <row r="39" spans="1:18" x14ac:dyDescent="0.2">
      <c r="D39">
        <v>20</v>
      </c>
      <c r="E39" s="6">
        <f t="shared" si="6"/>
        <v>525.8773438636008</v>
      </c>
      <c r="F39" s="5">
        <v>0.2</v>
      </c>
      <c r="G39" s="13">
        <v>110</v>
      </c>
      <c r="H39" s="13">
        <v>7.5</v>
      </c>
      <c r="I39" s="14">
        <v>20000</v>
      </c>
      <c r="J39" s="14">
        <v>18000</v>
      </c>
      <c r="K39" s="14">
        <v>120</v>
      </c>
      <c r="L39" s="14">
        <f t="shared" si="2"/>
        <v>42064.080078977007</v>
      </c>
      <c r="M39" s="14">
        <f t="shared" si="3"/>
        <v>57846.507824996086</v>
      </c>
      <c r="N39" s="14">
        <f t="shared" si="11"/>
        <v>42064.080078977007</v>
      </c>
      <c r="O39" s="16">
        <f t="shared" si="5"/>
        <v>15782.427746019079</v>
      </c>
      <c r="P39" s="12">
        <f t="shared" si="8"/>
        <v>1.3213925384660237</v>
      </c>
    </row>
    <row r="40" spans="1:18" x14ac:dyDescent="0.2">
      <c r="A40" t="s">
        <v>27</v>
      </c>
      <c r="B40" s="15"/>
      <c r="D40">
        <v>21</v>
      </c>
      <c r="E40" s="6">
        <f t="shared" si="6"/>
        <v>631.05281263632094</v>
      </c>
      <c r="F40" s="5">
        <v>0.2</v>
      </c>
      <c r="G40" s="13">
        <v>110</v>
      </c>
      <c r="H40" s="13">
        <v>7.5</v>
      </c>
      <c r="I40" s="16">
        <f>(70000/12*2)+(120000/12*3)</f>
        <v>41666.666666666664</v>
      </c>
      <c r="J40" s="14">
        <v>18000</v>
      </c>
      <c r="K40" s="14">
        <v>120</v>
      </c>
      <c r="L40" s="14">
        <f t="shared" si="2"/>
        <v>64519.562761439069</v>
      </c>
      <c r="M40" s="14">
        <f t="shared" si="3"/>
        <v>69415.809389995309</v>
      </c>
      <c r="N40" s="14">
        <f t="shared" si="11"/>
        <v>64519.562761439069</v>
      </c>
      <c r="O40" s="16">
        <f t="shared" si="5"/>
        <v>4896.2466285562405</v>
      </c>
      <c r="P40" s="12">
        <f t="shared" si="8"/>
        <v>-0.68976594049091988</v>
      </c>
    </row>
    <row r="41" spans="1:18" x14ac:dyDescent="0.2">
      <c r="A41" s="9">
        <f>(70000/12*2)+(120000/12*3)</f>
        <v>41666.666666666664</v>
      </c>
      <c r="C41" s="10" t="s">
        <v>32</v>
      </c>
      <c r="D41">
        <v>22</v>
      </c>
      <c r="E41" s="6">
        <f t="shared" si="6"/>
        <v>757.26337516358512</v>
      </c>
      <c r="F41" s="5">
        <v>0.2</v>
      </c>
      <c r="G41" s="13">
        <v>110</v>
      </c>
      <c r="H41" s="13">
        <v>7.5</v>
      </c>
      <c r="I41" s="16">
        <f>(70000/12*2)+(120000/12*3)</f>
        <v>41666.666666666664</v>
      </c>
      <c r="J41" s="14">
        <v>18000</v>
      </c>
      <c r="K41" s="14">
        <v>120</v>
      </c>
      <c r="L41" s="14">
        <f t="shared" si="2"/>
        <v>65466.14198039355</v>
      </c>
      <c r="M41" s="14">
        <f t="shared" si="3"/>
        <v>83298.971267994362</v>
      </c>
      <c r="N41" s="14">
        <f t="shared" si="11"/>
        <v>65466.14198039355</v>
      </c>
      <c r="O41" s="16">
        <f t="shared" si="5"/>
        <v>17832.829287600813</v>
      </c>
      <c r="P41" s="12">
        <f t="shared" si="8"/>
        <v>2.6421427759776046</v>
      </c>
    </row>
    <row r="42" spans="1:18" x14ac:dyDescent="0.2">
      <c r="D42">
        <v>23</v>
      </c>
      <c r="E42" s="6">
        <f t="shared" si="6"/>
        <v>908.71605019630215</v>
      </c>
      <c r="F42" s="5">
        <v>0.2</v>
      </c>
      <c r="G42" s="13">
        <v>110</v>
      </c>
      <c r="H42" s="13">
        <v>7.5</v>
      </c>
      <c r="I42" s="16">
        <f>(70000/12*2)+(120000/12*3)</f>
        <v>41666.666666666664</v>
      </c>
      <c r="J42" s="14">
        <v>18000</v>
      </c>
      <c r="K42" s="14">
        <v>120</v>
      </c>
      <c r="L42" s="14">
        <f t="shared" si="2"/>
        <v>66602.037043138931</v>
      </c>
      <c r="M42" s="14">
        <f t="shared" si="3"/>
        <v>99958.765521593232</v>
      </c>
      <c r="N42" s="14">
        <f t="shared" si="11"/>
        <v>66602.037043138931</v>
      </c>
      <c r="O42" s="16">
        <f t="shared" si="5"/>
        <v>33356.728478454301</v>
      </c>
      <c r="P42" s="12">
        <f t="shared" si="8"/>
        <v>0.87052362474233269</v>
      </c>
    </row>
    <row r="43" spans="1:18" x14ac:dyDescent="0.2">
      <c r="A43" t="s">
        <v>27</v>
      </c>
      <c r="C43" s="10" t="s">
        <v>31</v>
      </c>
      <c r="D43">
        <v>24</v>
      </c>
      <c r="E43" s="6">
        <f t="shared" si="6"/>
        <v>1090.4592602355626</v>
      </c>
      <c r="F43" s="5">
        <v>0.2</v>
      </c>
      <c r="G43" s="13">
        <v>110</v>
      </c>
      <c r="H43" s="13">
        <v>7.5</v>
      </c>
      <c r="I43" s="14">
        <f>$A$44</f>
        <v>50000</v>
      </c>
      <c r="J43" s="14">
        <v>18000</v>
      </c>
      <c r="K43" s="14">
        <v>120</v>
      </c>
      <c r="L43" s="14">
        <f t="shared" si="2"/>
        <v>76298.444451766729</v>
      </c>
      <c r="M43" s="14">
        <f t="shared" ref="M43:M55" si="13">E43*G43</f>
        <v>119950.51862591189</v>
      </c>
      <c r="N43" s="14">
        <f t="shared" si="11"/>
        <v>76298.444451766729</v>
      </c>
      <c r="O43" s="16">
        <f t="shared" si="5"/>
        <v>43652.074174145164</v>
      </c>
      <c r="P43" s="12">
        <f t="shared" si="8"/>
        <v>0.30864374791253302</v>
      </c>
      <c r="R43" s="13">
        <f>SUM(O20:O44)</f>
        <v>182150.13885093981</v>
      </c>
    </row>
    <row r="44" spans="1:18" x14ac:dyDescent="0.2">
      <c r="A44" s="9">
        <f>(80000/12*3)+(120000/12*3)</f>
        <v>50000</v>
      </c>
      <c r="D44">
        <v>25</v>
      </c>
      <c r="E44" s="6">
        <f t="shared" ref="E44:E55" si="14">E43*(1+F43)</f>
        <v>1308.5511122826751</v>
      </c>
      <c r="F44" s="5">
        <v>0.2</v>
      </c>
      <c r="G44" s="13">
        <v>110</v>
      </c>
      <c r="H44" s="13">
        <v>7.5</v>
      </c>
      <c r="I44" s="14">
        <f>$A$44</f>
        <v>50000</v>
      </c>
      <c r="J44" s="14">
        <v>18000</v>
      </c>
      <c r="K44" s="14">
        <v>120</v>
      </c>
      <c r="L44" s="14">
        <f t="shared" si="2"/>
        <v>77934.133342120069</v>
      </c>
      <c r="M44" s="14">
        <f t="shared" si="13"/>
        <v>143940.62235109427</v>
      </c>
      <c r="N44" s="14">
        <f t="shared" si="11"/>
        <v>77934.133342120069</v>
      </c>
      <c r="O44" s="14">
        <f t="shared" ref="O44:O55" si="15">M44-L44</f>
        <v>66006.489008974197</v>
      </c>
      <c r="P44" s="12">
        <f t="shared" si="8"/>
        <v>0.51210429877051311</v>
      </c>
    </row>
    <row r="45" spans="1:18" x14ac:dyDescent="0.2">
      <c r="D45">
        <v>26</v>
      </c>
      <c r="E45" s="6">
        <f t="shared" si="14"/>
        <v>1570.26133473921</v>
      </c>
      <c r="F45" s="5">
        <v>0.2</v>
      </c>
      <c r="G45" s="13">
        <v>110</v>
      </c>
      <c r="H45" s="13">
        <v>7.5</v>
      </c>
      <c r="I45" s="14">
        <f>$A$44</f>
        <v>50000</v>
      </c>
      <c r="J45" s="14">
        <v>18000</v>
      </c>
      <c r="K45" s="14">
        <v>120</v>
      </c>
      <c r="L45" s="14">
        <f t="shared" si="2"/>
        <v>79896.960010544077</v>
      </c>
      <c r="M45" s="14">
        <f t="shared" si="13"/>
        <v>172728.74682131311</v>
      </c>
      <c r="N45" s="14">
        <f t="shared" si="11"/>
        <v>79896.960010544077</v>
      </c>
      <c r="O45" s="14">
        <f t="shared" si="15"/>
        <v>92831.78681076903</v>
      </c>
      <c r="P45" s="12">
        <f t="shared" si="8"/>
        <v>0.40640394913517808</v>
      </c>
    </row>
    <row r="46" spans="1:18" x14ac:dyDescent="0.2">
      <c r="D46">
        <v>27</v>
      </c>
      <c r="E46" s="6">
        <f t="shared" si="14"/>
        <v>1884.3136016870519</v>
      </c>
      <c r="F46" s="5">
        <v>0.2</v>
      </c>
      <c r="G46" s="13">
        <v>110</v>
      </c>
      <c r="H46" s="13">
        <v>7.5</v>
      </c>
      <c r="I46" s="14">
        <f>$A$44</f>
        <v>50000</v>
      </c>
      <c r="J46" s="14">
        <v>18000</v>
      </c>
      <c r="K46" s="14">
        <v>120</v>
      </c>
      <c r="L46" s="14">
        <f t="shared" si="2"/>
        <v>82252.352012652889</v>
      </c>
      <c r="M46" s="14">
        <f t="shared" si="13"/>
        <v>207274.4961855757</v>
      </c>
      <c r="N46" s="14">
        <f t="shared" si="11"/>
        <v>82252.352012652889</v>
      </c>
      <c r="O46" s="14">
        <f t="shared" si="15"/>
        <v>125022.14417292281</v>
      </c>
      <c r="P46" s="12">
        <f t="shared" si="8"/>
        <v>0.34676007505674233</v>
      </c>
    </row>
    <row r="47" spans="1:18" x14ac:dyDescent="0.2">
      <c r="C47" s="10" t="s">
        <v>33</v>
      </c>
      <c r="D47">
        <v>28</v>
      </c>
      <c r="E47" s="6">
        <f t="shared" si="14"/>
        <v>2261.176322024462</v>
      </c>
      <c r="F47" s="5">
        <v>0.2</v>
      </c>
      <c r="G47" s="13">
        <v>110</v>
      </c>
      <c r="H47" s="13">
        <v>7.5</v>
      </c>
      <c r="I47" s="14">
        <f>(80000/12*3)+(120000/12*3)+(100000/12*4)</f>
        <v>83333.333333333343</v>
      </c>
      <c r="J47" s="14">
        <v>18000</v>
      </c>
      <c r="K47" s="14">
        <v>120</v>
      </c>
      <c r="L47" s="14">
        <f t="shared" si="2"/>
        <v>118412.15574851682</v>
      </c>
      <c r="M47" s="14">
        <f t="shared" si="13"/>
        <v>248729.39542269081</v>
      </c>
      <c r="N47" s="14">
        <f t="shared" si="11"/>
        <v>118412.15574851682</v>
      </c>
      <c r="O47" s="14">
        <f t="shared" si="15"/>
        <v>130317.23967417399</v>
      </c>
      <c r="P47" s="12">
        <f t="shared" si="8"/>
        <v>4.2353260986528474E-2</v>
      </c>
      <c r="R47" s="11"/>
    </row>
    <row r="48" spans="1:18" x14ac:dyDescent="0.2">
      <c r="D48">
        <v>29</v>
      </c>
      <c r="E48" s="6">
        <f t="shared" si="14"/>
        <v>2713.4115864293544</v>
      </c>
      <c r="F48" s="5">
        <v>0.2</v>
      </c>
      <c r="G48" s="13">
        <v>110</v>
      </c>
      <c r="H48" s="13">
        <v>7.5</v>
      </c>
      <c r="I48" s="14">
        <f t="shared" ref="I48:I50" si="16">(80000/12*3)+(120000/12*3)+(100000/12*4)</f>
        <v>83333.333333333343</v>
      </c>
      <c r="J48" s="14">
        <v>18000</v>
      </c>
      <c r="K48" s="14">
        <v>120</v>
      </c>
      <c r="L48" s="14">
        <f t="shared" si="2"/>
        <v>121803.92023155349</v>
      </c>
      <c r="M48" s="14">
        <f t="shared" si="13"/>
        <v>298475.27450722898</v>
      </c>
      <c r="N48" s="14">
        <f t="shared" si="11"/>
        <v>121803.92023155349</v>
      </c>
      <c r="O48" s="14">
        <f t="shared" si="15"/>
        <v>176671.35427567549</v>
      </c>
      <c r="P48" s="12">
        <f t="shared" si="8"/>
        <v>0.35570209066274328</v>
      </c>
    </row>
    <row r="49" spans="1:16" x14ac:dyDescent="0.2">
      <c r="D49">
        <v>30</v>
      </c>
      <c r="E49" s="6">
        <f t="shared" si="14"/>
        <v>3256.0939037152252</v>
      </c>
      <c r="F49" s="5">
        <v>0.2</v>
      </c>
      <c r="G49" s="13">
        <v>110</v>
      </c>
      <c r="H49" s="13">
        <v>7.5</v>
      </c>
      <c r="I49" s="14">
        <f t="shared" si="16"/>
        <v>83333.333333333343</v>
      </c>
      <c r="J49" s="14">
        <v>18000</v>
      </c>
      <c r="K49" s="14">
        <v>120</v>
      </c>
      <c r="L49" s="14">
        <f t="shared" si="2"/>
        <v>125874.03761119753</v>
      </c>
      <c r="M49" s="14">
        <f t="shared" si="13"/>
        <v>358170.32940867479</v>
      </c>
      <c r="N49" s="14">
        <f t="shared" si="11"/>
        <v>125874.03761119753</v>
      </c>
      <c r="O49" s="14">
        <f t="shared" si="15"/>
        <v>232296.29179747726</v>
      </c>
      <c r="P49" s="12">
        <f t="shared" si="8"/>
        <v>0.31484978280635922</v>
      </c>
    </row>
    <row r="50" spans="1:16" x14ac:dyDescent="0.2">
      <c r="C50" s="10" t="s">
        <v>36</v>
      </c>
      <c r="D50">
        <v>31</v>
      </c>
      <c r="E50" s="6">
        <f t="shared" si="14"/>
        <v>3907.3126844582703</v>
      </c>
      <c r="F50" s="5">
        <v>0.2</v>
      </c>
      <c r="G50" s="13">
        <v>110</v>
      </c>
      <c r="H50" s="13">
        <v>7.5</v>
      </c>
      <c r="I50" s="14">
        <f t="shared" si="16"/>
        <v>83333.333333333343</v>
      </c>
      <c r="J50" s="14">
        <f>18000*1.002</f>
        <v>18036</v>
      </c>
      <c r="K50" s="14">
        <v>120</v>
      </c>
      <c r="L50" s="14">
        <f t="shared" si="2"/>
        <v>130794.17846677036</v>
      </c>
      <c r="M50" s="14">
        <f t="shared" si="13"/>
        <v>429804.39529040974</v>
      </c>
      <c r="N50" s="14">
        <f t="shared" si="11"/>
        <v>130794.17846677039</v>
      </c>
      <c r="O50" s="14">
        <f t="shared" si="15"/>
        <v>299010.21682363935</v>
      </c>
      <c r="P50" s="12">
        <f t="shared" si="8"/>
        <v>0.28719324148456593</v>
      </c>
    </row>
    <row r="51" spans="1:16" x14ac:dyDescent="0.2">
      <c r="A51" t="s">
        <v>27</v>
      </c>
      <c r="C51" s="10" t="s">
        <v>37</v>
      </c>
      <c r="D51">
        <v>32</v>
      </c>
      <c r="E51" s="6">
        <f t="shared" si="14"/>
        <v>4688.7752213499243</v>
      </c>
      <c r="F51" s="5">
        <v>0.2</v>
      </c>
      <c r="G51" s="13">
        <v>110</v>
      </c>
      <c r="H51" s="13">
        <v>7.5</v>
      </c>
      <c r="I51" s="14">
        <f>(120000/12*3)+(200000/12*3)+(120000/12*4)+(150000/12*6)</f>
        <v>195000</v>
      </c>
      <c r="J51" s="14">
        <f t="shared" ref="J51:J55" si="17">18000*1.002</f>
        <v>18036</v>
      </c>
      <c r="K51" s="14">
        <v>120</v>
      </c>
      <c r="L51" s="14">
        <f t="shared" si="2"/>
        <v>248321.81416012443</v>
      </c>
      <c r="M51" s="14">
        <f t="shared" si="13"/>
        <v>515765.27434849169</v>
      </c>
      <c r="N51" s="14">
        <f t="shared" si="11"/>
        <v>248321.8141601244</v>
      </c>
      <c r="O51" s="14">
        <f t="shared" si="15"/>
        <v>267443.46018836729</v>
      </c>
      <c r="P51" s="12">
        <f t="shared" si="8"/>
        <v>-0.10557082955426433</v>
      </c>
    </row>
    <row r="52" spans="1:16" x14ac:dyDescent="0.2">
      <c r="A52" s="9">
        <f>(120000/12*3)+(200000/12*3)+(120000/12*4)+(150000/12*6)</f>
        <v>195000</v>
      </c>
      <c r="C52" s="10" t="s">
        <v>35</v>
      </c>
      <c r="D52">
        <v>33</v>
      </c>
      <c r="E52" s="6">
        <f t="shared" si="14"/>
        <v>5626.5302656199092</v>
      </c>
      <c r="F52" s="5">
        <v>0.2</v>
      </c>
      <c r="G52" s="13">
        <v>110</v>
      </c>
      <c r="H52" s="13">
        <v>7.5</v>
      </c>
      <c r="I52" s="14">
        <f t="shared" ref="I52:I55" si="18">(120000/12*3)+(200000/12*3)+(120000/12*4)+(150000/12*6)</f>
        <v>195000</v>
      </c>
      <c r="J52" s="14">
        <f t="shared" si="17"/>
        <v>18036</v>
      </c>
      <c r="K52" s="14">
        <v>120</v>
      </c>
      <c r="L52" s="14">
        <f t="shared" si="2"/>
        <v>255354.97699214931</v>
      </c>
      <c r="M52" s="14">
        <f t="shared" si="13"/>
        <v>618918.32921819005</v>
      </c>
      <c r="N52" s="14">
        <f t="shared" si="11"/>
        <v>255354.97699214931</v>
      </c>
      <c r="O52" s="14">
        <f t="shared" si="15"/>
        <v>363563.35222604073</v>
      </c>
      <c r="P52" s="12">
        <f t="shared" si="8"/>
        <v>0.35940266391249098</v>
      </c>
    </row>
    <row r="53" spans="1:16" x14ac:dyDescent="0.2">
      <c r="D53">
        <v>34</v>
      </c>
      <c r="E53" s="6">
        <f t="shared" si="14"/>
        <v>6751.8363187438908</v>
      </c>
      <c r="F53" s="5">
        <v>0.2</v>
      </c>
      <c r="G53" s="13">
        <v>110</v>
      </c>
      <c r="H53" s="13">
        <v>7.5</v>
      </c>
      <c r="I53" s="14">
        <f t="shared" si="18"/>
        <v>195000</v>
      </c>
      <c r="J53" s="14">
        <f t="shared" si="17"/>
        <v>18036</v>
      </c>
      <c r="K53" s="14">
        <v>120</v>
      </c>
      <c r="L53" s="14">
        <f t="shared" si="2"/>
        <v>263794.77239057916</v>
      </c>
      <c r="M53" s="14">
        <f t="shared" si="13"/>
        <v>742701.99506182794</v>
      </c>
      <c r="N53" s="14">
        <f t="shared" si="11"/>
        <v>263794.77239057916</v>
      </c>
      <c r="O53" s="14">
        <f t="shared" si="15"/>
        <v>478907.22267124878</v>
      </c>
      <c r="P53" s="12">
        <f t="shared" si="8"/>
        <v>0.31725934349261498</v>
      </c>
    </row>
    <row r="54" spans="1:16" x14ac:dyDescent="0.2">
      <c r="D54">
        <v>35</v>
      </c>
      <c r="E54" s="6">
        <f t="shared" si="14"/>
        <v>8102.2035824926688</v>
      </c>
      <c r="F54" s="5">
        <v>0.2</v>
      </c>
      <c r="G54" s="13">
        <v>110</v>
      </c>
      <c r="H54" s="13">
        <v>7.5</v>
      </c>
      <c r="I54" s="14">
        <f t="shared" si="18"/>
        <v>195000</v>
      </c>
      <c r="J54" s="14">
        <f t="shared" si="17"/>
        <v>18036</v>
      </c>
      <c r="K54" s="14">
        <v>120</v>
      </c>
      <c r="L54" s="14">
        <f t="shared" si="2"/>
        <v>273922.52686869504</v>
      </c>
      <c r="M54" s="14">
        <f t="shared" si="13"/>
        <v>891242.39407419355</v>
      </c>
      <c r="N54" s="14">
        <f t="shared" si="11"/>
        <v>273922.52686869504</v>
      </c>
      <c r="O54" s="14">
        <f t="shared" si="15"/>
        <v>617319.86720549851</v>
      </c>
      <c r="P54" s="12">
        <f t="shared" si="8"/>
        <v>0.28901765933328738</v>
      </c>
    </row>
    <row r="55" spans="1:16" x14ac:dyDescent="0.2">
      <c r="D55">
        <v>36</v>
      </c>
      <c r="E55" s="6">
        <f t="shared" si="14"/>
        <v>9722.644298991203</v>
      </c>
      <c r="F55" s="5">
        <v>0.2</v>
      </c>
      <c r="G55" s="13">
        <v>110</v>
      </c>
      <c r="H55" s="13">
        <v>7.5</v>
      </c>
      <c r="I55" s="14">
        <f t="shared" si="18"/>
        <v>195000</v>
      </c>
      <c r="J55" s="14">
        <f t="shared" si="17"/>
        <v>18036</v>
      </c>
      <c r="K55" s="14">
        <v>120</v>
      </c>
      <c r="L55" s="14">
        <f t="shared" si="2"/>
        <v>286075.83224243403</v>
      </c>
      <c r="M55" s="14">
        <f t="shared" si="13"/>
        <v>1069490.8728890324</v>
      </c>
      <c r="N55" s="14">
        <f t="shared" si="11"/>
        <v>286075.83224243403</v>
      </c>
      <c r="O55" s="14">
        <f t="shared" si="15"/>
        <v>783415.04064659833</v>
      </c>
      <c r="P55" s="12">
        <f t="shared" si="8"/>
        <v>0.26905852583845102</v>
      </c>
    </row>
    <row r="57" spans="1:16" x14ac:dyDescent="0.2">
      <c r="D57" s="3" t="s">
        <v>45</v>
      </c>
      <c r="E57" s="25">
        <f>SUM(E20:E55)</f>
        <v>58593.34096269936</v>
      </c>
      <c r="N57" s="3" t="s">
        <v>34</v>
      </c>
      <c r="O57" s="17">
        <f>SUM(O20:O29)</f>
        <v>-57177.832781772973</v>
      </c>
    </row>
    <row r="58" spans="1:16" x14ac:dyDescent="0.2">
      <c r="N58" s="3" t="s">
        <v>44</v>
      </c>
      <c r="O58" s="17">
        <f>SUM(O20:O55)</f>
        <v>3748948.1153433514</v>
      </c>
    </row>
  </sheetData>
  <mergeCells count="3">
    <mergeCell ref="A18:P18"/>
    <mergeCell ref="A1:E1"/>
    <mergeCell ref="A13:F13"/>
  </mergeCells>
  <hyperlinks>
    <hyperlink ref="A8" r:id="rId1"/>
    <hyperlink ref="A9" r:id="rId2"/>
    <hyperlink ref="A10" r:id="rId3"/>
  </hyperlinks>
  <pageMargins left="0.7" right="0.7" top="0.75" bottom="0.75" header="0.3" footer="0.3"/>
  <pageSetup paperSize="9" orientation="portrait" horizontalDpi="0" verticalDpi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Hughes</dc:creator>
  <cp:lastModifiedBy>Tom Hughes</cp:lastModifiedBy>
  <dcterms:created xsi:type="dcterms:W3CDTF">2015-10-10T20:20:28Z</dcterms:created>
  <dcterms:modified xsi:type="dcterms:W3CDTF">2015-10-11T13:13:04Z</dcterms:modified>
</cp:coreProperties>
</file>