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Desktop/_School/MBA/FIN6360 Investment Strategy/"/>
    </mc:Choice>
  </mc:AlternateContent>
  <xr:revisionPtr revIDLastSave="0" documentId="13_ncr:1_{D19F70A7-3201-0246-87C0-A13722F7850B}" xr6:coauthVersionLast="46" xr6:coauthVersionMax="46" xr10:uidLastSave="{00000000-0000-0000-0000-000000000000}"/>
  <bookViews>
    <workbookView xWindow="440" yWindow="840" windowWidth="25440" windowHeight="14900" activeTab="2" xr2:uid="{5301F730-DE5A-9842-9570-B889AFFE2571}"/>
  </bookViews>
  <sheets>
    <sheet name="H1B" sheetId="1" r:id="rId1"/>
    <sheet name="H2A" sheetId="2" r:id="rId2"/>
    <sheet name="H2B" sheetId="3" r:id="rId3"/>
    <sheet name="H3A" sheetId="5" r:id="rId4"/>
    <sheet name="H3B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3" l="1"/>
  <c r="B103" i="3" s="1"/>
  <c r="B101" i="3"/>
  <c r="B99" i="3"/>
  <c r="E81" i="3"/>
  <c r="B22" i="3"/>
  <c r="B26" i="6"/>
  <c r="B28" i="6" s="1"/>
  <c r="B28" i="5"/>
  <c r="B26" i="5"/>
  <c r="B14" i="6"/>
  <c r="B17" i="6" s="1"/>
  <c r="B8" i="6"/>
  <c r="B14" i="5"/>
  <c r="B17" i="5" s="1"/>
  <c r="B8" i="5"/>
  <c r="B91" i="3"/>
  <c r="B94" i="3" s="1"/>
  <c r="C79" i="3"/>
  <c r="C77" i="3"/>
  <c r="B86" i="3" s="1"/>
  <c r="F65" i="3"/>
  <c r="B65" i="3"/>
  <c r="B64" i="3"/>
  <c r="B62" i="3"/>
  <c r="B60" i="3" s="1"/>
  <c r="D65" i="3" s="1"/>
  <c r="C55" i="3"/>
  <c r="C54" i="3"/>
  <c r="E40" i="3"/>
  <c r="E44" i="3" s="1"/>
  <c r="E41" i="3"/>
  <c r="E42" i="3"/>
  <c r="D41" i="3"/>
  <c r="D42" i="3"/>
  <c r="D40" i="3"/>
  <c r="F37" i="3"/>
  <c r="B26" i="3"/>
  <c r="B27" i="3"/>
  <c r="B25" i="3"/>
  <c r="C21" i="3"/>
  <c r="B21" i="3"/>
  <c r="B7" i="2"/>
  <c r="B8" i="2"/>
  <c r="B9" i="2"/>
  <c r="B10" i="2"/>
  <c r="C10" i="2" s="1"/>
  <c r="B11" i="2"/>
  <c r="B12" i="2"/>
  <c r="B13" i="2"/>
  <c r="B14" i="2"/>
  <c r="C14" i="2" s="1"/>
  <c r="B21" i="2" s="1"/>
  <c r="B15" i="2"/>
  <c r="B16" i="2"/>
  <c r="B6" i="2"/>
  <c r="D6" i="2" s="1"/>
  <c r="D7" i="2"/>
  <c r="B7" i="3"/>
  <c r="D7" i="3" s="1"/>
  <c r="B8" i="3"/>
  <c r="C8" i="3" s="1"/>
  <c r="B6" i="3"/>
  <c r="C6" i="3" s="1"/>
  <c r="G53" i="2"/>
  <c r="F57" i="2"/>
  <c r="F55" i="2"/>
  <c r="C39" i="2"/>
  <c r="H46" i="2" s="1"/>
  <c r="E44" i="2"/>
  <c r="F44" i="2"/>
  <c r="G44" i="2"/>
  <c r="E45" i="2"/>
  <c r="H45" i="2" s="1"/>
  <c r="F45" i="2"/>
  <c r="G45" i="2"/>
  <c r="E46" i="2"/>
  <c r="F46" i="2"/>
  <c r="G46" i="2"/>
  <c r="F43" i="2"/>
  <c r="F54" i="2" s="1"/>
  <c r="G43" i="2"/>
  <c r="G54" i="2" s="1"/>
  <c r="E43" i="2"/>
  <c r="E47" i="2" s="1"/>
  <c r="B22" i="2"/>
  <c r="D8" i="2"/>
  <c r="D9" i="2"/>
  <c r="D10" i="2"/>
  <c r="D11" i="2"/>
  <c r="D12" i="2"/>
  <c r="D13" i="2"/>
  <c r="D14" i="2"/>
  <c r="C21" i="2" s="1"/>
  <c r="D15" i="2"/>
  <c r="D16" i="2"/>
  <c r="C7" i="2"/>
  <c r="C8" i="2"/>
  <c r="C9" i="2"/>
  <c r="C11" i="2"/>
  <c r="C12" i="2"/>
  <c r="C13" i="2"/>
  <c r="C15" i="2"/>
  <c r="C16" i="2"/>
  <c r="C6" i="2"/>
  <c r="D34" i="1"/>
  <c r="B41" i="1" s="1"/>
  <c r="E28" i="1"/>
  <c r="D28" i="1"/>
  <c r="E27" i="1"/>
  <c r="D27" i="1"/>
  <c r="E26" i="1"/>
  <c r="F34" i="1" s="1"/>
  <c r="B42" i="1" s="1"/>
  <c r="D26" i="1"/>
  <c r="E7" i="1"/>
  <c r="F15" i="1" s="1"/>
  <c r="E8" i="1"/>
  <c r="D20" i="1" s="1"/>
  <c r="E9" i="1"/>
  <c r="D9" i="1"/>
  <c r="D8" i="1"/>
  <c r="D7" i="1"/>
  <c r="D15" i="1" s="1"/>
  <c r="H65" i="3" l="1"/>
  <c r="C78" i="3"/>
  <c r="D64" i="3"/>
  <c r="F64" i="3" s="1"/>
  <c r="D43" i="3"/>
  <c r="F40" i="3"/>
  <c r="F42" i="3"/>
  <c r="C7" i="3"/>
  <c r="B33" i="3" s="1"/>
  <c r="D44" i="3"/>
  <c r="F56" i="2"/>
  <c r="E55" i="2"/>
  <c r="E56" i="2" s="1"/>
  <c r="E57" i="2"/>
  <c r="E43" i="3"/>
  <c r="F53" i="2"/>
  <c r="F41" i="3"/>
  <c r="B15" i="1"/>
  <c r="B34" i="1"/>
  <c r="B40" i="1" s="1"/>
  <c r="H43" i="2"/>
  <c r="E54" i="2"/>
  <c r="H44" i="2"/>
  <c r="B20" i="1"/>
  <c r="E53" i="2"/>
  <c r="D26" i="3"/>
  <c r="D25" i="3"/>
  <c r="D27" i="3"/>
  <c r="C26" i="3"/>
  <c r="C25" i="3"/>
  <c r="C27" i="3"/>
  <c r="D6" i="3"/>
  <c r="D8" i="3"/>
  <c r="G47" i="2"/>
  <c r="F47" i="2"/>
  <c r="E48" i="2"/>
  <c r="C27" i="2"/>
  <c r="C26" i="2"/>
  <c r="C25" i="2"/>
  <c r="D29" i="2"/>
  <c r="D28" i="2"/>
  <c r="D26" i="2"/>
  <c r="D25" i="2"/>
  <c r="D27" i="2"/>
  <c r="G48" i="2"/>
  <c r="C28" i="2"/>
  <c r="F48" i="2"/>
  <c r="C29" i="2"/>
  <c r="F43" i="3" l="1"/>
  <c r="F44" i="3"/>
  <c r="B34" i="3"/>
  <c r="H47" i="2"/>
  <c r="H48" i="2"/>
</calcChain>
</file>

<file path=xl/sharedStrings.xml><?xml version="1.0" encoding="utf-8"?>
<sst xmlns="http://schemas.openxmlformats.org/spreadsheetml/2006/main" count="246" uniqueCount="143">
  <si>
    <t>HW 1 B</t>
  </si>
  <si>
    <t>Return Month</t>
  </si>
  <si>
    <t>Price at month end</t>
  </si>
  <si>
    <t>Dividend</t>
  </si>
  <si>
    <t xml:space="preserve">Discrete return </t>
  </si>
  <si>
    <t>Continuous Return</t>
  </si>
  <si>
    <t>Arithmetic average</t>
  </si>
  <si>
    <t>Continuous</t>
  </si>
  <si>
    <t>Standard Deviation of the returns in 1 (Divisor N)</t>
  </si>
  <si>
    <t>Discrete</t>
  </si>
  <si>
    <t>arithmetic avg</t>
  </si>
  <si>
    <t>Geometric avg</t>
  </si>
  <si>
    <t>Geometric</t>
  </si>
  <si>
    <t>Expected Return</t>
  </si>
  <si>
    <t>A</t>
  </si>
  <si>
    <t>B</t>
  </si>
  <si>
    <t>STD</t>
  </si>
  <si>
    <t>Correlation</t>
  </si>
  <si>
    <t>Weight in A</t>
  </si>
  <si>
    <t>Weight in B</t>
  </si>
  <si>
    <t>Standard Deviation</t>
  </si>
  <si>
    <t>#2</t>
  </si>
  <si>
    <t>Weight in 80/20</t>
  </si>
  <si>
    <t>Weight in T-Bill</t>
  </si>
  <si>
    <t>Sharpe Ratio - helps us compare risky funds to non risky funds.</t>
  </si>
  <si>
    <t>#4</t>
  </si>
  <si>
    <t xml:space="preserve">Year </t>
  </si>
  <si>
    <t>SPY</t>
  </si>
  <si>
    <t>HON</t>
  </si>
  <si>
    <t>CSCO</t>
  </si>
  <si>
    <t>CSCO Return</t>
  </si>
  <si>
    <t>HON Return</t>
  </si>
  <si>
    <t>SPY Return</t>
  </si>
  <si>
    <t>Mean</t>
  </si>
  <si>
    <t>ST Dev</t>
  </si>
  <si>
    <t>Portfolio Return</t>
  </si>
  <si>
    <t>#5</t>
  </si>
  <si>
    <t>HMK2A2</t>
  </si>
  <si>
    <t>Correlations</t>
  </si>
  <si>
    <t>STDEV's</t>
  </si>
  <si>
    <t>Beta</t>
  </si>
  <si>
    <t>Just 2016-2018</t>
  </si>
  <si>
    <t>Predicted Return</t>
  </si>
  <si>
    <t>Actual-predicted</t>
  </si>
  <si>
    <t xml:space="preserve">Couldn't follow to calculate these, I think he will post them. </t>
  </si>
  <si>
    <t>#1</t>
  </si>
  <si>
    <t>Stock A</t>
  </si>
  <si>
    <t>Stock B</t>
  </si>
  <si>
    <t>T-Bill</t>
  </si>
  <si>
    <t>Return</t>
  </si>
  <si>
    <t>Weight in 71/29</t>
  </si>
  <si>
    <t>Sharpe Ratios</t>
  </si>
  <si>
    <t>XOM</t>
  </si>
  <si>
    <t>Googl price</t>
  </si>
  <si>
    <t>XOM Price</t>
  </si>
  <si>
    <t>XOM Return</t>
  </si>
  <si>
    <t>Googl Return</t>
  </si>
  <si>
    <t>Portfolio</t>
  </si>
  <si>
    <t>Googl</t>
  </si>
  <si>
    <t>#7</t>
  </si>
  <si>
    <t>Risk Free</t>
  </si>
  <si>
    <t xml:space="preserve">Market Risk Premium </t>
  </si>
  <si>
    <t>Stock</t>
  </si>
  <si>
    <t>Expected Earnings</t>
  </si>
  <si>
    <t>In order to construct a portfolio with a beta of 0.95  we have to put what weights in</t>
  </si>
  <si>
    <t>Weight A</t>
  </si>
  <si>
    <t>Weight B</t>
  </si>
  <si>
    <t xml:space="preserve">Desired Beta = </t>
  </si>
  <si>
    <t>Calculated Beta</t>
  </si>
  <si>
    <t>+</t>
  </si>
  <si>
    <t>=</t>
  </si>
  <si>
    <t>*</t>
  </si>
  <si>
    <t>#8</t>
  </si>
  <si>
    <t>The Risk Free rate is 5%. Beta is 0.75. A stock has an expected return of 11%</t>
  </si>
  <si>
    <t>Expected Return on the market is</t>
  </si>
  <si>
    <t>Market Risk Premium</t>
  </si>
  <si>
    <t>Stock Risk Premium</t>
  </si>
  <si>
    <t>If you invest 75% in the market and 25% in the risk free asset your beta will be:</t>
  </si>
  <si>
    <t>Weight in Market</t>
  </si>
  <si>
    <t>Weight Risk Free</t>
  </si>
  <si>
    <t>Beta  Market</t>
  </si>
  <si>
    <t>Beta Risk Free</t>
  </si>
  <si>
    <t>The stock XQV is trading at $36 . It's expected rate of return is 13%. The expected earnings per share this year are D1 = $3.24; Dividends will grow at g =4% per year. We value the stock using the growth formula P0= D1/ (r-g)</t>
  </si>
  <si>
    <t>The Risk free rate is 4% and the market risk premium is 8%; The companies beta is 1.2; Is the stock overpriced? What is it's alpha?</t>
  </si>
  <si>
    <t xml:space="preserve">D1 = </t>
  </si>
  <si>
    <t>P0</t>
  </si>
  <si>
    <t>Overpriced</t>
  </si>
  <si>
    <t>Alpha Calculation</t>
  </si>
  <si>
    <t>alpha</t>
  </si>
  <si>
    <t>Forecasting Errors (Memory Bias)</t>
  </si>
  <si>
    <t>You remember the most recent observations not all of them</t>
  </si>
  <si>
    <t>Overconfidence</t>
  </si>
  <si>
    <t>You are ore confident with your purchases than you should be</t>
  </si>
  <si>
    <t>Conservatism</t>
  </si>
  <si>
    <t>Slow to update beliefs prices take time to adjust</t>
  </si>
  <si>
    <t>Representativeness</t>
  </si>
  <si>
    <t>Inverse gamblers fallacy Its gotta turn its been doing this:</t>
  </si>
  <si>
    <t xml:space="preserve">Framing </t>
  </si>
  <si>
    <t>1/3 of people will be saved or option b 2/3 will die the first one sounds optimistic.</t>
  </si>
  <si>
    <t>Mental Accounting</t>
  </si>
  <si>
    <t>We think of our return and our principal as different. Gains are spent, losses are realized.</t>
  </si>
  <si>
    <t>Regret avoidance</t>
  </si>
  <si>
    <t>shying away from choices you don't understand to avoid feeling foolish.</t>
  </si>
  <si>
    <t>Loss Aversion</t>
  </si>
  <si>
    <t>would you rather  get a $5 discount or avoid a $5 surcharge? More scared of losses than happy with gains.</t>
  </si>
  <si>
    <t>If T bills currently offer a ____ Yield. The expected Return would be:</t>
  </si>
  <si>
    <t>Factor</t>
  </si>
  <si>
    <t>Factor Beta</t>
  </si>
  <si>
    <t>Factor Risk Premium</t>
  </si>
  <si>
    <t>Market</t>
  </si>
  <si>
    <t xml:space="preserve">Industrial </t>
  </si>
  <si>
    <t>Oil</t>
  </si>
  <si>
    <t>T Bill</t>
  </si>
  <si>
    <t>Total Return</t>
  </si>
  <si>
    <t>At The end of the year you see that the actual factor realizations are</t>
  </si>
  <si>
    <t>Based on the known value of the "surprises" or the "expected return on the stock is:</t>
  </si>
  <si>
    <t>Suppose the stock actually Returns ____. Your alpha is:</t>
  </si>
  <si>
    <t>actual return:</t>
  </si>
  <si>
    <t>1A</t>
  </si>
  <si>
    <t>One Factor APT. Risk Free Rate is _____. Here is the info on the two stocks.</t>
  </si>
  <si>
    <t>Risk Free Rate</t>
  </si>
  <si>
    <t>stock</t>
  </si>
  <si>
    <t>Price</t>
  </si>
  <si>
    <t>Div1</t>
  </si>
  <si>
    <t>g</t>
  </si>
  <si>
    <t>X</t>
  </si>
  <si>
    <t>Y</t>
  </si>
  <si>
    <t>Compute The expected return on the market implied in the stock x expected return</t>
  </si>
  <si>
    <t>E_RM</t>
  </si>
  <si>
    <t>Using the computed exp return on the market Stock Y's expected return should be:</t>
  </si>
  <si>
    <t>E_RY</t>
  </si>
  <si>
    <t>Our Calculated E_RY is lower than the provided E_Ry, thus E_RY is a good value. Buy E_Ry and short E_RX</t>
  </si>
  <si>
    <t>Our Calculated E_RY is Higher than the provided E_Ry, thus E_RY is a Not a value. Buy E_RX and short E_RY</t>
  </si>
  <si>
    <t>Check your damn numbers! I had the wrong risk free rate!!!</t>
  </si>
  <si>
    <t>Not a percentage!!!</t>
  </si>
  <si>
    <t>Expected return  - Risk Free</t>
  </si>
  <si>
    <r>
      <t xml:space="preserve"> It says 75% </t>
    </r>
    <r>
      <rPr>
        <i/>
        <sz val="12"/>
        <color theme="1"/>
        <rFont val="Calibri"/>
        <family val="2"/>
        <scheme val="minor"/>
      </rPr>
      <t xml:space="preserve">In the market </t>
    </r>
    <r>
      <rPr>
        <sz val="12"/>
        <color theme="1"/>
        <rFont val="Calibri"/>
        <family val="2"/>
        <scheme val="minor"/>
      </rPr>
      <t xml:space="preserve"> The market's beta is 1!!!!</t>
    </r>
  </si>
  <si>
    <t xml:space="preserve">R_f = </t>
  </si>
  <si>
    <t>Negative Alpha is overpriced</t>
  </si>
  <si>
    <t>R_Expected</t>
  </si>
  <si>
    <t xml:space="preserve">R_Expected = </t>
  </si>
  <si>
    <t>REexpected - R_Calc</t>
  </si>
  <si>
    <t>R_Calc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</si>
</sst>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%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0.0000000000000000%"/>
    <numFmt numFmtId="169" formatCode="0.000000000000000%"/>
    <numFmt numFmtId="170" formatCode="0.0%"/>
    <numFmt numFmtId="171" formatCode="0.00000%"/>
    <numFmt numFmtId="17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202124"/>
      <name val="Arial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3" fillId="0" borderId="0" xfId="0" applyFont="1"/>
    <xf numFmtId="4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8" fontId="0" fillId="0" borderId="0" xfId="0" applyNumberFormat="1"/>
    <xf numFmtId="9" fontId="0" fillId="2" borderId="0" xfId="0" applyNumberFormat="1" applyFill="1"/>
    <xf numFmtId="165" fontId="1" fillId="3" borderId="0" xfId="2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15" fontId="0" fillId="0" borderId="0" xfId="0" applyNumberFormat="1"/>
    <xf numFmtId="0" fontId="2" fillId="0" borderId="0" xfId="0" applyFont="1"/>
    <xf numFmtId="169" fontId="0" fillId="0" borderId="0" xfId="0" applyNumberFormat="1"/>
    <xf numFmtId="164" fontId="0" fillId="2" borderId="0" xfId="2" applyNumberFormat="1" applyFont="1" applyFill="1"/>
    <xf numFmtId="0" fontId="0" fillId="4" borderId="0" xfId="0" applyFill="1"/>
    <xf numFmtId="9" fontId="0" fillId="4" borderId="0" xfId="2" applyFont="1" applyFill="1"/>
    <xf numFmtId="10" fontId="0" fillId="4" borderId="0" xfId="2" applyNumberFormat="1" applyFont="1" applyFill="1"/>
    <xf numFmtId="10" fontId="0" fillId="4" borderId="0" xfId="0" applyNumberFormat="1" applyFill="1"/>
    <xf numFmtId="165" fontId="1" fillId="2" borderId="0" xfId="2" applyNumberFormat="1" applyFont="1" applyFill="1"/>
    <xf numFmtId="14" fontId="0" fillId="0" borderId="0" xfId="0" applyNumberFormat="1"/>
    <xf numFmtId="165" fontId="0" fillId="2" borderId="0" xfId="2" applyNumberFormat="1" applyFont="1" applyFill="1"/>
    <xf numFmtId="0" fontId="0" fillId="2" borderId="0" xfId="0" applyFill="1"/>
    <xf numFmtId="10" fontId="0" fillId="2" borderId="0" xfId="2" applyNumberFormat="1" applyFont="1" applyFill="1"/>
    <xf numFmtId="10" fontId="0" fillId="2" borderId="0" xfId="0" applyNumberFormat="1" applyFill="1"/>
    <xf numFmtId="170" fontId="0" fillId="0" borderId="0" xfId="0" applyNumberFormat="1"/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44" fontId="4" fillId="0" borderId="0" xfId="1" applyFont="1"/>
    <xf numFmtId="6" fontId="4" fillId="0" borderId="0" xfId="0" applyNumberFormat="1" applyFont="1"/>
    <xf numFmtId="8" fontId="4" fillId="0" borderId="0" xfId="0" applyNumberFormat="1" applyFont="1"/>
    <xf numFmtId="171" fontId="0" fillId="2" borderId="0" xfId="0" applyNumberFormat="1" applyFill="1"/>
    <xf numFmtId="0" fontId="0" fillId="5" borderId="0" xfId="0" applyFill="1"/>
    <xf numFmtId="0" fontId="0" fillId="6" borderId="0" xfId="0" applyFill="1"/>
    <xf numFmtId="175" fontId="0" fillId="2" borderId="0" xfId="2" applyNumberFormat="1" applyFont="1" applyFill="1"/>
    <xf numFmtId="0" fontId="0" fillId="7" borderId="0" xfId="0" applyFill="1"/>
    <xf numFmtId="170" fontId="0" fillId="0" borderId="0" xfId="2" applyNumberFormat="1" applyFont="1"/>
    <xf numFmtId="170" fontId="0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CSCO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B79-8A49-AEAF-44A653B54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HON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B79-8A49-AEAF-44A653B54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SPY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B79-8A49-AEAF-44A653B549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Portfolio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B79-8A49-AEAF-44A653B54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H2A!$E$48:$H$48</c:f>
              <c:numCache>
                <c:formatCode>0.0000%</c:formatCode>
                <c:ptCount val="4"/>
                <c:pt idx="0">
                  <c:v>5.7293340687559743E-2</c:v>
                </c:pt>
                <c:pt idx="1">
                  <c:v>0.16052878590465744</c:v>
                </c:pt>
                <c:pt idx="2">
                  <c:v>0.11758753960908219</c:v>
                </c:pt>
                <c:pt idx="3">
                  <c:v>0.10655352008557488</c:v>
                </c:pt>
              </c:numCache>
            </c:numRef>
          </c:xVal>
          <c:yVal>
            <c:numRef>
              <c:f>H2A!$E$47:$H$47</c:f>
              <c:numCache>
                <c:formatCode>0.0000%</c:formatCode>
                <c:ptCount val="4"/>
                <c:pt idx="0">
                  <c:v>0.17392878336672657</c:v>
                </c:pt>
                <c:pt idx="1">
                  <c:v>0.16578049937233441</c:v>
                </c:pt>
                <c:pt idx="2">
                  <c:v>0.13307110417627949</c:v>
                </c:pt>
                <c:pt idx="3">
                  <c:v>0.16903981297009127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9-8A49-AEAF-44A653B5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85616"/>
        <c:axId val="1746687264"/>
      </c:scatterChart>
      <c:valAx>
        <c:axId val="17466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87264"/>
        <c:crosses val="autoZero"/>
        <c:crossBetween val="midCat"/>
      </c:valAx>
      <c:valAx>
        <c:axId val="1746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H2B!$D$25:$D$27</c:f>
              <c:numCache>
                <c:formatCode>0.0000%</c:formatCode>
                <c:ptCount val="3"/>
                <c:pt idx="0">
                  <c:v>4.762767019286164E-2</c:v>
                </c:pt>
                <c:pt idx="1">
                  <c:v>0.11906917548215408</c:v>
                </c:pt>
                <c:pt idx="2">
                  <c:v>0.19051068077144656</c:v>
                </c:pt>
              </c:numCache>
            </c:numRef>
          </c:xVal>
          <c:yVal>
            <c:numRef>
              <c:f>H2B!$C$25:$C$27</c:f>
              <c:numCache>
                <c:formatCode>0.0000%</c:formatCode>
                <c:ptCount val="3"/>
                <c:pt idx="0">
                  <c:v>7.3319999999999996E-2</c:v>
                </c:pt>
                <c:pt idx="1">
                  <c:v>9.1799999999999993E-2</c:v>
                </c:pt>
                <c:pt idx="2">
                  <c:v>0.11028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9-A645-877B-D00BA5D6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74704"/>
        <c:axId val="1777195008"/>
      </c:scatterChart>
      <c:valAx>
        <c:axId val="17770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95008"/>
        <c:crosses val="autoZero"/>
        <c:crossBetween val="midCat"/>
      </c:valAx>
      <c:valAx>
        <c:axId val="1777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25</xdr:row>
      <xdr:rowOff>12700</xdr:rowOff>
    </xdr:from>
    <xdr:to>
      <xdr:col>11</xdr:col>
      <xdr:colOff>501650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0C69D-723D-4D45-A09F-0614E53D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13</xdr:row>
      <xdr:rowOff>76200</xdr:rowOff>
    </xdr:from>
    <xdr:to>
      <xdr:col>11</xdr:col>
      <xdr:colOff>139700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431F6-692F-8044-990C-A7ED4349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16F9-8EEE-5740-AB02-B92AA4D9B921}">
  <dimension ref="A1:N57"/>
  <sheetViews>
    <sheetView topLeftCell="A16" workbookViewId="0">
      <selection activeCell="F34" sqref="F34"/>
    </sheetView>
  </sheetViews>
  <sheetFormatPr baseColWidth="10" defaultRowHeight="16" x14ac:dyDescent="0.2"/>
  <cols>
    <col min="2" max="2" width="11.5" customWidth="1"/>
    <col min="3" max="3" width="9.33203125" customWidth="1"/>
    <col min="4" max="4" width="16.5" customWidth="1"/>
  </cols>
  <sheetData>
    <row r="1" spans="1:7" x14ac:dyDescent="0.2">
      <c r="A1" t="s">
        <v>0</v>
      </c>
    </row>
    <row r="3" spans="1:7" x14ac:dyDescent="0.2">
      <c r="A3">
        <v>1</v>
      </c>
    </row>
    <row r="5" spans="1:7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7" x14ac:dyDescent="0.2">
      <c r="A6">
        <v>1</v>
      </c>
      <c r="B6" s="1">
        <v>55.1</v>
      </c>
      <c r="C6" s="1"/>
    </row>
    <row r="7" spans="1:7" x14ac:dyDescent="0.2">
      <c r="A7">
        <v>2</v>
      </c>
      <c r="B7" s="1">
        <v>56.14</v>
      </c>
      <c r="C7" s="1"/>
      <c r="D7" s="3">
        <f>(B7+C7-B6)/B6</f>
        <v>1.88747731397459E-2</v>
      </c>
      <c r="E7" s="3">
        <f t="shared" ref="E7:E9" si="0">LN(B7+C7)-LN(B6)</f>
        <v>1.8698854774867435E-2</v>
      </c>
    </row>
    <row r="8" spans="1:7" x14ac:dyDescent="0.2">
      <c r="A8">
        <v>3</v>
      </c>
      <c r="B8" s="1">
        <v>54.76</v>
      </c>
      <c r="C8" s="1">
        <v>0.5</v>
      </c>
      <c r="D8" s="3">
        <f>(B8+C8-B7)/B7</f>
        <v>-1.5675097969362353E-2</v>
      </c>
      <c r="E8" s="3">
        <f t="shared" si="0"/>
        <v>-1.5799251438465944E-2</v>
      </c>
    </row>
    <row r="9" spans="1:7" x14ac:dyDescent="0.2">
      <c r="A9">
        <v>4</v>
      </c>
      <c r="B9" s="1">
        <v>56.45</v>
      </c>
      <c r="C9" s="1"/>
      <c r="D9" s="3">
        <f>(B9+C9-B8)/B8</f>
        <v>3.0861943024105276E-2</v>
      </c>
      <c r="E9" s="3">
        <f t="shared" si="0"/>
        <v>3.0395290175423639E-2</v>
      </c>
    </row>
    <row r="12" spans="1:7" x14ac:dyDescent="0.2">
      <c r="A12">
        <v>2</v>
      </c>
    </row>
    <row r="13" spans="1:7" ht="20" x14ac:dyDescent="0.2">
      <c r="B13" t="s">
        <v>6</v>
      </c>
      <c r="D13" t="s">
        <v>12</v>
      </c>
      <c r="F13" t="s">
        <v>7</v>
      </c>
      <c r="G13" s="5"/>
    </row>
    <row r="15" spans="1:7" x14ac:dyDescent="0.2">
      <c r="B15" s="4">
        <f>AVERAGE(D7:D9)</f>
        <v>1.1353872731496274E-2</v>
      </c>
      <c r="D15" s="4">
        <f>GEOMEAN(1+D7,1+D8,1+D9)-1</f>
        <v>1.1160112411918721E-2</v>
      </c>
      <c r="F15" s="3">
        <f>AVERAGE(E7:E9)</f>
        <v>1.1098297837275043E-2</v>
      </c>
    </row>
    <row r="17" spans="1:6" x14ac:dyDescent="0.2">
      <c r="A17" t="s">
        <v>8</v>
      </c>
    </row>
    <row r="19" spans="1:6" x14ac:dyDescent="0.2">
      <c r="B19" t="s">
        <v>9</v>
      </c>
      <c r="D19" t="s">
        <v>7</v>
      </c>
    </row>
    <row r="20" spans="1:6" x14ac:dyDescent="0.2">
      <c r="B20" s="4">
        <f>_xlfn.STDEV.P(D7:D9)</f>
        <v>1.9728946640575767E-2</v>
      </c>
      <c r="D20" s="4">
        <f>_xlfn.STDEV.P(E7:E9)</f>
        <v>1.9609696037938849E-2</v>
      </c>
    </row>
    <row r="23" spans="1:6" x14ac:dyDescent="0.2">
      <c r="A23">
        <v>3</v>
      </c>
    </row>
    <row r="24" spans="1:6" x14ac:dyDescent="0.2">
      <c r="A24" t="s">
        <v>1</v>
      </c>
      <c r="B24" t="s">
        <v>2</v>
      </c>
      <c r="C24" t="s">
        <v>3</v>
      </c>
      <c r="D24" t="s">
        <v>4</v>
      </c>
      <c r="E24" t="s">
        <v>5</v>
      </c>
    </row>
    <row r="25" spans="1:6" x14ac:dyDescent="0.2">
      <c r="A25">
        <v>1</v>
      </c>
      <c r="B25" s="1">
        <v>53.07</v>
      </c>
      <c r="C25" s="1"/>
    </row>
    <row r="26" spans="1:6" x14ac:dyDescent="0.2">
      <c r="A26">
        <v>2</v>
      </c>
      <c r="B26" s="1">
        <v>54.15</v>
      </c>
      <c r="C26" s="1"/>
      <c r="D26" s="3">
        <f>(B26+C26-B25)/B25</f>
        <v>2.0350480497456157E-2</v>
      </c>
      <c r="E26" s="3">
        <f t="shared" ref="E26:E28" si="1">LN(B26+C26)-LN(B25)</f>
        <v>2.0146176607195976E-2</v>
      </c>
    </row>
    <row r="27" spans="1:6" x14ac:dyDescent="0.2">
      <c r="A27">
        <v>3</v>
      </c>
      <c r="B27" s="1">
        <v>53.39</v>
      </c>
      <c r="C27" s="1"/>
      <c r="D27" s="3">
        <f>(B27+C27-B26)/B26</f>
        <v>-1.4035087719298209E-2</v>
      </c>
      <c r="E27" s="3">
        <f t="shared" si="1"/>
        <v>-1.413451093490492E-2</v>
      </c>
    </row>
    <row r="28" spans="1:6" x14ac:dyDescent="0.2">
      <c r="A28">
        <v>4</v>
      </c>
      <c r="B28" s="1">
        <v>55.08</v>
      </c>
      <c r="C28" s="1"/>
      <c r="D28" s="3">
        <f>(B28+C28-B27)/B27</f>
        <v>3.1653867765499118E-2</v>
      </c>
      <c r="E28" s="3">
        <f t="shared" si="1"/>
        <v>3.1163211348359532E-2</v>
      </c>
    </row>
    <row r="30" spans="1:6" x14ac:dyDescent="0.2">
      <c r="A30">
        <v>4</v>
      </c>
    </row>
    <row r="32" spans="1:6" x14ac:dyDescent="0.2">
      <c r="B32" t="s">
        <v>6</v>
      </c>
      <c r="D32" t="s">
        <v>12</v>
      </c>
      <c r="F32" t="s">
        <v>7</v>
      </c>
    </row>
    <row r="34" spans="1:14" x14ac:dyDescent="0.2">
      <c r="B34" s="4">
        <f>AVERAGE(D26:D28)</f>
        <v>1.2656420181219022E-2</v>
      </c>
      <c r="D34" s="4">
        <f>GEOMEAN(1+D26, 1+D27, 1 +D28)-1</f>
        <v>1.2468719979120468E-2</v>
      </c>
      <c r="F34" s="3">
        <f>AVERAGE(E26:E28)</f>
        <v>1.2391625673550196E-2</v>
      </c>
      <c r="N34" s="9"/>
    </row>
    <row r="35" spans="1:14" x14ac:dyDescent="0.2">
      <c r="D35" s="12"/>
      <c r="N35" s="9"/>
    </row>
    <row r="36" spans="1:14" x14ac:dyDescent="0.2">
      <c r="N36" s="9"/>
    </row>
    <row r="37" spans="1:14" x14ac:dyDescent="0.2">
      <c r="N37" s="9"/>
    </row>
    <row r="38" spans="1:14" x14ac:dyDescent="0.2">
      <c r="A38">
        <v>5</v>
      </c>
      <c r="N38" s="4"/>
    </row>
    <row r="39" spans="1:14" x14ac:dyDescent="0.2">
      <c r="N39" s="3"/>
    </row>
    <row r="40" spans="1:14" x14ac:dyDescent="0.2">
      <c r="A40" t="s">
        <v>10</v>
      </c>
      <c r="B40" s="6">
        <f>B25*(1+B34)^3</f>
        <v>55.110639298848923</v>
      </c>
    </row>
    <row r="41" spans="1:14" x14ac:dyDescent="0.2">
      <c r="A41" t="s">
        <v>11</v>
      </c>
      <c r="B41" s="8">
        <f>B25*(1+D34)^3</f>
        <v>55.08</v>
      </c>
      <c r="D41" s="4"/>
      <c r="F41" s="3"/>
    </row>
    <row r="42" spans="1:14" x14ac:dyDescent="0.2">
      <c r="B42" s="7">
        <f>B25* EXP(F34*3)</f>
        <v>55.080000000000005</v>
      </c>
    </row>
    <row r="57" spans="2:6" x14ac:dyDescent="0.2">
      <c r="B57" s="4"/>
      <c r="D57" s="4"/>
      <c r="F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46EF-6A18-4945-9CED-471D578B95B0}">
  <dimension ref="A1:H59"/>
  <sheetViews>
    <sheetView topLeftCell="A44" workbookViewId="0">
      <selection activeCell="H48" sqref="H48"/>
    </sheetView>
  </sheetViews>
  <sheetFormatPr baseColWidth="10" defaultRowHeight="16" x14ac:dyDescent="0.2"/>
  <cols>
    <col min="1" max="1" width="13.6640625" customWidth="1"/>
    <col min="2" max="2" width="14.83203125" customWidth="1"/>
    <col min="3" max="3" width="15" customWidth="1"/>
    <col min="5" max="5" width="20.33203125" bestFit="1" customWidth="1"/>
  </cols>
  <sheetData>
    <row r="1" spans="1:5" x14ac:dyDescent="0.2">
      <c r="B1" t="s">
        <v>13</v>
      </c>
      <c r="C1" t="s">
        <v>16</v>
      </c>
      <c r="E1" t="s">
        <v>17</v>
      </c>
    </row>
    <row r="2" spans="1:5" x14ac:dyDescent="0.2">
      <c r="A2" s="9" t="s">
        <v>14</v>
      </c>
      <c r="B2" s="9">
        <v>0.16</v>
      </c>
      <c r="C2" s="9">
        <v>0.3</v>
      </c>
      <c r="E2">
        <v>0.2</v>
      </c>
    </row>
    <row r="3" spans="1:5" x14ac:dyDescent="0.2">
      <c r="A3" t="s">
        <v>15</v>
      </c>
      <c r="B3" s="9">
        <v>0.06</v>
      </c>
      <c r="C3" s="9">
        <v>0.15</v>
      </c>
    </row>
    <row r="4" spans="1:5" x14ac:dyDescent="0.2">
      <c r="B4" s="9"/>
      <c r="C4" s="9"/>
    </row>
    <row r="5" spans="1:5" x14ac:dyDescent="0.2">
      <c r="A5" t="s">
        <v>18</v>
      </c>
      <c r="B5" t="s">
        <v>19</v>
      </c>
      <c r="C5" t="s">
        <v>13</v>
      </c>
      <c r="D5" t="s">
        <v>20</v>
      </c>
    </row>
    <row r="6" spans="1:5" x14ac:dyDescent="0.2">
      <c r="A6" s="9">
        <v>0.43</v>
      </c>
      <c r="B6" s="9">
        <f>1-A6</f>
        <v>0.57000000000000006</v>
      </c>
      <c r="C6" s="16">
        <f>B$2*A6+B$3*B6</f>
        <v>0.10300000000000001</v>
      </c>
      <c r="D6" s="14">
        <f>SQRT(A6^2*$C$2^2 + B6^2*$C$3^2 +2*A6*B6*$E$2*C$2*C$3)</f>
        <v>0.16841333082627397</v>
      </c>
    </row>
    <row r="7" spans="1:5" x14ac:dyDescent="0.2">
      <c r="A7" s="9">
        <v>0.1</v>
      </c>
      <c r="B7" s="9">
        <f t="shared" ref="B7:B16" si="0">1-A7</f>
        <v>0.9</v>
      </c>
      <c r="C7" s="13">
        <f t="shared" ref="C7:C16" si="1">B$2*A7+B$3*B7</f>
        <v>7.0000000000000007E-2</v>
      </c>
      <c r="D7" s="14">
        <f>SQRT(A7^2*$C$2^2 + B7^2*$C$3^2 +2*A7*B7*$E$2*C$2*C$3)</f>
        <v>0.14403124660989367</v>
      </c>
    </row>
    <row r="8" spans="1:5" x14ac:dyDescent="0.2">
      <c r="A8" s="9">
        <v>0.2</v>
      </c>
      <c r="B8" s="9">
        <f t="shared" si="0"/>
        <v>0.8</v>
      </c>
      <c r="C8" s="13">
        <f t="shared" si="1"/>
        <v>0.08</v>
      </c>
      <c r="D8" s="14">
        <f t="shared" ref="D8:D16" si="2">SQRT(A8^2*$C$2^2 + B8^2*$C$3^2 +2*A8*B8*$E$2*C$2*C$3)</f>
        <v>0.14449913494550756</v>
      </c>
    </row>
    <row r="9" spans="1:5" x14ac:dyDescent="0.2">
      <c r="A9" s="9">
        <v>0.3</v>
      </c>
      <c r="B9" s="9">
        <f t="shared" si="0"/>
        <v>0.7</v>
      </c>
      <c r="C9" s="13">
        <f t="shared" si="1"/>
        <v>0.09</v>
      </c>
      <c r="D9" s="14">
        <f t="shared" si="2"/>
        <v>0.15134397906755326</v>
      </c>
    </row>
    <row r="10" spans="1:5" x14ac:dyDescent="0.2">
      <c r="A10" s="9">
        <v>0.4</v>
      </c>
      <c r="B10" s="9">
        <f t="shared" si="0"/>
        <v>0.6</v>
      </c>
      <c r="C10" s="13">
        <f t="shared" si="1"/>
        <v>0.1</v>
      </c>
      <c r="D10" s="14">
        <f t="shared" si="2"/>
        <v>0.16376812876747418</v>
      </c>
    </row>
    <row r="11" spans="1:5" x14ac:dyDescent="0.2">
      <c r="A11" s="9">
        <v>0.5</v>
      </c>
      <c r="B11" s="9">
        <f t="shared" si="0"/>
        <v>0.5</v>
      </c>
      <c r="C11" s="13">
        <f t="shared" si="1"/>
        <v>0.11</v>
      </c>
      <c r="D11" s="14">
        <f t="shared" si="2"/>
        <v>0.1806239186818844</v>
      </c>
    </row>
    <row r="12" spans="1:5" x14ac:dyDescent="0.2">
      <c r="A12" s="9">
        <v>0.6</v>
      </c>
      <c r="B12" s="9">
        <f t="shared" si="0"/>
        <v>0.4</v>
      </c>
      <c r="C12" s="13">
        <f t="shared" si="1"/>
        <v>0.12</v>
      </c>
      <c r="D12" s="14">
        <f t="shared" si="2"/>
        <v>0.20079840636817811</v>
      </c>
    </row>
    <row r="13" spans="1:5" x14ac:dyDescent="0.2">
      <c r="A13" s="9">
        <v>0.7</v>
      </c>
      <c r="B13" s="9">
        <f t="shared" si="0"/>
        <v>0.30000000000000004</v>
      </c>
      <c r="C13" s="13">
        <f t="shared" si="1"/>
        <v>0.13</v>
      </c>
      <c r="D13" s="14">
        <f t="shared" si="2"/>
        <v>0.22339427029357756</v>
      </c>
    </row>
    <row r="14" spans="1:5" x14ac:dyDescent="0.2">
      <c r="A14" s="9">
        <v>0.8</v>
      </c>
      <c r="B14" s="9">
        <f t="shared" si="0"/>
        <v>0.19999999999999996</v>
      </c>
      <c r="C14" s="13">
        <f t="shared" si="1"/>
        <v>0.14000000000000001</v>
      </c>
      <c r="D14" s="14">
        <f t="shared" si="2"/>
        <v>0.24774987386475095</v>
      </c>
    </row>
    <row r="15" spans="1:5" x14ac:dyDescent="0.2">
      <c r="A15" s="9">
        <v>0.9</v>
      </c>
      <c r="B15" s="9">
        <f t="shared" si="0"/>
        <v>9.9999999999999978E-2</v>
      </c>
      <c r="C15" s="13">
        <f t="shared" si="1"/>
        <v>0.15000000000000002</v>
      </c>
      <c r="D15" s="14">
        <f t="shared" si="2"/>
        <v>0.27339531817498264</v>
      </c>
    </row>
    <row r="16" spans="1:5" x14ac:dyDescent="0.2">
      <c r="A16" s="9">
        <v>1</v>
      </c>
      <c r="B16" s="9">
        <f t="shared" si="0"/>
        <v>0</v>
      </c>
      <c r="C16" s="13">
        <f t="shared" si="1"/>
        <v>0.16</v>
      </c>
      <c r="D16" s="14">
        <f t="shared" si="2"/>
        <v>0.3</v>
      </c>
    </row>
    <row r="20" spans="1:5" x14ac:dyDescent="0.2">
      <c r="B20" t="s">
        <v>13</v>
      </c>
      <c r="C20" t="s">
        <v>16</v>
      </c>
      <c r="E20" t="s">
        <v>17</v>
      </c>
    </row>
    <row r="21" spans="1:5" x14ac:dyDescent="0.2">
      <c r="A21" t="s">
        <v>14</v>
      </c>
      <c r="B21" s="9">
        <f>C14</f>
        <v>0.14000000000000001</v>
      </c>
      <c r="C21" s="9">
        <f>D14</f>
        <v>0.24774987386475095</v>
      </c>
      <c r="E21">
        <v>0</v>
      </c>
    </row>
    <row r="22" spans="1:5" x14ac:dyDescent="0.2">
      <c r="A22" t="s">
        <v>15</v>
      </c>
      <c r="B22" s="9">
        <f>5%</f>
        <v>0.05</v>
      </c>
      <c r="C22" s="9">
        <v>0</v>
      </c>
    </row>
    <row r="23" spans="1:5" x14ac:dyDescent="0.2">
      <c r="B23" s="9"/>
      <c r="C23" s="9"/>
    </row>
    <row r="24" spans="1:5" x14ac:dyDescent="0.2">
      <c r="A24" t="s">
        <v>22</v>
      </c>
      <c r="B24" t="s">
        <v>23</v>
      </c>
      <c r="C24" t="s">
        <v>13</v>
      </c>
      <c r="D24" t="s">
        <v>20</v>
      </c>
    </row>
    <row r="25" spans="1:5" x14ac:dyDescent="0.2">
      <c r="A25">
        <v>0</v>
      </c>
      <c r="B25" s="9">
        <v>1</v>
      </c>
      <c r="C25" s="16">
        <f>B$21*A25+B$22*B25</f>
        <v>0.05</v>
      </c>
      <c r="D25" s="14">
        <f>SQRT(A25^2*$C$21^2 + B25^2*$C$22^2 +2*A25*B25*$E$21*C$21*C$22)</f>
        <v>0</v>
      </c>
    </row>
    <row r="26" spans="1:5" x14ac:dyDescent="0.2">
      <c r="A26" s="9">
        <v>0.25</v>
      </c>
      <c r="B26" s="9">
        <v>0.75</v>
      </c>
      <c r="C26" s="16">
        <f t="shared" ref="C26:C29" si="3">B$21*A26+B$22*B26</f>
        <v>7.2500000000000009E-2</v>
      </c>
      <c r="D26" s="14">
        <f t="shared" ref="D26:D29" si="4">SQRT(A26^2*$C$21^2 + B26^2*$C$22^2 +2*A26*B26*$E$21*C$21*C$22)</f>
        <v>6.1937468466187737E-2</v>
      </c>
    </row>
    <row r="27" spans="1:5" x14ac:dyDescent="0.2">
      <c r="A27" s="9">
        <v>0.5</v>
      </c>
      <c r="B27" s="9">
        <v>0.5</v>
      </c>
      <c r="C27" s="16">
        <f t="shared" si="3"/>
        <v>9.5000000000000001E-2</v>
      </c>
      <c r="D27" s="14">
        <f t="shared" si="4"/>
        <v>0.12387493693237547</v>
      </c>
    </row>
    <row r="28" spans="1:5" x14ac:dyDescent="0.2">
      <c r="A28" s="2">
        <v>0.75</v>
      </c>
      <c r="B28" s="9">
        <v>0.25</v>
      </c>
      <c r="C28" s="16">
        <f t="shared" si="3"/>
        <v>0.11750000000000001</v>
      </c>
      <c r="D28" s="14">
        <f t="shared" si="4"/>
        <v>0.1858124053985632</v>
      </c>
    </row>
    <row r="29" spans="1:5" x14ac:dyDescent="0.2">
      <c r="A29" s="9">
        <v>1</v>
      </c>
      <c r="B29" s="9">
        <v>0</v>
      </c>
      <c r="C29" s="16">
        <f t="shared" si="3"/>
        <v>0.14000000000000001</v>
      </c>
      <c r="D29" s="14">
        <f t="shared" si="4"/>
        <v>0.24774987386475095</v>
      </c>
    </row>
    <row r="32" spans="1:5" x14ac:dyDescent="0.2">
      <c r="A32" t="s">
        <v>25</v>
      </c>
      <c r="B32" t="s">
        <v>24</v>
      </c>
    </row>
    <row r="39" spans="1:8" x14ac:dyDescent="0.2">
      <c r="B39">
        <v>0.4</v>
      </c>
      <c r="C39">
        <f>1-B39</f>
        <v>0.6</v>
      </c>
    </row>
    <row r="40" spans="1:8" x14ac:dyDescent="0.2">
      <c r="A40" t="s">
        <v>36</v>
      </c>
    </row>
    <row r="41" spans="1:8" x14ac:dyDescent="0.2">
      <c r="A41" t="s">
        <v>26</v>
      </c>
      <c r="B41" t="s">
        <v>29</v>
      </c>
      <c r="C41" t="s">
        <v>28</v>
      </c>
      <c r="D41" t="s">
        <v>27</v>
      </c>
      <c r="E41" t="s">
        <v>30</v>
      </c>
      <c r="F41" t="s">
        <v>31</v>
      </c>
      <c r="G41" t="s">
        <v>32</v>
      </c>
      <c r="H41" t="s">
        <v>35</v>
      </c>
    </row>
    <row r="42" spans="1:8" x14ac:dyDescent="0.2">
      <c r="A42" s="17">
        <v>42369</v>
      </c>
      <c r="B42">
        <v>22.333469999999998</v>
      </c>
      <c r="C42">
        <v>87.334199999999996</v>
      </c>
      <c r="D42">
        <v>182.66640000000001</v>
      </c>
    </row>
    <row r="43" spans="1:8" x14ac:dyDescent="0.2">
      <c r="A43" s="17">
        <v>42735</v>
      </c>
      <c r="B43">
        <v>25.713339999999999</v>
      </c>
      <c r="C43">
        <v>100.38379999999999</v>
      </c>
      <c r="D43">
        <v>204.58250000000001</v>
      </c>
      <c r="E43" s="3">
        <f>LN(B43/B42)</f>
        <v>0.14092347327368229</v>
      </c>
      <c r="F43" s="3">
        <f t="shared" ref="F43:G43" si="5">LN(C43/C42)</f>
        <v>0.13925870094903445</v>
      </c>
      <c r="G43" s="3">
        <f t="shared" si="5"/>
        <v>0.11330977868774346</v>
      </c>
      <c r="H43" s="3">
        <f>$B$39*E43+$C$39*F43</f>
        <v>0.13992460987889357</v>
      </c>
    </row>
    <row r="44" spans="1:8" x14ac:dyDescent="0.2">
      <c r="A44" s="17">
        <v>43100</v>
      </c>
      <c r="B44">
        <v>33.75347</v>
      </c>
      <c r="C44">
        <v>135.6182</v>
      </c>
      <c r="D44">
        <v>248.9879</v>
      </c>
      <c r="E44" s="3">
        <f t="shared" ref="E44:E46" si="6">LN(B44/B43)</f>
        <v>0.27207330346747272</v>
      </c>
      <c r="F44" s="3">
        <f t="shared" ref="F44:F46" si="7">LN(C44/C43)</f>
        <v>0.30084274513200759</v>
      </c>
      <c r="G44" s="3">
        <f t="shared" ref="G44:G46" si="8">LN(D44/D43)</f>
        <v>0.19643298379388338</v>
      </c>
      <c r="H44" s="3">
        <f t="shared" ref="H44:H46" si="9">$B$39*E44+$C$39*F44</f>
        <v>0.28933496846619366</v>
      </c>
    </row>
    <row r="45" spans="1:8" x14ac:dyDescent="0.2">
      <c r="A45" s="17">
        <v>43465</v>
      </c>
      <c r="B45">
        <v>39.34695</v>
      </c>
      <c r="C45">
        <v>124.4076</v>
      </c>
      <c r="D45">
        <v>237.61170000000001</v>
      </c>
      <c r="E45" s="3">
        <f t="shared" si="6"/>
        <v>0.15333523548126041</v>
      </c>
      <c r="F45" s="3">
        <f t="shared" si="7"/>
        <v>-8.6280313102360978E-2</v>
      </c>
      <c r="G45" s="3">
        <f t="shared" si="8"/>
        <v>-4.6766472206088622E-2</v>
      </c>
      <c r="H45" s="3">
        <f t="shared" si="9"/>
        <v>9.56590633108758E-3</v>
      </c>
    </row>
    <row r="46" spans="1:8" x14ac:dyDescent="0.2">
      <c r="A46" s="17">
        <v>43830</v>
      </c>
      <c r="B46">
        <v>44.781790000000001</v>
      </c>
      <c r="C46">
        <v>169.50190000000001</v>
      </c>
      <c r="D46">
        <v>311.04759999999999</v>
      </c>
      <c r="E46" s="3">
        <f t="shared" si="6"/>
        <v>0.12938312124449089</v>
      </c>
      <c r="F46" s="3">
        <f t="shared" si="7"/>
        <v>0.30930086451065658</v>
      </c>
      <c r="G46" s="3">
        <f t="shared" si="8"/>
        <v>0.26930812642957974</v>
      </c>
      <c r="H46" s="3">
        <f t="shared" si="9"/>
        <v>0.2373337672041903</v>
      </c>
    </row>
    <row r="47" spans="1:8" x14ac:dyDescent="0.2">
      <c r="A47" t="s">
        <v>33</v>
      </c>
      <c r="E47" s="4">
        <f>AVERAGE(E43:E46)</f>
        <v>0.17392878336672657</v>
      </c>
      <c r="F47" s="4">
        <f t="shared" ref="F47:H47" si="10">AVERAGE(F43:F46)</f>
        <v>0.16578049937233441</v>
      </c>
      <c r="G47" s="4">
        <f t="shared" si="10"/>
        <v>0.13307110417627949</v>
      </c>
      <c r="H47" s="4">
        <f t="shared" si="10"/>
        <v>0.16903981297009127</v>
      </c>
    </row>
    <row r="48" spans="1:8" x14ac:dyDescent="0.2">
      <c r="A48" t="s">
        <v>34</v>
      </c>
      <c r="E48" s="4">
        <f>_xlfn.STDEV.P(E43:E46)</f>
        <v>5.7293340687559743E-2</v>
      </c>
      <c r="F48" s="4">
        <f t="shared" ref="F48:G48" si="11">_xlfn.STDEV.P(F43:F46)</f>
        <v>0.16052878590465744</v>
      </c>
      <c r="G48" s="4">
        <f t="shared" si="11"/>
        <v>0.11758753960908219</v>
      </c>
      <c r="H48" s="4">
        <f t="shared" ref="H48" si="12">_xlfn.STDEV.P(H43:H46)</f>
        <v>0.10655352008557488</v>
      </c>
    </row>
    <row r="51" spans="1:7" x14ac:dyDescent="0.2">
      <c r="A51" t="s">
        <v>37</v>
      </c>
    </row>
    <row r="53" spans="1:7" x14ac:dyDescent="0.2">
      <c r="A53" t="s">
        <v>25</v>
      </c>
      <c r="B53" s="18" t="s">
        <v>41</v>
      </c>
      <c r="D53" t="s">
        <v>33</v>
      </c>
      <c r="E53" s="4">
        <f>AVERAGE(E43:E45)</f>
        <v>0.1887773374074718</v>
      </c>
      <c r="F53" s="4">
        <f t="shared" ref="F53:G53" si="13">AVERAGE(F43:F45)</f>
        <v>0.11794037765956038</v>
      </c>
      <c r="G53" s="4">
        <f t="shared" si="13"/>
        <v>8.765876342517942E-2</v>
      </c>
    </row>
    <row r="54" spans="1:7" x14ac:dyDescent="0.2">
      <c r="D54" t="s">
        <v>39</v>
      </c>
      <c r="E54" s="3">
        <f>_xlfn.STDEV.P(E43:E45)</f>
        <v>5.9116700582694838E-2</v>
      </c>
      <c r="F54" s="3">
        <f>_xlfn.STDEV.P(F43:F45)</f>
        <v>0.15875960597727301</v>
      </c>
      <c r="G54" s="3">
        <f>_xlfn.STDEV.P(G43:G45)</f>
        <v>0.10092893469390826</v>
      </c>
    </row>
    <row r="55" spans="1:7" x14ac:dyDescent="0.2">
      <c r="D55" t="s">
        <v>38</v>
      </c>
      <c r="E55">
        <f>CORREL(E43:E45,$G$43:$G$45)</f>
        <v>0.70376746376915811</v>
      </c>
      <c r="F55">
        <f>CORREL(F43:F45,$G$43:$G$45)</f>
        <v>0.99633869305987488</v>
      </c>
    </row>
    <row r="56" spans="1:7" x14ac:dyDescent="0.2">
      <c r="D56" t="s">
        <v>40</v>
      </c>
      <c r="E56">
        <f>E55*E54/$G$54</f>
        <v>0.41221489716164578</v>
      </c>
      <c r="F56">
        <f>F55*F54/$G$54</f>
        <v>1.5672248875885937</v>
      </c>
    </row>
    <row r="57" spans="1:7" x14ac:dyDescent="0.2">
      <c r="D57" t="s">
        <v>40</v>
      </c>
      <c r="E57">
        <f>SLOPE(E43:E45,$G$43:$G$45)</f>
        <v>0.4122148971616455</v>
      </c>
      <c r="F57">
        <f>SLOPE(F43:F45,$G$43:$G$45)</f>
        <v>1.5672248875885935</v>
      </c>
    </row>
    <row r="58" spans="1:7" x14ac:dyDescent="0.2">
      <c r="D58" t="s">
        <v>42</v>
      </c>
      <c r="E58" s="19"/>
      <c r="G58" t="s">
        <v>44</v>
      </c>
    </row>
    <row r="59" spans="1:7" x14ac:dyDescent="0.2">
      <c r="D59" t="s">
        <v>43</v>
      </c>
      <c r="G59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6375-F64F-3048-8790-75E3E40A2A53}">
  <dimension ref="A1:I103"/>
  <sheetViews>
    <sheetView tabSelected="1" topLeftCell="A78" workbookViewId="0">
      <selection activeCell="D93" sqref="D93"/>
    </sheetView>
  </sheetViews>
  <sheetFormatPr baseColWidth="10" defaultRowHeight="16" x14ac:dyDescent="0.2"/>
  <cols>
    <col min="1" max="1" width="14.33203125" customWidth="1"/>
    <col min="2" max="2" width="22.5" bestFit="1" customWidth="1"/>
    <col min="3" max="3" width="15.1640625" customWidth="1"/>
    <col min="4" max="4" width="16.5" customWidth="1"/>
    <col min="6" max="6" width="13.5" customWidth="1"/>
  </cols>
  <sheetData>
    <row r="1" spans="1:5" x14ac:dyDescent="0.2">
      <c r="A1" t="s">
        <v>45</v>
      </c>
      <c r="B1" t="s">
        <v>13</v>
      </c>
      <c r="C1" t="s">
        <v>20</v>
      </c>
      <c r="E1" t="s">
        <v>17</v>
      </c>
    </row>
    <row r="2" spans="1:5" x14ac:dyDescent="0.2">
      <c r="A2" t="s">
        <v>46</v>
      </c>
      <c r="B2" s="2">
        <v>0.14000000000000001</v>
      </c>
      <c r="C2" s="2">
        <v>0.31</v>
      </c>
      <c r="E2">
        <v>0.13</v>
      </c>
    </row>
    <row r="3" spans="1:5" x14ac:dyDescent="0.2">
      <c r="A3" t="s">
        <v>47</v>
      </c>
      <c r="B3" s="2">
        <v>0.08</v>
      </c>
      <c r="C3" s="2">
        <v>0.23</v>
      </c>
    </row>
    <row r="5" spans="1:5" x14ac:dyDescent="0.2">
      <c r="A5" t="s">
        <v>18</v>
      </c>
      <c r="B5" t="s">
        <v>19</v>
      </c>
      <c r="C5" t="s">
        <v>13</v>
      </c>
      <c r="D5" t="s">
        <v>20</v>
      </c>
    </row>
    <row r="6" spans="1:5" x14ac:dyDescent="0.2">
      <c r="A6" s="2">
        <v>0.15</v>
      </c>
      <c r="B6" s="2">
        <f>1-A6</f>
        <v>0.85</v>
      </c>
      <c r="C6" s="15">
        <f>A6*$B$2 + B6*$B$3</f>
        <v>8.900000000000001E-2</v>
      </c>
      <c r="D6" s="20">
        <f>SQRT(A6^2*$C$2^2+B6^2*$C$3^2+2*A6*B6*E$2*$C$2*$C$3)</f>
        <v>0.20675128778317198</v>
      </c>
    </row>
    <row r="7" spans="1:5" x14ac:dyDescent="0.2">
      <c r="A7" s="2">
        <v>0.43</v>
      </c>
      <c r="B7" s="2">
        <f t="shared" ref="B7:B8" si="0">1-A7</f>
        <v>0.57000000000000006</v>
      </c>
      <c r="C7" s="15">
        <f t="shared" ref="C7:C8" si="1">A7*$B$2 + B7*$B$3</f>
        <v>0.10580000000000001</v>
      </c>
      <c r="D7" s="20">
        <f t="shared" ref="D7:D8" si="2">SQRT(A7^2*$C$2^2+B7^2*$C$3^2+2*A7*B7*E$2*$C$2*$C$3)</f>
        <v>0.19874547491704059</v>
      </c>
    </row>
    <row r="8" spans="1:5" x14ac:dyDescent="0.2">
      <c r="A8" s="2">
        <v>0.71</v>
      </c>
      <c r="B8" s="2">
        <f t="shared" si="0"/>
        <v>0.29000000000000004</v>
      </c>
      <c r="C8" s="15">
        <f t="shared" si="1"/>
        <v>0.1226</v>
      </c>
      <c r="D8" s="20">
        <f t="shared" si="2"/>
        <v>0.23813835096430816</v>
      </c>
    </row>
    <row r="13" spans="1:5" x14ac:dyDescent="0.2">
      <c r="A13" t="s">
        <v>21</v>
      </c>
    </row>
    <row r="14" spans="1:5" x14ac:dyDescent="0.2">
      <c r="A14" s="21" t="s">
        <v>18</v>
      </c>
      <c r="B14" s="21" t="s">
        <v>19</v>
      </c>
      <c r="C14" s="21" t="s">
        <v>13</v>
      </c>
      <c r="D14" s="21" t="s">
        <v>20</v>
      </c>
    </row>
    <row r="15" spans="1:5" x14ac:dyDescent="0.2">
      <c r="A15" s="22">
        <v>0.71</v>
      </c>
      <c r="B15" s="22">
        <v>0.29000000000000004</v>
      </c>
      <c r="C15" s="23">
        <v>0.1226</v>
      </c>
      <c r="D15" s="23">
        <v>0.23813835096430816</v>
      </c>
    </row>
    <row r="16" spans="1:5" x14ac:dyDescent="0.2">
      <c r="C16" s="21" t="s">
        <v>48</v>
      </c>
    </row>
    <row r="17" spans="1:5" x14ac:dyDescent="0.2">
      <c r="B17" t="s">
        <v>49</v>
      </c>
      <c r="C17" s="24">
        <v>6.0999999999999999E-2</v>
      </c>
    </row>
    <row r="20" spans="1:5" x14ac:dyDescent="0.2">
      <c r="B20" t="s">
        <v>13</v>
      </c>
      <c r="C20" t="s">
        <v>16</v>
      </c>
      <c r="E20" t="s">
        <v>17</v>
      </c>
    </row>
    <row r="21" spans="1:5" x14ac:dyDescent="0.2">
      <c r="A21" t="s">
        <v>14</v>
      </c>
      <c r="B21" s="10">
        <f>C15</f>
        <v>0.1226</v>
      </c>
      <c r="C21" s="11">
        <f>D15</f>
        <v>0.23813835096430816</v>
      </c>
      <c r="E21">
        <v>0</v>
      </c>
    </row>
    <row r="22" spans="1:5" x14ac:dyDescent="0.2">
      <c r="A22" t="s">
        <v>15</v>
      </c>
      <c r="B22" s="10">
        <f>C17</f>
        <v>6.0999999999999999E-2</v>
      </c>
      <c r="C22" s="9">
        <v>0</v>
      </c>
    </row>
    <row r="23" spans="1:5" x14ac:dyDescent="0.2">
      <c r="B23" s="9"/>
      <c r="C23" s="9"/>
    </row>
    <row r="24" spans="1:5" x14ac:dyDescent="0.2">
      <c r="A24" t="s">
        <v>50</v>
      </c>
      <c r="B24" t="s">
        <v>23</v>
      </c>
      <c r="C24" t="s">
        <v>13</v>
      </c>
      <c r="D24" t="s">
        <v>20</v>
      </c>
    </row>
    <row r="25" spans="1:5" x14ac:dyDescent="0.2">
      <c r="A25" s="9">
        <v>0.2</v>
      </c>
      <c r="B25" s="9">
        <f>1-A25</f>
        <v>0.8</v>
      </c>
      <c r="C25" s="16">
        <f>B$21*A25+B$22*B25</f>
        <v>7.3319999999999996E-2</v>
      </c>
      <c r="D25" s="25">
        <f>SQRT(A25^2*$C$21^2 + B25^2*$C$22^2 +2*A25*B25*$E$21*C$21*C$22)</f>
        <v>4.762767019286164E-2</v>
      </c>
    </row>
    <row r="26" spans="1:5" x14ac:dyDescent="0.2">
      <c r="A26" s="9">
        <v>0.5</v>
      </c>
      <c r="B26" s="9">
        <f t="shared" ref="B26:B27" si="3">1-A26</f>
        <v>0.5</v>
      </c>
      <c r="C26" s="16">
        <f t="shared" ref="C26:C27" si="4">B$21*A26+B$22*B26</f>
        <v>9.1799999999999993E-2</v>
      </c>
      <c r="D26" s="25">
        <f t="shared" ref="D26:D27" si="5">SQRT(A26^2*$C$21^2 + B26^2*$C$22^2 +2*A26*B26*$E$21*C$21*C$22)</f>
        <v>0.11906917548215408</v>
      </c>
    </row>
    <row r="27" spans="1:5" x14ac:dyDescent="0.2">
      <c r="A27" s="9">
        <v>0.8</v>
      </c>
      <c r="B27" s="9">
        <f t="shared" si="3"/>
        <v>0.19999999999999996</v>
      </c>
      <c r="C27" s="16">
        <f t="shared" si="4"/>
        <v>0.11028</v>
      </c>
      <c r="D27" s="25">
        <f t="shared" si="5"/>
        <v>0.19051068077144656</v>
      </c>
    </row>
    <row r="28" spans="1:5" x14ac:dyDescent="0.2">
      <c r="A28" s="2"/>
      <c r="B28" s="9"/>
    </row>
    <row r="29" spans="1:5" x14ac:dyDescent="0.2">
      <c r="A29" s="9"/>
      <c r="B29" s="9"/>
    </row>
    <row r="32" spans="1:5" x14ac:dyDescent="0.2">
      <c r="A32" t="s">
        <v>25</v>
      </c>
      <c r="B32" t="s">
        <v>51</v>
      </c>
    </row>
    <row r="33" spans="1:7" x14ac:dyDescent="0.2">
      <c r="A33" t="s">
        <v>45</v>
      </c>
      <c r="B33" s="41">
        <f>(C7-C17)/D7</f>
        <v>0.2254139371912755</v>
      </c>
      <c r="C33" s="39" t="s">
        <v>134</v>
      </c>
    </row>
    <row r="34" spans="1:7" x14ac:dyDescent="0.2">
      <c r="A34" t="s">
        <v>21</v>
      </c>
      <c r="B34" s="41">
        <f>(C27-C17)/D27</f>
        <v>0.25867316100308646</v>
      </c>
      <c r="C34" s="39" t="s">
        <v>134</v>
      </c>
    </row>
    <row r="35" spans="1:7" x14ac:dyDescent="0.2">
      <c r="F35" t="s">
        <v>57</v>
      </c>
    </row>
    <row r="36" spans="1:7" x14ac:dyDescent="0.2">
      <c r="E36" t="s">
        <v>52</v>
      </c>
      <c r="F36" s="2">
        <v>0.7</v>
      </c>
    </row>
    <row r="37" spans="1:7" x14ac:dyDescent="0.2">
      <c r="E37" t="s">
        <v>58</v>
      </c>
      <c r="F37" s="2">
        <f>1-F36</f>
        <v>0.30000000000000004</v>
      </c>
    </row>
    <row r="38" spans="1:7" x14ac:dyDescent="0.2">
      <c r="A38" t="s">
        <v>36</v>
      </c>
      <c r="B38" t="s">
        <v>54</v>
      </c>
      <c r="C38" t="s">
        <v>53</v>
      </c>
      <c r="D38" t="s">
        <v>55</v>
      </c>
      <c r="E38" t="s">
        <v>56</v>
      </c>
      <c r="F38" t="s">
        <v>35</v>
      </c>
    </row>
    <row r="39" spans="1:7" x14ac:dyDescent="0.2">
      <c r="A39" s="26">
        <v>42004</v>
      </c>
      <c r="B39">
        <v>66.484534999999994</v>
      </c>
      <c r="C39">
        <v>530.65997300000004</v>
      </c>
    </row>
    <row r="40" spans="1:7" x14ac:dyDescent="0.2">
      <c r="A40" s="26">
        <v>42369</v>
      </c>
      <c r="B40">
        <v>57.979965</v>
      </c>
      <c r="C40">
        <v>778.01000999999997</v>
      </c>
      <c r="D40" s="3">
        <f>LN(B40/B39)</f>
        <v>-0.1368718443885063</v>
      </c>
      <c r="E40" s="3">
        <f>LN(C40/C39)</f>
        <v>0.38261792645633053</v>
      </c>
      <c r="F40" s="3">
        <f>D40*$F$36+E40*$F$37</f>
        <v>1.8975086864944771E-2</v>
      </c>
    </row>
    <row r="41" spans="1:7" x14ac:dyDescent="0.2">
      <c r="A41" s="26">
        <v>42735</v>
      </c>
      <c r="B41">
        <v>69.507598999999999</v>
      </c>
      <c r="C41">
        <v>792.45001200000002</v>
      </c>
      <c r="D41" s="3">
        <f t="shared" ref="D41:E42" si="6">LN(B41/B40)</f>
        <v>0.18133856488637129</v>
      </c>
      <c r="E41" s="3">
        <f t="shared" si="6"/>
        <v>1.8390037001817076E-2</v>
      </c>
      <c r="F41" s="3">
        <f t="shared" ref="F41:F42" si="7">D41*$F$36+E41*$F$37</f>
        <v>0.132454006521005</v>
      </c>
      <c r="G41">
        <v>-335544.32000000001</v>
      </c>
    </row>
    <row r="42" spans="1:7" x14ac:dyDescent="0.2">
      <c r="A42" s="26">
        <v>43100</v>
      </c>
      <c r="B42">
        <v>66.861519000000001</v>
      </c>
      <c r="C42">
        <v>1053.400024</v>
      </c>
      <c r="D42" s="3">
        <f t="shared" si="6"/>
        <v>-3.8812484874820051E-2</v>
      </c>
      <c r="E42" s="3">
        <f t="shared" si="6"/>
        <v>0.2846489024113113</v>
      </c>
      <c r="F42" s="3">
        <f t="shared" si="7"/>
        <v>5.8225931311019372E-2</v>
      </c>
    </row>
    <row r="43" spans="1:7" x14ac:dyDescent="0.2">
      <c r="A43" t="s">
        <v>33</v>
      </c>
      <c r="D43" s="4">
        <f>AVERAGE(D40:D42)</f>
        <v>1.8847452076816453E-3</v>
      </c>
      <c r="E43" s="4">
        <f>AVERAGE(E40:E42)</f>
        <v>0.22855228862315294</v>
      </c>
      <c r="F43" s="4">
        <f>AVERAGE(F40:F42)</f>
        <v>6.9885008232323062E-2</v>
      </c>
    </row>
    <row r="44" spans="1:7" x14ac:dyDescent="0.2">
      <c r="A44" t="s">
        <v>16</v>
      </c>
      <c r="D44" s="3">
        <f>_xlfn.STDEV.P(D40:D42)</f>
        <v>0.1330580438380492</v>
      </c>
      <c r="E44" s="3">
        <f>_xlfn.STDEV.P(E40:E42)</f>
        <v>0.15389522717961007</v>
      </c>
      <c r="F44" s="3">
        <f>_xlfn.STDEV.P(F40:F42)</f>
        <v>4.7055406048397169E-2</v>
      </c>
    </row>
    <row r="49" spans="1:6" x14ac:dyDescent="0.2">
      <c r="B49" s="9"/>
    </row>
    <row r="50" spans="1:6" x14ac:dyDescent="0.2">
      <c r="A50" t="s">
        <v>59</v>
      </c>
      <c r="B50" s="9" t="s">
        <v>60</v>
      </c>
      <c r="C50" s="9">
        <v>0.04</v>
      </c>
    </row>
    <row r="51" spans="1:6" x14ac:dyDescent="0.2">
      <c r="B51" s="9" t="s">
        <v>61</v>
      </c>
      <c r="C51" s="9">
        <v>0.06</v>
      </c>
    </row>
    <row r="52" spans="1:6" x14ac:dyDescent="0.2">
      <c r="B52" s="9"/>
      <c r="C52" s="9"/>
    </row>
    <row r="53" spans="1:6" x14ac:dyDescent="0.2">
      <c r="A53" t="s">
        <v>62</v>
      </c>
      <c r="B53" t="s">
        <v>40</v>
      </c>
      <c r="C53" t="s">
        <v>63</v>
      </c>
    </row>
    <row r="54" spans="1:6" x14ac:dyDescent="0.2">
      <c r="A54" t="s">
        <v>14</v>
      </c>
      <c r="B54">
        <v>1.1000000000000001</v>
      </c>
      <c r="C54" s="15">
        <f>B54*$C$51+$C$50</f>
        <v>0.10600000000000001</v>
      </c>
    </row>
    <row r="55" spans="1:6" x14ac:dyDescent="0.2">
      <c r="A55" t="s">
        <v>15</v>
      </c>
      <c r="B55">
        <v>0.9</v>
      </c>
      <c r="C55" s="15">
        <f>B55*$C$51+$C$50</f>
        <v>9.4E-2</v>
      </c>
    </row>
    <row r="58" spans="1:6" x14ac:dyDescent="0.2">
      <c r="A58" t="s">
        <v>64</v>
      </c>
    </row>
    <row r="59" spans="1:6" x14ac:dyDescent="0.2">
      <c r="A59" t="s">
        <v>67</v>
      </c>
      <c r="B59">
        <v>0.95</v>
      </c>
    </row>
    <row r="60" spans="1:6" x14ac:dyDescent="0.2">
      <c r="A60" t="s">
        <v>68</v>
      </c>
      <c r="B60">
        <f>B54*B61+B55*B62</f>
        <v>0.95</v>
      </c>
    </row>
    <row r="61" spans="1:6" x14ac:dyDescent="0.2">
      <c r="A61" t="s">
        <v>65</v>
      </c>
      <c r="B61" s="13">
        <v>0.24999999999999892</v>
      </c>
    </row>
    <row r="62" spans="1:6" x14ac:dyDescent="0.2">
      <c r="A62" t="s">
        <v>66</v>
      </c>
      <c r="B62" s="13">
        <f>1-B61</f>
        <v>0.75000000000000111</v>
      </c>
    </row>
    <row r="64" spans="1:6" x14ac:dyDescent="0.2">
      <c r="A64" t="s">
        <v>13</v>
      </c>
      <c r="B64" s="16">
        <f>B61*C54</f>
        <v>2.6499999999999888E-2</v>
      </c>
      <c r="C64" t="s">
        <v>69</v>
      </c>
      <c r="D64" s="27">
        <f>B62*C55</f>
        <v>7.0500000000000104E-2</v>
      </c>
      <c r="E64" t="s">
        <v>70</v>
      </c>
      <c r="F64" s="16">
        <f>B64+D64</f>
        <v>9.6999999999999989E-2</v>
      </c>
    </row>
    <row r="65" spans="1:8" x14ac:dyDescent="0.2">
      <c r="A65" t="s">
        <v>13</v>
      </c>
      <c r="B65" s="13">
        <f>C50</f>
        <v>0.04</v>
      </c>
      <c r="C65" t="s">
        <v>69</v>
      </c>
      <c r="D65" s="28">
        <f>B60</f>
        <v>0.95</v>
      </c>
      <c r="E65" t="s">
        <v>71</v>
      </c>
      <c r="F65" s="15">
        <f>C51</f>
        <v>0.06</v>
      </c>
      <c r="H65" s="15">
        <f>B65+D65*F65</f>
        <v>9.7000000000000003E-2</v>
      </c>
    </row>
    <row r="71" spans="1:8" x14ac:dyDescent="0.2">
      <c r="A71" t="s">
        <v>72</v>
      </c>
    </row>
    <row r="72" spans="1:8" x14ac:dyDescent="0.2">
      <c r="A72" t="s">
        <v>73</v>
      </c>
    </row>
    <row r="73" spans="1:8" x14ac:dyDescent="0.2">
      <c r="A73" t="s">
        <v>60</v>
      </c>
      <c r="B73" s="9">
        <v>0.05</v>
      </c>
    </row>
    <row r="74" spans="1:8" x14ac:dyDescent="0.2">
      <c r="A74" t="s">
        <v>40</v>
      </c>
      <c r="B74">
        <v>0.75</v>
      </c>
    </row>
    <row r="75" spans="1:8" x14ac:dyDescent="0.2">
      <c r="A75" t="s">
        <v>13</v>
      </c>
      <c r="B75" s="9">
        <v>0.11</v>
      </c>
    </row>
    <row r="77" spans="1:8" x14ac:dyDescent="0.2">
      <c r="A77" t="s">
        <v>74</v>
      </c>
      <c r="C77" s="29">
        <f>(B75-B73)/B74+B73</f>
        <v>0.13</v>
      </c>
    </row>
    <row r="78" spans="1:8" x14ac:dyDescent="0.2">
      <c r="A78" t="s">
        <v>75</v>
      </c>
      <c r="C78" s="30">
        <f>C77-B73</f>
        <v>0.08</v>
      </c>
      <c r="D78" t="s">
        <v>135</v>
      </c>
    </row>
    <row r="79" spans="1:8" x14ac:dyDescent="0.2">
      <c r="A79" t="s">
        <v>76</v>
      </c>
      <c r="C79" s="30">
        <f>B75-B73</f>
        <v>0.06</v>
      </c>
    </row>
    <row r="81" spans="1:9" x14ac:dyDescent="0.2">
      <c r="A81" t="s">
        <v>77</v>
      </c>
      <c r="E81" s="28">
        <f>B83*B85+B84*B82</f>
        <v>0.75</v>
      </c>
      <c r="F81" s="42" t="s">
        <v>136</v>
      </c>
      <c r="G81" s="42"/>
      <c r="H81" s="42"/>
      <c r="I81" s="42"/>
    </row>
    <row r="82" spans="1:9" x14ac:dyDescent="0.2">
      <c r="A82" t="s">
        <v>78</v>
      </c>
      <c r="B82" s="9">
        <v>0.75</v>
      </c>
    </row>
    <row r="83" spans="1:9" x14ac:dyDescent="0.2">
      <c r="A83" t="s">
        <v>79</v>
      </c>
      <c r="B83" s="9">
        <v>0.25</v>
      </c>
    </row>
    <row r="84" spans="1:9" x14ac:dyDescent="0.2">
      <c r="A84" t="s">
        <v>80</v>
      </c>
      <c r="B84">
        <v>1</v>
      </c>
    </row>
    <row r="85" spans="1:9" x14ac:dyDescent="0.2">
      <c r="A85" t="s">
        <v>81</v>
      </c>
      <c r="B85">
        <v>0</v>
      </c>
    </row>
    <row r="86" spans="1:9" x14ac:dyDescent="0.2">
      <c r="A86" t="s">
        <v>13</v>
      </c>
      <c r="B86" s="15">
        <f>B83*B73+B82*C77</f>
        <v>0.11</v>
      </c>
    </row>
    <row r="89" spans="1:9" x14ac:dyDescent="0.2">
      <c r="A89" t="s">
        <v>82</v>
      </c>
    </row>
    <row r="90" spans="1:9" x14ac:dyDescent="0.2">
      <c r="A90" t="s">
        <v>83</v>
      </c>
    </row>
    <row r="91" spans="1:9" x14ac:dyDescent="0.2">
      <c r="A91" t="s">
        <v>84</v>
      </c>
      <c r="B91" s="1">
        <f>3.24</f>
        <v>3.24</v>
      </c>
    </row>
    <row r="92" spans="1:9" x14ac:dyDescent="0.2">
      <c r="A92" t="s">
        <v>139</v>
      </c>
      <c r="B92" s="9">
        <v>0.13</v>
      </c>
    </row>
    <row r="93" spans="1:9" x14ac:dyDescent="0.2">
      <c r="A93" t="s">
        <v>40</v>
      </c>
      <c r="B93">
        <v>1.2</v>
      </c>
    </row>
    <row r="94" spans="1:9" x14ac:dyDescent="0.2">
      <c r="A94" t="s">
        <v>85</v>
      </c>
      <c r="B94" s="6">
        <f>B91/(B92-0.4%)</f>
        <v>25.714285714285715</v>
      </c>
    </row>
    <row r="95" spans="1:9" x14ac:dyDescent="0.2">
      <c r="B95" s="28" t="s">
        <v>86</v>
      </c>
    </row>
    <row r="96" spans="1:9" ht="20" x14ac:dyDescent="0.2">
      <c r="A96" t="s">
        <v>87</v>
      </c>
      <c r="C96" s="5"/>
    </row>
    <row r="97" spans="1:5" ht="20" x14ac:dyDescent="0.2">
      <c r="A97" t="s">
        <v>140</v>
      </c>
      <c r="B97" s="9">
        <f>B92</f>
        <v>0.13</v>
      </c>
      <c r="C97" s="5"/>
    </row>
    <row r="98" spans="1:5" ht="20" x14ac:dyDescent="0.2">
      <c r="A98" t="s">
        <v>137</v>
      </c>
      <c r="B98" s="9">
        <v>0.04</v>
      </c>
      <c r="C98" s="5"/>
    </row>
    <row r="99" spans="1:5" ht="20" x14ac:dyDescent="0.2">
      <c r="A99" t="s">
        <v>40</v>
      </c>
      <c r="B99">
        <f>B93</f>
        <v>1.2</v>
      </c>
      <c r="C99" s="5"/>
    </row>
    <row r="100" spans="1:5" ht="20" x14ac:dyDescent="0.2">
      <c r="A100" t="s">
        <v>75</v>
      </c>
      <c r="B100" s="43">
        <v>0.08</v>
      </c>
      <c r="C100" s="5"/>
    </row>
    <row r="101" spans="1:5" ht="20" x14ac:dyDescent="0.2">
      <c r="A101" t="s">
        <v>142</v>
      </c>
      <c r="B101" s="11">
        <f>B100*B99+B98</f>
        <v>0.13600000000000001</v>
      </c>
      <c r="C101" s="5"/>
    </row>
    <row r="103" spans="1:5" x14ac:dyDescent="0.2">
      <c r="A103" t="s">
        <v>88</v>
      </c>
      <c r="B103" s="44">
        <f>B97-B101</f>
        <v>-6.0000000000000053E-3</v>
      </c>
      <c r="C103" t="s">
        <v>141</v>
      </c>
      <c r="E103" t="s">
        <v>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6DFE-E5E4-614D-A6E7-6733F5E9FFBB}">
  <dimension ref="A1:L29"/>
  <sheetViews>
    <sheetView topLeftCell="A4" workbookViewId="0">
      <selection activeCell="A18" sqref="A18:H30"/>
    </sheetView>
  </sheetViews>
  <sheetFormatPr baseColWidth="10" defaultRowHeight="16" x14ac:dyDescent="0.2"/>
  <cols>
    <col min="5" max="5" width="14.5" bestFit="1" customWidth="1"/>
  </cols>
  <sheetData>
    <row r="1" spans="1:12" x14ac:dyDescent="0.2">
      <c r="A1" t="s">
        <v>118</v>
      </c>
      <c r="I1" t="s">
        <v>89</v>
      </c>
      <c r="L1" t="s">
        <v>90</v>
      </c>
    </row>
    <row r="2" spans="1:12" x14ac:dyDescent="0.2">
      <c r="A2" t="s">
        <v>105</v>
      </c>
      <c r="I2" t="s">
        <v>91</v>
      </c>
      <c r="L2" t="s">
        <v>92</v>
      </c>
    </row>
    <row r="3" spans="1:12" x14ac:dyDescent="0.2">
      <c r="A3" t="s">
        <v>106</v>
      </c>
      <c r="B3" t="s">
        <v>107</v>
      </c>
      <c r="C3" t="s">
        <v>108</v>
      </c>
      <c r="I3" t="s">
        <v>93</v>
      </c>
      <c r="L3" t="s">
        <v>94</v>
      </c>
    </row>
    <row r="4" spans="1:12" x14ac:dyDescent="0.2">
      <c r="A4" t="s">
        <v>109</v>
      </c>
      <c r="B4" s="32">
        <v>1.2</v>
      </c>
      <c r="C4" s="33">
        <v>0.06</v>
      </c>
      <c r="I4" t="s">
        <v>95</v>
      </c>
      <c r="L4" t="s">
        <v>96</v>
      </c>
    </row>
    <row r="5" spans="1:12" x14ac:dyDescent="0.2">
      <c r="A5" t="s">
        <v>110</v>
      </c>
      <c r="B5" s="32">
        <v>0.5</v>
      </c>
      <c r="C5" s="33">
        <v>0.08</v>
      </c>
      <c r="I5" t="s">
        <v>97</v>
      </c>
      <c r="L5" t="s">
        <v>98</v>
      </c>
    </row>
    <row r="6" spans="1:12" x14ac:dyDescent="0.2">
      <c r="A6" t="s">
        <v>111</v>
      </c>
      <c r="B6" s="32">
        <v>0.3</v>
      </c>
      <c r="C6" s="33">
        <v>0.03</v>
      </c>
      <c r="I6" t="s">
        <v>99</v>
      </c>
      <c r="L6" t="s">
        <v>100</v>
      </c>
    </row>
    <row r="7" spans="1:12" x14ac:dyDescent="0.2">
      <c r="A7" t="s">
        <v>112</v>
      </c>
      <c r="B7" s="9">
        <v>0.06</v>
      </c>
      <c r="I7" t="s">
        <v>101</v>
      </c>
      <c r="L7" t="s">
        <v>102</v>
      </c>
    </row>
    <row r="8" spans="1:12" x14ac:dyDescent="0.2">
      <c r="A8" t="s">
        <v>113</v>
      </c>
      <c r="B8" s="15">
        <f>B7+B4*C4+B5*C5+B6*C6</f>
        <v>0.18100000000000002</v>
      </c>
      <c r="I8" t="s">
        <v>103</v>
      </c>
      <c r="L8" t="s">
        <v>104</v>
      </c>
    </row>
    <row r="9" spans="1:12" x14ac:dyDescent="0.2">
      <c r="A9" t="s">
        <v>114</v>
      </c>
    </row>
    <row r="10" spans="1:12" x14ac:dyDescent="0.2">
      <c r="A10" s="32" t="s">
        <v>109</v>
      </c>
      <c r="B10" s="33">
        <v>0.12</v>
      </c>
    </row>
    <row r="11" spans="1:12" x14ac:dyDescent="0.2">
      <c r="A11" s="32" t="s">
        <v>110</v>
      </c>
      <c r="B11" s="33">
        <v>7.0000000000000007E-2</v>
      </c>
    </row>
    <row r="12" spans="1:12" x14ac:dyDescent="0.2">
      <c r="A12" s="32" t="s">
        <v>111</v>
      </c>
      <c r="B12" s="33">
        <v>0.04</v>
      </c>
    </row>
    <row r="13" spans="1:12" x14ac:dyDescent="0.2">
      <c r="A13" t="s">
        <v>115</v>
      </c>
    </row>
    <row r="14" spans="1:12" x14ac:dyDescent="0.2">
      <c r="A14" t="s">
        <v>49</v>
      </c>
      <c r="B14" s="30">
        <f>B7+B4*(B10-B7)+B5*(B11-B7)+B6*(B12-B7)</f>
        <v>0.13100000000000001</v>
      </c>
    </row>
    <row r="15" spans="1:12" x14ac:dyDescent="0.2">
      <c r="A15" t="s">
        <v>116</v>
      </c>
    </row>
    <row r="16" spans="1:12" x14ac:dyDescent="0.2">
      <c r="A16" t="s">
        <v>117</v>
      </c>
      <c r="B16" s="34">
        <v>0.155</v>
      </c>
    </row>
    <row r="17" spans="1:6" x14ac:dyDescent="0.2">
      <c r="A17" t="s">
        <v>88</v>
      </c>
      <c r="B17" s="30">
        <f>B16-B14</f>
        <v>2.3999999999999994E-2</v>
      </c>
    </row>
    <row r="19" spans="1:6" x14ac:dyDescent="0.2">
      <c r="A19" t="s">
        <v>21</v>
      </c>
    </row>
    <row r="20" spans="1:6" x14ac:dyDescent="0.2">
      <c r="A20" t="s">
        <v>119</v>
      </c>
    </row>
    <row r="21" spans="1:6" x14ac:dyDescent="0.2">
      <c r="A21" t="s">
        <v>120</v>
      </c>
      <c r="B21" s="33">
        <v>0.08</v>
      </c>
    </row>
    <row r="22" spans="1:6" x14ac:dyDescent="0.2">
      <c r="A22" t="s">
        <v>121</v>
      </c>
      <c r="B22" t="s">
        <v>122</v>
      </c>
      <c r="C22" t="s">
        <v>123</v>
      </c>
      <c r="D22" t="s">
        <v>124</v>
      </c>
      <c r="E22" t="s">
        <v>13</v>
      </c>
      <c r="F22" t="s">
        <v>40</v>
      </c>
    </row>
    <row r="23" spans="1:6" x14ac:dyDescent="0.2">
      <c r="A23" s="32" t="s">
        <v>125</v>
      </c>
      <c r="B23" s="35">
        <v>35</v>
      </c>
      <c r="C23" s="32">
        <v>4.2</v>
      </c>
      <c r="D23" s="33">
        <v>0.04</v>
      </c>
      <c r="E23" s="33">
        <v>0.16</v>
      </c>
      <c r="F23" s="32">
        <v>1</v>
      </c>
    </row>
    <row r="24" spans="1:6" x14ac:dyDescent="0.2">
      <c r="A24" s="32" t="s">
        <v>126</v>
      </c>
      <c r="B24" s="36">
        <v>71</v>
      </c>
      <c r="C24" s="32">
        <v>6.39</v>
      </c>
      <c r="D24" s="33">
        <v>0.03</v>
      </c>
      <c r="E24" s="33">
        <v>0.12</v>
      </c>
      <c r="F24" s="32">
        <v>0.25</v>
      </c>
    </row>
    <row r="25" spans="1:6" x14ac:dyDescent="0.2">
      <c r="A25" t="s">
        <v>127</v>
      </c>
    </row>
    <row r="26" spans="1:6" x14ac:dyDescent="0.2">
      <c r="A26" t="s">
        <v>128</v>
      </c>
      <c r="B26" s="10">
        <f>(E23-B21)/F23+B21</f>
        <v>0.16</v>
      </c>
    </row>
    <row r="27" spans="1:6" x14ac:dyDescent="0.2">
      <c r="A27" t="s">
        <v>129</v>
      </c>
    </row>
    <row r="28" spans="1:6" x14ac:dyDescent="0.2">
      <c r="A28" t="s">
        <v>130</v>
      </c>
      <c r="B28" s="31">
        <f>B21+F24*(B26-B21)</f>
        <v>0.1</v>
      </c>
    </row>
    <row r="29" spans="1:6" x14ac:dyDescent="0.2">
      <c r="A29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AF87-1D39-B444-B4B7-7106CA9580DD}">
  <dimension ref="A1:H29"/>
  <sheetViews>
    <sheetView topLeftCell="A9" zoomScale="96" workbookViewId="0">
      <selection activeCell="E32" sqref="E32"/>
    </sheetView>
  </sheetViews>
  <sheetFormatPr baseColWidth="10" defaultRowHeight="16" x14ac:dyDescent="0.2"/>
  <sheetData>
    <row r="1" spans="1:3" x14ac:dyDescent="0.2">
      <c r="A1" t="s">
        <v>118</v>
      </c>
    </row>
    <row r="2" spans="1:3" x14ac:dyDescent="0.2">
      <c r="A2" t="s">
        <v>105</v>
      </c>
    </row>
    <row r="3" spans="1:3" x14ac:dyDescent="0.2">
      <c r="A3" t="s">
        <v>106</v>
      </c>
      <c r="B3" t="s">
        <v>107</v>
      </c>
      <c r="C3" t="s">
        <v>108</v>
      </c>
    </row>
    <row r="4" spans="1:3" x14ac:dyDescent="0.2">
      <c r="A4" t="s">
        <v>109</v>
      </c>
      <c r="B4" s="32">
        <v>1.3</v>
      </c>
      <c r="C4" s="33">
        <v>7.0000000000000007E-2</v>
      </c>
    </row>
    <row r="5" spans="1:3" x14ac:dyDescent="0.2">
      <c r="A5" t="s">
        <v>110</v>
      </c>
      <c r="B5" s="32">
        <v>0.6</v>
      </c>
      <c r="C5" s="33">
        <v>0.04</v>
      </c>
    </row>
    <row r="6" spans="1:3" x14ac:dyDescent="0.2">
      <c r="A6" t="s">
        <v>111</v>
      </c>
      <c r="B6" s="32">
        <v>0.3</v>
      </c>
      <c r="C6" s="33">
        <v>0.02</v>
      </c>
    </row>
    <row r="7" spans="1:3" x14ac:dyDescent="0.2">
      <c r="A7" t="s">
        <v>112</v>
      </c>
      <c r="B7" s="9">
        <v>0.03</v>
      </c>
    </row>
    <row r="8" spans="1:3" x14ac:dyDescent="0.2">
      <c r="A8" t="s">
        <v>113</v>
      </c>
      <c r="B8" s="15">
        <f>B7+B4*C4+B5*C5+B6*C6</f>
        <v>0.15100000000000002</v>
      </c>
    </row>
    <row r="9" spans="1:3" x14ac:dyDescent="0.2">
      <c r="A9" t="s">
        <v>114</v>
      </c>
    </row>
    <row r="10" spans="1:3" x14ac:dyDescent="0.2">
      <c r="A10" s="32" t="s">
        <v>109</v>
      </c>
      <c r="B10" s="33">
        <v>0.09</v>
      </c>
    </row>
    <row r="11" spans="1:3" x14ac:dyDescent="0.2">
      <c r="A11" s="32" t="s">
        <v>110</v>
      </c>
      <c r="B11" s="33">
        <v>7.0000000000000007E-2</v>
      </c>
    </row>
    <row r="12" spans="1:3" x14ac:dyDescent="0.2">
      <c r="A12" s="32" t="s">
        <v>111</v>
      </c>
      <c r="B12" s="33">
        <v>0.03</v>
      </c>
    </row>
    <row r="13" spans="1:3" x14ac:dyDescent="0.2">
      <c r="A13" t="s">
        <v>115</v>
      </c>
    </row>
    <row r="14" spans="1:3" x14ac:dyDescent="0.2">
      <c r="A14" t="s">
        <v>49</v>
      </c>
      <c r="B14" s="15">
        <f>B7+B4*(B10-B7)+B5*(B11-B7)+B6*(B12-B7)</f>
        <v>0.13200000000000001</v>
      </c>
    </row>
    <row r="15" spans="1:3" x14ac:dyDescent="0.2">
      <c r="A15" t="s">
        <v>116</v>
      </c>
    </row>
    <row r="16" spans="1:3" x14ac:dyDescent="0.2">
      <c r="A16" t="s">
        <v>117</v>
      </c>
      <c r="B16" s="34">
        <v>0.15</v>
      </c>
    </row>
    <row r="17" spans="1:8" x14ac:dyDescent="0.2">
      <c r="A17" t="s">
        <v>88</v>
      </c>
      <c r="B17" s="15">
        <f>B16-B14</f>
        <v>1.7999999999999988E-2</v>
      </c>
    </row>
    <row r="19" spans="1:8" x14ac:dyDescent="0.2">
      <c r="A19" t="s">
        <v>21</v>
      </c>
    </row>
    <row r="20" spans="1:8" x14ac:dyDescent="0.2">
      <c r="A20" t="s">
        <v>119</v>
      </c>
    </row>
    <row r="21" spans="1:8" x14ac:dyDescent="0.2">
      <c r="A21" t="s">
        <v>120</v>
      </c>
      <c r="B21" s="33">
        <v>0.06</v>
      </c>
      <c r="C21" s="39" t="s">
        <v>133</v>
      </c>
      <c r="D21" s="39"/>
      <c r="E21" s="39"/>
      <c r="F21" s="39"/>
      <c r="G21" s="39"/>
      <c r="H21" s="39"/>
    </row>
    <row r="22" spans="1:8" x14ac:dyDescent="0.2">
      <c r="A22" t="s">
        <v>121</v>
      </c>
      <c r="B22" t="s">
        <v>122</v>
      </c>
      <c r="C22" t="s">
        <v>123</v>
      </c>
      <c r="D22" t="s">
        <v>124</v>
      </c>
      <c r="E22" t="s">
        <v>13</v>
      </c>
      <c r="F22" t="s">
        <v>40</v>
      </c>
    </row>
    <row r="23" spans="1:8" x14ac:dyDescent="0.2">
      <c r="A23" s="32" t="s">
        <v>125</v>
      </c>
      <c r="B23" s="35">
        <v>43.9</v>
      </c>
      <c r="C23" s="32">
        <v>4.3899999999999997</v>
      </c>
      <c r="D23" s="33">
        <v>0.05</v>
      </c>
      <c r="E23" s="33">
        <v>0.15</v>
      </c>
      <c r="F23" s="32">
        <v>1.1499999999999999</v>
      </c>
    </row>
    <row r="24" spans="1:8" x14ac:dyDescent="0.2">
      <c r="A24" s="32" t="s">
        <v>126</v>
      </c>
      <c r="B24" s="37">
        <v>68.89</v>
      </c>
      <c r="C24" s="32">
        <v>6.2</v>
      </c>
      <c r="D24" s="33">
        <v>0.02</v>
      </c>
      <c r="E24" s="33">
        <v>0.11</v>
      </c>
      <c r="F24" s="32">
        <v>0.7</v>
      </c>
    </row>
    <row r="25" spans="1:8" x14ac:dyDescent="0.2">
      <c r="A25" t="s">
        <v>127</v>
      </c>
    </row>
    <row r="26" spans="1:8" x14ac:dyDescent="0.2">
      <c r="A26" t="s">
        <v>128</v>
      </c>
      <c r="B26" s="38">
        <f>(E23-B21)/F23+B21</f>
        <v>0.13826086956521738</v>
      </c>
      <c r="C26" s="40"/>
    </row>
    <row r="27" spans="1:8" x14ac:dyDescent="0.2">
      <c r="A27" t="s">
        <v>129</v>
      </c>
    </row>
    <row r="28" spans="1:8" x14ac:dyDescent="0.2">
      <c r="A28" t="s">
        <v>130</v>
      </c>
      <c r="B28" s="15">
        <f>B21+F24*(B26-B21)</f>
        <v>0.11478260869565216</v>
      </c>
      <c r="C28" s="40"/>
    </row>
    <row r="29" spans="1:8" x14ac:dyDescent="0.2">
      <c r="A2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H1B</vt:lpstr>
      <vt:lpstr>H2A</vt:lpstr>
      <vt:lpstr>H2B</vt:lpstr>
      <vt:lpstr>H3A</vt:lpstr>
      <vt:lpstr>H3B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2022-01-20T03:21:31Z</dcterms:created>
  <dcterms:modified xsi:type="dcterms:W3CDTF">2022-02-01T05:15:30Z</dcterms:modified>
</cp:coreProperties>
</file>