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100" yWindow="1095" windowWidth="19560" windowHeight="9525" tabRatio="896" activeTab="1"/>
  </bookViews>
  <sheets>
    <sheet name="All_obs_spring" sheetId="4" r:id="rId1"/>
    <sheet name="010_full_obs_400kg (new_calcs)" sheetId="15" r:id="rId2"/>
  </sheets>
  <calcPr calcId="125725"/>
</workbook>
</file>

<file path=xl/calcChain.xml><?xml version="1.0" encoding="utf-8"?>
<calcChain xmlns="http://schemas.openxmlformats.org/spreadsheetml/2006/main">
  <c r="AF3" i="15"/>
  <c r="AW30"/>
  <c r="AW29"/>
  <c r="AW28"/>
  <c r="AW27"/>
  <c r="AW26"/>
  <c r="J30"/>
  <c r="J29"/>
  <c r="J28"/>
  <c r="J27"/>
  <c r="K26"/>
  <c r="J26"/>
  <c r="G30"/>
  <c r="G29"/>
  <c r="G28"/>
  <c r="G27"/>
  <c r="G26"/>
  <c r="U3"/>
  <c r="U4"/>
  <c r="U5"/>
  <c r="U6"/>
  <c r="U7"/>
  <c r="U8"/>
  <c r="J3"/>
  <c r="G11"/>
  <c r="G10"/>
  <c r="G4"/>
  <c r="G3"/>
  <c r="AR4" l="1"/>
  <c r="AR5"/>
  <c r="AR6"/>
  <c r="AR7"/>
  <c r="AR8"/>
  <c r="AR9"/>
  <c r="AR10"/>
  <c r="AR11"/>
  <c r="AR12"/>
  <c r="AR13"/>
  <c r="AR14"/>
  <c r="AR15"/>
  <c r="AR16"/>
  <c r="AR17"/>
  <c r="AR18"/>
  <c r="AR19"/>
  <c r="AR20"/>
  <c r="AR21"/>
  <c r="AR22"/>
  <c r="AR23"/>
  <c r="AR24"/>
  <c r="AR25"/>
  <c r="AR26"/>
  <c r="AR27"/>
  <c r="AR28"/>
  <c r="AR29"/>
  <c r="AR30"/>
  <c r="AR31"/>
  <c r="AR32"/>
  <c r="AR33"/>
  <c r="AR34"/>
  <c r="AR35"/>
  <c r="AR36"/>
  <c r="AW36" s="1"/>
  <c r="AR37"/>
  <c r="AR38"/>
  <c r="AR39"/>
  <c r="AR40"/>
  <c r="AW37" s="1"/>
  <c r="AR41"/>
  <c r="AR42"/>
  <c r="AR43"/>
  <c r="AR44"/>
  <c r="AW39" s="1"/>
  <c r="AR45"/>
  <c r="AR46"/>
  <c r="AW45" s="1"/>
  <c r="AR47"/>
  <c r="AR48"/>
  <c r="AW46" s="1"/>
  <c r="AR49"/>
  <c r="AR50"/>
  <c r="AR3"/>
  <c r="AV47"/>
  <c r="AX46"/>
  <c r="AX45"/>
  <c r="AV40"/>
  <c r="AX39"/>
  <c r="AX38"/>
  <c r="AW38"/>
  <c r="AX37"/>
  <c r="AX36"/>
  <c r="AV31"/>
  <c r="AX30"/>
  <c r="AX29"/>
  <c r="AX28"/>
  <c r="AX27"/>
  <c r="AX26"/>
  <c r="AV24"/>
  <c r="AX23"/>
  <c r="AW23"/>
  <c r="AX22"/>
  <c r="AW22"/>
  <c r="AX21"/>
  <c r="AW21"/>
  <c r="AX20"/>
  <c r="AW20"/>
  <c r="AX19"/>
  <c r="AW19"/>
  <c r="AV15"/>
  <c r="AX14"/>
  <c r="AW14"/>
  <c r="AX13"/>
  <c r="AW13"/>
  <c r="AX12"/>
  <c r="AW12"/>
  <c r="AX11"/>
  <c r="AW11"/>
  <c r="AX10"/>
  <c r="AW10"/>
  <c r="BD8"/>
  <c r="BD7"/>
  <c r="BD6"/>
  <c r="BD5"/>
  <c r="BD4"/>
  <c r="AW4"/>
  <c r="AV4"/>
  <c r="AX4" s="1"/>
  <c r="BD3"/>
  <c r="AV3"/>
  <c r="AH17"/>
  <c r="AD15" s="1"/>
  <c r="AD3"/>
  <c r="S46"/>
  <c r="N46"/>
  <c r="N45"/>
  <c r="N37"/>
  <c r="N38"/>
  <c r="N39"/>
  <c r="N36"/>
  <c r="N27"/>
  <c r="N28"/>
  <c r="N29"/>
  <c r="N30"/>
  <c r="N26"/>
  <c r="N20"/>
  <c r="N21"/>
  <c r="N22"/>
  <c r="N23"/>
  <c r="N19"/>
  <c r="N10"/>
  <c r="N14"/>
  <c r="N11"/>
  <c r="N12"/>
  <c r="N13"/>
  <c r="N4"/>
  <c r="N3"/>
  <c r="P46"/>
  <c r="P45"/>
  <c r="P37"/>
  <c r="P38"/>
  <c r="P39"/>
  <c r="P36"/>
  <c r="P27"/>
  <c r="P28"/>
  <c r="P29"/>
  <c r="P30"/>
  <c r="P26"/>
  <c r="P23"/>
  <c r="P20"/>
  <c r="P21"/>
  <c r="P22"/>
  <c r="P19"/>
  <c r="P14"/>
  <c r="P11"/>
  <c r="P12"/>
  <c r="P13"/>
  <c r="P10"/>
  <c r="S39"/>
  <c r="S30"/>
  <c r="S23"/>
  <c r="S14"/>
  <c r="M46"/>
  <c r="O48" s="1"/>
  <c r="M45"/>
  <c r="O46" s="1"/>
  <c r="M39"/>
  <c r="O43" s="1"/>
  <c r="M38"/>
  <c r="O42" s="1"/>
  <c r="M37"/>
  <c r="O40" s="1"/>
  <c r="M36"/>
  <c r="O38" s="1"/>
  <c r="M29"/>
  <c r="O33" s="1"/>
  <c r="M30"/>
  <c r="O34" s="1"/>
  <c r="M28"/>
  <c r="O31" s="1"/>
  <c r="M27"/>
  <c r="O30" s="1"/>
  <c r="M26"/>
  <c r="O26" s="1"/>
  <c r="M23"/>
  <c r="O25" s="1"/>
  <c r="M22"/>
  <c r="O24" s="1"/>
  <c r="M21"/>
  <c r="M20"/>
  <c r="O21" s="1"/>
  <c r="M19"/>
  <c r="O19" s="1"/>
  <c r="M14"/>
  <c r="O18" s="1"/>
  <c r="M13"/>
  <c r="O14" s="1"/>
  <c r="M12"/>
  <c r="O13" s="1"/>
  <c r="M11"/>
  <c r="O11" s="1"/>
  <c r="M10"/>
  <c r="O10" s="1"/>
  <c r="M4"/>
  <c r="O9" s="1"/>
  <c r="M3"/>
  <c r="K46"/>
  <c r="K45"/>
  <c r="J46"/>
  <c r="J45"/>
  <c r="K39"/>
  <c r="K38"/>
  <c r="K37"/>
  <c r="K36"/>
  <c r="J39"/>
  <c r="J38"/>
  <c r="J37"/>
  <c r="J36"/>
  <c r="I40"/>
  <c r="K30"/>
  <c r="K29"/>
  <c r="K28"/>
  <c r="K27"/>
  <c r="K23"/>
  <c r="K22"/>
  <c r="K21"/>
  <c r="K20"/>
  <c r="K19"/>
  <c r="J23"/>
  <c r="J22"/>
  <c r="J21"/>
  <c r="J20"/>
  <c r="J19"/>
  <c r="I24"/>
  <c r="K14"/>
  <c r="K13"/>
  <c r="K12"/>
  <c r="K11"/>
  <c r="K10"/>
  <c r="J14"/>
  <c r="J13"/>
  <c r="J12"/>
  <c r="J11"/>
  <c r="J10"/>
  <c r="J4"/>
  <c r="I4"/>
  <c r="I3"/>
  <c r="AY39" l="1"/>
  <c r="AJ7" s="1"/>
  <c r="K3"/>
  <c r="P3"/>
  <c r="O6"/>
  <c r="AY14"/>
  <c r="AJ4" s="1"/>
  <c r="AY46"/>
  <c r="AJ8" s="1"/>
  <c r="P4"/>
  <c r="K4"/>
  <c r="AW3"/>
  <c r="AW6" s="1"/>
  <c r="AY23"/>
  <c r="AJ5" s="1"/>
  <c r="AY30"/>
  <c r="AJ6" s="1"/>
  <c r="AV5"/>
  <c r="AX3"/>
  <c r="AY4" s="1"/>
  <c r="AJ3" s="1"/>
  <c r="S4"/>
  <c r="O27"/>
  <c r="O20"/>
  <c r="O5"/>
  <c r="O8"/>
  <c r="O4"/>
  <c r="O23"/>
  <c r="O37"/>
  <c r="O36"/>
  <c r="O15"/>
  <c r="O3"/>
  <c r="O16"/>
  <c r="O28"/>
  <c r="L39"/>
  <c r="Q39" s="1"/>
  <c r="L46"/>
  <c r="Q45" s="1"/>
  <c r="O7"/>
  <c r="O17"/>
  <c r="O22"/>
  <c r="O29"/>
  <c r="O39"/>
  <c r="O41"/>
  <c r="O45"/>
  <c r="O49"/>
  <c r="S52"/>
  <c r="O12"/>
  <c r="O32"/>
  <c r="O44"/>
  <c r="O50"/>
  <c r="O35"/>
  <c r="O47"/>
  <c r="L14"/>
  <c r="Q12" s="1"/>
  <c r="R12" s="1"/>
  <c r="L23"/>
  <c r="Q23" s="1"/>
  <c r="R23" s="1"/>
  <c r="L30"/>
  <c r="Q28" s="1"/>
  <c r="L4"/>
  <c r="Q4" s="1"/>
  <c r="R4" s="1"/>
  <c r="AD8"/>
  <c r="Y8"/>
  <c r="AD7"/>
  <c r="Y7"/>
  <c r="AD6"/>
  <c r="Y6"/>
  <c r="AD5"/>
  <c r="Y5"/>
  <c r="AD4"/>
  <c r="Y4"/>
  <c r="Y3"/>
  <c r="Q3" l="1"/>
  <c r="R3" s="1"/>
  <c r="T4" s="1"/>
  <c r="AA3" s="1"/>
  <c r="AE3"/>
  <c r="R28"/>
  <c r="R45"/>
  <c r="R39"/>
  <c r="Q20"/>
  <c r="R20" s="1"/>
  <c r="Q26"/>
  <c r="R26" s="1"/>
  <c r="Q46"/>
  <c r="R46" s="1"/>
  <c r="T46" s="1"/>
  <c r="AA8" s="1"/>
  <c r="Q22"/>
  <c r="R22" s="1"/>
  <c r="Q10"/>
  <c r="R10" s="1"/>
  <c r="Q21"/>
  <c r="R21" s="1"/>
  <c r="Q27"/>
  <c r="R27" s="1"/>
  <c r="Q29"/>
  <c r="R29" s="1"/>
  <c r="Q30"/>
  <c r="R30" s="1"/>
  <c r="Q11"/>
  <c r="R11" s="1"/>
  <c r="Q38"/>
  <c r="R38" s="1"/>
  <c r="Q14"/>
  <c r="R14" s="1"/>
  <c r="Q37"/>
  <c r="R37" s="1"/>
  <c r="Q13"/>
  <c r="R13" s="1"/>
  <c r="Q36"/>
  <c r="R36" s="1"/>
  <c r="Q19"/>
  <c r="R19" s="1"/>
  <c r="I47"/>
  <c r="Z4"/>
  <c r="Z7"/>
  <c r="Z6"/>
  <c r="Z5"/>
  <c r="Z8"/>
  <c r="AE6"/>
  <c r="I5"/>
  <c r="I15"/>
  <c r="AE4"/>
  <c r="AE7"/>
  <c r="I31"/>
  <c r="Z3"/>
  <c r="AE5"/>
  <c r="AE8"/>
  <c r="AD10"/>
  <c r="AD11" s="1"/>
  <c r="AG3" l="1"/>
  <c r="AH3" s="1"/>
  <c r="AI3" s="1"/>
  <c r="AG8"/>
  <c r="AH8" s="1"/>
  <c r="AI8" s="1"/>
  <c r="AB3"/>
  <c r="T39"/>
  <c r="AA7" s="1"/>
  <c r="T30"/>
  <c r="AA6" s="1"/>
  <c r="AG6" s="1"/>
  <c r="AH6" s="1"/>
  <c r="AI6" s="1"/>
  <c r="T23"/>
  <c r="AA5" s="1"/>
  <c r="AG5" s="1"/>
  <c r="AH5" s="1"/>
  <c r="AI5" s="1"/>
  <c r="T14"/>
  <c r="AA4" s="1"/>
  <c r="AG4" s="1"/>
  <c r="AH4" s="1"/>
  <c r="AI4" s="1"/>
  <c r="AF4"/>
  <c r="AF6"/>
  <c r="AF8"/>
  <c r="AF5"/>
  <c r="AF7"/>
  <c r="AE9"/>
  <c r="AD13" l="1"/>
  <c r="AG7"/>
  <c r="AH7" s="1"/>
  <c r="AI7" s="1"/>
  <c r="AD14" s="1"/>
  <c r="AB8"/>
  <c r="AB7"/>
  <c r="AB6"/>
  <c r="AB5"/>
  <c r="AB4" l="1"/>
  <c r="AD16" l="1"/>
  <c r="AD19" l="1"/>
  <c r="AD20" s="1"/>
</calcChain>
</file>

<file path=xl/sharedStrings.xml><?xml version="1.0" encoding="utf-8"?>
<sst xmlns="http://schemas.openxmlformats.org/spreadsheetml/2006/main" count="158" uniqueCount="139">
  <si>
    <t>lat</t>
  </si>
  <si>
    <t>long_</t>
  </si>
  <si>
    <t>strata ID</t>
  </si>
  <si>
    <t>count</t>
  </si>
  <si>
    <t xml:space="preserve">SE of average </t>
  </si>
  <si>
    <t>strat_30m_count</t>
  </si>
  <si>
    <t>strat_area m2</t>
  </si>
  <si>
    <t>m^2</t>
  </si>
  <si>
    <t>var_mean</t>
  </si>
  <si>
    <t>ha</t>
  </si>
  <si>
    <t>total areas</t>
  </si>
  <si>
    <t>total farm av</t>
  </si>
  <si>
    <t>relative area</t>
  </si>
  <si>
    <t xml:space="preserve">Random </t>
  </si>
  <si>
    <t>Design efficacy</t>
  </si>
  <si>
    <t>SI</t>
  </si>
  <si>
    <t>St</t>
  </si>
  <si>
    <t xml:space="preserve">sq av OC </t>
  </si>
  <si>
    <t>s010f2</t>
  </si>
  <si>
    <t>0-30</t>
  </si>
  <si>
    <t>0-50</t>
  </si>
  <si>
    <t>0-100</t>
  </si>
  <si>
    <t>30-50</t>
  </si>
  <si>
    <t>50-100</t>
  </si>
  <si>
    <t>0-10</t>
  </si>
  <si>
    <t xml:space="preserve">% </t>
  </si>
  <si>
    <t>Actual sampe size</t>
  </si>
  <si>
    <t>average C kg m2</t>
  </si>
  <si>
    <t>relative contrib C kg m2</t>
  </si>
  <si>
    <t>s010r</t>
  </si>
  <si>
    <t>% efficiency of SRS</t>
  </si>
  <si>
    <t>spatial var</t>
  </si>
  <si>
    <t>S^2</t>
  </si>
  <si>
    <t>eq. 7.16</t>
  </si>
  <si>
    <t>Var simple rand</t>
  </si>
  <si>
    <t>V (Zsi)</t>
  </si>
  <si>
    <t>eq. 7.17</t>
  </si>
  <si>
    <t>Vr</t>
  </si>
  <si>
    <t>Prior_Strata</t>
  </si>
  <si>
    <t>n_hd</t>
  </si>
  <si>
    <t>eq8.9: numerator</t>
  </si>
  <si>
    <t>eq8.9: denominator</t>
  </si>
  <si>
    <t>Prior h label</t>
  </si>
  <si>
    <t>zshd</t>
  </si>
  <si>
    <t>400_C kg/m^2</t>
  </si>
  <si>
    <t>800_C kg/m^2 2</t>
  </si>
  <si>
    <t>1500_C kg/m^2 3</t>
  </si>
  <si>
    <t>orig_stRATA</t>
  </si>
  <si>
    <t>s0100r</t>
  </si>
  <si>
    <t>s0100f</t>
  </si>
  <si>
    <t>s030f</t>
  </si>
  <si>
    <t>s030r</t>
  </si>
  <si>
    <t>s050f</t>
  </si>
  <si>
    <t>s050r</t>
  </si>
  <si>
    <t>s3050f</t>
  </si>
  <si>
    <t>s3050r</t>
  </si>
  <si>
    <t>s50100f</t>
  </si>
  <si>
    <t>s50100r</t>
  </si>
  <si>
    <t>1.09819892</t>
  </si>
  <si>
    <t>0.78281007</t>
  </si>
  <si>
    <t>1.69369426</t>
  </si>
  <si>
    <t>0.51346035</t>
  </si>
  <si>
    <t>2.88296111</t>
  </si>
  <si>
    <t>2.33631052</t>
  </si>
  <si>
    <t>1.08979042</t>
  </si>
  <si>
    <t>0.92174535</t>
  </si>
  <si>
    <t>0.78935786</t>
  </si>
  <si>
    <t>0.5552677</t>
  </si>
  <si>
    <t>1.26637113</t>
  </si>
  <si>
    <t>0.01061693</t>
  </si>
  <si>
    <t>0.56641624</t>
  </si>
  <si>
    <t>0.36012387</t>
  </si>
  <si>
    <t>0.51241907</t>
  </si>
  <si>
    <t>0.26486119</t>
  </si>
  <si>
    <t>0.23819271</t>
  </si>
  <si>
    <t>0.18586004</t>
  </si>
  <si>
    <t>0.30641316</t>
  </si>
  <si>
    <t>0.23539184</t>
  </si>
  <si>
    <t>0.14695095</t>
  </si>
  <si>
    <t>0.10296822</t>
  </si>
  <si>
    <t>0.22565567</t>
  </si>
  <si>
    <t>0.26856121</t>
  </si>
  <si>
    <t>0.50321898</t>
  </si>
  <si>
    <t>0.33155419</t>
  </si>
  <si>
    <t>0.34343958</t>
  </si>
  <si>
    <t>1.99572495</t>
  </si>
  <si>
    <t>0.5638959</t>
  </si>
  <si>
    <t>0.4623457</t>
  </si>
  <si>
    <t>0.63756223</t>
  </si>
  <si>
    <t>0.10149439</t>
  </si>
  <si>
    <t>0.94922905</t>
  </si>
  <si>
    <t>0.20703842</t>
  </si>
  <si>
    <t>0.21872966</t>
  </si>
  <si>
    <t>0.51372141</t>
  </si>
  <si>
    <t>0.42991985</t>
  </si>
  <si>
    <t>0.09482146</t>
  </si>
  <si>
    <t>0.43705355</t>
  </si>
  <si>
    <t>0.36875813</t>
  </si>
  <si>
    <t>0.27672307</t>
  </si>
  <si>
    <t>0.3252483</t>
  </si>
  <si>
    <t>0.5287293</t>
  </si>
  <si>
    <t>0.72546209</t>
  </si>
  <si>
    <t>0.90311839</t>
  </si>
  <si>
    <t>0.87338397</t>
  </si>
  <si>
    <t>0.05475165</t>
  </si>
  <si>
    <t>-0.038284</t>
  </si>
  <si>
    <t>ah Prior relative area</t>
  </si>
  <si>
    <t>a_d (eq 8.11)</t>
  </si>
  <si>
    <t>ZRd (eq 8.9)</t>
  </si>
  <si>
    <t>(Zhdi-Zshd)^2</t>
  </si>
  <si>
    <t>nh(1-nhd/nh)</t>
  </si>
  <si>
    <t>nh Prior strat count</t>
  </si>
  <si>
    <t>(Zshd-zRd)^2</t>
  </si>
  <si>
    <t>(ah^2/(nh(nh-1))</t>
  </si>
  <si>
    <t>V(ZRd)</t>
  </si>
  <si>
    <t>C kg 400kgm2</t>
  </si>
  <si>
    <t xml:space="preserve">sampling_var </t>
  </si>
  <si>
    <t>sampling var</t>
  </si>
  <si>
    <t>n Eq sample size</t>
  </si>
  <si>
    <t>*</t>
  </si>
  <si>
    <t xml:space="preserve">*from existing stratification - </t>
  </si>
  <si>
    <t xml:space="preserve">sampling_var_weighted </t>
  </si>
  <si>
    <t xml:space="preserve">Stratified (new) </t>
  </si>
  <si>
    <t>SQ values</t>
  </si>
  <si>
    <t xml:space="preserve">*to substitute the optimised allocation here instead of the count of intersecting observations (?)  </t>
  </si>
  <si>
    <t xml:space="preserve">xx5 </t>
  </si>
  <si>
    <t>xx2</t>
  </si>
  <si>
    <t>xx3</t>
  </si>
  <si>
    <t>xx4</t>
  </si>
  <si>
    <t>xx6</t>
  </si>
  <si>
    <t>r.Zrd</t>
  </si>
  <si>
    <t>eq_8.9n2</t>
  </si>
  <si>
    <t>eq8.9d</t>
  </si>
  <si>
    <t>pred_C2</t>
  </si>
  <si>
    <t>sp_var</t>
  </si>
  <si>
    <t>Zrd2</t>
  </si>
  <si>
    <t>samp_var</t>
  </si>
  <si>
    <t>ZRd2</t>
  </si>
  <si>
    <t>samp_var.r</t>
  </si>
</sst>
</file>

<file path=xl/styles.xml><?xml version="1.0" encoding="utf-8"?>
<styleSheet xmlns="http://schemas.openxmlformats.org/spreadsheetml/2006/main">
  <numFmts count="2">
    <numFmt numFmtId="164" formatCode="0.00000"/>
    <numFmt numFmtId="165" formatCode="0.0000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16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49" fontId="0" fillId="0" borderId="0" xfId="0" applyNumberFormat="1"/>
    <xf numFmtId="2" fontId="0" fillId="0" borderId="0" xfId="0" applyNumberFormat="1"/>
    <xf numFmtId="0" fontId="0" fillId="33" borderId="0" xfId="0" applyFill="1"/>
    <xf numFmtId="0" fontId="16" fillId="34" borderId="0" xfId="0" applyFont="1" applyFill="1"/>
    <xf numFmtId="0" fontId="0" fillId="34" borderId="0" xfId="0" applyFill="1"/>
    <xf numFmtId="0" fontId="0" fillId="0" borderId="0" xfId="0" applyFill="1"/>
    <xf numFmtId="0" fontId="16" fillId="0" borderId="9" xfId="17"/>
    <xf numFmtId="164" fontId="0" fillId="0" borderId="0" xfId="0" applyNumberFormat="1"/>
    <xf numFmtId="165" fontId="0" fillId="0" borderId="0" xfId="0" applyNumberFormat="1"/>
    <xf numFmtId="0" fontId="21" fillId="0" borderId="0" xfId="0" applyFont="1"/>
    <xf numFmtId="164" fontId="16" fillId="0" borderId="0" xfId="0" applyNumberFormat="1" applyFont="1"/>
    <xf numFmtId="0" fontId="16" fillId="0" borderId="9" xfId="17" applyFill="1"/>
    <xf numFmtId="164" fontId="0" fillId="0" borderId="0" xfId="0" applyNumberFormat="1" applyFill="1"/>
    <xf numFmtId="0" fontId="0" fillId="34" borderId="0" xfId="0" applyFont="1" applyFill="1"/>
    <xf numFmtId="0" fontId="16" fillId="0" borderId="0" xfId="0" applyFont="1" applyFill="1"/>
    <xf numFmtId="1" fontId="16" fillId="34" borderId="0" xfId="0" applyNumberFormat="1" applyFont="1" applyFill="1"/>
    <xf numFmtId="1" fontId="16" fillId="34" borderId="0" xfId="42" applyNumberFormat="1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Z50"/>
  <sheetViews>
    <sheetView workbookViewId="0">
      <selection activeCell="A3" sqref="A3:XFD3"/>
    </sheetView>
  </sheetViews>
  <sheetFormatPr defaultRowHeight="15"/>
  <cols>
    <col min="8" max="8" width="9.140625" style="5"/>
    <col min="12" max="12" width="14.85546875" bestFit="1" customWidth="1"/>
    <col min="13" max="13" width="9.5703125" style="12" bestFit="1" customWidth="1"/>
    <col min="14" max="14" width="9" bestFit="1" customWidth="1"/>
    <col min="16" max="16" width="11.5703125" customWidth="1"/>
  </cols>
  <sheetData>
    <row r="2" spans="2:26">
      <c r="B2" t="s">
        <v>45</v>
      </c>
      <c r="C2" t="s">
        <v>46</v>
      </c>
      <c r="D2" t="s">
        <v>19</v>
      </c>
      <c r="E2" t="s">
        <v>20</v>
      </c>
      <c r="F2" t="s">
        <v>21</v>
      </c>
      <c r="G2" t="s">
        <v>22</v>
      </c>
      <c r="H2" s="5" t="s">
        <v>23</v>
      </c>
      <c r="I2" t="s">
        <v>24</v>
      </c>
      <c r="K2" t="s">
        <v>47</v>
      </c>
      <c r="L2" t="s">
        <v>0</v>
      </c>
      <c r="M2" s="12" t="s">
        <v>1</v>
      </c>
      <c r="N2" t="s">
        <v>44</v>
      </c>
      <c r="O2" t="s">
        <v>18</v>
      </c>
      <c r="P2" t="s">
        <v>29</v>
      </c>
      <c r="Q2" t="s">
        <v>48</v>
      </c>
      <c r="R2" t="s">
        <v>49</v>
      </c>
      <c r="S2" t="s">
        <v>50</v>
      </c>
      <c r="T2" t="s">
        <v>51</v>
      </c>
      <c r="U2" t="s">
        <v>52</v>
      </c>
      <c r="V2" t="s">
        <v>53</v>
      </c>
      <c r="W2" t="s">
        <v>54</v>
      </c>
      <c r="X2" t="s">
        <v>55</v>
      </c>
      <c r="Y2" t="s">
        <v>56</v>
      </c>
      <c r="Z2" t="s">
        <v>57</v>
      </c>
    </row>
    <row r="3" spans="2:26">
      <c r="B3">
        <v>18.940153599999999</v>
      </c>
      <c r="C3">
        <v>35.998253800000001</v>
      </c>
      <c r="D3">
        <v>2.4213789800000001</v>
      </c>
      <c r="E3">
        <v>2.3120457299999999</v>
      </c>
      <c r="F3">
        <v>2.32577992</v>
      </c>
      <c r="G3">
        <v>2.1507459799999999</v>
      </c>
      <c r="H3" s="5" t="s">
        <v>63</v>
      </c>
      <c r="I3">
        <v>2.5352494600000002</v>
      </c>
      <c r="K3">
        <v>1</v>
      </c>
      <c r="L3">
        <v>33.538170000000001</v>
      </c>
      <c r="M3" s="12">
        <v>149.61357000000001</v>
      </c>
      <c r="N3">
        <v>9.8246694899999998</v>
      </c>
      <c r="O3">
        <v>1</v>
      </c>
      <c r="P3">
        <v>1</v>
      </c>
      <c r="Q3">
        <v>1</v>
      </c>
      <c r="R3">
        <v>2</v>
      </c>
      <c r="S3">
        <v>5</v>
      </c>
      <c r="T3">
        <v>5</v>
      </c>
      <c r="U3">
        <v>2</v>
      </c>
      <c r="V3">
        <v>1</v>
      </c>
      <c r="W3">
        <v>6</v>
      </c>
      <c r="X3">
        <v>6</v>
      </c>
      <c r="Y3">
        <v>6</v>
      </c>
      <c r="Z3">
        <v>6</v>
      </c>
    </row>
    <row r="4" spans="2:26">
      <c r="B4">
        <v>2.7450982000000002</v>
      </c>
      <c r="C4">
        <v>24.436079400000001</v>
      </c>
      <c r="D4">
        <v>0.30434739</v>
      </c>
      <c r="E4">
        <v>0.13177530000000001</v>
      </c>
      <c r="F4">
        <v>1.53280273</v>
      </c>
      <c r="G4">
        <v>-0.1211912</v>
      </c>
      <c r="H4" s="5" t="s">
        <v>62</v>
      </c>
      <c r="I4">
        <v>0.43990592000000001</v>
      </c>
      <c r="K4">
        <v>1</v>
      </c>
      <c r="L4">
        <v>33.538519999999998</v>
      </c>
      <c r="M4" s="12">
        <v>149.61342999999999</v>
      </c>
      <c r="N4">
        <v>0.91149701999999999</v>
      </c>
      <c r="O4">
        <v>1</v>
      </c>
      <c r="P4">
        <v>1</v>
      </c>
      <c r="Q4">
        <v>2</v>
      </c>
      <c r="R4">
        <v>2</v>
      </c>
      <c r="S4">
        <v>5</v>
      </c>
      <c r="T4">
        <v>6</v>
      </c>
      <c r="U4">
        <v>2</v>
      </c>
      <c r="V4">
        <v>1</v>
      </c>
      <c r="W4">
        <v>6</v>
      </c>
      <c r="X4">
        <v>6</v>
      </c>
      <c r="Y4">
        <v>6</v>
      </c>
      <c r="Z4">
        <v>6</v>
      </c>
    </row>
    <row r="5" spans="2:26">
      <c r="B5">
        <v>5.0272937999999998</v>
      </c>
      <c r="C5">
        <v>8.3015402500000004</v>
      </c>
      <c r="D5">
        <v>0.63199276999999998</v>
      </c>
      <c r="E5">
        <v>0.63738291000000002</v>
      </c>
      <c r="F5">
        <v>0.57427465</v>
      </c>
      <c r="G5">
        <v>0.64553176999999995</v>
      </c>
      <c r="H5" s="5" t="s">
        <v>61</v>
      </c>
      <c r="I5">
        <v>0.62489872999999996</v>
      </c>
      <c r="K5">
        <v>1</v>
      </c>
      <c r="L5">
        <v>33.539369999999998</v>
      </c>
      <c r="M5" s="12">
        <v>149.61263</v>
      </c>
      <c r="N5">
        <v>2.5421812699999999</v>
      </c>
      <c r="O5">
        <v>1</v>
      </c>
      <c r="P5">
        <v>1</v>
      </c>
      <c r="Q5">
        <v>2</v>
      </c>
      <c r="R5">
        <v>2</v>
      </c>
      <c r="S5">
        <v>6</v>
      </c>
      <c r="T5">
        <v>5</v>
      </c>
      <c r="U5">
        <v>2</v>
      </c>
      <c r="V5">
        <v>1</v>
      </c>
      <c r="W5">
        <v>6</v>
      </c>
      <c r="X5">
        <v>6</v>
      </c>
      <c r="Y5">
        <v>6</v>
      </c>
      <c r="Z5">
        <v>6</v>
      </c>
    </row>
    <row r="6" spans="2:26">
      <c r="B6">
        <v>17.933816100000001</v>
      </c>
      <c r="C6">
        <v>29.575330699999999</v>
      </c>
      <c r="D6">
        <v>2.22126738</v>
      </c>
      <c r="E6">
        <v>2.2242933900000001</v>
      </c>
      <c r="F6">
        <v>1.9547412900000001</v>
      </c>
      <c r="G6">
        <v>2.2311886900000002</v>
      </c>
      <c r="H6" s="5" t="s">
        <v>60</v>
      </c>
      <c r="I6">
        <v>2.1875181100000001</v>
      </c>
      <c r="K6">
        <v>1</v>
      </c>
      <c r="L6">
        <v>33.540199999999999</v>
      </c>
      <c r="M6" s="12">
        <v>149.61229</v>
      </c>
      <c r="N6">
        <v>9.0237512899999999</v>
      </c>
      <c r="O6">
        <v>1</v>
      </c>
      <c r="P6">
        <v>1</v>
      </c>
      <c r="Q6">
        <v>2</v>
      </c>
      <c r="R6">
        <v>2</v>
      </c>
      <c r="S6">
        <v>5</v>
      </c>
      <c r="T6">
        <v>5</v>
      </c>
      <c r="U6">
        <v>1</v>
      </c>
      <c r="V6">
        <v>1</v>
      </c>
      <c r="W6">
        <v>6</v>
      </c>
      <c r="X6">
        <v>6</v>
      </c>
      <c r="Y6">
        <v>6</v>
      </c>
      <c r="Z6">
        <v>6</v>
      </c>
    </row>
    <row r="7" spans="2:26">
      <c r="B7">
        <v>8.6929967599999998</v>
      </c>
      <c r="C7">
        <v>14.367882399999999</v>
      </c>
      <c r="D7">
        <v>1.0887585900000001</v>
      </c>
      <c r="E7">
        <v>1.1206798200000001</v>
      </c>
      <c r="F7">
        <v>0.95055763000000004</v>
      </c>
      <c r="G7">
        <v>1.17469479</v>
      </c>
      <c r="H7" s="5" t="s">
        <v>59</v>
      </c>
      <c r="I7">
        <v>0.96958796999999997</v>
      </c>
      <c r="K7">
        <v>1</v>
      </c>
      <c r="L7">
        <v>33.540529999999997</v>
      </c>
      <c r="M7" s="12">
        <v>149.60973000000001</v>
      </c>
      <c r="N7">
        <v>4.3538953600000001</v>
      </c>
      <c r="O7">
        <v>1</v>
      </c>
      <c r="P7">
        <v>1</v>
      </c>
      <c r="Q7">
        <v>2</v>
      </c>
      <c r="R7">
        <v>2</v>
      </c>
      <c r="S7">
        <v>5</v>
      </c>
      <c r="T7">
        <v>5</v>
      </c>
      <c r="U7">
        <v>1</v>
      </c>
      <c r="V7">
        <v>1</v>
      </c>
      <c r="W7">
        <v>6</v>
      </c>
      <c r="X7">
        <v>6</v>
      </c>
      <c r="Y7">
        <v>6</v>
      </c>
      <c r="Z7">
        <v>6</v>
      </c>
    </row>
    <row r="8" spans="2:26">
      <c r="B8" s="1">
        <v>8.8070767199999995</v>
      </c>
      <c r="C8" s="1">
        <v>17.206334099999999</v>
      </c>
      <c r="D8">
        <v>1.21004186</v>
      </c>
      <c r="E8">
        <v>1.1148877699999999</v>
      </c>
      <c r="F8">
        <v>1.1088041200000001</v>
      </c>
      <c r="G8">
        <v>0.97840758999999999</v>
      </c>
      <c r="H8" s="5" t="s">
        <v>58</v>
      </c>
      <c r="I8">
        <v>1.2591580899999999</v>
      </c>
      <c r="K8">
        <v>1</v>
      </c>
      <c r="L8" s="1">
        <v>33.542630000000003</v>
      </c>
      <c r="M8" s="15">
        <v>149.60909000000001</v>
      </c>
      <c r="N8" s="1">
        <v>4.72665545</v>
      </c>
      <c r="O8">
        <v>1</v>
      </c>
      <c r="P8">
        <v>1</v>
      </c>
      <c r="Q8">
        <v>2</v>
      </c>
      <c r="R8">
        <v>2</v>
      </c>
      <c r="S8">
        <v>5</v>
      </c>
      <c r="T8">
        <v>5</v>
      </c>
      <c r="U8">
        <v>1</v>
      </c>
      <c r="V8">
        <v>1</v>
      </c>
      <c r="W8">
        <v>5</v>
      </c>
      <c r="X8">
        <v>5</v>
      </c>
      <c r="Y8">
        <v>4</v>
      </c>
      <c r="Z8">
        <v>4</v>
      </c>
    </row>
    <row r="9" spans="2:26">
      <c r="B9">
        <v>9.8412517899999994</v>
      </c>
      <c r="C9">
        <v>14.0070461</v>
      </c>
      <c r="D9">
        <v>1.4856542699999999</v>
      </c>
      <c r="E9">
        <v>1.1142428200000001</v>
      </c>
      <c r="F9">
        <v>0.80891243000000002</v>
      </c>
      <c r="G9">
        <v>0.56740520000000005</v>
      </c>
      <c r="H9" s="5" t="s">
        <v>82</v>
      </c>
      <c r="I9">
        <v>1.93264952</v>
      </c>
      <c r="K9">
        <v>4</v>
      </c>
      <c r="L9">
        <v>33.544800000000002</v>
      </c>
      <c r="M9" s="12">
        <v>149.60368</v>
      </c>
      <c r="N9">
        <v>6.3147629700000003</v>
      </c>
      <c r="O9">
        <v>1</v>
      </c>
      <c r="P9">
        <v>2</v>
      </c>
      <c r="Q9">
        <v>3</v>
      </c>
      <c r="R9">
        <v>2</v>
      </c>
      <c r="S9">
        <v>2</v>
      </c>
      <c r="T9">
        <v>1</v>
      </c>
      <c r="U9">
        <v>2</v>
      </c>
      <c r="V9">
        <v>2</v>
      </c>
      <c r="W9">
        <v>6</v>
      </c>
      <c r="X9">
        <v>5</v>
      </c>
      <c r="Y9">
        <v>3</v>
      </c>
      <c r="Z9">
        <v>4</v>
      </c>
    </row>
    <row r="10" spans="2:26">
      <c r="B10">
        <v>7.7017409900000002</v>
      </c>
      <c r="C10">
        <v>11.071331000000001</v>
      </c>
      <c r="D10">
        <v>0.76390488999999995</v>
      </c>
      <c r="E10">
        <v>0.92682580999999997</v>
      </c>
      <c r="F10">
        <v>1.0089625</v>
      </c>
      <c r="G10">
        <v>1.1778378</v>
      </c>
      <c r="H10" s="5" t="s">
        <v>64</v>
      </c>
      <c r="I10">
        <v>0.41613509999999998</v>
      </c>
      <c r="K10">
        <v>1</v>
      </c>
      <c r="L10">
        <v>33.559759999999997</v>
      </c>
      <c r="M10" s="12">
        <v>149.60956999999999</v>
      </c>
      <c r="N10">
        <v>3.09326831</v>
      </c>
      <c r="O10">
        <v>2</v>
      </c>
      <c r="P10">
        <v>2</v>
      </c>
      <c r="Q10">
        <v>2</v>
      </c>
      <c r="R10">
        <v>3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4</v>
      </c>
      <c r="Z10">
        <v>4</v>
      </c>
    </row>
    <row r="11" spans="2:26">
      <c r="B11">
        <v>7.9343166900000002</v>
      </c>
      <c r="C11">
        <v>11.7074803</v>
      </c>
      <c r="D11">
        <v>1.0331143300000001</v>
      </c>
      <c r="E11">
        <v>0.9134968</v>
      </c>
      <c r="F11">
        <v>0.73047804000000005</v>
      </c>
      <c r="G11">
        <v>0.71778248</v>
      </c>
      <c r="H11" s="5" t="s">
        <v>67</v>
      </c>
      <c r="I11">
        <v>1.525998</v>
      </c>
      <c r="K11">
        <v>2</v>
      </c>
      <c r="L11">
        <v>33.545389999999998</v>
      </c>
      <c r="M11" s="12">
        <v>149.60491999999999</v>
      </c>
      <c r="N11">
        <v>5.2931769700000002</v>
      </c>
      <c r="O11">
        <v>2</v>
      </c>
      <c r="P11">
        <v>2</v>
      </c>
      <c r="Q11">
        <v>2</v>
      </c>
      <c r="R11">
        <v>2</v>
      </c>
      <c r="S11">
        <v>3</v>
      </c>
      <c r="T11">
        <v>2</v>
      </c>
      <c r="U11">
        <v>2</v>
      </c>
      <c r="V11">
        <v>1</v>
      </c>
      <c r="W11">
        <v>4</v>
      </c>
      <c r="X11">
        <v>5</v>
      </c>
      <c r="Y11">
        <v>3</v>
      </c>
      <c r="Z11">
        <v>4</v>
      </c>
    </row>
    <row r="12" spans="2:26">
      <c r="B12">
        <v>3.7811216600000002</v>
      </c>
      <c r="C12">
        <v>12.7278749</v>
      </c>
      <c r="D12">
        <v>0.73077988999999999</v>
      </c>
      <c r="E12">
        <v>0.58237791999999999</v>
      </c>
      <c r="F12">
        <v>0.68405386999999995</v>
      </c>
      <c r="G12">
        <v>0.34310417999999998</v>
      </c>
      <c r="H12" s="5" t="s">
        <v>66</v>
      </c>
      <c r="I12">
        <v>1.24407329</v>
      </c>
      <c r="K12">
        <v>2</v>
      </c>
      <c r="L12">
        <v>33.550289999999997</v>
      </c>
      <c r="M12" s="12">
        <v>149.60371000000001</v>
      </c>
      <c r="N12">
        <v>2.9289949499999999</v>
      </c>
      <c r="O12">
        <v>2</v>
      </c>
      <c r="P12">
        <v>3</v>
      </c>
      <c r="Q12">
        <v>3</v>
      </c>
      <c r="R12">
        <v>3</v>
      </c>
      <c r="S12">
        <v>1</v>
      </c>
      <c r="T12">
        <v>1</v>
      </c>
      <c r="U12">
        <v>4</v>
      </c>
      <c r="V12">
        <v>4</v>
      </c>
      <c r="W12">
        <v>5</v>
      </c>
      <c r="X12">
        <v>4</v>
      </c>
      <c r="Y12">
        <v>2</v>
      </c>
      <c r="Z12">
        <v>2</v>
      </c>
    </row>
    <row r="13" spans="2:26">
      <c r="B13">
        <v>7.4877069199999999</v>
      </c>
      <c r="C13">
        <v>9.3757065999999991</v>
      </c>
      <c r="D13">
        <v>1.38587623</v>
      </c>
      <c r="E13">
        <v>1.07834933</v>
      </c>
      <c r="F13">
        <v>0.65693018999999997</v>
      </c>
      <c r="G13">
        <v>0.63298759000000004</v>
      </c>
      <c r="H13" s="5" t="s">
        <v>74</v>
      </c>
      <c r="I13">
        <v>1.59963513</v>
      </c>
      <c r="K13">
        <v>3</v>
      </c>
      <c r="L13">
        <v>33.558280000000003</v>
      </c>
      <c r="M13" s="12">
        <v>149.61251999999999</v>
      </c>
      <c r="N13">
        <v>5.1870377100000002</v>
      </c>
      <c r="O13">
        <v>2</v>
      </c>
      <c r="P13">
        <v>3</v>
      </c>
      <c r="Q13">
        <v>1</v>
      </c>
      <c r="R13">
        <v>1</v>
      </c>
      <c r="S13">
        <v>2</v>
      </c>
      <c r="T13">
        <v>2</v>
      </c>
      <c r="U13">
        <v>2</v>
      </c>
      <c r="V13">
        <v>2</v>
      </c>
      <c r="W13">
        <v>1</v>
      </c>
      <c r="X13">
        <v>1</v>
      </c>
      <c r="Y13">
        <v>2</v>
      </c>
      <c r="Z13">
        <v>2</v>
      </c>
    </row>
    <row r="14" spans="2:26">
      <c r="B14">
        <v>16.2859245</v>
      </c>
      <c r="C14">
        <v>33.677812699999997</v>
      </c>
      <c r="D14">
        <v>1.88896336</v>
      </c>
      <c r="E14">
        <v>1.9284910200000001</v>
      </c>
      <c r="F14">
        <v>1.9633239</v>
      </c>
      <c r="G14">
        <v>1.99005509</v>
      </c>
      <c r="H14" s="5" t="s">
        <v>85</v>
      </c>
      <c r="I14">
        <v>1.77357404</v>
      </c>
      <c r="K14">
        <v>4</v>
      </c>
      <c r="L14">
        <v>33.543059999999997</v>
      </c>
      <c r="M14" s="12">
        <v>149.60255000000001</v>
      </c>
      <c r="N14">
        <v>8.1786855900000006</v>
      </c>
      <c r="O14">
        <v>2</v>
      </c>
      <c r="P14">
        <v>2</v>
      </c>
      <c r="Q14">
        <v>3</v>
      </c>
      <c r="R14">
        <v>3</v>
      </c>
      <c r="S14">
        <v>2</v>
      </c>
      <c r="T14">
        <v>1</v>
      </c>
      <c r="U14">
        <v>1</v>
      </c>
      <c r="V14">
        <v>1</v>
      </c>
      <c r="W14">
        <v>6</v>
      </c>
      <c r="X14">
        <v>5</v>
      </c>
      <c r="Y14">
        <v>4</v>
      </c>
      <c r="Z14">
        <v>5</v>
      </c>
    </row>
    <row r="15" spans="2:26">
      <c r="B15">
        <v>4.7768329500000002</v>
      </c>
      <c r="C15">
        <v>7.08578537</v>
      </c>
      <c r="D15">
        <v>1.2738935600000001</v>
      </c>
      <c r="E15">
        <v>1.09853018</v>
      </c>
      <c r="F15">
        <v>0.7180029</v>
      </c>
      <c r="G15">
        <v>0.84647729999999999</v>
      </c>
      <c r="H15" s="5" t="s">
        <v>84</v>
      </c>
      <c r="I15">
        <v>1.36911071</v>
      </c>
      <c r="K15">
        <v>4</v>
      </c>
      <c r="L15">
        <v>33.546239999999997</v>
      </c>
      <c r="M15" s="12">
        <v>149.60094000000001</v>
      </c>
      <c r="N15">
        <v>3.1665619999999999</v>
      </c>
      <c r="O15">
        <v>2</v>
      </c>
      <c r="P15">
        <v>2</v>
      </c>
      <c r="Q15">
        <v>4</v>
      </c>
      <c r="R15">
        <v>4</v>
      </c>
      <c r="S15">
        <v>2</v>
      </c>
      <c r="T15">
        <v>2</v>
      </c>
      <c r="U15">
        <v>2</v>
      </c>
      <c r="V15">
        <v>4</v>
      </c>
      <c r="W15">
        <v>5</v>
      </c>
      <c r="X15">
        <v>5</v>
      </c>
      <c r="Y15">
        <v>5</v>
      </c>
      <c r="Z15">
        <v>5</v>
      </c>
    </row>
    <row r="16" spans="2:26">
      <c r="B16">
        <v>7.3171418900000003</v>
      </c>
      <c r="C16">
        <v>11.367650899999999</v>
      </c>
      <c r="D16">
        <v>0.94810360999999999</v>
      </c>
      <c r="E16">
        <v>0.85508782999999999</v>
      </c>
      <c r="F16">
        <v>0.59078496999999996</v>
      </c>
      <c r="G16">
        <v>0.72169209000000001</v>
      </c>
      <c r="H16" s="5" t="s">
        <v>83</v>
      </c>
      <c r="I16">
        <v>0.99613505000000002</v>
      </c>
      <c r="K16">
        <v>4</v>
      </c>
      <c r="L16">
        <v>33.548450000000003</v>
      </c>
      <c r="M16" s="12">
        <v>149.59607</v>
      </c>
      <c r="N16">
        <v>4.3001758900000002</v>
      </c>
      <c r="O16">
        <v>2</v>
      </c>
      <c r="P16">
        <v>3</v>
      </c>
      <c r="Q16">
        <v>4</v>
      </c>
      <c r="R16">
        <v>6</v>
      </c>
      <c r="S16">
        <v>3</v>
      </c>
      <c r="T16">
        <v>3</v>
      </c>
      <c r="U16">
        <v>4</v>
      </c>
      <c r="V16">
        <v>5</v>
      </c>
      <c r="W16">
        <v>2</v>
      </c>
      <c r="X16">
        <v>3</v>
      </c>
      <c r="Y16">
        <v>4</v>
      </c>
      <c r="Z16">
        <v>4</v>
      </c>
    </row>
    <row r="17" spans="2:26">
      <c r="B17">
        <v>5.5912992199999998</v>
      </c>
      <c r="C17">
        <v>7.7322296399999999</v>
      </c>
      <c r="D17">
        <v>0.44358455000000002</v>
      </c>
      <c r="E17">
        <v>0.63701606</v>
      </c>
      <c r="F17">
        <v>0.41567866999999997</v>
      </c>
      <c r="G17">
        <v>0.92125358000000002</v>
      </c>
      <c r="H17" s="5" t="s">
        <v>91</v>
      </c>
      <c r="I17">
        <v>0.26637865999999999</v>
      </c>
      <c r="K17">
        <v>5</v>
      </c>
      <c r="L17">
        <v>33.547409999999999</v>
      </c>
      <c r="M17" s="12">
        <v>149.59838999999999</v>
      </c>
      <c r="N17">
        <v>1.8906571400000001</v>
      </c>
      <c r="O17">
        <v>2</v>
      </c>
      <c r="P17">
        <v>2</v>
      </c>
      <c r="Q17">
        <v>5</v>
      </c>
      <c r="R17">
        <v>6</v>
      </c>
      <c r="S17">
        <v>4</v>
      </c>
      <c r="T17">
        <v>4</v>
      </c>
      <c r="U17">
        <v>4</v>
      </c>
      <c r="V17">
        <v>5</v>
      </c>
      <c r="W17">
        <v>1</v>
      </c>
      <c r="X17">
        <v>3</v>
      </c>
      <c r="Y17">
        <v>4</v>
      </c>
      <c r="Z17">
        <v>4</v>
      </c>
    </row>
    <row r="18" spans="2:26">
      <c r="B18">
        <v>8.6759097100000009</v>
      </c>
      <c r="C18">
        <v>18.610882199999999</v>
      </c>
      <c r="D18">
        <v>0.67263596000000003</v>
      </c>
      <c r="E18">
        <v>0.85452072999999995</v>
      </c>
      <c r="F18">
        <v>0.89894496999999995</v>
      </c>
      <c r="G18">
        <v>1.11738096</v>
      </c>
      <c r="H18" s="5" t="s">
        <v>90</v>
      </c>
      <c r="I18">
        <v>0.55951543000000004</v>
      </c>
      <c r="K18">
        <v>5</v>
      </c>
      <c r="L18">
        <v>33.547440000000002</v>
      </c>
      <c r="M18" s="12">
        <v>149.59592000000001</v>
      </c>
      <c r="N18">
        <v>3.4437208400000001</v>
      </c>
      <c r="O18">
        <v>2</v>
      </c>
      <c r="P18">
        <v>3</v>
      </c>
      <c r="Q18">
        <v>5</v>
      </c>
      <c r="R18">
        <v>6</v>
      </c>
      <c r="S18">
        <v>3</v>
      </c>
      <c r="T18">
        <v>3</v>
      </c>
      <c r="U18">
        <v>4</v>
      </c>
      <c r="V18">
        <v>5</v>
      </c>
      <c r="W18">
        <v>2</v>
      </c>
      <c r="X18">
        <v>3</v>
      </c>
      <c r="Y18">
        <v>5</v>
      </c>
      <c r="Z18">
        <v>5</v>
      </c>
    </row>
    <row r="19" spans="2:26">
      <c r="B19">
        <v>10.9387591</v>
      </c>
      <c r="C19">
        <v>17.311938900000001</v>
      </c>
      <c r="D19">
        <v>1.4550625100000001</v>
      </c>
      <c r="E19">
        <v>1.3771526599999999</v>
      </c>
      <c r="F19">
        <v>1.1470796299999999</v>
      </c>
      <c r="G19">
        <v>1.26508387</v>
      </c>
      <c r="H19" s="5" t="s">
        <v>65</v>
      </c>
      <c r="I19">
        <v>1.50179485</v>
      </c>
      <c r="K19">
        <v>1</v>
      </c>
      <c r="L19">
        <v>33.54692</v>
      </c>
      <c r="M19" s="12">
        <v>149.60614000000001</v>
      </c>
      <c r="N19">
        <v>5.7719037399999999</v>
      </c>
      <c r="O19">
        <v>3</v>
      </c>
      <c r="P19">
        <v>2</v>
      </c>
      <c r="Q19">
        <v>2</v>
      </c>
      <c r="R19">
        <v>1</v>
      </c>
      <c r="S19">
        <v>2</v>
      </c>
      <c r="T19">
        <v>2</v>
      </c>
      <c r="U19">
        <v>3</v>
      </c>
      <c r="V19">
        <v>2</v>
      </c>
      <c r="W19">
        <v>4</v>
      </c>
      <c r="X19">
        <v>4</v>
      </c>
      <c r="Y19">
        <v>1</v>
      </c>
      <c r="Z19">
        <v>2</v>
      </c>
    </row>
    <row r="20" spans="2:26">
      <c r="B20">
        <v>7.4308351699999999</v>
      </c>
      <c r="C20">
        <v>11.672363900000001</v>
      </c>
      <c r="D20">
        <v>1.40702577</v>
      </c>
      <c r="E20">
        <v>1.05993995</v>
      </c>
      <c r="F20">
        <v>0.81432011000000004</v>
      </c>
      <c r="G20">
        <v>0.55210908000000003</v>
      </c>
      <c r="H20" s="5" t="s">
        <v>70</v>
      </c>
      <c r="I20">
        <v>1.7221454899999999</v>
      </c>
      <c r="K20">
        <v>2</v>
      </c>
      <c r="L20">
        <v>33.548929999999999</v>
      </c>
      <c r="M20" s="12">
        <v>149.60878</v>
      </c>
      <c r="N20">
        <v>4.9593492399999999</v>
      </c>
      <c r="O20">
        <v>3</v>
      </c>
      <c r="P20">
        <v>3</v>
      </c>
      <c r="Q20">
        <v>1</v>
      </c>
      <c r="R20">
        <v>1</v>
      </c>
      <c r="S20">
        <v>1</v>
      </c>
      <c r="T20">
        <v>1</v>
      </c>
      <c r="U20">
        <v>3</v>
      </c>
      <c r="V20">
        <v>2</v>
      </c>
      <c r="W20">
        <v>4</v>
      </c>
      <c r="X20">
        <v>4</v>
      </c>
      <c r="Y20">
        <v>1</v>
      </c>
      <c r="Z20">
        <v>1</v>
      </c>
    </row>
    <row r="21" spans="2:26">
      <c r="B21">
        <v>14.2108729</v>
      </c>
      <c r="C21">
        <v>17.272121899999998</v>
      </c>
      <c r="D21">
        <v>1.37895619</v>
      </c>
      <c r="E21">
        <v>1.4788812200000001</v>
      </c>
      <c r="F21">
        <v>0.73640552000000004</v>
      </c>
      <c r="G21">
        <v>1.6515599599999999</v>
      </c>
      <c r="H21" s="5" t="s">
        <v>69</v>
      </c>
      <c r="I21">
        <v>0.89787342999999997</v>
      </c>
      <c r="K21">
        <v>2</v>
      </c>
      <c r="L21">
        <v>33.550629999999998</v>
      </c>
      <c r="M21" s="12">
        <v>149.60504</v>
      </c>
      <c r="N21">
        <v>7.0757782899999997</v>
      </c>
      <c r="O21">
        <v>3</v>
      </c>
      <c r="P21">
        <v>3</v>
      </c>
      <c r="Q21">
        <v>2</v>
      </c>
      <c r="R21">
        <v>1</v>
      </c>
      <c r="S21">
        <v>1</v>
      </c>
      <c r="T21">
        <v>1</v>
      </c>
      <c r="U21">
        <v>4</v>
      </c>
      <c r="V21">
        <v>4</v>
      </c>
      <c r="W21">
        <v>4</v>
      </c>
      <c r="X21">
        <v>4</v>
      </c>
      <c r="Y21">
        <v>1</v>
      </c>
      <c r="Z21">
        <v>1</v>
      </c>
    </row>
    <row r="22" spans="2:26">
      <c r="B22">
        <v>10.654870600000001</v>
      </c>
      <c r="C22">
        <v>21.005816599999999</v>
      </c>
      <c r="D22">
        <v>1.47369763</v>
      </c>
      <c r="E22">
        <v>1.34821743</v>
      </c>
      <c r="F22">
        <v>1.3096048199999999</v>
      </c>
      <c r="G22">
        <v>1.16800839</v>
      </c>
      <c r="H22" s="5" t="s">
        <v>68</v>
      </c>
      <c r="I22">
        <v>1.54015083</v>
      </c>
      <c r="K22">
        <v>2</v>
      </c>
      <c r="L22">
        <v>33.555540000000001</v>
      </c>
      <c r="M22" s="12">
        <v>149.61478</v>
      </c>
      <c r="N22">
        <v>5.9031329499999998</v>
      </c>
      <c r="O22">
        <v>3</v>
      </c>
      <c r="P22">
        <v>2</v>
      </c>
      <c r="Q22">
        <v>1</v>
      </c>
      <c r="R22">
        <v>2</v>
      </c>
      <c r="S22">
        <v>2</v>
      </c>
      <c r="T22">
        <v>4</v>
      </c>
      <c r="U22">
        <v>3</v>
      </c>
      <c r="V22">
        <v>2</v>
      </c>
      <c r="W22">
        <v>3</v>
      </c>
      <c r="X22">
        <v>3</v>
      </c>
      <c r="Y22">
        <v>3</v>
      </c>
      <c r="Z22">
        <v>3</v>
      </c>
    </row>
    <row r="23" spans="2:26">
      <c r="B23">
        <v>7.1908568500000003</v>
      </c>
      <c r="C23">
        <v>8.6319798500000005</v>
      </c>
      <c r="D23">
        <v>1.5099813200000001</v>
      </c>
      <c r="E23">
        <v>1.0273246599999999</v>
      </c>
      <c r="F23">
        <v>0.60645216000000002</v>
      </c>
      <c r="G23">
        <v>0.32285180000000002</v>
      </c>
      <c r="H23" s="5" t="s">
        <v>75</v>
      </c>
      <c r="I23">
        <v>1.8976401899999999</v>
      </c>
      <c r="K23">
        <v>3</v>
      </c>
      <c r="L23">
        <v>33.554650000000002</v>
      </c>
      <c r="M23" s="12">
        <v>149.61534</v>
      </c>
      <c r="N23">
        <v>5.8976973199999998</v>
      </c>
      <c r="O23">
        <v>3</v>
      </c>
      <c r="P23">
        <v>3</v>
      </c>
      <c r="Q23">
        <v>1</v>
      </c>
      <c r="R23">
        <v>2</v>
      </c>
      <c r="S23">
        <v>4</v>
      </c>
      <c r="T23">
        <v>3</v>
      </c>
      <c r="U23">
        <v>3</v>
      </c>
      <c r="V23">
        <v>3</v>
      </c>
      <c r="W23">
        <v>4</v>
      </c>
      <c r="X23">
        <v>3</v>
      </c>
      <c r="Y23">
        <v>3</v>
      </c>
      <c r="Z23">
        <v>3</v>
      </c>
    </row>
    <row r="24" spans="2:26">
      <c r="B24">
        <v>7.4408703000000003</v>
      </c>
      <c r="C24">
        <v>12.650688600000001</v>
      </c>
      <c r="D24">
        <v>1.0894571</v>
      </c>
      <c r="E24">
        <v>0.90525734000000002</v>
      </c>
      <c r="F24">
        <v>0.73374996999999997</v>
      </c>
      <c r="G24">
        <v>0.63047628</v>
      </c>
      <c r="H24" s="5" t="s">
        <v>86</v>
      </c>
      <c r="I24">
        <v>1.35699046</v>
      </c>
      <c r="K24">
        <v>4</v>
      </c>
      <c r="L24">
        <v>33.551650000000002</v>
      </c>
      <c r="M24" s="12">
        <v>149.60255000000001</v>
      </c>
      <c r="N24">
        <v>4.4506644</v>
      </c>
      <c r="O24">
        <v>3</v>
      </c>
      <c r="P24">
        <v>3</v>
      </c>
      <c r="Q24">
        <v>4</v>
      </c>
      <c r="R24">
        <v>4</v>
      </c>
      <c r="S24">
        <v>2</v>
      </c>
      <c r="T24">
        <v>2</v>
      </c>
      <c r="U24">
        <v>5</v>
      </c>
      <c r="V24">
        <v>5</v>
      </c>
      <c r="W24">
        <v>5</v>
      </c>
      <c r="X24">
        <v>4</v>
      </c>
      <c r="Y24">
        <v>2</v>
      </c>
      <c r="Z24">
        <v>3</v>
      </c>
    </row>
    <row r="25" spans="2:26">
      <c r="B25">
        <v>2.0891259299999998</v>
      </c>
      <c r="C25">
        <v>3.97231267</v>
      </c>
      <c r="D25">
        <v>0.18395507</v>
      </c>
      <c r="E25">
        <v>0.20161626999999999</v>
      </c>
      <c r="F25">
        <v>0.21012094000000001</v>
      </c>
      <c r="G25">
        <v>0.22800113999999999</v>
      </c>
      <c r="H25" s="5" t="s">
        <v>92</v>
      </c>
      <c r="I25">
        <v>0.15467935999999999</v>
      </c>
      <c r="K25">
        <v>5</v>
      </c>
      <c r="L25">
        <v>33.550530000000002</v>
      </c>
      <c r="M25" s="12">
        <v>149.59518</v>
      </c>
      <c r="N25">
        <v>0.88693042</v>
      </c>
      <c r="O25">
        <v>3</v>
      </c>
      <c r="P25">
        <v>4</v>
      </c>
      <c r="Q25">
        <v>5</v>
      </c>
      <c r="R25">
        <v>6</v>
      </c>
      <c r="S25">
        <v>3</v>
      </c>
      <c r="T25">
        <v>4</v>
      </c>
      <c r="U25">
        <v>5</v>
      </c>
      <c r="V25">
        <v>6</v>
      </c>
      <c r="W25">
        <v>2</v>
      </c>
      <c r="X25">
        <v>2</v>
      </c>
      <c r="Y25">
        <v>3</v>
      </c>
      <c r="Z25">
        <v>3</v>
      </c>
    </row>
    <row r="26" spans="2:26">
      <c r="B26">
        <v>10.924352000000001</v>
      </c>
      <c r="C26">
        <v>12.3925255</v>
      </c>
      <c r="D26">
        <v>1.95083367</v>
      </c>
      <c r="E26">
        <v>1.7410236100000001</v>
      </c>
      <c r="F26">
        <v>0.99585431000000002</v>
      </c>
      <c r="G26">
        <v>1.4435691500000001</v>
      </c>
      <c r="H26" s="5" t="s">
        <v>73</v>
      </c>
      <c r="I26">
        <v>2.01668958</v>
      </c>
      <c r="K26">
        <v>2</v>
      </c>
      <c r="L26">
        <v>33.549160000000001</v>
      </c>
      <c r="M26" s="12">
        <v>149.60946999999999</v>
      </c>
      <c r="N26">
        <v>7.3057535500000004</v>
      </c>
      <c r="O26">
        <v>4</v>
      </c>
      <c r="P26">
        <v>4</v>
      </c>
      <c r="Q26">
        <v>1</v>
      </c>
      <c r="R26">
        <v>1</v>
      </c>
      <c r="S26">
        <v>2</v>
      </c>
      <c r="T26">
        <v>2</v>
      </c>
      <c r="U26">
        <v>3</v>
      </c>
      <c r="V26">
        <v>3</v>
      </c>
      <c r="W26">
        <v>4</v>
      </c>
      <c r="X26">
        <v>4</v>
      </c>
      <c r="Y26">
        <v>1</v>
      </c>
      <c r="Z26">
        <v>2</v>
      </c>
    </row>
    <row r="27" spans="2:26">
      <c r="B27">
        <v>6.2491553599999996</v>
      </c>
      <c r="C27">
        <v>10.5221578</v>
      </c>
      <c r="D27">
        <v>1.36268897</v>
      </c>
      <c r="E27">
        <v>0.93359360000000002</v>
      </c>
      <c r="F27">
        <v>0.72609796999999998</v>
      </c>
      <c r="G27">
        <v>0.30441547000000002</v>
      </c>
      <c r="H27" s="5" t="s">
        <v>72</v>
      </c>
      <c r="I27">
        <v>1.78859949</v>
      </c>
      <c r="K27">
        <v>2</v>
      </c>
      <c r="L27">
        <v>33.549529999999997</v>
      </c>
      <c r="M27" s="12">
        <v>149.61218</v>
      </c>
      <c r="N27">
        <v>4.51366975</v>
      </c>
      <c r="O27">
        <v>4</v>
      </c>
      <c r="P27">
        <v>3</v>
      </c>
      <c r="Q27">
        <v>1</v>
      </c>
      <c r="R27">
        <v>1</v>
      </c>
      <c r="S27">
        <v>3</v>
      </c>
      <c r="T27">
        <v>3</v>
      </c>
      <c r="U27">
        <v>3</v>
      </c>
      <c r="V27">
        <v>2</v>
      </c>
      <c r="W27">
        <v>5</v>
      </c>
      <c r="X27">
        <v>5</v>
      </c>
      <c r="Y27">
        <v>2</v>
      </c>
      <c r="Z27">
        <v>2</v>
      </c>
    </row>
    <row r="28" spans="2:26">
      <c r="B28">
        <v>8.3738964599999992</v>
      </c>
      <c r="C28">
        <v>11.8466524</v>
      </c>
      <c r="D28">
        <v>1.0657833699999999</v>
      </c>
      <c r="E28">
        <v>1.03966811</v>
      </c>
      <c r="F28">
        <v>0.69549837999999997</v>
      </c>
      <c r="G28">
        <v>1.00682413</v>
      </c>
      <c r="H28" s="5" t="s">
        <v>71</v>
      </c>
      <c r="I28">
        <v>0.99583173999999997</v>
      </c>
      <c r="K28">
        <v>2</v>
      </c>
      <c r="L28">
        <v>33.552849999999999</v>
      </c>
      <c r="M28" s="12">
        <v>149.60543999999999</v>
      </c>
      <c r="N28">
        <v>4.2445212100000003</v>
      </c>
      <c r="O28">
        <v>4</v>
      </c>
      <c r="P28">
        <v>4</v>
      </c>
      <c r="Q28">
        <v>2</v>
      </c>
      <c r="R28">
        <v>1</v>
      </c>
      <c r="S28">
        <v>1</v>
      </c>
      <c r="T28">
        <v>1</v>
      </c>
      <c r="U28">
        <v>4</v>
      </c>
      <c r="V28">
        <v>3</v>
      </c>
      <c r="W28">
        <v>3</v>
      </c>
      <c r="X28">
        <v>4</v>
      </c>
      <c r="Y28">
        <v>1</v>
      </c>
      <c r="Z28">
        <v>1</v>
      </c>
    </row>
    <row r="29" spans="2:26">
      <c r="B29">
        <v>5.1939952700000003</v>
      </c>
      <c r="C29">
        <v>6.9639618199999997</v>
      </c>
      <c r="D29">
        <v>0.82899690000000004</v>
      </c>
      <c r="E29">
        <v>0.62936813000000003</v>
      </c>
      <c r="F29">
        <v>0.43235121999999998</v>
      </c>
      <c r="G29">
        <v>0.33789795</v>
      </c>
      <c r="H29" s="5" t="s">
        <v>77</v>
      </c>
      <c r="I29">
        <v>1.0092633099999999</v>
      </c>
      <c r="K29">
        <v>3</v>
      </c>
      <c r="L29">
        <v>33.550420000000003</v>
      </c>
      <c r="M29" s="12">
        <v>149.60989000000001</v>
      </c>
      <c r="N29">
        <v>3.4753123800000001</v>
      </c>
      <c r="O29">
        <v>4</v>
      </c>
      <c r="P29">
        <v>4</v>
      </c>
      <c r="Q29">
        <v>2</v>
      </c>
      <c r="R29">
        <v>2</v>
      </c>
      <c r="S29">
        <v>3</v>
      </c>
      <c r="T29">
        <v>3</v>
      </c>
      <c r="U29">
        <v>3</v>
      </c>
      <c r="V29">
        <v>3</v>
      </c>
      <c r="W29">
        <v>4</v>
      </c>
      <c r="X29">
        <v>4</v>
      </c>
      <c r="Y29">
        <v>2</v>
      </c>
      <c r="Z29">
        <v>3</v>
      </c>
    </row>
    <row r="30" spans="2:26">
      <c r="B30">
        <v>0.99109676999999996</v>
      </c>
      <c r="C30">
        <v>3.0538446100000001</v>
      </c>
      <c r="D30">
        <v>0.12721082</v>
      </c>
      <c r="E30">
        <v>0.10140569000000001</v>
      </c>
      <c r="F30">
        <v>0.20635772999999999</v>
      </c>
      <c r="G30">
        <v>6.42403E-2</v>
      </c>
      <c r="H30" s="5" t="s">
        <v>76</v>
      </c>
      <c r="I30">
        <v>0.14192547999999999</v>
      </c>
      <c r="K30">
        <v>3</v>
      </c>
      <c r="L30">
        <v>33.551189999999998</v>
      </c>
      <c r="M30" s="12">
        <v>149.61118999999999</v>
      </c>
      <c r="N30">
        <v>0.50091792999999996</v>
      </c>
      <c r="O30">
        <v>4</v>
      </c>
      <c r="P30">
        <v>4</v>
      </c>
      <c r="Q30">
        <v>2</v>
      </c>
      <c r="R30">
        <v>2</v>
      </c>
      <c r="S30">
        <v>4</v>
      </c>
      <c r="T30">
        <v>4</v>
      </c>
      <c r="U30">
        <v>3</v>
      </c>
      <c r="V30">
        <v>4</v>
      </c>
      <c r="W30">
        <v>4</v>
      </c>
      <c r="X30">
        <v>4</v>
      </c>
      <c r="Y30">
        <v>4</v>
      </c>
      <c r="Z30">
        <v>3</v>
      </c>
    </row>
    <row r="31" spans="2:26">
      <c r="B31">
        <v>8.3805321999999993</v>
      </c>
      <c r="C31">
        <v>12.633978600000001</v>
      </c>
      <c r="D31">
        <v>1.62574372</v>
      </c>
      <c r="E31">
        <v>1.2024621200000001</v>
      </c>
      <c r="F31">
        <v>0.92078773000000003</v>
      </c>
      <c r="G31">
        <v>0.57659163000000002</v>
      </c>
      <c r="H31" s="5" t="s">
        <v>88</v>
      </c>
      <c r="I31">
        <v>2.2268940599999998</v>
      </c>
      <c r="K31">
        <v>4</v>
      </c>
      <c r="L31">
        <v>33.553829999999998</v>
      </c>
      <c r="M31" s="12">
        <v>149.60697999999999</v>
      </c>
      <c r="N31">
        <v>5.3998390699999996</v>
      </c>
      <c r="O31">
        <v>4</v>
      </c>
      <c r="P31">
        <v>4</v>
      </c>
      <c r="Q31">
        <v>1</v>
      </c>
      <c r="R31">
        <v>1</v>
      </c>
      <c r="S31">
        <v>1</v>
      </c>
      <c r="T31">
        <v>1</v>
      </c>
      <c r="U31">
        <v>3</v>
      </c>
      <c r="V31">
        <v>3</v>
      </c>
      <c r="W31">
        <v>2</v>
      </c>
      <c r="X31">
        <v>2</v>
      </c>
      <c r="Y31">
        <v>1</v>
      </c>
      <c r="Z31">
        <v>1</v>
      </c>
    </row>
    <row r="32" spans="2:26">
      <c r="B32">
        <v>12.227956799999999</v>
      </c>
      <c r="C32">
        <v>16.496595599999999</v>
      </c>
      <c r="D32">
        <v>1.6447276200000001</v>
      </c>
      <c r="E32">
        <v>1.1147199400000001</v>
      </c>
      <c r="F32">
        <v>0.78900499999999996</v>
      </c>
      <c r="G32">
        <v>0.31941699000000001</v>
      </c>
      <c r="H32" s="5" t="s">
        <v>87</v>
      </c>
      <c r="I32">
        <v>2.5681646599999999</v>
      </c>
      <c r="K32">
        <v>4</v>
      </c>
      <c r="L32">
        <v>33.556809999999999</v>
      </c>
      <c r="M32" s="12">
        <v>149.61136999999999</v>
      </c>
      <c r="N32">
        <v>9.2193809000000009</v>
      </c>
      <c r="O32">
        <v>4</v>
      </c>
      <c r="P32">
        <v>5</v>
      </c>
      <c r="Q32">
        <v>1</v>
      </c>
      <c r="R32">
        <v>1</v>
      </c>
      <c r="S32">
        <v>3</v>
      </c>
      <c r="T32">
        <v>4</v>
      </c>
      <c r="U32">
        <v>2</v>
      </c>
      <c r="V32">
        <v>3</v>
      </c>
      <c r="W32">
        <v>1</v>
      </c>
      <c r="X32">
        <v>1</v>
      </c>
      <c r="Y32">
        <v>2</v>
      </c>
      <c r="Z32">
        <v>1</v>
      </c>
    </row>
    <row r="33" spans="2:26">
      <c r="B33">
        <v>20.8141164</v>
      </c>
      <c r="C33">
        <v>32.376025499999997</v>
      </c>
      <c r="D33">
        <v>2.4600283100000002</v>
      </c>
      <c r="E33">
        <v>2.0877942200000001</v>
      </c>
      <c r="F33">
        <v>1.2999488299999999</v>
      </c>
      <c r="G33">
        <v>1.6135944799999999</v>
      </c>
      <c r="H33" s="5" t="s">
        <v>93</v>
      </c>
      <c r="I33">
        <v>0.56865465999999998</v>
      </c>
      <c r="K33">
        <v>5</v>
      </c>
      <c r="L33">
        <v>33.560830000000003</v>
      </c>
      <c r="M33" s="12">
        <v>149.60491999999999</v>
      </c>
      <c r="N33">
        <v>15.0558642</v>
      </c>
      <c r="O33">
        <v>4</v>
      </c>
      <c r="P33">
        <v>4</v>
      </c>
      <c r="Q33">
        <v>6</v>
      </c>
      <c r="R33">
        <v>6</v>
      </c>
      <c r="S33">
        <v>5</v>
      </c>
      <c r="T33">
        <v>5</v>
      </c>
      <c r="U33">
        <v>4</v>
      </c>
      <c r="V33">
        <v>3</v>
      </c>
      <c r="W33">
        <v>3</v>
      </c>
      <c r="X33">
        <v>3</v>
      </c>
      <c r="Y33">
        <v>4</v>
      </c>
      <c r="Z33">
        <v>4</v>
      </c>
    </row>
    <row r="34" spans="2:26">
      <c r="B34">
        <v>16.585014300000001</v>
      </c>
      <c r="C34">
        <v>21.757006100000002</v>
      </c>
      <c r="D34">
        <v>0.95954490000000003</v>
      </c>
      <c r="E34">
        <v>1.37362841</v>
      </c>
      <c r="F34">
        <v>0.83764095000000005</v>
      </c>
      <c r="G34">
        <v>1.9992498000000001</v>
      </c>
      <c r="H34" s="5" t="s">
        <v>99</v>
      </c>
      <c r="I34">
        <v>0.18493028</v>
      </c>
      <c r="K34">
        <v>6</v>
      </c>
      <c r="L34">
        <v>33.552509999999998</v>
      </c>
      <c r="M34" s="12">
        <v>149.59504999999999</v>
      </c>
      <c r="N34">
        <v>5.5596971599999998</v>
      </c>
      <c r="O34">
        <v>4</v>
      </c>
      <c r="P34">
        <v>4</v>
      </c>
      <c r="Q34">
        <v>4</v>
      </c>
      <c r="R34">
        <v>5</v>
      </c>
      <c r="S34">
        <v>3</v>
      </c>
      <c r="T34">
        <v>3</v>
      </c>
      <c r="U34">
        <v>5</v>
      </c>
      <c r="V34">
        <v>6</v>
      </c>
      <c r="W34">
        <v>2</v>
      </c>
      <c r="X34">
        <v>2</v>
      </c>
      <c r="Y34">
        <v>3</v>
      </c>
      <c r="Z34">
        <v>3</v>
      </c>
    </row>
    <row r="35" spans="2:26">
      <c r="B35">
        <v>7.2325739599999999</v>
      </c>
      <c r="C35">
        <v>9.2364865300000005</v>
      </c>
      <c r="D35">
        <v>0.49797251999999997</v>
      </c>
      <c r="E35">
        <v>0.87022065000000004</v>
      </c>
      <c r="F35">
        <v>0.56526418</v>
      </c>
      <c r="G35">
        <v>1.4275183899999999</v>
      </c>
      <c r="H35" s="5" t="s">
        <v>98</v>
      </c>
      <c r="I35">
        <v>-5.1609200000000001E-2</v>
      </c>
      <c r="K35">
        <v>6</v>
      </c>
      <c r="L35">
        <v>33.55254</v>
      </c>
      <c r="M35" s="12">
        <v>149.59907999999999</v>
      </c>
      <c r="N35">
        <v>2.4629393799999999</v>
      </c>
      <c r="O35">
        <v>4</v>
      </c>
      <c r="P35">
        <v>4</v>
      </c>
      <c r="Q35">
        <v>4</v>
      </c>
      <c r="R35">
        <v>5</v>
      </c>
      <c r="S35">
        <v>3</v>
      </c>
      <c r="T35">
        <v>3</v>
      </c>
      <c r="U35">
        <v>5</v>
      </c>
      <c r="V35">
        <v>6</v>
      </c>
      <c r="W35">
        <v>1</v>
      </c>
      <c r="X35">
        <v>2</v>
      </c>
      <c r="Y35">
        <v>2</v>
      </c>
      <c r="Z35">
        <v>2</v>
      </c>
    </row>
    <row r="36" spans="2:26">
      <c r="B36">
        <v>11.6961727</v>
      </c>
      <c r="C36">
        <v>13.915889399999999</v>
      </c>
      <c r="D36">
        <v>1.96362967</v>
      </c>
      <c r="E36">
        <v>1.25964269</v>
      </c>
      <c r="F36">
        <v>0.76441742000000001</v>
      </c>
      <c r="G36">
        <v>0.21194705999999999</v>
      </c>
      <c r="H36" s="5" t="s">
        <v>81</v>
      </c>
      <c r="I36">
        <v>3.1029825999999998</v>
      </c>
      <c r="K36">
        <v>3</v>
      </c>
      <c r="L36">
        <v>33.553080000000001</v>
      </c>
      <c r="M36" s="12">
        <v>149.61035000000001</v>
      </c>
      <c r="N36">
        <v>8.4531136</v>
      </c>
      <c r="O36">
        <v>5</v>
      </c>
      <c r="P36">
        <v>5</v>
      </c>
      <c r="Q36">
        <v>1</v>
      </c>
      <c r="R36">
        <v>2</v>
      </c>
      <c r="S36">
        <v>5</v>
      </c>
      <c r="T36">
        <v>5</v>
      </c>
      <c r="U36">
        <v>4</v>
      </c>
      <c r="V36">
        <v>3</v>
      </c>
      <c r="W36">
        <v>2</v>
      </c>
      <c r="X36">
        <v>3</v>
      </c>
      <c r="Y36">
        <v>2</v>
      </c>
      <c r="Z36">
        <v>3</v>
      </c>
    </row>
    <row r="37" spans="2:26">
      <c r="B37">
        <v>7.7131991500000003</v>
      </c>
      <c r="C37">
        <v>9.7038428400000001</v>
      </c>
      <c r="D37">
        <v>1.51272809</v>
      </c>
      <c r="E37">
        <v>0.97031283000000002</v>
      </c>
      <c r="F37">
        <v>0.59946632</v>
      </c>
      <c r="G37">
        <v>0.17722283</v>
      </c>
      <c r="H37" s="5" t="s">
        <v>80</v>
      </c>
      <c r="I37">
        <v>1.9717981499999999</v>
      </c>
      <c r="K37">
        <v>3</v>
      </c>
      <c r="L37">
        <v>33.553690000000003</v>
      </c>
      <c r="M37" s="12">
        <v>149.61156</v>
      </c>
      <c r="N37">
        <v>6.4333965500000003</v>
      </c>
      <c r="O37">
        <v>5</v>
      </c>
      <c r="P37">
        <v>5</v>
      </c>
      <c r="Q37">
        <v>1</v>
      </c>
      <c r="R37">
        <v>2</v>
      </c>
      <c r="S37">
        <v>6</v>
      </c>
      <c r="T37">
        <v>6</v>
      </c>
      <c r="U37">
        <v>4</v>
      </c>
      <c r="V37">
        <v>3</v>
      </c>
      <c r="W37">
        <v>2</v>
      </c>
      <c r="X37">
        <v>2</v>
      </c>
      <c r="Y37">
        <v>1</v>
      </c>
      <c r="Z37">
        <v>2</v>
      </c>
    </row>
    <row r="38" spans="2:26">
      <c r="B38">
        <v>4.2093353000000002</v>
      </c>
      <c r="C38">
        <v>5.3709639200000003</v>
      </c>
      <c r="D38">
        <v>0.86311746</v>
      </c>
      <c r="E38">
        <v>0.66411191999999997</v>
      </c>
      <c r="F38">
        <v>0.38251839999999998</v>
      </c>
      <c r="G38">
        <v>0.37661082000000001</v>
      </c>
      <c r="H38" s="5" t="s">
        <v>79</v>
      </c>
      <c r="I38">
        <v>0.98802789999999996</v>
      </c>
      <c r="K38">
        <v>3</v>
      </c>
      <c r="L38">
        <v>33.553719999999998</v>
      </c>
      <c r="M38" s="12">
        <v>149.60898</v>
      </c>
      <c r="N38">
        <v>2.9631942599999999</v>
      </c>
      <c r="O38">
        <v>5</v>
      </c>
      <c r="P38">
        <v>5</v>
      </c>
      <c r="Q38">
        <v>1</v>
      </c>
      <c r="R38">
        <v>1</v>
      </c>
      <c r="S38">
        <v>3</v>
      </c>
      <c r="T38">
        <v>3</v>
      </c>
      <c r="U38">
        <v>3</v>
      </c>
      <c r="V38">
        <v>3</v>
      </c>
      <c r="W38">
        <v>3</v>
      </c>
      <c r="X38">
        <v>2</v>
      </c>
      <c r="Y38">
        <v>1</v>
      </c>
      <c r="Z38">
        <v>1</v>
      </c>
    </row>
    <row r="39" spans="2:26">
      <c r="B39">
        <v>5.5804629099999996</v>
      </c>
      <c r="C39">
        <v>7.7879297200000002</v>
      </c>
      <c r="D39">
        <v>0.94739583000000005</v>
      </c>
      <c r="E39">
        <v>0.74090272999999995</v>
      </c>
      <c r="F39">
        <v>0.44285024000000001</v>
      </c>
      <c r="G39">
        <v>0.44324508000000001</v>
      </c>
      <c r="H39" s="5" t="s">
        <v>78</v>
      </c>
      <c r="I39">
        <v>1.0681908499999999</v>
      </c>
      <c r="K39">
        <v>3</v>
      </c>
      <c r="L39">
        <v>33.553879999999999</v>
      </c>
      <c r="M39" s="12">
        <v>149.61028999999999</v>
      </c>
      <c r="N39">
        <v>3.99616609</v>
      </c>
      <c r="O39">
        <v>5</v>
      </c>
      <c r="P39">
        <v>5</v>
      </c>
      <c r="Q39">
        <v>1</v>
      </c>
      <c r="R39">
        <v>2</v>
      </c>
      <c r="S39">
        <v>5</v>
      </c>
      <c r="T39">
        <v>5</v>
      </c>
      <c r="U39">
        <v>4</v>
      </c>
      <c r="V39">
        <v>3</v>
      </c>
      <c r="W39">
        <v>3</v>
      </c>
      <c r="X39">
        <v>3</v>
      </c>
      <c r="Y39">
        <v>1</v>
      </c>
      <c r="Z39">
        <v>2</v>
      </c>
    </row>
    <row r="40" spans="2:26">
      <c r="B40">
        <v>4.3036573899999997</v>
      </c>
      <c r="C40">
        <v>5.07909437</v>
      </c>
      <c r="D40">
        <v>1.0289709600000001</v>
      </c>
      <c r="E40">
        <v>0.63947370999999997</v>
      </c>
      <c r="F40">
        <v>0.37109094999999997</v>
      </c>
      <c r="G40">
        <v>6.3469769999999995E-2</v>
      </c>
      <c r="H40" s="5" t="s">
        <v>89</v>
      </c>
      <c r="I40">
        <v>1.5273914500000001</v>
      </c>
      <c r="K40">
        <v>4</v>
      </c>
      <c r="L40">
        <v>33.555050000000001</v>
      </c>
      <c r="M40" s="12">
        <v>149.61005</v>
      </c>
      <c r="N40">
        <v>3.3513914499999999</v>
      </c>
      <c r="O40">
        <v>5</v>
      </c>
      <c r="P40">
        <v>5</v>
      </c>
      <c r="Q40">
        <v>1</v>
      </c>
      <c r="R40">
        <v>1</v>
      </c>
      <c r="S40">
        <v>4</v>
      </c>
      <c r="T40">
        <v>4</v>
      </c>
      <c r="U40">
        <v>3</v>
      </c>
      <c r="V40">
        <v>3</v>
      </c>
      <c r="W40">
        <v>2</v>
      </c>
      <c r="X40">
        <v>2</v>
      </c>
      <c r="Y40">
        <v>1</v>
      </c>
      <c r="Z40">
        <v>1</v>
      </c>
    </row>
    <row r="41" spans="2:26">
      <c r="B41">
        <v>6.4344767200000001</v>
      </c>
      <c r="C41">
        <v>8.3210134300000007</v>
      </c>
      <c r="D41">
        <v>0.71075915999999995</v>
      </c>
      <c r="E41">
        <v>0.73150926999999999</v>
      </c>
      <c r="F41">
        <v>0.41145990999999998</v>
      </c>
      <c r="G41">
        <v>0.78347573000000004</v>
      </c>
      <c r="H41" s="5" t="s">
        <v>95</v>
      </c>
      <c r="I41">
        <v>0.23438037</v>
      </c>
      <c r="K41">
        <v>5</v>
      </c>
      <c r="L41">
        <v>33.555929999999996</v>
      </c>
      <c r="M41" s="12">
        <v>149.59950000000001</v>
      </c>
      <c r="N41">
        <v>3.1134258899999998</v>
      </c>
      <c r="O41">
        <v>5</v>
      </c>
      <c r="P41">
        <v>5</v>
      </c>
      <c r="Q41">
        <v>5</v>
      </c>
      <c r="R41">
        <v>4</v>
      </c>
      <c r="S41">
        <v>2</v>
      </c>
      <c r="T41">
        <v>3</v>
      </c>
      <c r="U41">
        <v>4</v>
      </c>
      <c r="V41">
        <v>5</v>
      </c>
      <c r="W41">
        <v>2</v>
      </c>
      <c r="X41">
        <v>3</v>
      </c>
      <c r="Y41">
        <v>4</v>
      </c>
      <c r="Z41">
        <v>4</v>
      </c>
    </row>
    <row r="42" spans="2:26">
      <c r="B42">
        <v>1.90548037</v>
      </c>
      <c r="C42">
        <v>7.7073813600000003</v>
      </c>
      <c r="D42">
        <v>0.21382201000000001</v>
      </c>
      <c r="E42">
        <v>0.18092453999999999</v>
      </c>
      <c r="F42">
        <v>0.30848123999999999</v>
      </c>
      <c r="G42">
        <v>0.13340968</v>
      </c>
      <c r="H42" s="5" t="s">
        <v>94</v>
      </c>
      <c r="I42">
        <v>0.23351743</v>
      </c>
      <c r="K42">
        <v>5</v>
      </c>
      <c r="L42">
        <v>33.55979</v>
      </c>
      <c r="M42" s="12">
        <v>149.60316</v>
      </c>
      <c r="N42">
        <v>0.86158440999999997</v>
      </c>
      <c r="O42">
        <v>5</v>
      </c>
      <c r="P42">
        <v>5</v>
      </c>
      <c r="Q42">
        <v>5</v>
      </c>
      <c r="R42">
        <v>5</v>
      </c>
      <c r="S42">
        <v>3</v>
      </c>
      <c r="T42">
        <v>2</v>
      </c>
      <c r="U42">
        <v>3</v>
      </c>
      <c r="V42">
        <v>3</v>
      </c>
      <c r="W42">
        <v>2</v>
      </c>
      <c r="X42">
        <v>2</v>
      </c>
      <c r="Y42">
        <v>5</v>
      </c>
      <c r="Z42">
        <v>5</v>
      </c>
    </row>
    <row r="43" spans="2:26">
      <c r="B43">
        <v>16.046956099999999</v>
      </c>
      <c r="C43">
        <v>26.316078399999999</v>
      </c>
      <c r="D43">
        <v>1.2860752499999999</v>
      </c>
      <c r="E43">
        <v>1.27649473</v>
      </c>
      <c r="F43">
        <v>1.00451899</v>
      </c>
      <c r="G43">
        <v>1.33326115</v>
      </c>
      <c r="H43" s="5" t="s">
        <v>101</v>
      </c>
      <c r="I43">
        <v>-0.2565616</v>
      </c>
      <c r="K43">
        <v>6</v>
      </c>
      <c r="L43">
        <v>33.554679999999998</v>
      </c>
      <c r="M43" s="12">
        <v>149.59509</v>
      </c>
      <c r="N43">
        <v>5.4652171300000001</v>
      </c>
      <c r="O43">
        <v>5</v>
      </c>
      <c r="P43">
        <v>6</v>
      </c>
      <c r="Q43">
        <v>4</v>
      </c>
      <c r="R43">
        <v>4</v>
      </c>
      <c r="S43">
        <v>4</v>
      </c>
      <c r="T43">
        <v>3</v>
      </c>
      <c r="U43">
        <v>4</v>
      </c>
      <c r="V43">
        <v>5</v>
      </c>
      <c r="W43">
        <v>2</v>
      </c>
      <c r="X43">
        <v>2</v>
      </c>
      <c r="Y43">
        <v>4</v>
      </c>
      <c r="Z43">
        <v>5</v>
      </c>
    </row>
    <row r="44" spans="2:26">
      <c r="B44">
        <v>4.6687043299999997</v>
      </c>
      <c r="C44">
        <v>10.4504561</v>
      </c>
      <c r="D44">
        <v>0.31741304999999997</v>
      </c>
      <c r="E44">
        <v>0.41166533999999999</v>
      </c>
      <c r="F44">
        <v>0.46934303999999999</v>
      </c>
      <c r="G44">
        <v>0.54786438000000004</v>
      </c>
      <c r="H44" s="5" t="s">
        <v>100</v>
      </c>
      <c r="I44">
        <v>0.25894766000000002</v>
      </c>
      <c r="K44">
        <v>6</v>
      </c>
      <c r="L44">
        <v>33.55527</v>
      </c>
      <c r="M44" s="12">
        <v>149.59741</v>
      </c>
      <c r="N44">
        <v>1.41666022</v>
      </c>
      <c r="O44">
        <v>5</v>
      </c>
      <c r="P44">
        <v>5</v>
      </c>
      <c r="Q44">
        <v>4</v>
      </c>
      <c r="R44">
        <v>4</v>
      </c>
      <c r="S44">
        <v>2</v>
      </c>
      <c r="T44">
        <v>3</v>
      </c>
      <c r="U44">
        <v>5</v>
      </c>
      <c r="V44">
        <v>5</v>
      </c>
      <c r="W44">
        <v>2</v>
      </c>
      <c r="X44">
        <v>2</v>
      </c>
      <c r="Y44">
        <v>3</v>
      </c>
      <c r="Z44">
        <v>3</v>
      </c>
    </row>
    <row r="45" spans="2:26">
      <c r="B45">
        <v>12.843401399999999</v>
      </c>
      <c r="C45">
        <v>17.101849699999999</v>
      </c>
      <c r="D45">
        <v>0.92289262999999999</v>
      </c>
      <c r="E45">
        <v>1.2402754300000001</v>
      </c>
      <c r="F45">
        <v>0.79901376000000002</v>
      </c>
      <c r="G45">
        <v>1.7437916200000001</v>
      </c>
      <c r="H45" s="5" t="s">
        <v>97</v>
      </c>
      <c r="I45">
        <v>-0.11430609999999999</v>
      </c>
      <c r="K45">
        <v>5</v>
      </c>
      <c r="L45">
        <v>33.557639999999999</v>
      </c>
      <c r="M45" s="12">
        <v>149.59761</v>
      </c>
      <c r="N45">
        <v>4.8402216899999999</v>
      </c>
      <c r="O45">
        <v>6</v>
      </c>
      <c r="P45">
        <v>6</v>
      </c>
      <c r="Q45">
        <v>5</v>
      </c>
      <c r="R45">
        <v>5</v>
      </c>
      <c r="S45">
        <v>5</v>
      </c>
      <c r="T45">
        <v>4</v>
      </c>
      <c r="U45">
        <v>4</v>
      </c>
      <c r="V45">
        <v>5</v>
      </c>
      <c r="W45">
        <v>2</v>
      </c>
      <c r="X45">
        <v>2</v>
      </c>
      <c r="Y45">
        <v>6</v>
      </c>
      <c r="Z45">
        <v>5</v>
      </c>
    </row>
    <row r="46" spans="2:26">
      <c r="B46">
        <v>7.30488216</v>
      </c>
      <c r="C46">
        <v>11.682888500000001</v>
      </c>
      <c r="D46">
        <v>0.62349114999999999</v>
      </c>
      <c r="E46">
        <v>0.85585076999999998</v>
      </c>
      <c r="F46">
        <v>0.64367220000000003</v>
      </c>
      <c r="G46">
        <v>1.2155011</v>
      </c>
      <c r="H46" s="5" t="s">
        <v>96</v>
      </c>
      <c r="I46">
        <v>4.1796279999999998E-2</v>
      </c>
      <c r="K46">
        <v>5</v>
      </c>
      <c r="L46">
        <v>33.561079999999997</v>
      </c>
      <c r="M46" s="12">
        <v>149.59843000000001</v>
      </c>
      <c r="N46">
        <v>3.3041520700000002</v>
      </c>
      <c r="O46">
        <v>6</v>
      </c>
      <c r="P46">
        <v>6</v>
      </c>
      <c r="Q46">
        <v>6</v>
      </c>
      <c r="R46">
        <v>5</v>
      </c>
      <c r="S46">
        <v>4</v>
      </c>
      <c r="T46">
        <v>4</v>
      </c>
      <c r="U46">
        <v>6</v>
      </c>
      <c r="V46">
        <v>5</v>
      </c>
      <c r="W46">
        <v>3</v>
      </c>
      <c r="X46">
        <v>2</v>
      </c>
      <c r="Y46">
        <v>4</v>
      </c>
      <c r="Z46">
        <v>5</v>
      </c>
    </row>
    <row r="47" spans="2:26">
      <c r="B47">
        <v>19.037266299999999</v>
      </c>
      <c r="C47">
        <v>25.277452</v>
      </c>
      <c r="D47">
        <v>1.3598333899999999</v>
      </c>
      <c r="E47">
        <v>1.71080049</v>
      </c>
      <c r="F47">
        <v>0.82526734000000002</v>
      </c>
      <c r="G47">
        <v>2.2816375199999999</v>
      </c>
      <c r="H47" s="5" t="s">
        <v>105</v>
      </c>
      <c r="I47">
        <v>4.7847510000000003E-2</v>
      </c>
      <c r="K47">
        <v>6</v>
      </c>
      <c r="L47">
        <v>33.556710000000002</v>
      </c>
      <c r="M47" s="12">
        <v>149.59647000000001</v>
      </c>
      <c r="N47">
        <v>9.1410391999999998</v>
      </c>
      <c r="O47">
        <v>6</v>
      </c>
      <c r="P47">
        <v>6</v>
      </c>
      <c r="Q47">
        <v>5</v>
      </c>
      <c r="R47">
        <v>4</v>
      </c>
      <c r="S47">
        <v>5</v>
      </c>
      <c r="T47">
        <v>4</v>
      </c>
      <c r="U47">
        <v>4</v>
      </c>
      <c r="V47">
        <v>5</v>
      </c>
      <c r="W47">
        <v>3</v>
      </c>
      <c r="X47">
        <v>2</v>
      </c>
      <c r="Y47">
        <v>6</v>
      </c>
      <c r="Z47">
        <v>6</v>
      </c>
    </row>
    <row r="48" spans="2:26">
      <c r="B48">
        <v>19.301604099999999</v>
      </c>
      <c r="C48">
        <v>27.854327900000001</v>
      </c>
      <c r="D48">
        <v>1.4184924400000001</v>
      </c>
      <c r="E48">
        <v>1.6649028299999999</v>
      </c>
      <c r="F48">
        <v>0.84928225999999996</v>
      </c>
      <c r="G48">
        <v>2.0694455500000002</v>
      </c>
      <c r="H48" s="5" t="s">
        <v>104</v>
      </c>
      <c r="I48">
        <v>0.37492072999999998</v>
      </c>
      <c r="K48">
        <v>6</v>
      </c>
      <c r="L48">
        <v>33.557290000000002</v>
      </c>
      <c r="M48" s="12">
        <v>149.59457</v>
      </c>
      <c r="N48">
        <v>7.6343352500000004</v>
      </c>
      <c r="O48">
        <v>6</v>
      </c>
      <c r="P48">
        <v>6</v>
      </c>
      <c r="Q48">
        <v>5</v>
      </c>
      <c r="R48">
        <v>5</v>
      </c>
      <c r="S48">
        <v>6</v>
      </c>
      <c r="T48">
        <v>6</v>
      </c>
      <c r="U48">
        <v>6</v>
      </c>
      <c r="V48">
        <v>6</v>
      </c>
      <c r="W48">
        <v>3</v>
      </c>
      <c r="X48">
        <v>3</v>
      </c>
      <c r="Y48">
        <v>6</v>
      </c>
      <c r="Z48">
        <v>6</v>
      </c>
    </row>
    <row r="49" spans="2:26">
      <c r="B49">
        <v>10.010381600000001</v>
      </c>
      <c r="C49">
        <v>16.211412899999999</v>
      </c>
      <c r="D49">
        <v>0.56715665999999998</v>
      </c>
      <c r="E49">
        <v>0.94473121999999998</v>
      </c>
      <c r="F49">
        <v>0.90254299999999998</v>
      </c>
      <c r="G49">
        <v>1.50009606</v>
      </c>
      <c r="H49" s="5" t="s">
        <v>103</v>
      </c>
      <c r="I49">
        <v>0.16788707999999999</v>
      </c>
      <c r="K49">
        <v>6</v>
      </c>
      <c r="L49">
        <v>33.558419999999998</v>
      </c>
      <c r="M49" s="12">
        <v>149.59792999999999</v>
      </c>
      <c r="N49">
        <v>3.9745730099999999</v>
      </c>
      <c r="O49">
        <v>6</v>
      </c>
      <c r="P49">
        <v>6</v>
      </c>
      <c r="Q49">
        <v>5</v>
      </c>
      <c r="R49">
        <v>5</v>
      </c>
      <c r="S49">
        <v>4</v>
      </c>
      <c r="T49">
        <v>4</v>
      </c>
      <c r="U49">
        <v>4</v>
      </c>
      <c r="V49">
        <v>5</v>
      </c>
      <c r="W49">
        <v>3</v>
      </c>
      <c r="X49">
        <v>2</v>
      </c>
      <c r="Y49">
        <v>6</v>
      </c>
      <c r="Z49">
        <v>5</v>
      </c>
    </row>
    <row r="50" spans="2:26">
      <c r="B50">
        <v>11.395379500000001</v>
      </c>
      <c r="C50">
        <v>19.4326334</v>
      </c>
      <c r="D50">
        <v>1.47022729</v>
      </c>
      <c r="E50">
        <v>1.2327602799999999</v>
      </c>
      <c r="F50">
        <v>1.06936886</v>
      </c>
      <c r="G50">
        <v>0.88821812</v>
      </c>
      <c r="H50" s="5" t="s">
        <v>102</v>
      </c>
      <c r="I50">
        <v>1.63646808</v>
      </c>
      <c r="K50">
        <v>6</v>
      </c>
      <c r="L50">
        <v>33.563279999999999</v>
      </c>
      <c r="M50" s="12">
        <v>149.59952999999999</v>
      </c>
      <c r="N50">
        <v>7.2737327900000004</v>
      </c>
      <c r="O50">
        <v>6</v>
      </c>
      <c r="P50">
        <v>6</v>
      </c>
      <c r="Q50">
        <v>6</v>
      </c>
      <c r="R50">
        <v>6</v>
      </c>
      <c r="S50">
        <v>6</v>
      </c>
      <c r="T50">
        <v>6</v>
      </c>
      <c r="U50">
        <v>6</v>
      </c>
      <c r="V50">
        <v>5</v>
      </c>
      <c r="W50">
        <v>2</v>
      </c>
      <c r="X50">
        <v>2</v>
      </c>
      <c r="Y50">
        <v>3</v>
      </c>
      <c r="Z50">
        <v>3</v>
      </c>
    </row>
  </sheetData>
  <sortState ref="C3:Z50">
    <sortCondition ref="O3:O50"/>
    <sortCondition ref="N3:N50"/>
    <sortCondition ref="C3:C50"/>
  </sortState>
  <conditionalFormatting sqref="K3:K50 O3:S50 I3:I50 W3:W50">
    <cfRule type="cellIs" dxfId="1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BD53"/>
  <sheetViews>
    <sheetView tabSelected="1" topLeftCell="S13" workbookViewId="0">
      <selection activeCell="AD16" sqref="AD16"/>
    </sheetView>
  </sheetViews>
  <sheetFormatPr defaultRowHeight="15"/>
  <cols>
    <col min="4" max="4" width="9.85546875" customWidth="1"/>
    <col min="8" max="8" width="11.140625" customWidth="1"/>
    <col min="9" max="9" width="9.140625" customWidth="1"/>
    <col min="12" max="12" width="10.7109375" style="1" customWidth="1"/>
    <col min="15" max="15" width="8.5703125" customWidth="1"/>
    <col min="20" max="20" width="9.140625" style="1"/>
    <col min="22" max="22" width="11.140625" customWidth="1"/>
    <col min="26" max="26" width="15.85546875" customWidth="1"/>
    <col min="27" max="27" width="10" customWidth="1"/>
    <col min="28" max="28" width="16.85546875" customWidth="1"/>
    <col min="29" max="29" width="15.140625" customWidth="1"/>
    <col min="30" max="30" width="14.28515625" customWidth="1"/>
    <col min="31" max="31" width="13.42578125" customWidth="1"/>
    <col min="32" max="32" width="21.5703125" customWidth="1"/>
    <col min="33" max="33" width="11.7109375" customWidth="1"/>
    <col min="34" max="34" width="12.140625" customWidth="1"/>
    <col min="35" max="35" width="14.7109375" customWidth="1"/>
    <col min="36" max="36" width="11.42578125" customWidth="1"/>
    <col min="43" max="43" width="9.85546875" customWidth="1"/>
    <col min="44" max="44" width="9.140625" style="1"/>
    <col min="47" max="47" width="11.140625" customWidth="1"/>
    <col min="48" max="48" width="9.140625" customWidth="1"/>
    <col min="51" max="51" width="10.7109375" style="1" customWidth="1"/>
    <col min="53" max="53" width="11.140625" customWidth="1"/>
  </cols>
  <sheetData>
    <row r="1" spans="2:56" s="1" customFormat="1">
      <c r="O1" s="1" t="s">
        <v>126</v>
      </c>
      <c r="P1" s="1" t="s">
        <v>127</v>
      </c>
      <c r="Q1" s="1" t="s">
        <v>128</v>
      </c>
      <c r="R1" s="1" t="s">
        <v>125</v>
      </c>
      <c r="S1" s="1" t="s">
        <v>129</v>
      </c>
      <c r="AF1" s="1" t="s">
        <v>130</v>
      </c>
      <c r="AG1" s="1" t="s">
        <v>134</v>
      </c>
      <c r="AH1" s="1" t="s">
        <v>136</v>
      </c>
      <c r="AI1" s="1" t="s">
        <v>138</v>
      </c>
      <c r="AJ1" s="1" t="s">
        <v>135</v>
      </c>
      <c r="AR1" s="1" t="s">
        <v>133</v>
      </c>
      <c r="AW1" s="1" t="s">
        <v>131</v>
      </c>
      <c r="AX1" s="1" t="s">
        <v>132</v>
      </c>
      <c r="AY1" s="1" t="s">
        <v>137</v>
      </c>
    </row>
    <row r="2" spans="2:56">
      <c r="B2" s="7" t="s">
        <v>38</v>
      </c>
      <c r="C2" t="s">
        <v>0</v>
      </c>
      <c r="D2" t="s">
        <v>1</v>
      </c>
      <c r="E2" t="s">
        <v>115</v>
      </c>
      <c r="F2" s="9" t="s">
        <v>18</v>
      </c>
      <c r="H2" s="7" t="s">
        <v>42</v>
      </c>
      <c r="I2" s="9" t="s">
        <v>39</v>
      </c>
      <c r="J2" s="9" t="s">
        <v>40</v>
      </c>
      <c r="K2" s="9" t="s">
        <v>41</v>
      </c>
      <c r="L2" s="8" t="s">
        <v>108</v>
      </c>
      <c r="M2" s="18" t="s">
        <v>43</v>
      </c>
      <c r="N2" s="9" t="s">
        <v>113</v>
      </c>
      <c r="O2" s="9" t="s">
        <v>109</v>
      </c>
      <c r="P2" s="9" t="s">
        <v>110</v>
      </c>
      <c r="Q2" s="9" t="s">
        <v>112</v>
      </c>
      <c r="R2" s="9"/>
      <c r="S2" s="18" t="s">
        <v>107</v>
      </c>
      <c r="T2" s="8" t="s">
        <v>114</v>
      </c>
      <c r="V2" s="7" t="s">
        <v>106</v>
      </c>
      <c r="W2" s="7" t="s">
        <v>111</v>
      </c>
      <c r="X2" s="1" t="s">
        <v>2</v>
      </c>
      <c r="Y2" s="1" t="s">
        <v>3</v>
      </c>
      <c r="Z2" s="1" t="s">
        <v>27</v>
      </c>
      <c r="AA2" s="1" t="s">
        <v>8</v>
      </c>
      <c r="AB2" s="1" t="s">
        <v>4</v>
      </c>
      <c r="AC2" s="1" t="s">
        <v>5</v>
      </c>
      <c r="AD2" s="1" t="s">
        <v>6</v>
      </c>
      <c r="AE2" s="1" t="s">
        <v>12</v>
      </c>
      <c r="AF2" s="1" t="s">
        <v>28</v>
      </c>
      <c r="AG2" s="1" t="s">
        <v>31</v>
      </c>
      <c r="AH2" s="1" t="s">
        <v>116</v>
      </c>
      <c r="AI2" s="1" t="s">
        <v>121</v>
      </c>
      <c r="AJ2" s="1" t="s">
        <v>17</v>
      </c>
      <c r="AK2" s="1"/>
      <c r="AN2" t="s">
        <v>123</v>
      </c>
      <c r="AO2" s="7" t="s">
        <v>38</v>
      </c>
      <c r="AP2" t="s">
        <v>0</v>
      </c>
      <c r="AQ2" t="s">
        <v>1</v>
      </c>
      <c r="AR2" s="1" t="s">
        <v>115</v>
      </c>
      <c r="AS2" s="9" t="s">
        <v>18</v>
      </c>
      <c r="AU2" s="7" t="s">
        <v>42</v>
      </c>
      <c r="AV2" s="9" t="s">
        <v>39</v>
      </c>
      <c r="AW2" s="9" t="s">
        <v>40</v>
      </c>
      <c r="AX2" s="9" t="s">
        <v>41</v>
      </c>
      <c r="AY2" s="8" t="s">
        <v>108</v>
      </c>
      <c r="BA2" s="7" t="s">
        <v>106</v>
      </c>
      <c r="BB2" s="7" t="s">
        <v>111</v>
      </c>
      <c r="BC2" s="1" t="s">
        <v>2</v>
      </c>
      <c r="BD2" s="1" t="s">
        <v>3</v>
      </c>
    </row>
    <row r="3" spans="2:56">
      <c r="B3">
        <v>1</v>
      </c>
      <c r="C3">
        <v>33.538170000000001</v>
      </c>
      <c r="D3" s="12">
        <v>149.61357000000001</v>
      </c>
      <c r="E3">
        <v>9.8246694899999998</v>
      </c>
      <c r="F3">
        <v>1</v>
      </c>
      <c r="G3">
        <f>SUM(E3:E8)</f>
        <v>31.382649879999999</v>
      </c>
      <c r="H3">
        <v>1</v>
      </c>
      <c r="I3" s="10">
        <f>COUNT(B3:B8)</f>
        <v>6</v>
      </c>
      <c r="J3" s="10">
        <f>(V3/W3)*(SUM(E3:E8))</f>
        <v>0.74103451824504207</v>
      </c>
      <c r="K3" s="10">
        <f>V3*(I3/W3)</f>
        <v>0.141677236513536</v>
      </c>
      <c r="L3" s="19"/>
      <c r="M3">
        <f>AVERAGE(E3:E8)</f>
        <v>5.2304416466666668</v>
      </c>
      <c r="N3">
        <f>(V3^2)/((W3*(W3-1)))</f>
        <v>6.3722029670198153E-4</v>
      </c>
      <c r="O3">
        <f>(E3-$M$3)^2</f>
        <v>21.10692947645925</v>
      </c>
      <c r="P3">
        <f>W3*(1-(I3/W3))</f>
        <v>2</v>
      </c>
      <c r="Q3">
        <f>(M3-$L$4)^2</f>
        <v>2.0580046098273092E-2</v>
      </c>
      <c r="R3">
        <f>N3*((SUM(O3:O8))+P3*Q3)</f>
        <v>3.9787683634282048E-2</v>
      </c>
      <c r="U3">
        <f>V3/W3</f>
        <v>2.3612872752256001E-2</v>
      </c>
      <c r="V3" s="7">
        <v>0.188902982018048</v>
      </c>
      <c r="W3" s="7">
        <v>8</v>
      </c>
      <c r="X3">
        <v>1</v>
      </c>
      <c r="Y3">
        <f>COUNT(F3:F9)</f>
        <v>7</v>
      </c>
      <c r="Z3" s="13">
        <f>L4</f>
        <v>5.3738991180589686</v>
      </c>
      <c r="AA3" s="6">
        <f>T4</f>
        <v>1.6163606679463136</v>
      </c>
      <c r="AB3" s="6">
        <f>SQRT(AA3)</f>
        <v>1.2713617376444493</v>
      </c>
      <c r="AC3">
        <v>640</v>
      </c>
      <c r="AD3">
        <f>AC3*30*30</f>
        <v>576000</v>
      </c>
      <c r="AE3">
        <f>AD3/SUM($AD$3:$AD$8)</f>
        <v>0.12660731948565776</v>
      </c>
      <c r="AF3">
        <f>Z3*AE3</f>
        <v>0.68037496252378626</v>
      </c>
      <c r="AG3" s="13">
        <f>AJ3-(Z3^2)+AA3</f>
        <v>11.118722912602333</v>
      </c>
      <c r="AH3">
        <f>(AG3/Y3)</f>
        <v>1.5883889875146191</v>
      </c>
      <c r="AI3">
        <f>AH3*AE3^2</f>
        <v>2.5460943637240125E-2</v>
      </c>
      <c r="AJ3">
        <f>AY4</f>
        <v>38.381153975730982</v>
      </c>
      <c r="AO3">
        <v>1</v>
      </c>
      <c r="AP3">
        <v>33.538170000000001</v>
      </c>
      <c r="AQ3" s="12">
        <v>149.61357000000001</v>
      </c>
      <c r="AR3" s="1">
        <f>E3^2</f>
        <v>96.524130587736849</v>
      </c>
      <c r="AS3">
        <v>1</v>
      </c>
      <c r="AU3">
        <v>1</v>
      </c>
      <c r="AV3" s="10">
        <f>COUNT(AO3:AO8)</f>
        <v>6</v>
      </c>
      <c r="AW3" s="10">
        <f>(BA3/BB3)*(SUM(AR3:AR8))</f>
        <v>5.3493406401661723</v>
      </c>
      <c r="AX3" s="10">
        <f>BA3*(AV3/BB3)</f>
        <v>0.141677236513536</v>
      </c>
      <c r="AY3" s="19"/>
      <c r="BA3" s="7">
        <v>0.188902982018048</v>
      </c>
      <c r="BB3" s="7">
        <v>8</v>
      </c>
      <c r="BC3">
        <v>1</v>
      </c>
      <c r="BD3">
        <f>COUNT(AS3:AS9)</f>
        <v>7</v>
      </c>
    </row>
    <row r="4" spans="2:56">
      <c r="B4">
        <v>1</v>
      </c>
      <c r="C4">
        <v>33.538519999999998</v>
      </c>
      <c r="D4" s="12">
        <v>149.61342999999999</v>
      </c>
      <c r="E4">
        <v>0.91149701999999999</v>
      </c>
      <c r="F4">
        <v>1</v>
      </c>
      <c r="G4">
        <f>SUM(E9)</f>
        <v>6.3147629700000003</v>
      </c>
      <c r="H4">
        <v>4</v>
      </c>
      <c r="I4" s="10">
        <f>COUNT(B9)</f>
        <v>1</v>
      </c>
      <c r="J4" s="10">
        <f>(V6/W6)*(SUM(E9))</f>
        <v>0.13641229611359942</v>
      </c>
      <c r="K4" s="10">
        <f>V6*(I4/W6)</f>
        <v>2.1602124539220738E-2</v>
      </c>
      <c r="L4" s="19">
        <f>(SUM(J3:J4))/(SUM(K3:K4))</f>
        <v>5.3738991180589686</v>
      </c>
      <c r="M4">
        <f>AVERAGE(E9)</f>
        <v>6.3147629700000003</v>
      </c>
      <c r="N4">
        <f>(V6^2)/((W6*(W6-1)))</f>
        <v>5.3331632526628888E-4</v>
      </c>
      <c r="O4">
        <f t="shared" ref="O4:O8" si="0">(E4-$M$3)^2</f>
        <v>18.653282688212876</v>
      </c>
      <c r="P4">
        <f>W6*(1-(I4/W6))</f>
        <v>7</v>
      </c>
      <c r="Q4">
        <f>(M4-$L$4)^2</f>
        <v>0.88522478788931569</v>
      </c>
      <c r="R4">
        <f>N4*((SUM(O9))+P4*Q4)</f>
        <v>3.3047338163823192E-3</v>
      </c>
      <c r="S4">
        <f>SUM((V3*(I3/W3)),(V6*(I4/W6)))</f>
        <v>0.16327936105275676</v>
      </c>
      <c r="T4" s="1">
        <f>(1/(S4^2))*(SUM(R3:R4))</f>
        <v>1.6163606679463136</v>
      </c>
      <c r="U4">
        <f t="shared" ref="U4:U8" si="1">V4/W4</f>
        <v>2.0725983326066563E-2</v>
      </c>
      <c r="V4" s="7">
        <v>0.1658078666085325</v>
      </c>
      <c r="W4" s="7">
        <v>8</v>
      </c>
      <c r="X4">
        <v>2</v>
      </c>
      <c r="Y4">
        <f>COUNT(F10:F18)</f>
        <v>9</v>
      </c>
      <c r="Z4" s="13">
        <f>L14</f>
        <v>4.1610075068225569</v>
      </c>
      <c r="AA4" s="6">
        <f>T14</f>
        <v>0.7431858955543148</v>
      </c>
      <c r="AB4" s="6">
        <f>SQRT(AA4)</f>
        <v>0.86208230207696224</v>
      </c>
      <c r="AC4">
        <v>757</v>
      </c>
      <c r="AD4">
        <f>AC4*30*30</f>
        <v>681300</v>
      </c>
      <c r="AE4">
        <f t="shared" ref="AE4:AE8" si="2">AD4/SUM($AD$3:$AD$8)</f>
        <v>0.14975272007912957</v>
      </c>
      <c r="AF4">
        <f t="shared" ref="AF4:AF8" si="3">Z4*AE4</f>
        <v>0.62312219241635525</v>
      </c>
      <c r="AG4" s="13">
        <f t="shared" ref="AG3:AG8" si="4">AJ4-(Z4^2)+AA4</f>
        <v>3.8640410785276584</v>
      </c>
      <c r="AH4">
        <f t="shared" ref="AH4:AH8" si="5">(AG4/Y4)</f>
        <v>0.42933789761418428</v>
      </c>
      <c r="AI4">
        <f t="shared" ref="AI4:AI8" si="6">AH4*AE4^2</f>
        <v>9.6282789567932042E-3</v>
      </c>
      <c r="AJ4">
        <f>AY14</f>
        <v>20.434838654807017</v>
      </c>
      <c r="AO4">
        <v>1</v>
      </c>
      <c r="AP4">
        <v>33.538519999999998</v>
      </c>
      <c r="AQ4" s="12">
        <v>149.61342999999999</v>
      </c>
      <c r="AR4" s="1">
        <f t="shared" ref="AR4:AR50" si="7">E4^2</f>
        <v>0.83082681746888043</v>
      </c>
      <c r="AS4">
        <v>1</v>
      </c>
      <c r="AU4">
        <v>4</v>
      </c>
      <c r="AV4" s="10">
        <f>COUNT(AO9)</f>
        <v>1</v>
      </c>
      <c r="AW4" s="10">
        <f>(BA6/BB6)*(SUM(AR9))</f>
        <v>0.86141131615083266</v>
      </c>
      <c r="AX4" s="10">
        <f>BA7*(AV4/BB7)</f>
        <v>2.0140512901819334E-2</v>
      </c>
      <c r="AY4" s="19">
        <f>(SUM(AW3:AW4))/(SUM(AX3:AX4))</f>
        <v>38.381153975730982</v>
      </c>
      <c r="BA4" s="7">
        <v>0.1658078666085325</v>
      </c>
      <c r="BB4" s="7">
        <v>8</v>
      </c>
      <c r="BC4">
        <v>2</v>
      </c>
      <c r="BD4">
        <f>COUNT(AS10:AS18)</f>
        <v>9</v>
      </c>
    </row>
    <row r="5" spans="2:56" ht="15.75" thickBot="1">
      <c r="B5">
        <v>1</v>
      </c>
      <c r="C5">
        <v>33.539369999999998</v>
      </c>
      <c r="D5" s="12">
        <v>149.61263</v>
      </c>
      <c r="E5">
        <v>2.5421812699999999</v>
      </c>
      <c r="F5">
        <v>1</v>
      </c>
      <c r="H5" s="10"/>
      <c r="I5" s="16">
        <f>SUM(I3:I4)</f>
        <v>7</v>
      </c>
      <c r="J5" s="10"/>
      <c r="K5" s="10"/>
      <c r="L5" s="19"/>
      <c r="O5">
        <f t="shared" si="0"/>
        <v>7.2267438527560097</v>
      </c>
      <c r="U5">
        <f t="shared" si="1"/>
        <v>1.8654128185817909E-2</v>
      </c>
      <c r="V5" s="7">
        <v>0.14923302548654327</v>
      </c>
      <c r="W5" s="7">
        <v>8</v>
      </c>
      <c r="X5">
        <v>3</v>
      </c>
      <c r="Y5">
        <f>COUNT(F19:F25)</f>
        <v>7</v>
      </c>
      <c r="Z5" s="13">
        <f>L23</f>
        <v>5.0079679568632791</v>
      </c>
      <c r="AA5" s="6">
        <f>T23</f>
        <v>3.0180617598845969</v>
      </c>
      <c r="AB5" s="6">
        <f t="shared" ref="AB5:AB8" si="8">SQRT(AA5)</f>
        <v>1.7372569642642384</v>
      </c>
      <c r="AC5">
        <v>949</v>
      </c>
      <c r="AD5">
        <f>AC5*30*30</f>
        <v>854100</v>
      </c>
      <c r="AE5">
        <f t="shared" si="2"/>
        <v>0.18773491592482691</v>
      </c>
      <c r="AF5">
        <f t="shared" si="3"/>
        <v>0.9401704433359549</v>
      </c>
      <c r="AG5" s="13">
        <f t="shared" si="4"/>
        <v>6.3191639778558031</v>
      </c>
      <c r="AH5">
        <f t="shared" si="5"/>
        <v>0.90273771112225754</v>
      </c>
      <c r="AI5">
        <f t="shared" si="6"/>
        <v>3.1816447773773016E-2</v>
      </c>
      <c r="AJ5">
        <f>AY23</f>
        <v>28.380845274940572</v>
      </c>
      <c r="AO5">
        <v>1</v>
      </c>
      <c r="AP5">
        <v>33.539369999999998</v>
      </c>
      <c r="AQ5" s="12">
        <v>149.61263</v>
      </c>
      <c r="AR5" s="1">
        <f t="shared" si="7"/>
        <v>6.4626856095388128</v>
      </c>
      <c r="AS5">
        <v>1</v>
      </c>
      <c r="AU5" s="10"/>
      <c r="AV5" s="16">
        <f>SUM(AV3:AV4)</f>
        <v>7</v>
      </c>
      <c r="AW5" s="10"/>
      <c r="AX5" s="10"/>
      <c r="AY5" s="19"/>
      <c r="BA5" s="7">
        <v>0.14923302548654327</v>
      </c>
      <c r="BB5" s="7">
        <v>8</v>
      </c>
      <c r="BC5">
        <v>3</v>
      </c>
      <c r="BD5">
        <f>COUNT(AS19:AS25)</f>
        <v>7</v>
      </c>
    </row>
    <row r="6" spans="2:56" ht="15.75" thickTop="1">
      <c r="B6">
        <v>1</v>
      </c>
      <c r="C6">
        <v>33.540199999999999</v>
      </c>
      <c r="D6" s="12">
        <v>149.61229</v>
      </c>
      <c r="E6">
        <v>9.0237512899999999</v>
      </c>
      <c r="F6">
        <v>1</v>
      </c>
      <c r="H6" s="10"/>
      <c r="I6" s="10"/>
      <c r="J6" s="10"/>
      <c r="K6" s="10"/>
      <c r="L6" s="19"/>
      <c r="O6">
        <f t="shared" si="0"/>
        <v>14.389198050205659</v>
      </c>
      <c r="U6">
        <f t="shared" si="1"/>
        <v>2.1602124539220738E-2</v>
      </c>
      <c r="V6" s="7">
        <v>0.1728169963137659</v>
      </c>
      <c r="W6" s="7">
        <v>8</v>
      </c>
      <c r="X6">
        <v>4</v>
      </c>
      <c r="Y6">
        <f>COUNT(F26:F35)</f>
        <v>10</v>
      </c>
      <c r="Z6" s="13">
        <f>L30</f>
        <v>5.8454393357786056</v>
      </c>
      <c r="AA6" s="6">
        <f>T30</f>
        <v>8.1564733226461463</v>
      </c>
      <c r="AB6" s="6">
        <f t="shared" si="8"/>
        <v>2.8559540126980592</v>
      </c>
      <c r="AC6">
        <v>1192</v>
      </c>
      <c r="AD6">
        <f>AC6*30*30</f>
        <v>1072800</v>
      </c>
      <c r="AE6">
        <f t="shared" si="2"/>
        <v>0.23580613254203758</v>
      </c>
      <c r="AF6">
        <f t="shared" si="3"/>
        <v>1.3783904427790501</v>
      </c>
      <c r="AG6" s="13">
        <f t="shared" si="4"/>
        <v>22.73144828591845</v>
      </c>
      <c r="AH6">
        <f t="shared" si="5"/>
        <v>2.2731448285918452</v>
      </c>
      <c r="AI6">
        <f t="shared" si="6"/>
        <v>0.1263971546903869</v>
      </c>
      <c r="AJ6">
        <f>AY30</f>
        <v>48.744135991540134</v>
      </c>
      <c r="AO6">
        <v>1</v>
      </c>
      <c r="AP6">
        <v>33.540199999999999</v>
      </c>
      <c r="AQ6" s="12">
        <v>149.61229</v>
      </c>
      <c r="AR6" s="1">
        <f t="shared" si="7"/>
        <v>81.428087343776667</v>
      </c>
      <c r="AS6">
        <v>1</v>
      </c>
      <c r="AU6" s="10"/>
      <c r="AV6" s="10"/>
      <c r="AW6" s="10">
        <f>SUM(AW3:AW4)</f>
        <v>6.2107519563170053</v>
      </c>
      <c r="AX6" s="10"/>
      <c r="AY6" s="19"/>
      <c r="BA6" s="7">
        <v>0.1728169963137659</v>
      </c>
      <c r="BB6" s="7">
        <v>8</v>
      </c>
      <c r="BC6">
        <v>4</v>
      </c>
      <c r="BD6">
        <f>COUNT(AS26:AS35)</f>
        <v>10</v>
      </c>
    </row>
    <row r="7" spans="2:56">
      <c r="B7">
        <v>1</v>
      </c>
      <c r="C7">
        <v>33.540529999999997</v>
      </c>
      <c r="D7" s="12">
        <v>149.60973000000001</v>
      </c>
      <c r="E7">
        <v>4.3538953600000001</v>
      </c>
      <c r="F7">
        <v>1</v>
      </c>
      <c r="H7" s="10"/>
      <c r="O7">
        <f t="shared" si="0"/>
        <v>0.76833339266912215</v>
      </c>
      <c r="U7">
        <f t="shared" si="1"/>
        <v>2.0140512901819334E-2</v>
      </c>
      <c r="V7" s="7">
        <v>0.16112410321455467</v>
      </c>
      <c r="W7" s="7">
        <v>8</v>
      </c>
      <c r="X7">
        <v>5</v>
      </c>
      <c r="Y7">
        <f>COUNT(F36:F44)</f>
        <v>9</v>
      </c>
      <c r="Z7" s="13">
        <f>L39</f>
        <v>3.9509393894626372</v>
      </c>
      <c r="AA7" s="6">
        <f>T39</f>
        <v>0.91641109113284924</v>
      </c>
      <c r="AB7" s="6">
        <f t="shared" si="8"/>
        <v>0.95729362848232169</v>
      </c>
      <c r="AC7">
        <v>895</v>
      </c>
      <c r="AD7">
        <f>AC7*30*30</f>
        <v>805500</v>
      </c>
      <c r="AE7">
        <f t="shared" si="2"/>
        <v>0.17705242334322452</v>
      </c>
      <c r="AF7">
        <f t="shared" si="3"/>
        <v>0.69952339338655989</v>
      </c>
      <c r="AG7" s="13">
        <f t="shared" si="4"/>
        <v>6.0118574363814048</v>
      </c>
      <c r="AH7">
        <f t="shared" si="5"/>
        <v>0.66798415959793389</v>
      </c>
      <c r="AI7">
        <f t="shared" si="6"/>
        <v>2.0939673930657328E-2</v>
      </c>
      <c r="AJ7">
        <f>AY39</f>
        <v>20.705368404455953</v>
      </c>
      <c r="AO7">
        <v>1</v>
      </c>
      <c r="AP7">
        <v>33.540529999999997</v>
      </c>
      <c r="AQ7" s="12">
        <v>149.60973000000001</v>
      </c>
      <c r="AR7" s="1">
        <f t="shared" si="7"/>
        <v>18.956404805829532</v>
      </c>
      <c r="AS7">
        <v>1</v>
      </c>
      <c r="AU7" s="10"/>
      <c r="BA7" s="7">
        <v>0.16112410321455467</v>
      </c>
      <c r="BB7" s="7">
        <v>8</v>
      </c>
      <c r="BC7">
        <v>5</v>
      </c>
      <c r="BD7">
        <f>COUNT(AS36:AS44)</f>
        <v>9</v>
      </c>
    </row>
    <row r="8" spans="2:56">
      <c r="B8">
        <v>1</v>
      </c>
      <c r="C8" s="1">
        <v>33.542630000000003</v>
      </c>
      <c r="D8" s="15">
        <v>149.60909000000001</v>
      </c>
      <c r="E8" s="1">
        <v>4.72665545</v>
      </c>
      <c r="F8">
        <v>1</v>
      </c>
      <c r="O8">
        <f t="shared" si="0"/>
        <v>0.25380053195186547</v>
      </c>
      <c r="U8">
        <f t="shared" si="1"/>
        <v>2.0264378294819453E-2</v>
      </c>
      <c r="V8" s="7">
        <v>0.16211502635855563</v>
      </c>
      <c r="W8" s="7">
        <v>8</v>
      </c>
      <c r="X8">
        <v>6</v>
      </c>
      <c r="Y8">
        <f>COUNT(F45:F50)</f>
        <v>6</v>
      </c>
      <c r="Z8" s="13">
        <f>L46</f>
        <v>6.0320021052225403</v>
      </c>
      <c r="AA8" s="6">
        <f>T46</f>
        <v>1.3368152093932149</v>
      </c>
      <c r="AB8" s="6">
        <f t="shared" si="8"/>
        <v>1.156207251920353</v>
      </c>
      <c r="AC8">
        <v>622</v>
      </c>
      <c r="AD8">
        <f>AC8*30*30</f>
        <v>559800</v>
      </c>
      <c r="AE8">
        <f t="shared" si="2"/>
        <v>0.12304648862512364</v>
      </c>
      <c r="AF8">
        <f t="shared" si="3"/>
        <v>0.74221667842698713</v>
      </c>
      <c r="AG8" s="13">
        <f t="shared" si="4"/>
        <v>5.8152455363668736</v>
      </c>
      <c r="AH8">
        <f t="shared" si="5"/>
        <v>0.96920758939447893</v>
      </c>
      <c r="AI8">
        <f t="shared" si="6"/>
        <v>1.4674227768152444E-2</v>
      </c>
      <c r="AJ8">
        <f>AY46</f>
        <v>40.863479724382813</v>
      </c>
      <c r="AO8">
        <v>1</v>
      </c>
      <c r="AP8" s="1">
        <v>33.542630000000003</v>
      </c>
      <c r="AQ8" s="15">
        <v>149.60909000000001</v>
      </c>
      <c r="AR8" s="1">
        <f t="shared" si="7"/>
        <v>22.341271743014701</v>
      </c>
      <c r="AS8">
        <v>1</v>
      </c>
      <c r="BA8" s="7">
        <v>0.16211502635855563</v>
      </c>
      <c r="BB8" s="7">
        <v>8</v>
      </c>
      <c r="BC8">
        <v>6</v>
      </c>
      <c r="BD8">
        <f>COUNT(AS45:AS50)</f>
        <v>6</v>
      </c>
    </row>
    <row r="9" spans="2:56">
      <c r="B9">
        <v>4</v>
      </c>
      <c r="C9">
        <v>33.544800000000002</v>
      </c>
      <c r="D9" s="12">
        <v>149.60368</v>
      </c>
      <c r="E9">
        <v>6.3147629700000003</v>
      </c>
      <c r="F9">
        <v>1</v>
      </c>
      <c r="O9">
        <f>(E9-$M$4)^2</f>
        <v>0</v>
      </c>
      <c r="AE9">
        <f>SUM(AE3:AE8)</f>
        <v>1</v>
      </c>
      <c r="AH9" t="s">
        <v>124</v>
      </c>
      <c r="AO9">
        <v>4</v>
      </c>
      <c r="AP9">
        <v>33.544800000000002</v>
      </c>
      <c r="AQ9" s="12">
        <v>149.60368</v>
      </c>
      <c r="AR9" s="1">
        <f t="shared" si="7"/>
        <v>39.876231367283225</v>
      </c>
      <c r="AS9">
        <v>1</v>
      </c>
    </row>
    <row r="10" spans="2:56">
      <c r="B10">
        <v>1</v>
      </c>
      <c r="C10">
        <v>33.559759999999997</v>
      </c>
      <c r="D10" s="12">
        <v>149.60956999999999</v>
      </c>
      <c r="E10">
        <v>3.09326831</v>
      </c>
      <c r="F10">
        <v>2</v>
      </c>
      <c r="G10">
        <f>SUM(E10)</f>
        <v>3.09326831</v>
      </c>
      <c r="H10">
        <v>1</v>
      </c>
      <c r="I10">
        <v>1</v>
      </c>
      <c r="J10">
        <f>(V3/W3)*(SUM(E10))</f>
        <v>7.3040950992615969E-2</v>
      </c>
      <c r="K10">
        <f>V3*(I10/W3)</f>
        <v>2.3612872752256001E-2</v>
      </c>
      <c r="M10">
        <f>AVERAGE(E10)</f>
        <v>3.09326831</v>
      </c>
      <c r="N10">
        <f>($V$3^2)/(($W$3*($W$3-1)))</f>
        <v>6.3722029670198153E-4</v>
      </c>
      <c r="O10">
        <f>(E10-$M$10)^2</f>
        <v>0</v>
      </c>
      <c r="P10">
        <f>W3*(1-(I10/W3))</f>
        <v>7</v>
      </c>
      <c r="Q10">
        <f>(M10-$L$14)^2</f>
        <v>1.140066992431279</v>
      </c>
      <c r="R10">
        <f>N10*((SUM(O10))+P10*Q10)</f>
        <v>5.0853167902403665E-3</v>
      </c>
      <c r="V10" s="19"/>
      <c r="W10" s="10"/>
      <c r="X10" s="10"/>
      <c r="Y10" s="10"/>
      <c r="Z10" s="10"/>
      <c r="AC10" s="1" t="s">
        <v>10</v>
      </c>
      <c r="AD10">
        <f>SUM(AD3:AD8)</f>
        <v>4549500</v>
      </c>
      <c r="AE10" t="s">
        <v>7</v>
      </c>
      <c r="AO10">
        <v>1</v>
      </c>
      <c r="AP10">
        <v>33.559759999999997</v>
      </c>
      <c r="AQ10" s="12">
        <v>149.60956999999999</v>
      </c>
      <c r="AR10" s="1">
        <f t="shared" si="7"/>
        <v>9.5683088376502567</v>
      </c>
      <c r="AS10">
        <v>2</v>
      </c>
      <c r="AU10">
        <v>1</v>
      </c>
      <c r="AV10">
        <v>1</v>
      </c>
      <c r="AW10">
        <f>(BA3/BB3)*(SUM(AR10))</f>
        <v>0.22593525903772202</v>
      </c>
      <c r="AX10">
        <f>BA3*(AV10/BB3)</f>
        <v>2.3612872752256001E-2</v>
      </c>
      <c r="BA10" s="19"/>
      <c r="BB10" s="10"/>
      <c r="BC10" s="10"/>
      <c r="BD10" s="10"/>
    </row>
    <row r="11" spans="2:56">
      <c r="B11">
        <v>2</v>
      </c>
      <c r="C11">
        <v>33.545389999999998</v>
      </c>
      <c r="D11" s="12">
        <v>149.60491999999999</v>
      </c>
      <c r="E11">
        <v>5.2931769700000002</v>
      </c>
      <c r="F11">
        <v>2</v>
      </c>
      <c r="G11">
        <f>SUM(E11:E12)</f>
        <v>8.222171920000001</v>
      </c>
      <c r="H11">
        <v>2</v>
      </c>
      <c r="I11">
        <v>2</v>
      </c>
      <c r="J11">
        <f>(V4/W4)*(SUM(E11:E12))</f>
        <v>0.17041259811797271</v>
      </c>
      <c r="K11">
        <f>V4*(I11/W4)</f>
        <v>4.1451966652133125E-2</v>
      </c>
      <c r="M11">
        <f>AVERAGE(E11:E12)</f>
        <v>4.1110859600000005</v>
      </c>
      <c r="N11">
        <f t="shared" ref="N11:N13" si="9">(V4^2)/((W4*(W4-1)))</f>
        <v>4.9093301123701624E-4</v>
      </c>
      <c r="O11">
        <f>(E11-$M$11)^2</f>
        <v>1.3973391559228194</v>
      </c>
      <c r="P11">
        <f>W4*(1-(I11/W4))</f>
        <v>6</v>
      </c>
      <c r="Q11">
        <f t="shared" ref="Q11:Q14" si="10">(M11-$L$14)^2</f>
        <v>2.4921608371566962E-3</v>
      </c>
      <c r="R11">
        <f>N11*((SUM(O11:O12))+P11*Q11)</f>
        <v>1.3793407432187955E-3</v>
      </c>
      <c r="V11" s="10"/>
      <c r="W11" s="10"/>
      <c r="X11" s="10"/>
      <c r="Y11" s="10"/>
      <c r="Z11" s="10"/>
      <c r="AC11" s="1"/>
      <c r="AD11">
        <f>AD10/(10000)</f>
        <v>454.95</v>
      </c>
      <c r="AE11" t="s">
        <v>9</v>
      </c>
      <c r="AO11">
        <v>2</v>
      </c>
      <c r="AP11">
        <v>33.545389999999998</v>
      </c>
      <c r="AQ11" s="12">
        <v>149.60491999999999</v>
      </c>
      <c r="AR11" s="1">
        <f t="shared" si="7"/>
        <v>28.017722435738381</v>
      </c>
      <c r="AS11">
        <v>2</v>
      </c>
      <c r="AU11">
        <v>2</v>
      </c>
      <c r="AV11">
        <v>2</v>
      </c>
      <c r="AW11">
        <f>(BA4/BB4)*(SUM(AR11:AR12))</f>
        <v>0.7585032956229526</v>
      </c>
      <c r="AX11">
        <f>BA4*(AV11/BB4)</f>
        <v>4.1451966652133125E-2</v>
      </c>
      <c r="BA11" s="10"/>
      <c r="BB11" s="10"/>
      <c r="BC11" s="10"/>
      <c r="BD11" s="10"/>
    </row>
    <row r="12" spans="2:56">
      <c r="B12">
        <v>2</v>
      </c>
      <c r="C12">
        <v>33.550289999999997</v>
      </c>
      <c r="D12" s="12">
        <v>149.60371000000001</v>
      </c>
      <c r="E12">
        <v>2.9289949499999999</v>
      </c>
      <c r="F12">
        <v>2</v>
      </c>
      <c r="H12">
        <v>3</v>
      </c>
      <c r="I12">
        <v>1</v>
      </c>
      <c r="J12">
        <f>(V5/W5)*(SUM(E13))</f>
        <v>9.6759666347011386E-2</v>
      </c>
      <c r="K12">
        <f>V5*(I12/W5)</f>
        <v>1.8654128185817909E-2</v>
      </c>
      <c r="M12">
        <f>AVERAGE(E13)</f>
        <v>5.1870377100000002</v>
      </c>
      <c r="N12">
        <f t="shared" si="9"/>
        <v>3.9768742671191561E-4</v>
      </c>
      <c r="O12">
        <f>(E12-$M$11)^2</f>
        <v>1.3973391559228214</v>
      </c>
      <c r="P12">
        <f>W5*(1-(I12/W5))</f>
        <v>7</v>
      </c>
      <c r="Q12">
        <f t="shared" si="10"/>
        <v>1.0527379778323456</v>
      </c>
      <c r="R12">
        <f>N12*((SUM(O13))+P12*Q12)</f>
        <v>2.9306246018423582E-3</v>
      </c>
      <c r="V12" s="10"/>
      <c r="W12" s="10"/>
      <c r="X12" s="10"/>
      <c r="Y12" s="10"/>
      <c r="Z12" s="10"/>
      <c r="AC12" s="1"/>
      <c r="AO12">
        <v>2</v>
      </c>
      <c r="AP12">
        <v>33.550289999999997</v>
      </c>
      <c r="AQ12" s="12">
        <v>149.60371000000001</v>
      </c>
      <c r="AR12" s="1">
        <f t="shared" si="7"/>
        <v>8.5790114171255016</v>
      </c>
      <c r="AS12">
        <v>2</v>
      </c>
      <c r="AU12">
        <v>3</v>
      </c>
      <c r="AV12">
        <v>1</v>
      </c>
      <c r="AW12">
        <f>(BA5/BB5)*(SUM(AR13))</f>
        <v>0.50189603814896599</v>
      </c>
      <c r="AX12">
        <f>BA5*(AV12/BB5)</f>
        <v>1.8654128185817909E-2</v>
      </c>
      <c r="BA12" s="10"/>
      <c r="BB12" s="10"/>
      <c r="BC12" s="10"/>
      <c r="BD12" s="10"/>
    </row>
    <row r="13" spans="2:56">
      <c r="B13">
        <v>3</v>
      </c>
      <c r="C13">
        <v>33.558280000000003</v>
      </c>
      <c r="D13" s="12">
        <v>149.61251999999999</v>
      </c>
      <c r="E13">
        <v>5.1870377100000002</v>
      </c>
      <c r="F13">
        <v>2</v>
      </c>
      <c r="H13">
        <v>4</v>
      </c>
      <c r="I13">
        <v>3</v>
      </c>
      <c r="J13">
        <f>(V6/W6)*(SUM(E14:E16))</f>
        <v>0.33797438648380829</v>
      </c>
      <c r="K13">
        <f>V6*(I13/W6)</f>
        <v>6.4806373617662213E-2</v>
      </c>
      <c r="M13">
        <f>AVERAGE(E14:E16)</f>
        <v>5.2151411599999999</v>
      </c>
      <c r="N13">
        <f t="shared" si="9"/>
        <v>5.3331632526628888E-4</v>
      </c>
      <c r="O13">
        <f>(E13-$M$12)^2</f>
        <v>0</v>
      </c>
      <c r="P13">
        <f>W6*(1-(I13/W6))</f>
        <v>5</v>
      </c>
      <c r="Q13">
        <f t="shared" si="10"/>
        <v>1.1111977587612216</v>
      </c>
      <c r="R13">
        <f>N13*((SUM(O14:O16))+P13*Q13)</f>
        <v>1.0331629127198358E-2</v>
      </c>
      <c r="V13" s="10"/>
      <c r="X13" s="10">
        <v>640</v>
      </c>
      <c r="Y13" s="10"/>
      <c r="Z13" s="10"/>
      <c r="AC13" s="1" t="s">
        <v>11</v>
      </c>
      <c r="AD13" s="6">
        <f>(SUM(AF3:AF8))</f>
        <v>5.0637981128686942</v>
      </c>
      <c r="AE13" s="2"/>
      <c r="AO13">
        <v>3</v>
      </c>
      <c r="AP13">
        <v>33.558280000000003</v>
      </c>
      <c r="AQ13" s="12">
        <v>149.61251999999999</v>
      </c>
      <c r="AR13" s="1">
        <f t="shared" si="7"/>
        <v>26.905360204962047</v>
      </c>
      <c r="AS13">
        <v>2</v>
      </c>
      <c r="AU13">
        <v>4</v>
      </c>
      <c r="AV13">
        <v>3</v>
      </c>
      <c r="AW13">
        <f>(BA6/BB6)*(SUM(AR14:AR16))</f>
        <v>2.0610484534799611</v>
      </c>
      <c r="AX13">
        <f>BA6*(AV13/BB6)</f>
        <v>6.4806373617662213E-2</v>
      </c>
      <c r="BA13" s="10"/>
      <c r="BB13" s="10"/>
      <c r="BC13" s="10"/>
      <c r="BD13" s="10"/>
    </row>
    <row r="14" spans="2:56">
      <c r="B14">
        <v>4</v>
      </c>
      <c r="C14">
        <v>33.543059999999997</v>
      </c>
      <c r="D14" s="12">
        <v>149.60255000000001</v>
      </c>
      <c r="E14">
        <v>8.1786855900000006</v>
      </c>
      <c r="F14">
        <v>2</v>
      </c>
      <c r="H14">
        <v>5</v>
      </c>
      <c r="I14">
        <v>2</v>
      </c>
      <c r="J14">
        <f>(V7/W7)*(SUM(E17:E18))</f>
        <v>0.10743710852937095</v>
      </c>
      <c r="K14">
        <f>V7*(I14/W7)</f>
        <v>4.0281025803638668E-2</v>
      </c>
      <c r="L14" s="1">
        <f>(SUM(J10:J14))/(SUM(K10:K14))</f>
        <v>4.1610075068225569</v>
      </c>
      <c r="M14">
        <f>AVERAGE(E17:E18)</f>
        <v>2.6671889900000001</v>
      </c>
      <c r="N14">
        <f>(V7^2)/((W7*(W7-1)))</f>
        <v>4.6358886851240123E-4</v>
      </c>
      <c r="O14">
        <f>(E14-$M$13)^2</f>
        <v>8.7825955885840283</v>
      </c>
      <c r="P14">
        <f>W7*(1-(I14/W7))</f>
        <v>6</v>
      </c>
      <c r="Q14">
        <f t="shared" si="10"/>
        <v>2.2314937612019436</v>
      </c>
      <c r="R14">
        <f>N14*((SUM(O17:O18))+P14*Q14)</f>
        <v>6.7660637717568773E-3</v>
      </c>
      <c r="S14">
        <f>SUM(($V$3*(I10/$W$3)),($V$4*(I11/$W$4)),($V$5*(I12/$W$5)),($V$6*(I13/$W$6)),($V$7*(I14/$W$7)))</f>
        <v>0.18880636701150794</v>
      </c>
      <c r="T14" s="1">
        <f>(1/(S14^2))*(SUM(R10:R14))</f>
        <v>0.7431858955543148</v>
      </c>
      <c r="X14">
        <v>757</v>
      </c>
      <c r="AA14" t="s">
        <v>16</v>
      </c>
      <c r="AB14" t="s">
        <v>122</v>
      </c>
      <c r="AC14" s="1" t="s">
        <v>117</v>
      </c>
      <c r="AD14" s="6">
        <f>SUM(AI3:AI8)</f>
        <v>0.228916726757003</v>
      </c>
      <c r="AE14" s="2"/>
      <c r="AO14">
        <v>4</v>
      </c>
      <c r="AP14">
        <v>33.543059999999997</v>
      </c>
      <c r="AQ14" s="12">
        <v>149.60255000000001</v>
      </c>
      <c r="AR14" s="1">
        <f t="shared" si="7"/>
        <v>66.89089798007366</v>
      </c>
      <c r="AS14">
        <v>2</v>
      </c>
      <c r="AU14">
        <v>5</v>
      </c>
      <c r="AV14">
        <v>2</v>
      </c>
      <c r="AW14">
        <f>(BA7/BB7)*(SUM(AR17:AR18))</f>
        <v>0.31084460059084063</v>
      </c>
      <c r="AX14">
        <f>BA7*(AV14/BB7)</f>
        <v>4.0281025803638668E-2</v>
      </c>
      <c r="AY14" s="1">
        <f>(SUM(AW10:AW14))/(SUM(AX10:AX14))</f>
        <v>20.434838654807017</v>
      </c>
    </row>
    <row r="15" spans="2:56" ht="15.75" thickBot="1">
      <c r="B15">
        <v>4</v>
      </c>
      <c r="C15">
        <v>33.546239999999997</v>
      </c>
      <c r="D15" s="12">
        <v>149.60094000000001</v>
      </c>
      <c r="E15">
        <v>3.1665619999999999</v>
      </c>
      <c r="F15">
        <v>2</v>
      </c>
      <c r="I15" s="11">
        <f>SUM(I10:I14)</f>
        <v>9</v>
      </c>
      <c r="O15">
        <f>(E15-$M$13)^2</f>
        <v>4.1966765747863057</v>
      </c>
      <c r="X15">
        <v>949</v>
      </c>
      <c r="AA15" t="s">
        <v>15</v>
      </c>
      <c r="AB15" t="s">
        <v>13</v>
      </c>
      <c r="AC15" s="1" t="s">
        <v>117</v>
      </c>
      <c r="AD15" s="6">
        <f>AH17</f>
        <v>0.16204318420023234</v>
      </c>
      <c r="AE15" t="s">
        <v>119</v>
      </c>
      <c r="AF15" s="7" t="s">
        <v>120</v>
      </c>
      <c r="AG15" s="7"/>
      <c r="AO15">
        <v>4</v>
      </c>
      <c r="AP15">
        <v>33.546239999999997</v>
      </c>
      <c r="AQ15" s="12">
        <v>149.60094000000001</v>
      </c>
      <c r="AR15" s="1">
        <f t="shared" si="7"/>
        <v>10.027114899843999</v>
      </c>
      <c r="AS15">
        <v>2</v>
      </c>
      <c r="AV15" s="11">
        <f>SUM(AV10:AV14)</f>
        <v>9</v>
      </c>
    </row>
    <row r="16" spans="2:56" ht="15.75" thickTop="1">
      <c r="B16">
        <v>4</v>
      </c>
      <c r="C16">
        <v>33.548450000000003</v>
      </c>
      <c r="D16" s="12">
        <v>149.59607</v>
      </c>
      <c r="E16">
        <v>4.3001758900000002</v>
      </c>
      <c r="F16">
        <v>2</v>
      </c>
      <c r="O16">
        <f>(E16-$M$13)^2</f>
        <v>0.83716144530617242</v>
      </c>
      <c r="X16">
        <v>1192</v>
      </c>
      <c r="AA16" t="s">
        <v>37</v>
      </c>
      <c r="AB16" t="s">
        <v>14</v>
      </c>
      <c r="AC16" s="1"/>
      <c r="AD16" s="6">
        <f>AD15/AD14</f>
        <v>0.70786956678898572</v>
      </c>
      <c r="AF16" s="7" t="s">
        <v>31</v>
      </c>
      <c r="AG16" s="7" t="s">
        <v>32</v>
      </c>
      <c r="AH16" s="7">
        <v>7.7780728416111522</v>
      </c>
      <c r="AI16" s="7" t="s">
        <v>33</v>
      </c>
      <c r="AO16">
        <v>4</v>
      </c>
      <c r="AP16">
        <v>33.548450000000003</v>
      </c>
      <c r="AQ16" s="12">
        <v>149.59607</v>
      </c>
      <c r="AR16" s="1">
        <f t="shared" si="7"/>
        <v>18.491512684937295</v>
      </c>
      <c r="AS16">
        <v>2</v>
      </c>
    </row>
    <row r="17" spans="2:56">
      <c r="B17">
        <v>5</v>
      </c>
      <c r="C17">
        <v>33.547409999999999</v>
      </c>
      <c r="D17" s="12">
        <v>149.59838999999999</v>
      </c>
      <c r="E17">
        <v>1.8906571400000001</v>
      </c>
      <c r="F17">
        <v>2</v>
      </c>
      <c r="O17">
        <f>(E17-$M$14)^2</f>
        <v>0.60300171406442249</v>
      </c>
      <c r="X17">
        <v>895</v>
      </c>
      <c r="AF17" s="7" t="s">
        <v>34</v>
      </c>
      <c r="AG17" s="7" t="s">
        <v>35</v>
      </c>
      <c r="AH17" s="7">
        <f>AH16/48</f>
        <v>0.16204318420023234</v>
      </c>
      <c r="AI17" s="7" t="s">
        <v>36</v>
      </c>
      <c r="AO17">
        <v>5</v>
      </c>
      <c r="AP17">
        <v>33.547409999999999</v>
      </c>
      <c r="AQ17" s="12">
        <v>149.59838999999999</v>
      </c>
      <c r="AR17" s="1">
        <f t="shared" si="7"/>
        <v>3.5745844210329798</v>
      </c>
      <c r="AS17">
        <v>2</v>
      </c>
    </row>
    <row r="18" spans="2:56" ht="15.75">
      <c r="B18" s="10">
        <v>5</v>
      </c>
      <c r="C18" s="10">
        <v>33.547440000000002</v>
      </c>
      <c r="D18" s="17">
        <v>149.59592000000001</v>
      </c>
      <c r="E18" s="10">
        <v>3.4437208400000001</v>
      </c>
      <c r="F18" s="10">
        <v>2</v>
      </c>
      <c r="H18" s="10"/>
      <c r="O18">
        <f>(E18-$M$14)^2</f>
        <v>0.60300171406442249</v>
      </c>
      <c r="W18">
        <v>640</v>
      </c>
      <c r="X18">
        <v>622</v>
      </c>
      <c r="AB18" s="9" t="s">
        <v>26</v>
      </c>
      <c r="AC18" s="9"/>
      <c r="AD18" s="9">
        <v>48</v>
      </c>
      <c r="AE18" s="9"/>
      <c r="AI18" s="4"/>
      <c r="AO18" s="10">
        <v>5</v>
      </c>
      <c r="AP18" s="10">
        <v>33.547440000000002</v>
      </c>
      <c r="AQ18" s="17">
        <v>149.59592000000001</v>
      </c>
      <c r="AR18" s="1">
        <f t="shared" si="7"/>
        <v>11.859213223850306</v>
      </c>
      <c r="AS18" s="10">
        <v>2</v>
      </c>
      <c r="AU18" s="10"/>
    </row>
    <row r="19" spans="2:56" ht="15.75">
      <c r="B19" s="10">
        <v>1</v>
      </c>
      <c r="C19" s="10">
        <v>33.54692</v>
      </c>
      <c r="D19" s="17">
        <v>149.60614000000001</v>
      </c>
      <c r="E19" s="10">
        <v>5.7719037399999999</v>
      </c>
      <c r="F19" s="10">
        <v>3</v>
      </c>
      <c r="H19" s="10">
        <v>1</v>
      </c>
      <c r="I19">
        <v>1</v>
      </c>
      <c r="J19">
        <f>(V3/W3)*(SUM(E19))</f>
        <v>0.13629122855089051</v>
      </c>
      <c r="K19">
        <f>V3*(I19/W3)</f>
        <v>2.3612872752256001E-2</v>
      </c>
      <c r="M19">
        <f>AVERAGE(E19)</f>
        <v>5.7719037399999999</v>
      </c>
      <c r="N19">
        <f>(V3^2)/((W3*(W3-1)))</f>
        <v>6.3722029670198153E-4</v>
      </c>
      <c r="O19">
        <f>(E19-$M$19)^2</f>
        <v>0</v>
      </c>
      <c r="P19">
        <f>W3*(1-(I19/W3))</f>
        <v>7</v>
      </c>
      <c r="Q19">
        <f>(M19-$L$23)^2</f>
        <v>0.58359788075671493</v>
      </c>
      <c r="R19">
        <f>N19*((SUM(O19))+P19*Q19)</f>
        <v>2.6031629031130908E-3</v>
      </c>
      <c r="AB19" s="9" t="s">
        <v>118</v>
      </c>
      <c r="AC19" s="8"/>
      <c r="AD19" s="20">
        <f>AD16*AD18</f>
        <v>33.977739205871316</v>
      </c>
      <c r="AE19" s="9"/>
      <c r="AI19" s="4"/>
      <c r="AO19" s="10">
        <v>1</v>
      </c>
      <c r="AP19" s="10">
        <v>33.54692</v>
      </c>
      <c r="AQ19" s="17">
        <v>149.60614000000001</v>
      </c>
      <c r="AR19" s="1">
        <f t="shared" si="7"/>
        <v>33.31487278382599</v>
      </c>
      <c r="AS19" s="10">
        <v>3</v>
      </c>
      <c r="AU19" s="10">
        <v>1</v>
      </c>
      <c r="AV19">
        <v>1</v>
      </c>
      <c r="AW19">
        <f>(BA3/BB3)*(SUM(AR19))</f>
        <v>0.78665985180207976</v>
      </c>
      <c r="AX19">
        <f>BA3*(AV19/BB3)</f>
        <v>2.3612872752256001E-2</v>
      </c>
    </row>
    <row r="20" spans="2:56" ht="15.75">
      <c r="B20" s="10">
        <v>2</v>
      </c>
      <c r="C20" s="10">
        <v>33.548929999999999</v>
      </c>
      <c r="D20" s="17">
        <v>149.60878</v>
      </c>
      <c r="E20" s="10">
        <v>4.9593492399999999</v>
      </c>
      <c r="F20" s="10">
        <v>3</v>
      </c>
      <c r="H20" s="10">
        <v>2</v>
      </c>
      <c r="I20">
        <v>3</v>
      </c>
      <c r="J20">
        <f>(V4/W4)*(SUM(E20:E22))</f>
        <v>0.37178808760711879</v>
      </c>
      <c r="K20">
        <f>V4*(I20/W4)</f>
        <v>6.2177949978199684E-2</v>
      </c>
      <c r="M20">
        <f>AVERAGE(E20:E22)</f>
        <v>5.9794201600000001</v>
      </c>
      <c r="N20">
        <f t="shared" ref="N20:N23" si="11">(V4^2)/((W4*(W4-1)))</f>
        <v>4.9093301123701624E-4</v>
      </c>
      <c r="O20">
        <f>(E20-$M$20)^2</f>
        <v>1.0405446818296469</v>
      </c>
      <c r="P20">
        <f>W4*(1-(I20/W4))</f>
        <v>5</v>
      </c>
      <c r="Q20">
        <f t="shared" ref="Q20:Q23" si="12">(M20-$L$23)^2</f>
        <v>0.943719382979189</v>
      </c>
      <c r="R20">
        <f>N20*((SUM(O20:O22))+P20*Q20)</f>
        <v>3.4203118716183848E-3</v>
      </c>
      <c r="AB20" s="9" t="s">
        <v>30</v>
      </c>
      <c r="AC20" s="8"/>
      <c r="AD20" s="21">
        <f>AD19/(AD18/100)</f>
        <v>70.786956678898576</v>
      </c>
      <c r="AE20" s="9" t="s">
        <v>25</v>
      </c>
      <c r="AI20" s="4"/>
      <c r="AO20" s="10">
        <v>2</v>
      </c>
      <c r="AP20" s="10">
        <v>33.548929999999999</v>
      </c>
      <c r="AQ20" s="17">
        <v>149.60878</v>
      </c>
      <c r="AR20" s="1">
        <f t="shared" si="7"/>
        <v>24.595144884288576</v>
      </c>
      <c r="AS20" s="10">
        <v>3</v>
      </c>
      <c r="AU20" s="10">
        <v>2</v>
      </c>
      <c r="AV20">
        <v>3</v>
      </c>
      <c r="AW20">
        <f>(BA4/BB4)*(SUM(AR20:AR22))</f>
        <v>2.269676773589306</v>
      </c>
      <c r="AX20">
        <f>BA4*(AV20/BB4)</f>
        <v>6.2177949978199684E-2</v>
      </c>
    </row>
    <row r="21" spans="2:56">
      <c r="B21" s="10">
        <v>2</v>
      </c>
      <c r="C21" s="10">
        <v>33.550629999999998</v>
      </c>
      <c r="D21" s="17">
        <v>149.60504</v>
      </c>
      <c r="E21" s="10">
        <v>7.0757782899999997</v>
      </c>
      <c r="F21" s="10">
        <v>3</v>
      </c>
      <c r="H21" s="10">
        <v>3</v>
      </c>
      <c r="I21">
        <v>1</v>
      </c>
      <c r="J21">
        <f>(V5/W5)*(SUM(E23))</f>
        <v>0.11001640180843474</v>
      </c>
      <c r="K21">
        <f>V5*(I21/W5)</f>
        <v>1.8654128185817909E-2</v>
      </c>
      <c r="M21">
        <f>AVERAGE(E23)</f>
        <v>5.8976973199999998</v>
      </c>
      <c r="N21">
        <f t="shared" si="11"/>
        <v>3.9768742671191561E-4</v>
      </c>
      <c r="O21">
        <f t="shared" ref="O21:O22" si="13">(E21-$M$20)^2</f>
        <v>1.2020011492170961</v>
      </c>
      <c r="P21">
        <f>W5*(1-(I21/W5))</f>
        <v>7</v>
      </c>
      <c r="Q21">
        <f t="shared" si="12"/>
        <v>0.79161833962767458</v>
      </c>
      <c r="R21">
        <f>N21*((SUM(O23))+P21*Q21)</f>
        <v>2.2037166229714241E-3</v>
      </c>
      <c r="AO21" s="10">
        <v>2</v>
      </c>
      <c r="AP21" s="10">
        <v>33.550629999999998</v>
      </c>
      <c r="AQ21" s="17">
        <v>149.60504</v>
      </c>
      <c r="AR21" s="1">
        <f t="shared" si="7"/>
        <v>50.066638409235317</v>
      </c>
      <c r="AS21" s="10">
        <v>3</v>
      </c>
      <c r="AU21" s="10">
        <v>3</v>
      </c>
      <c r="AV21">
        <v>1</v>
      </c>
      <c r="AW21">
        <f>(BA5/BB5)*(SUM(AR23))</f>
        <v>0.64884343810164868</v>
      </c>
      <c r="AX21">
        <f>BA5*(AV21/BB5)</f>
        <v>1.8654128185817909E-2</v>
      </c>
    </row>
    <row r="22" spans="2:56">
      <c r="B22" s="10">
        <v>2</v>
      </c>
      <c r="C22" s="10">
        <v>33.555540000000001</v>
      </c>
      <c r="D22" s="17">
        <v>149.61478</v>
      </c>
      <c r="E22" s="10">
        <v>5.9031329499999998</v>
      </c>
      <c r="F22" s="10">
        <v>3</v>
      </c>
      <c r="H22" s="10">
        <v>4</v>
      </c>
      <c r="I22">
        <v>1</v>
      </c>
      <c r="J22">
        <f>(V6/W6)*(SUM(E24))</f>
        <v>9.6143806651076136E-2</v>
      </c>
      <c r="K22">
        <f>V6*(I22/W6)</f>
        <v>2.1602124539220738E-2</v>
      </c>
      <c r="M22">
        <f>AVERAGE(E24)</f>
        <v>4.4506644</v>
      </c>
      <c r="N22">
        <f t="shared" si="11"/>
        <v>5.3331632526628888E-4</v>
      </c>
      <c r="O22">
        <f t="shared" si="13"/>
        <v>5.8197384095841414E-3</v>
      </c>
      <c r="P22">
        <f>W6*(1-(I22/W6))</f>
        <v>7</v>
      </c>
      <c r="Q22">
        <f t="shared" si="12"/>
        <v>0.31058725449246222</v>
      </c>
      <c r="R22">
        <f t="shared" ref="R22" si="14">N22*((SUM(O24))+P22*Q22)</f>
        <v>1.1594887726832594E-3</v>
      </c>
      <c r="AO22" s="10">
        <v>2</v>
      </c>
      <c r="AP22" s="10">
        <v>33.555540000000001</v>
      </c>
      <c r="AQ22" s="17">
        <v>149.61478</v>
      </c>
      <c r="AR22" s="1">
        <f t="shared" si="7"/>
        <v>34.846978625375698</v>
      </c>
      <c r="AS22" s="10">
        <v>3</v>
      </c>
      <c r="AU22" s="10">
        <v>4</v>
      </c>
      <c r="AV22">
        <v>1</v>
      </c>
      <c r="AW22">
        <f>(BA6/BB6)*(SUM(AR24))</f>
        <v>0.42790381754242784</v>
      </c>
      <c r="AX22">
        <f>BA6*(AV22/BB6)</f>
        <v>2.1602124539220738E-2</v>
      </c>
    </row>
    <row r="23" spans="2:56">
      <c r="B23" s="10">
        <v>3</v>
      </c>
      <c r="C23" s="10">
        <v>33.554650000000002</v>
      </c>
      <c r="D23" s="17">
        <v>149.61534</v>
      </c>
      <c r="E23" s="10">
        <v>5.8976973199999998</v>
      </c>
      <c r="F23" s="10">
        <v>3</v>
      </c>
      <c r="H23" s="10">
        <v>5</v>
      </c>
      <c r="I23">
        <v>1</v>
      </c>
      <c r="J23">
        <f>(V7/W7)*(SUM(E25))</f>
        <v>1.786323356702604E-2</v>
      </c>
      <c r="K23">
        <f>V7*(I23/W7)</f>
        <v>2.0140512901819334E-2</v>
      </c>
      <c r="L23" s="1">
        <f>(SUM(J19:J23))/(SUM(K19:K23))</f>
        <v>5.0079679568632791</v>
      </c>
      <c r="M23">
        <f>AVERAGE(E25)</f>
        <v>0.88693042</v>
      </c>
      <c r="N23">
        <f t="shared" si="11"/>
        <v>4.6358886851240123E-4</v>
      </c>
      <c r="O23">
        <f>(E23-$M$21)^2</f>
        <v>0</v>
      </c>
      <c r="P23">
        <f>W7*(1-(I23/W7))</f>
        <v>7</v>
      </c>
      <c r="Q23">
        <f t="shared" si="12"/>
        <v>16.982950380236165</v>
      </c>
      <c r="R23">
        <f>N23*((SUM(O25))+P23*Q23)</f>
        <v>5.5111747255431567E-2</v>
      </c>
      <c r="S23">
        <f>SUM(($V$3*(I19/$W$3)),($V$4*(I20/$W$4)),($V$5*(I21/$W$5)),($V$6*(I22/$W$6)),($V$7*(I23/$W$7)))</f>
        <v>0.14618758835731366</v>
      </c>
      <c r="T23" s="1">
        <f>(1/(S23^2))*(SUM(R19:R23))</f>
        <v>3.0180617598845969</v>
      </c>
      <c r="AO23" s="10">
        <v>3</v>
      </c>
      <c r="AP23" s="10">
        <v>33.554650000000002</v>
      </c>
      <c r="AQ23" s="17">
        <v>149.61534</v>
      </c>
      <c r="AR23" s="1">
        <f t="shared" si="7"/>
        <v>34.78283367833518</v>
      </c>
      <c r="AS23" s="10">
        <v>3</v>
      </c>
      <c r="AU23" s="10">
        <v>5</v>
      </c>
      <c r="AV23">
        <v>1</v>
      </c>
      <c r="AW23">
        <f>(BA7/BB7)*(SUM(AR25))</f>
        <v>1.5843445250160505E-2</v>
      </c>
      <c r="AX23">
        <f>BA7*(AV23/BB7)</f>
        <v>2.0140512901819334E-2</v>
      </c>
      <c r="AY23" s="1">
        <f>(SUM(AW19:AW23))/(SUM(AX19:AX23))</f>
        <v>28.380845274940572</v>
      </c>
    </row>
    <row r="24" spans="2:56" ht="16.5" thickBot="1">
      <c r="B24" s="10">
        <v>4</v>
      </c>
      <c r="C24" s="10">
        <v>33.551650000000002</v>
      </c>
      <c r="D24" s="17">
        <v>149.60255000000001</v>
      </c>
      <c r="E24" s="10">
        <v>4.4506644</v>
      </c>
      <c r="F24" s="10">
        <v>3</v>
      </c>
      <c r="H24" s="10"/>
      <c r="I24" s="11">
        <f>SUM(I19:I23)</f>
        <v>7</v>
      </c>
      <c r="O24">
        <f>(E24-$M$22)^2</f>
        <v>0</v>
      </c>
      <c r="AI24" s="4"/>
      <c r="AO24" s="10">
        <v>4</v>
      </c>
      <c r="AP24" s="10">
        <v>33.551650000000002</v>
      </c>
      <c r="AQ24" s="17">
        <v>149.60255000000001</v>
      </c>
      <c r="AR24" s="1">
        <f t="shared" si="7"/>
        <v>19.808413601427361</v>
      </c>
      <c r="AS24" s="10">
        <v>3</v>
      </c>
      <c r="AU24" s="10"/>
      <c r="AV24" s="11">
        <f>SUM(AV19:AV23)</f>
        <v>7</v>
      </c>
    </row>
    <row r="25" spans="2:56" ht="16.5" thickTop="1">
      <c r="B25" s="10">
        <v>5</v>
      </c>
      <c r="C25" s="10">
        <v>33.550530000000002</v>
      </c>
      <c r="D25" s="17">
        <v>149.59518</v>
      </c>
      <c r="E25" s="10">
        <v>0.88693042</v>
      </c>
      <c r="F25" s="10">
        <v>3</v>
      </c>
      <c r="H25" s="10"/>
      <c r="O25">
        <f>(E25-$M$23)^2</f>
        <v>0</v>
      </c>
      <c r="V25" s="14"/>
      <c r="AI25" s="4"/>
      <c r="AO25" s="10">
        <v>5</v>
      </c>
      <c r="AP25" s="10">
        <v>33.550530000000002</v>
      </c>
      <c r="AQ25" s="17">
        <v>149.59518</v>
      </c>
      <c r="AR25" s="1">
        <f t="shared" si="7"/>
        <v>0.78664556992137635</v>
      </c>
      <c r="AS25" s="10">
        <v>3</v>
      </c>
      <c r="AU25" s="10"/>
      <c r="BA25" s="14"/>
    </row>
    <row r="26" spans="2:56" ht="26.25">
      <c r="B26" s="10">
        <v>2</v>
      </c>
      <c r="C26" s="10">
        <v>33.549160000000001</v>
      </c>
      <c r="D26" s="17">
        <v>149.60946999999999</v>
      </c>
      <c r="E26" s="10">
        <v>7.3057535500000004</v>
      </c>
      <c r="F26" s="10">
        <v>4</v>
      </c>
      <c r="G26">
        <f>SUM(E26:E28)</f>
        <v>16.063944509999999</v>
      </c>
      <c r="H26" s="10">
        <v>2</v>
      </c>
      <c r="I26">
        <v>3</v>
      </c>
      <c r="J26">
        <f>(V4/W4)*(SUM(E26:E28))</f>
        <v>0.33294104606511848</v>
      </c>
      <c r="K26">
        <f>V4*(I26/W4)</f>
        <v>6.2177949978199684E-2</v>
      </c>
      <c r="M26">
        <f>AVERAGE(E26:E28)</f>
        <v>5.3546481699999999</v>
      </c>
      <c r="N26">
        <f>(V4^2)/((W4*(W4-1)))</f>
        <v>4.9093301123701624E-4</v>
      </c>
      <c r="O26">
        <f>(E26-$M$26)^2</f>
        <v>3.8068122038649461</v>
      </c>
      <c r="P26">
        <f>W4*(1-(I26/W4))</f>
        <v>5</v>
      </c>
      <c r="Q26">
        <f>(M26-$L$30)^2</f>
        <v>0.24087596840632283</v>
      </c>
      <c r="R26">
        <f>N26*((SUM(O26:O28))+P26*Q26)</f>
        <v>3.4123863137746403E-3</v>
      </c>
      <c r="AI26" s="3"/>
      <c r="AO26" s="10">
        <v>2</v>
      </c>
      <c r="AP26" s="10">
        <v>33.549160000000001</v>
      </c>
      <c r="AQ26" s="17">
        <v>149.60946999999999</v>
      </c>
      <c r="AR26" s="1">
        <f t="shared" si="7"/>
        <v>53.374034933337605</v>
      </c>
      <c r="AS26" s="10">
        <v>4</v>
      </c>
      <c r="AU26" s="10">
        <v>2</v>
      </c>
      <c r="AV26">
        <v>3</v>
      </c>
      <c r="AW26">
        <f>(BA4/BB4)*(SUM(AR26:AR28))</f>
        <v>1.9018827572465133</v>
      </c>
      <c r="AX26">
        <f>BA4*(AV26/BB4)</f>
        <v>6.2177949978199684E-2</v>
      </c>
    </row>
    <row r="27" spans="2:56">
      <c r="B27" s="10">
        <v>2</v>
      </c>
      <c r="C27" s="10">
        <v>33.549529999999997</v>
      </c>
      <c r="D27" s="17">
        <v>149.61218</v>
      </c>
      <c r="E27" s="10">
        <v>4.51366975</v>
      </c>
      <c r="F27" s="10">
        <v>4</v>
      </c>
      <c r="G27">
        <f>SUM(E29:E30)</f>
        <v>3.97623031</v>
      </c>
      <c r="H27">
        <v>3</v>
      </c>
      <c r="I27">
        <v>2</v>
      </c>
      <c r="J27">
        <f>(V5/W5)*(SUM(E29:E30))</f>
        <v>7.4173109899074482E-2</v>
      </c>
      <c r="K27">
        <f>V5*(I27/W5)</f>
        <v>3.7308256371635817E-2</v>
      </c>
      <c r="M27">
        <f>AVERAGE(E29:E30)</f>
        <v>1.988115155</v>
      </c>
      <c r="N27">
        <f t="shared" ref="N27:N30" si="15">(V5^2)/((W5*(W5-1)))</f>
        <v>3.9768742671191561E-4</v>
      </c>
      <c r="O27">
        <f>(E27-$M$26)^2</f>
        <v>0.70724470290569619</v>
      </c>
      <c r="P27">
        <f>W5*(1-(I27/W5))</f>
        <v>6</v>
      </c>
      <c r="Q27">
        <f>(M27-$L$30)^2</f>
        <v>14.878949835619341</v>
      </c>
      <c r="R27">
        <f>N27*((SUM(O29:O30))+P27*Q27)</f>
        <v>3.7262202408880847E-2</v>
      </c>
      <c r="V27" s="10"/>
      <c r="W27" s="10"/>
      <c r="X27" s="10"/>
      <c r="Y27" s="10"/>
      <c r="Z27" s="10"/>
      <c r="AA27" s="10"/>
      <c r="AB27" s="10"/>
      <c r="AO27" s="10">
        <v>2</v>
      </c>
      <c r="AP27" s="10">
        <v>33.549529999999997</v>
      </c>
      <c r="AQ27" s="17">
        <v>149.61218</v>
      </c>
      <c r="AR27" s="1">
        <f t="shared" si="7"/>
        <v>20.373214612065063</v>
      </c>
      <c r="AS27" s="10">
        <v>4</v>
      </c>
      <c r="AU27">
        <v>3</v>
      </c>
      <c r="AV27">
        <v>2</v>
      </c>
      <c r="AW27">
        <f>(BA5/BB5)*(SUM(AR29:AR30))</f>
        <v>0.22998142831949575</v>
      </c>
      <c r="AX27">
        <f>BA5*(AV27/BB5)</f>
        <v>3.7308256371635817E-2</v>
      </c>
      <c r="BA27" s="10"/>
      <c r="BB27" s="10"/>
      <c r="BC27" s="10"/>
      <c r="BD27" s="10"/>
    </row>
    <row r="28" spans="2:56">
      <c r="B28" s="10">
        <v>2</v>
      </c>
      <c r="C28" s="10">
        <v>33.552849999999999</v>
      </c>
      <c r="D28" s="17">
        <v>149.60543999999999</v>
      </c>
      <c r="E28" s="10">
        <v>4.2445212100000003</v>
      </c>
      <c r="F28" s="10">
        <v>4</v>
      </c>
      <c r="G28">
        <f>SUM(E31:E32)</f>
        <v>14.61921997</v>
      </c>
      <c r="H28">
        <v>4</v>
      </c>
      <c r="I28">
        <v>2</v>
      </c>
      <c r="J28">
        <f>(V6/W6)*(SUM(E31:E32))</f>
        <v>0.31580621045820284</v>
      </c>
      <c r="K28">
        <f>V6*(I28/W6)</f>
        <v>4.3204249078441476E-2</v>
      </c>
      <c r="M28">
        <f>AVERAGE(E31:E32)</f>
        <v>7.3096099849999998</v>
      </c>
      <c r="N28">
        <f t="shared" si="15"/>
        <v>5.3331632526628888E-4</v>
      </c>
      <c r="O28">
        <f>(E28-$M$26)^2</f>
        <v>1.2323818673188409</v>
      </c>
      <c r="P28">
        <f>W6*(1-(I28/W6))</f>
        <v>6</v>
      </c>
      <c r="Q28">
        <f>(M28-$L$30)^2</f>
        <v>2.143795690041399</v>
      </c>
      <c r="R28">
        <f>N28*((SUM(O31:O32))+P28*Q28)</f>
        <v>1.0750176650346581E-2</v>
      </c>
      <c r="AO28" s="10">
        <v>2</v>
      </c>
      <c r="AP28" s="10">
        <v>33.552849999999999</v>
      </c>
      <c r="AQ28" s="17">
        <v>149.60543999999999</v>
      </c>
      <c r="AR28" s="1">
        <f t="shared" si="7"/>
        <v>18.015960302139867</v>
      </c>
      <c r="AS28" s="10">
        <v>4</v>
      </c>
      <c r="AU28">
        <v>4</v>
      </c>
      <c r="AV28">
        <v>2</v>
      </c>
      <c r="AW28">
        <f>(BA6/BB6)*(SUM(AR31:AR32))</f>
        <v>2.4659958443792815</v>
      </c>
      <c r="AX28">
        <f>BA6*(AV28/BB6)</f>
        <v>4.3204249078441476E-2</v>
      </c>
    </row>
    <row r="29" spans="2:56">
      <c r="B29" s="10">
        <v>3</v>
      </c>
      <c r="C29" s="10">
        <v>33.550420000000003</v>
      </c>
      <c r="D29" s="17">
        <v>149.60989000000001</v>
      </c>
      <c r="E29" s="10">
        <v>3.4753123800000001</v>
      </c>
      <c r="F29" s="10">
        <v>4</v>
      </c>
      <c r="G29">
        <f>SUM(E33)</f>
        <v>15.0558642</v>
      </c>
      <c r="H29">
        <v>5</v>
      </c>
      <c r="I29">
        <v>1</v>
      </c>
      <c r="J29">
        <f>(V7/W7)*(SUM(E33))</f>
        <v>0.30323282716813982</v>
      </c>
      <c r="K29">
        <f>V7*(I29/W7)</f>
        <v>2.0140512901819334E-2</v>
      </c>
      <c r="M29">
        <f>AVERAGE(E33)</f>
        <v>15.0558642</v>
      </c>
      <c r="N29">
        <f t="shared" si="15"/>
        <v>4.6358886851240123E-4</v>
      </c>
      <c r="O29">
        <f>(E29-$M$27)^2</f>
        <v>2.2117555860477007</v>
      </c>
      <c r="P29">
        <f>W7*(1-(I29/W7))</f>
        <v>7</v>
      </c>
      <c r="Q29">
        <f>(M29-$L$30)^2</f>
        <v>84.8319261794677</v>
      </c>
      <c r="R29">
        <f>N29*((SUM(O33))+P29*Q29)</f>
        <v>0.27528995669886885</v>
      </c>
      <c r="AO29" s="10">
        <v>3</v>
      </c>
      <c r="AP29" s="10">
        <v>33.550420000000003</v>
      </c>
      <c r="AQ29" s="17">
        <v>149.60989000000001</v>
      </c>
      <c r="AR29" s="1">
        <f t="shared" si="7"/>
        <v>12.077796138581265</v>
      </c>
      <c r="AS29" s="10">
        <v>4</v>
      </c>
      <c r="AU29">
        <v>5</v>
      </c>
      <c r="AV29">
        <v>1</v>
      </c>
      <c r="AW29">
        <f>(BA7/BB7)*(SUM(AR33))</f>
        <v>4.5654322668255842</v>
      </c>
      <c r="AX29">
        <f>BA7*(AV29/BB7)</f>
        <v>2.0140512901819334E-2</v>
      </c>
    </row>
    <row r="30" spans="2:56">
      <c r="B30" s="10">
        <v>3</v>
      </c>
      <c r="C30" s="10">
        <v>33.551189999999998</v>
      </c>
      <c r="D30" s="17">
        <v>149.61118999999999</v>
      </c>
      <c r="E30" s="10">
        <v>0.50091792999999996</v>
      </c>
      <c r="F30" s="10">
        <v>4</v>
      </c>
      <c r="G30">
        <f>SUM(E34:E35)</f>
        <v>8.0226365400000006</v>
      </c>
      <c r="H30">
        <v>6</v>
      </c>
      <c r="I30">
        <v>2</v>
      </c>
      <c r="J30">
        <f>(V8/W8)*(SUM(E34:E35))</f>
        <v>0.16257374176840145</v>
      </c>
      <c r="K30">
        <f>V8*(I30/W8)</f>
        <v>4.0528756589638906E-2</v>
      </c>
      <c r="L30" s="1">
        <f>(SUM(J26:J30))/(SUM(K26:K30))</f>
        <v>5.8454393357786056</v>
      </c>
      <c r="M30">
        <f>AVERAGE(E34:E35)</f>
        <v>4.0113182700000003</v>
      </c>
      <c r="N30">
        <f t="shared" si="15"/>
        <v>4.6930860305777113E-4</v>
      </c>
      <c r="O30">
        <f>(E30-$M$27)^2</f>
        <v>2.2117555860477007</v>
      </c>
      <c r="P30">
        <f>W8*(1-(I30/W8))</f>
        <v>6</v>
      </c>
      <c r="Q30">
        <f>(M30-$L$30)^2</f>
        <v>3.3640000839328472</v>
      </c>
      <c r="R30">
        <f>N30*((SUM(O34))+P30*Q30)</f>
        <v>1.0597681749953229E-2</v>
      </c>
      <c r="S30">
        <f>SUM(($V$4*(I26/$W$4)),($V$5*(I27/$W$5)),($V$6*(I28/$W$6)),($V$7*(I29/$W$7)),($V$8*(I30/$W$8)))</f>
        <v>0.2033597249197352</v>
      </c>
      <c r="T30" s="1">
        <f>(1/(S30^2))*(SUM(R26:R30))</f>
        <v>8.1564733226461463</v>
      </c>
      <c r="AO30" s="10">
        <v>3</v>
      </c>
      <c r="AP30" s="10">
        <v>33.551189999999998</v>
      </c>
      <c r="AQ30" s="17">
        <v>149.61118999999999</v>
      </c>
      <c r="AR30" s="1">
        <f t="shared" si="7"/>
        <v>0.25091877259548484</v>
      </c>
      <c r="AS30" s="10">
        <v>4</v>
      </c>
      <c r="AU30">
        <v>6</v>
      </c>
      <c r="AV30">
        <v>2</v>
      </c>
      <c r="AW30">
        <f>(BA8/BB8)*(SUM(AR34:AR35))</f>
        <v>0.74930178991888996</v>
      </c>
      <c r="AX30">
        <f>BA8*(AV30/BB8)</f>
        <v>4.0528756589638906E-2</v>
      </c>
      <c r="AY30" s="1">
        <f>(SUM(AW26:AW30))/(SUM(AX26:AX30))</f>
        <v>48.744135991540134</v>
      </c>
    </row>
    <row r="31" spans="2:56" ht="15.75" thickBot="1">
      <c r="B31" s="10">
        <v>4</v>
      </c>
      <c r="C31" s="10">
        <v>33.553829999999998</v>
      </c>
      <c r="D31" s="17">
        <v>149.60697999999999</v>
      </c>
      <c r="E31" s="10">
        <v>5.3998390699999996</v>
      </c>
      <c r="F31" s="10">
        <v>4</v>
      </c>
      <c r="I31" s="11">
        <f>SUM(I26:I30)</f>
        <v>10</v>
      </c>
      <c r="O31">
        <f>(E31-$M$28)^2</f>
        <v>3.6472249477799381</v>
      </c>
      <c r="AO31" s="10">
        <v>4</v>
      </c>
      <c r="AP31" s="10">
        <v>33.553829999999998</v>
      </c>
      <c r="AQ31" s="17">
        <v>149.60697999999999</v>
      </c>
      <c r="AR31" s="1">
        <f t="shared" si="7"/>
        <v>29.158261981898463</v>
      </c>
      <c r="AS31" s="10">
        <v>4</v>
      </c>
      <c r="AV31" s="11">
        <f>SUM(AV26:AV30)</f>
        <v>10</v>
      </c>
    </row>
    <row r="32" spans="2:56" ht="15.75" thickTop="1">
      <c r="B32" s="10">
        <v>4</v>
      </c>
      <c r="C32" s="10">
        <v>33.556809999999999</v>
      </c>
      <c r="D32" s="17">
        <v>149.61136999999999</v>
      </c>
      <c r="E32" s="10">
        <v>9.2193809000000009</v>
      </c>
      <c r="F32" s="10">
        <v>4</v>
      </c>
      <c r="O32">
        <f>(E32-$M$28)^2</f>
        <v>3.6472249477799412</v>
      </c>
      <c r="AO32" s="10">
        <v>4</v>
      </c>
      <c r="AP32" s="10">
        <v>33.556809999999999</v>
      </c>
      <c r="AQ32" s="17">
        <v>149.61136999999999</v>
      </c>
      <c r="AR32" s="1">
        <f t="shared" si="7"/>
        <v>84.996984179284823</v>
      </c>
      <c r="AS32" s="10">
        <v>4</v>
      </c>
    </row>
    <row r="33" spans="2:51">
      <c r="B33" s="10">
        <v>5</v>
      </c>
      <c r="C33" s="10">
        <v>33.560830000000003</v>
      </c>
      <c r="D33" s="17">
        <v>149.60491999999999</v>
      </c>
      <c r="E33" s="10">
        <v>15.0558642</v>
      </c>
      <c r="F33" s="10">
        <v>4</v>
      </c>
      <c r="O33">
        <f>(E33-$M$29)^2</f>
        <v>0</v>
      </c>
      <c r="AO33" s="10">
        <v>5</v>
      </c>
      <c r="AP33" s="10">
        <v>33.560830000000003</v>
      </c>
      <c r="AQ33" s="17">
        <v>149.60491999999999</v>
      </c>
      <c r="AR33" s="1">
        <f t="shared" si="7"/>
        <v>226.67904680884166</v>
      </c>
      <c r="AS33" s="10">
        <v>4</v>
      </c>
    </row>
    <row r="34" spans="2:51">
      <c r="B34" s="10">
        <v>6</v>
      </c>
      <c r="C34" s="10">
        <v>33.552509999999998</v>
      </c>
      <c r="D34" s="17">
        <v>149.59504999999999</v>
      </c>
      <c r="E34" s="10">
        <v>5.5596971599999998</v>
      </c>
      <c r="F34" s="10">
        <v>4</v>
      </c>
      <c r="O34">
        <f>(E34-$M$30)^2</f>
        <v>2.3974771869976306</v>
      </c>
      <c r="AO34" s="10">
        <v>6</v>
      </c>
      <c r="AP34" s="10">
        <v>33.552509999999998</v>
      </c>
      <c r="AQ34" s="17">
        <v>149.59504999999999</v>
      </c>
      <c r="AR34" s="1">
        <f t="shared" si="7"/>
        <v>30.910232510912063</v>
      </c>
      <c r="AS34" s="10">
        <v>4</v>
      </c>
    </row>
    <row r="35" spans="2:51">
      <c r="B35" s="10">
        <v>6</v>
      </c>
      <c r="C35" s="10">
        <v>33.55254</v>
      </c>
      <c r="D35" s="17">
        <v>149.59907999999999</v>
      </c>
      <c r="E35" s="10">
        <v>2.4629393799999999</v>
      </c>
      <c r="F35" s="10">
        <v>4</v>
      </c>
      <c r="H35" s="10"/>
      <c r="O35">
        <f>(E35-$M$30)^2</f>
        <v>2.3974771869976332</v>
      </c>
      <c r="AO35" s="10">
        <v>6</v>
      </c>
      <c r="AP35" s="10">
        <v>33.55254</v>
      </c>
      <c r="AQ35" s="17">
        <v>149.59907999999999</v>
      </c>
      <c r="AR35" s="1">
        <f t="shared" si="7"/>
        <v>6.0660703895547838</v>
      </c>
      <c r="AS35" s="10">
        <v>4</v>
      </c>
      <c r="AU35" s="10"/>
    </row>
    <row r="36" spans="2:51">
      <c r="B36" s="10">
        <v>3</v>
      </c>
      <c r="C36" s="10">
        <v>33.553080000000001</v>
      </c>
      <c r="D36" s="17">
        <v>149.61035000000001</v>
      </c>
      <c r="E36" s="10">
        <v>8.4531136</v>
      </c>
      <c r="F36" s="10">
        <v>5</v>
      </c>
      <c r="H36" s="10">
        <v>3</v>
      </c>
      <c r="I36">
        <v>4</v>
      </c>
      <c r="J36">
        <f>(V5/W5)*(SUM(E36:E39))</f>
        <v>0.40751566863777799</v>
      </c>
      <c r="K36">
        <f>V5*(I36/W5)</f>
        <v>7.4616512743271635E-2</v>
      </c>
      <c r="M36">
        <f>AVERAGE(E36:E39)</f>
        <v>5.461467625</v>
      </c>
      <c r="N36">
        <f>(V5^2)/((W5*(W5-1)))</f>
        <v>3.9768742671191561E-4</v>
      </c>
      <c r="O36">
        <f>(E36-$M$36)^2</f>
        <v>8.9499456397337003</v>
      </c>
      <c r="P36">
        <f>W5*(1-(I36/W5))</f>
        <v>4</v>
      </c>
      <c r="Q36">
        <f>(M36-$L$39)^2</f>
        <v>2.2816955503556184</v>
      </c>
      <c r="R36">
        <f>N36*((SUM(O36:O39))+P36*Q36)</f>
        <v>1.0900553536729758E-2</v>
      </c>
      <c r="AO36" s="10">
        <v>3</v>
      </c>
      <c r="AP36" s="10">
        <v>33.553080000000001</v>
      </c>
      <c r="AQ36" s="17">
        <v>149.61035000000001</v>
      </c>
      <c r="AR36" s="1">
        <f t="shared" si="7"/>
        <v>71.455129534504962</v>
      </c>
      <c r="AS36" s="10">
        <v>5</v>
      </c>
      <c r="AU36" s="10">
        <v>3</v>
      </c>
      <c r="AV36">
        <v>4</v>
      </c>
      <c r="AW36">
        <f>(BA5/BB5)*(SUM(AR36:AR39))</f>
        <v>2.5666883599256072</v>
      </c>
      <c r="AX36">
        <f>BA5*(AV36/BB5)</f>
        <v>7.4616512743271635E-2</v>
      </c>
    </row>
    <row r="37" spans="2:51">
      <c r="B37" s="10">
        <v>3</v>
      </c>
      <c r="C37" s="10">
        <v>33.553690000000003</v>
      </c>
      <c r="D37" s="17">
        <v>149.61156</v>
      </c>
      <c r="E37" s="10">
        <v>6.4333965500000003</v>
      </c>
      <c r="F37" s="10">
        <v>5</v>
      </c>
      <c r="H37" s="10">
        <v>4</v>
      </c>
      <c r="I37">
        <v>1</v>
      </c>
      <c r="J37">
        <f>(V6/W6)*(SUM(E40))</f>
        <v>7.2397175482579568E-2</v>
      </c>
      <c r="K37">
        <f>V6*(I37/W6)</f>
        <v>2.1602124539220738E-2</v>
      </c>
      <c r="M37">
        <f>AVERAGE(E40)</f>
        <v>3.3513914499999999</v>
      </c>
      <c r="N37">
        <f t="shared" ref="N37:N39" si="16">(V6^2)/((W6*(W6-1)))</f>
        <v>5.3331632526628888E-4</v>
      </c>
      <c r="O37">
        <f>(E37-$M$36)^2</f>
        <v>0.94464583525165613</v>
      </c>
      <c r="P37">
        <f>W6*(1-(I37/W6))</f>
        <v>7</v>
      </c>
      <c r="Q37">
        <f t="shared" ref="Q37:Q39" si="17">(M37-$L$39)^2</f>
        <v>0.35945773171389417</v>
      </c>
      <c r="R37">
        <f>N37*((SUM(O40))+P37*Q37)</f>
        <v>1.3419327359634671E-3</v>
      </c>
      <c r="AO37" s="10">
        <v>3</v>
      </c>
      <c r="AP37" s="10">
        <v>33.553690000000003</v>
      </c>
      <c r="AQ37" s="17">
        <v>149.61156</v>
      </c>
      <c r="AR37" s="1">
        <f t="shared" si="7"/>
        <v>41.388591169551908</v>
      </c>
      <c r="AS37" s="10">
        <v>5</v>
      </c>
      <c r="AU37" s="10">
        <v>4</v>
      </c>
      <c r="AV37">
        <v>1</v>
      </c>
      <c r="AW37">
        <f>(BA6/BB6)*(SUM(AR40))</f>
        <v>0.2426312749164668</v>
      </c>
      <c r="AX37">
        <f>BA6*(AV37/BB6)</f>
        <v>2.1602124539220738E-2</v>
      </c>
    </row>
    <row r="38" spans="2:51">
      <c r="B38" s="10">
        <v>3</v>
      </c>
      <c r="C38" s="10">
        <v>33.553719999999998</v>
      </c>
      <c r="D38" s="17">
        <v>149.60898</v>
      </c>
      <c r="E38" s="10">
        <v>2.9631942599999999</v>
      </c>
      <c r="F38" s="10">
        <v>5</v>
      </c>
      <c r="H38" s="10">
        <v>5</v>
      </c>
      <c r="I38">
        <v>2</v>
      </c>
      <c r="J38">
        <f>(V7/W7)*(SUM(E41:E42))</f>
        <v>8.0058746232014727E-2</v>
      </c>
      <c r="K38">
        <f>V7*(I38/W7)</f>
        <v>4.0281025803638668E-2</v>
      </c>
      <c r="M38">
        <f>AVERAGE(E41:E42)</f>
        <v>1.9875051499999998</v>
      </c>
      <c r="N38">
        <f t="shared" si="16"/>
        <v>4.6358886851240123E-4</v>
      </c>
      <c r="O38">
        <f>(E38-$M$36)^2</f>
        <v>6.2413698062684242</v>
      </c>
      <c r="P38">
        <f>W7*(1-(I38/W7))</f>
        <v>6</v>
      </c>
      <c r="Q38">
        <f t="shared" si="17"/>
        <v>3.8550740126942253</v>
      </c>
      <c r="R38">
        <f>N38*((SUM(O41:O42))+P38*Q38)</f>
        <v>1.1898397308573649E-2</v>
      </c>
      <c r="AO38" s="10">
        <v>3</v>
      </c>
      <c r="AP38" s="10">
        <v>33.553719999999998</v>
      </c>
      <c r="AQ38" s="17">
        <v>149.60898</v>
      </c>
      <c r="AR38" s="1">
        <f t="shared" si="7"/>
        <v>8.7805202224969463</v>
      </c>
      <c r="AS38" s="10">
        <v>5</v>
      </c>
      <c r="AU38" s="10">
        <v>5</v>
      </c>
      <c r="AV38">
        <v>2</v>
      </c>
      <c r="AW38">
        <f>(BA7/BB7)*(SUM(AR41:AR42))</f>
        <v>0.21018132666145301</v>
      </c>
      <c r="AX38">
        <f>BA7*(AV38/BB7)</f>
        <v>4.0281025803638668E-2</v>
      </c>
    </row>
    <row r="39" spans="2:51">
      <c r="B39" s="10">
        <v>3</v>
      </c>
      <c r="C39" s="10">
        <v>33.553879999999999</v>
      </c>
      <c r="D39" s="17">
        <v>149.61028999999999</v>
      </c>
      <c r="E39" s="10">
        <v>3.99616609</v>
      </c>
      <c r="F39" s="10">
        <v>5</v>
      </c>
      <c r="H39" s="10">
        <v>6</v>
      </c>
      <c r="I39">
        <v>2</v>
      </c>
      <c r="J39">
        <f>(V8/W8)*(SUM(E43:E44))</f>
        <v>0.13945696599894961</v>
      </c>
      <c r="K39">
        <f>V8*(I39/W8)</f>
        <v>4.0528756589638906E-2</v>
      </c>
      <c r="L39" s="1">
        <f>(SUM(J36:J39))/(SUM(K36:K39))</f>
        <v>3.9509393894626372</v>
      </c>
      <c r="M39">
        <f>AVERAGE(E43:E44)</f>
        <v>3.4409386749999999</v>
      </c>
      <c r="N39">
        <f t="shared" si="16"/>
        <v>4.6930860305777113E-4</v>
      </c>
      <c r="O39">
        <f>(E39-$M$36)^2</f>
        <v>2.1471085884733565</v>
      </c>
      <c r="P39">
        <f>W8*(1-(I39/W8))</f>
        <v>6</v>
      </c>
      <c r="Q39">
        <f t="shared" si="17"/>
        <v>0.26010072875240048</v>
      </c>
      <c r="R39">
        <f>N39*((SUM(O43:O44))+P39*Q39)</f>
        <v>4.57857984655222E-3</v>
      </c>
      <c r="S39">
        <f>SUM(($V$5*(I36/$W$5)),($V$6*(I37/$W$6)),($V$7*(I38/$W$7)),($V$8*(I39/$W$8)))</f>
        <v>0.17702841967576993</v>
      </c>
      <c r="T39" s="1">
        <f>(1/(S39^2))*(SUM(R36:R39))</f>
        <v>0.91641109113284924</v>
      </c>
      <c r="AO39" s="10">
        <v>3</v>
      </c>
      <c r="AP39" s="10">
        <v>33.553879999999999</v>
      </c>
      <c r="AQ39" s="17">
        <v>149.61028999999999</v>
      </c>
      <c r="AR39" s="1">
        <f t="shared" si="7"/>
        <v>15.969343418865888</v>
      </c>
      <c r="AS39" s="10">
        <v>5</v>
      </c>
      <c r="AU39" s="10">
        <v>6</v>
      </c>
      <c r="AV39">
        <v>2</v>
      </c>
      <c r="AW39">
        <f>(BA8/BB8)*(SUM(AR43:AR44))</f>
        <v>0.6459376859419288</v>
      </c>
      <c r="AX39">
        <f>BA8*(AV39/BB8)</f>
        <v>4.0528756589638906E-2</v>
      </c>
      <c r="AY39" s="1">
        <f>(SUM(AW36:AW39))/(SUM(AX36:AX39))</f>
        <v>20.705368404455953</v>
      </c>
    </row>
    <row r="40" spans="2:51" ht="15.75" thickBot="1">
      <c r="B40" s="10">
        <v>4</v>
      </c>
      <c r="C40" s="10">
        <v>33.555050000000001</v>
      </c>
      <c r="D40" s="17">
        <v>149.61005</v>
      </c>
      <c r="E40" s="10">
        <v>3.3513914499999999</v>
      </c>
      <c r="F40" s="10">
        <v>5</v>
      </c>
      <c r="H40" s="10"/>
      <c r="I40" s="11">
        <f>SUM(I36:I39)</f>
        <v>9</v>
      </c>
      <c r="O40">
        <f>(E40-$M$37)^2</f>
        <v>0</v>
      </c>
      <c r="AO40" s="10">
        <v>4</v>
      </c>
      <c r="AP40" s="10">
        <v>33.555050000000001</v>
      </c>
      <c r="AQ40" s="17">
        <v>149.61005</v>
      </c>
      <c r="AR40" s="1">
        <f t="shared" si="7"/>
        <v>11.231824651133103</v>
      </c>
      <c r="AS40" s="10">
        <v>5</v>
      </c>
      <c r="AU40" s="10"/>
      <c r="AV40" s="11">
        <f>SUM(AV36:AV39)</f>
        <v>9</v>
      </c>
    </row>
    <row r="41" spans="2:51" ht="15.75" thickTop="1">
      <c r="B41" s="10">
        <v>5</v>
      </c>
      <c r="C41" s="10">
        <v>33.555929999999996</v>
      </c>
      <c r="D41" s="17">
        <v>149.59950000000001</v>
      </c>
      <c r="E41" s="10">
        <v>3.1134258899999998</v>
      </c>
      <c r="F41" s="10">
        <v>5</v>
      </c>
      <c r="H41" s="10"/>
      <c r="O41">
        <f>(E41-$M$38)^2</f>
        <v>1.2676975127621475</v>
      </c>
      <c r="AO41" s="10">
        <v>5</v>
      </c>
      <c r="AP41" s="10">
        <v>33.555929999999996</v>
      </c>
      <c r="AQ41" s="17">
        <v>149.59950000000001</v>
      </c>
      <c r="AR41" s="1">
        <f t="shared" si="7"/>
        <v>9.6934207725222912</v>
      </c>
      <c r="AS41" s="10">
        <v>5</v>
      </c>
      <c r="AU41" s="10"/>
    </row>
    <row r="42" spans="2:51">
      <c r="B42" s="10">
        <v>5</v>
      </c>
      <c r="C42" s="10">
        <v>33.55979</v>
      </c>
      <c r="D42" s="17">
        <v>149.60316</v>
      </c>
      <c r="E42" s="10">
        <v>0.86158440999999997</v>
      </c>
      <c r="F42" s="10">
        <v>5</v>
      </c>
      <c r="H42" s="10"/>
      <c r="O42">
        <f>(E42-$M$38)^2</f>
        <v>1.267697512762147</v>
      </c>
      <c r="AO42" s="10">
        <v>5</v>
      </c>
      <c r="AP42" s="10">
        <v>33.55979</v>
      </c>
      <c r="AQ42" s="17">
        <v>149.60316</v>
      </c>
      <c r="AR42" s="1">
        <f t="shared" si="7"/>
        <v>0.74232769555504807</v>
      </c>
      <c r="AS42" s="10">
        <v>5</v>
      </c>
      <c r="AU42" s="10"/>
    </row>
    <row r="43" spans="2:51">
      <c r="B43" s="10">
        <v>6</v>
      </c>
      <c r="C43" s="10">
        <v>33.554679999999998</v>
      </c>
      <c r="D43" s="17">
        <v>149.59509</v>
      </c>
      <c r="E43" s="10">
        <v>5.4652171300000001</v>
      </c>
      <c r="F43" s="10">
        <v>5</v>
      </c>
      <c r="H43" s="10"/>
      <c r="O43">
        <f>(E43-$M$39)^2</f>
        <v>4.0977032633771877</v>
      </c>
      <c r="AO43" s="10">
        <v>6</v>
      </c>
      <c r="AP43" s="10">
        <v>33.554679999999998</v>
      </c>
      <c r="AQ43" s="17">
        <v>149.59509</v>
      </c>
      <c r="AR43" s="1">
        <f t="shared" si="7"/>
        <v>29.86859827804544</v>
      </c>
      <c r="AS43" s="10">
        <v>5</v>
      </c>
      <c r="AU43" s="10"/>
    </row>
    <row r="44" spans="2:51">
      <c r="B44" s="10">
        <v>6</v>
      </c>
      <c r="C44" s="10">
        <v>33.55527</v>
      </c>
      <c r="D44" s="17">
        <v>149.59741</v>
      </c>
      <c r="E44" s="10">
        <v>1.41666022</v>
      </c>
      <c r="F44" s="10">
        <v>5</v>
      </c>
      <c r="H44" s="10"/>
      <c r="O44">
        <f>(E44-$M$39)^2</f>
        <v>4.0977032633771877</v>
      </c>
      <c r="AO44" s="10">
        <v>6</v>
      </c>
      <c r="AP44" s="10">
        <v>33.55527</v>
      </c>
      <c r="AQ44" s="17">
        <v>149.59741</v>
      </c>
      <c r="AR44" s="1">
        <f t="shared" si="7"/>
        <v>2.0069261789304487</v>
      </c>
      <c r="AS44" s="10">
        <v>5</v>
      </c>
      <c r="AU44" s="10"/>
    </row>
    <row r="45" spans="2:51">
      <c r="B45">
        <v>5</v>
      </c>
      <c r="C45">
        <v>33.557639999999999</v>
      </c>
      <c r="D45" s="12">
        <v>149.59761</v>
      </c>
      <c r="E45">
        <v>4.8402216899999999</v>
      </c>
      <c r="F45">
        <v>6</v>
      </c>
      <c r="H45">
        <v>5</v>
      </c>
      <c r="I45">
        <v>2</v>
      </c>
      <c r="J45">
        <f>(V7/W7)*(SUM(E45:E46))</f>
        <v>0.16403186479051884</v>
      </c>
      <c r="K45">
        <f>V7*(I45/W7)</f>
        <v>4.0281025803638668E-2</v>
      </c>
      <c r="M45">
        <f>AVERAGE(E45:E46)</f>
        <v>4.0721868800000003</v>
      </c>
      <c r="N45">
        <f>(V7^2)/((W7*(W7-1)))</f>
        <v>4.6358886851240123E-4</v>
      </c>
      <c r="O45">
        <f>(E45-$M$45)^2</f>
        <v>0.58987746937173557</v>
      </c>
      <c r="P45">
        <f>W7*(1-(I45/W7))</f>
        <v>6</v>
      </c>
      <c r="Q45">
        <f>(M45-$L$46)^2</f>
        <v>3.8408757170140753</v>
      </c>
      <c r="R45">
        <f>N45*((SUM(O45:O46))+P45*Q45)</f>
        <v>1.1230444623657881E-2</v>
      </c>
      <c r="AO45">
        <v>5</v>
      </c>
      <c r="AP45">
        <v>33.557639999999999</v>
      </c>
      <c r="AQ45" s="12">
        <v>149.59761</v>
      </c>
      <c r="AR45" s="1">
        <f t="shared" si="7"/>
        <v>23.427746008346457</v>
      </c>
      <c r="AS45">
        <v>6</v>
      </c>
      <c r="AU45">
        <v>5</v>
      </c>
      <c r="AV45">
        <v>2</v>
      </c>
      <c r="AW45">
        <f>(BA7/BB7)*(SUM(AR45:AR46))</f>
        <v>0.6917292772666328</v>
      </c>
      <c r="AX45">
        <f>BA7*(AV45/BB7)</f>
        <v>4.0281025803638668E-2</v>
      </c>
    </row>
    <row r="46" spans="2:51">
      <c r="B46">
        <v>5</v>
      </c>
      <c r="C46">
        <v>33.561079999999997</v>
      </c>
      <c r="D46" s="12">
        <v>149.59843000000001</v>
      </c>
      <c r="E46">
        <v>3.3041520700000002</v>
      </c>
      <c r="F46">
        <v>6</v>
      </c>
      <c r="H46">
        <v>6</v>
      </c>
      <c r="I46">
        <v>4</v>
      </c>
      <c r="J46">
        <f>(V8/W8)*(SUM(E47:E50))</f>
        <v>0.56788245779906066</v>
      </c>
      <c r="K46">
        <f>V8*(I46/W8)</f>
        <v>8.1057513179277813E-2</v>
      </c>
      <c r="L46" s="1">
        <f>(SUM(J45:J46))/(SUM(K45:K46))</f>
        <v>6.0320021052225403</v>
      </c>
      <c r="M46">
        <f>AVERAGE(E47:E50)</f>
        <v>7.0059200625000004</v>
      </c>
      <c r="N46">
        <f>(V8^2)/((W8*(W8-1)))</f>
        <v>4.6930860305777113E-4</v>
      </c>
      <c r="O46">
        <f>(E46-$M$45)^2</f>
        <v>0.58987746937173624</v>
      </c>
      <c r="P46">
        <f>W8*(1-(I46/W8))</f>
        <v>4</v>
      </c>
      <c r="Q46">
        <f>(M46-$L$46)^2</f>
        <v>0.94851618750750066</v>
      </c>
      <c r="R46">
        <f>N46*((SUM(O47:O50))+P46*Q46)</f>
        <v>8.4515405704883376E-3</v>
      </c>
      <c r="S46">
        <f>SUM(($V$7*(I45/$W$7)),($V$8*(I46/$W$8)))</f>
        <v>0.12133853898291648</v>
      </c>
      <c r="T46" s="1">
        <f>(1/(S46^2))*(SUM(R45:R46))</f>
        <v>1.3368152093932149</v>
      </c>
      <c r="AO46">
        <v>5</v>
      </c>
      <c r="AP46">
        <v>33.561079999999997</v>
      </c>
      <c r="AQ46" s="12">
        <v>149.59843000000001</v>
      </c>
      <c r="AR46" s="1">
        <f t="shared" si="7"/>
        <v>10.917420901685286</v>
      </c>
      <c r="AS46">
        <v>6</v>
      </c>
      <c r="AU46">
        <v>6</v>
      </c>
      <c r="AV46">
        <v>4</v>
      </c>
      <c r="AW46">
        <f>(BA8/BB8)*(SUM(AR47:AR50))</f>
        <v>4.2665856502480075</v>
      </c>
      <c r="AX46">
        <f>BA8*(AV46/BB8)</f>
        <v>8.1057513179277813E-2</v>
      </c>
      <c r="AY46" s="1">
        <f>(SUM(AW45:AW46))/(SUM(AX45:AX46))</f>
        <v>40.863479724382813</v>
      </c>
    </row>
    <row r="47" spans="2:51" ht="15.75" thickBot="1">
      <c r="B47">
        <v>6</v>
      </c>
      <c r="C47">
        <v>33.556710000000002</v>
      </c>
      <c r="D47" s="12">
        <v>149.59647000000001</v>
      </c>
      <c r="E47">
        <v>9.1410391999999998</v>
      </c>
      <c r="F47">
        <v>6</v>
      </c>
      <c r="I47" s="11">
        <f>SUM(I45:I46)</f>
        <v>6</v>
      </c>
      <c r="O47">
        <f>(E47-$M$46)^2</f>
        <v>4.5587337313187408</v>
      </c>
      <c r="AO47">
        <v>6</v>
      </c>
      <c r="AP47">
        <v>33.556710000000002</v>
      </c>
      <c r="AQ47" s="12">
        <v>149.59647000000001</v>
      </c>
      <c r="AR47" s="1">
        <f t="shared" si="7"/>
        <v>83.558597655936637</v>
      </c>
      <c r="AS47">
        <v>6</v>
      </c>
      <c r="AV47" s="11">
        <f>SUM(AV45:AV46)</f>
        <v>6</v>
      </c>
    </row>
    <row r="48" spans="2:51" ht="15.75" thickTop="1">
      <c r="B48">
        <v>6</v>
      </c>
      <c r="C48">
        <v>33.557290000000002</v>
      </c>
      <c r="D48" s="12">
        <v>149.59457</v>
      </c>
      <c r="E48">
        <v>7.6343352500000004</v>
      </c>
      <c r="F48">
        <v>6</v>
      </c>
      <c r="O48">
        <f t="shared" ref="O48:O50" si="18">(E48-$M$46)^2</f>
        <v>0.39490564788066007</v>
      </c>
      <c r="AO48">
        <v>6</v>
      </c>
      <c r="AP48">
        <v>33.557290000000002</v>
      </c>
      <c r="AQ48" s="12">
        <v>149.59457</v>
      </c>
      <c r="AR48" s="1">
        <f t="shared" si="7"/>
        <v>58.283074709392565</v>
      </c>
      <c r="AS48">
        <v>6</v>
      </c>
    </row>
    <row r="49" spans="2:45">
      <c r="B49">
        <v>6</v>
      </c>
      <c r="C49">
        <v>33.558419999999998</v>
      </c>
      <c r="D49" s="12">
        <v>149.59792999999999</v>
      </c>
      <c r="E49">
        <v>3.9745730099999999</v>
      </c>
      <c r="F49">
        <v>6</v>
      </c>
      <c r="O49">
        <f t="shared" si="18"/>
        <v>9.1890649527004413</v>
      </c>
      <c r="AO49">
        <v>6</v>
      </c>
      <c r="AP49">
        <v>33.558419999999998</v>
      </c>
      <c r="AQ49" s="12">
        <v>149.59792999999999</v>
      </c>
      <c r="AR49" s="1">
        <f t="shared" si="7"/>
        <v>15.797230611820458</v>
      </c>
      <c r="AS49">
        <v>6</v>
      </c>
    </row>
    <row r="50" spans="2:45">
      <c r="B50">
        <v>6</v>
      </c>
      <c r="C50">
        <v>33.563279999999999</v>
      </c>
      <c r="D50" s="12">
        <v>149.59952999999999</v>
      </c>
      <c r="E50">
        <v>7.2737327900000004</v>
      </c>
      <c r="F50">
        <v>6</v>
      </c>
      <c r="O50">
        <f t="shared" si="18"/>
        <v>7.1723657010989234E-2</v>
      </c>
      <c r="AO50">
        <v>6</v>
      </c>
      <c r="AP50">
        <v>33.563279999999999</v>
      </c>
      <c r="AQ50" s="12">
        <v>149.59952999999999</v>
      </c>
      <c r="AR50" s="1">
        <f t="shared" si="7"/>
        <v>52.907188700321193</v>
      </c>
      <c r="AS50">
        <v>6</v>
      </c>
    </row>
    <row r="52" spans="2:45" ht="15.75" thickBot="1">
      <c r="S52" s="11">
        <f>SUM(S4:S46)</f>
        <v>1</v>
      </c>
    </row>
    <row r="53" spans="2:45" ht="15.75" thickTop="1"/>
  </sheetData>
  <conditionalFormatting sqref="B3:B50 F3:F50 AO3:AO50 AS3:AS50">
    <cfRule type="cellIs" dxfId="0" priority="3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All_obs_spring</vt:lpstr>
      <vt:lpstr>010_full_obs_400kg (new_calcs)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Ichsani Wheeler</cp:lastModifiedBy>
  <dcterms:created xsi:type="dcterms:W3CDTF">2011-08-25T02:45:42Z</dcterms:created>
  <dcterms:modified xsi:type="dcterms:W3CDTF">2012-05-01T10:47:24Z</dcterms:modified>
</cp:coreProperties>
</file>