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manzoor\Desktop\Suncor\Interfaces\Terra Nova\Montreal Sulphur\Tests\Pull from Blob\"/>
    </mc:Choice>
  </mc:AlternateContent>
  <xr:revisionPtr revIDLastSave="0" documentId="8_{4E01ED1D-9113-43A9-9D66-B95DE22D6208}" xr6:coauthVersionLast="44" xr6:coauthVersionMax="44" xr10:uidLastSave="{00000000-0000-0000-0000-000000000000}"/>
  <bookViews>
    <workbookView xWindow="-110" yWindow="-110" windowWidth="19420" windowHeight="10420" tabRatio="710" xr2:uid="{00000000-000D-0000-FFFF-FFFF00000000}"/>
  </bookViews>
  <sheets>
    <sheet name="SUMMARY" sheetId="26" r:id="rId1"/>
    <sheet name="JAN" sheetId="1" r:id="rId2"/>
    <sheet name="FEB" sheetId="27" r:id="rId3"/>
    <sheet name="MAR" sheetId="15" r:id="rId4"/>
    <sheet name="APR" sheetId="23" r:id="rId5"/>
    <sheet name="MAY" sheetId="24" r:id="rId6"/>
    <sheet name="JUN" sheetId="16" r:id="rId7"/>
    <sheet name="JUL" sheetId="17" r:id="rId8"/>
    <sheet name="AUG" sheetId="18" r:id="rId9"/>
    <sheet name="SEP" sheetId="19" r:id="rId10"/>
    <sheet name="OCT" sheetId="20" r:id="rId11"/>
    <sheet name="NOV" sheetId="21" r:id="rId12"/>
    <sheet name="DEC" sheetId="25" r:id="rId13"/>
    <sheet name="Graph1" sheetId="28" r:id="rId14"/>
  </sheets>
  <externalReferences>
    <externalReference r:id="rId15"/>
    <externalReference r:id="rId16"/>
    <externalReference r:id="rId17"/>
  </externalReferences>
  <definedNames>
    <definedName name="\0" localSheetId="2">#REF!</definedName>
    <definedName name="\0">#REF!</definedName>
    <definedName name="\m" localSheetId="2">#REF!</definedName>
    <definedName name="\m">#REF!</definedName>
    <definedName name="_Fill" localSheetId="2" hidden="1">#REF!</definedName>
    <definedName name="_Fill" hidden="1">#REF!</definedName>
    <definedName name="ACID" localSheetId="2">#REF!</definedName>
    <definedName name="ACID">#REF!</definedName>
    <definedName name="MENU" localSheetId="2">#REF!</definedName>
    <definedName name="MENU">#REF!</definedName>
    <definedName name="_xlnm.Print_Area" localSheetId="4">APR!$A$1:$S$41</definedName>
    <definedName name="_xlnm.Print_Area" localSheetId="8">AUG!$A$1:$S$41</definedName>
    <definedName name="_xlnm.Print_Area" localSheetId="12">DEC!$A$1:$S$41</definedName>
    <definedName name="_xlnm.Print_Area" localSheetId="2">FEB!$A$1:$S$41</definedName>
    <definedName name="_xlnm.Print_Area" localSheetId="1">JAN!$A$1:$S$41</definedName>
    <definedName name="_xlnm.Print_Area" localSheetId="7">JUL!$A$1:$S$41</definedName>
    <definedName name="_xlnm.Print_Area" localSheetId="6">JUN!$A$1:$S$41</definedName>
    <definedName name="_xlnm.Print_Area" localSheetId="3">MAR!$A$1:$S$41</definedName>
    <definedName name="_xlnm.Print_Area" localSheetId="5">MAY!$A$1:$S$41</definedName>
    <definedName name="_xlnm.Print_Area" localSheetId="11">NOV!$A$1:$S$41</definedName>
    <definedName name="_xlnm.Print_Area" localSheetId="10">OCT!$A$1:$S$41</definedName>
    <definedName name="_xlnm.Print_Area" localSheetId="9">SEP!$A$1:$S$41</definedName>
    <definedName name="SAVE" localSheetId="2">#REF!</definedName>
    <definedName name="SAVE">#REF!</definedName>
    <definedName name="SULPHUR" localSheetId="2">#REF!</definedName>
    <definedName name="SULPHUR">#REF!</definedName>
    <definedName name="TABLE" localSheetId="2">#REF!</definedName>
    <definedName name="TABLE">#REF!</definedName>
    <definedName name="UNI_AA_VERSION" hidden="1">"320.2.3"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" i="19" l="1"/>
  <c r="E35" i="19"/>
  <c r="H35" i="19"/>
  <c r="K35" i="19"/>
  <c r="R35" i="19"/>
  <c r="B36" i="19"/>
  <c r="E36" i="19"/>
  <c r="H36" i="19"/>
  <c r="K36" i="19"/>
  <c r="R36" i="19"/>
  <c r="N36" i="19" l="1"/>
  <c r="N35" i="19"/>
  <c r="B8" i="19"/>
  <c r="E8" i="19"/>
  <c r="H8" i="19"/>
  <c r="K8" i="19"/>
  <c r="N8" i="19" s="1"/>
  <c r="R8" i="19"/>
  <c r="B9" i="19"/>
  <c r="E9" i="19"/>
  <c r="H9" i="19"/>
  <c r="K9" i="19"/>
  <c r="N9" i="19" s="1"/>
  <c r="R9" i="19"/>
  <c r="B10" i="19"/>
  <c r="E10" i="19"/>
  <c r="H10" i="19"/>
  <c r="K10" i="19"/>
  <c r="N10" i="19" s="1"/>
  <c r="R10" i="19"/>
  <c r="B11" i="19"/>
  <c r="E11" i="19"/>
  <c r="H11" i="19"/>
  <c r="K11" i="19"/>
  <c r="N11" i="19" s="1"/>
  <c r="R11" i="19"/>
  <c r="B12" i="19"/>
  <c r="E12" i="19"/>
  <c r="H12" i="19"/>
  <c r="K12" i="19"/>
  <c r="N12" i="19" s="1"/>
  <c r="R12" i="19"/>
  <c r="B13" i="19"/>
  <c r="E13" i="19"/>
  <c r="H13" i="19"/>
  <c r="K13" i="19"/>
  <c r="N13" i="19" s="1"/>
  <c r="R13" i="19"/>
  <c r="B14" i="19"/>
  <c r="E14" i="19"/>
  <c r="H14" i="19"/>
  <c r="K14" i="19"/>
  <c r="N14" i="19" s="1"/>
  <c r="R14" i="19"/>
  <c r="B15" i="19"/>
  <c r="E15" i="19"/>
  <c r="H15" i="19"/>
  <c r="K15" i="19"/>
  <c r="N15" i="19" s="1"/>
  <c r="R15" i="19"/>
  <c r="B16" i="19"/>
  <c r="E16" i="19"/>
  <c r="H16" i="19"/>
  <c r="K16" i="19"/>
  <c r="N16" i="19" s="1"/>
  <c r="R16" i="19"/>
  <c r="B17" i="19"/>
  <c r="E17" i="19"/>
  <c r="H17" i="19"/>
  <c r="K17" i="19"/>
  <c r="N17" i="19" s="1"/>
  <c r="R17" i="19"/>
  <c r="B18" i="19"/>
  <c r="E18" i="19"/>
  <c r="H18" i="19"/>
  <c r="K18" i="19"/>
  <c r="N18" i="19" s="1"/>
  <c r="R18" i="19"/>
  <c r="B19" i="19"/>
  <c r="E19" i="19"/>
  <c r="H19" i="19"/>
  <c r="K19" i="19"/>
  <c r="N19" i="19" s="1"/>
  <c r="R19" i="19"/>
  <c r="B20" i="19"/>
  <c r="E20" i="19"/>
  <c r="H20" i="19"/>
  <c r="K20" i="19"/>
  <c r="N20" i="19" s="1"/>
  <c r="R20" i="19"/>
  <c r="B21" i="19"/>
  <c r="E21" i="19"/>
  <c r="H21" i="19"/>
  <c r="K21" i="19"/>
  <c r="N21" i="19" s="1"/>
  <c r="R21" i="19"/>
  <c r="B22" i="19"/>
  <c r="E22" i="19"/>
  <c r="H22" i="19"/>
  <c r="K22" i="19"/>
  <c r="N22" i="19" s="1"/>
  <c r="R22" i="19"/>
  <c r="B23" i="19"/>
  <c r="E23" i="19"/>
  <c r="H23" i="19"/>
  <c r="K23" i="19"/>
  <c r="N23" i="19" s="1"/>
  <c r="R23" i="19"/>
  <c r="B24" i="19"/>
  <c r="E24" i="19"/>
  <c r="H24" i="19"/>
  <c r="K24" i="19"/>
  <c r="N24" i="19" s="1"/>
  <c r="R24" i="19"/>
  <c r="B25" i="19"/>
  <c r="E25" i="19"/>
  <c r="H25" i="19"/>
  <c r="K25" i="19"/>
  <c r="N25" i="19" s="1"/>
  <c r="R25" i="19"/>
  <c r="B26" i="19"/>
  <c r="E26" i="19"/>
  <c r="H26" i="19"/>
  <c r="K26" i="19"/>
  <c r="N26" i="19" s="1"/>
  <c r="R26" i="19"/>
  <c r="B27" i="19"/>
  <c r="E27" i="19"/>
  <c r="H27" i="19"/>
  <c r="K27" i="19"/>
  <c r="N27" i="19"/>
  <c r="R27" i="19"/>
  <c r="B28" i="19"/>
  <c r="E28" i="19"/>
  <c r="H28" i="19"/>
  <c r="K28" i="19"/>
  <c r="N28" i="19" s="1"/>
  <c r="R28" i="19"/>
  <c r="B29" i="19"/>
  <c r="E29" i="19"/>
  <c r="H29" i="19"/>
  <c r="K29" i="19"/>
  <c r="N29" i="19" s="1"/>
  <c r="R29" i="19"/>
  <c r="B30" i="19"/>
  <c r="E30" i="19"/>
  <c r="H30" i="19"/>
  <c r="K30" i="19"/>
  <c r="N30" i="19" s="1"/>
  <c r="R30" i="19"/>
  <c r="B31" i="19"/>
  <c r="E31" i="19"/>
  <c r="H31" i="19"/>
  <c r="K31" i="19"/>
  <c r="N31" i="19" s="1"/>
  <c r="R31" i="19"/>
  <c r="B32" i="19"/>
  <c r="E32" i="19"/>
  <c r="H32" i="19"/>
  <c r="K32" i="19"/>
  <c r="N32" i="19" s="1"/>
  <c r="R32" i="19"/>
  <c r="B33" i="19"/>
  <c r="E33" i="19"/>
  <c r="H33" i="19"/>
  <c r="K33" i="19"/>
  <c r="N33" i="19" s="1"/>
  <c r="R33" i="19"/>
  <c r="B34" i="19"/>
  <c r="E34" i="19"/>
  <c r="H34" i="19"/>
  <c r="K34" i="19"/>
  <c r="N34" i="19" s="1"/>
  <c r="R34" i="19"/>
  <c r="B7" i="17" l="1"/>
  <c r="E7" i="17"/>
  <c r="H7" i="17"/>
  <c r="K7" i="17"/>
  <c r="N7" i="17" s="1"/>
  <c r="R7" i="17"/>
  <c r="B7" i="27" l="1"/>
  <c r="E7" i="27"/>
  <c r="H7" i="27"/>
  <c r="K7" i="27"/>
  <c r="N7" i="27" s="1"/>
  <c r="R7" i="27"/>
  <c r="R7" i="1" a="1"/>
  <c r="R7" i="1" s="1"/>
  <c r="K7" i="1" a="1"/>
  <c r="K7" i="1" s="1"/>
  <c r="H7" i="1" a="1"/>
  <c r="H7" i="1" s="1"/>
  <c r="E7" i="1" a="1"/>
  <c r="E7" i="1" s="1"/>
  <c r="B7" i="1"/>
  <c r="C7" i="26" l="1"/>
  <c r="R7" i="25" l="1"/>
  <c r="K7" i="25"/>
  <c r="N7" i="25" s="1"/>
  <c r="H7" i="25"/>
  <c r="E7" i="25"/>
  <c r="B7" i="25"/>
  <c r="R7" i="21"/>
  <c r="K7" i="21"/>
  <c r="N7" i="21" s="1"/>
  <c r="H7" i="21"/>
  <c r="E7" i="21"/>
  <c r="B7" i="21"/>
  <c r="R7" i="20"/>
  <c r="K7" i="20"/>
  <c r="N7" i="20" s="1"/>
  <c r="H7" i="20"/>
  <c r="E7" i="20"/>
  <c r="B7" i="20"/>
  <c r="R7" i="19"/>
  <c r="K7" i="19"/>
  <c r="N7" i="19" s="1"/>
  <c r="H7" i="19"/>
  <c r="E7" i="19"/>
  <c r="B7" i="19"/>
  <c r="R7" i="18"/>
  <c r="K7" i="18"/>
  <c r="N7" i="18" s="1"/>
  <c r="H7" i="18"/>
  <c r="E7" i="18"/>
  <c r="B7" i="18"/>
  <c r="R7" i="16"/>
  <c r="K7" i="16"/>
  <c r="N7" i="16" s="1"/>
  <c r="H7" i="16"/>
  <c r="E7" i="16"/>
  <c r="B7" i="16"/>
  <c r="R7" i="24"/>
  <c r="K7" i="24"/>
  <c r="N7" i="24" s="1"/>
  <c r="H7" i="24"/>
  <c r="E7" i="24"/>
  <c r="B7" i="24"/>
  <c r="R7" i="23"/>
  <c r="K7" i="23"/>
  <c r="N7" i="23" s="1"/>
  <c r="H7" i="23"/>
  <c r="E7" i="23"/>
  <c r="B7" i="23"/>
  <c r="R7" i="15"/>
  <c r="K7" i="15"/>
  <c r="N7" i="15" s="1"/>
  <c r="H7" i="15"/>
  <c r="E7" i="15"/>
  <c r="B7" i="15"/>
  <c r="N7" i="1" l="1"/>
  <c r="A3" i="1" l="1"/>
  <c r="S7" i="1" l="1" a="1"/>
  <c r="S7" i="1" s="1"/>
  <c r="A3" i="17"/>
  <c r="S7" i="17" l="1"/>
  <c r="L7" i="17"/>
  <c r="C7" i="17"/>
  <c r="F7" i="17"/>
  <c r="I7" i="17"/>
  <c r="H3" i="27"/>
  <c r="O7" i="27" l="1"/>
  <c r="H3" i="15"/>
  <c r="O7" i="15" l="1"/>
  <c r="A2" i="27"/>
  <c r="A2" i="15" l="1"/>
  <c r="A2" i="23"/>
  <c r="A2" i="24"/>
  <c r="A2" i="16"/>
  <c r="A2" i="17"/>
  <c r="A2" i="18"/>
  <c r="A2" i="19"/>
  <c r="A2" i="20"/>
  <c r="A2" i="21"/>
  <c r="A2" i="25"/>
  <c r="A2" i="1"/>
  <c r="H3" i="23"/>
  <c r="H3" i="24"/>
  <c r="H3" i="16"/>
  <c r="H3" i="17"/>
  <c r="H3" i="18"/>
  <c r="H3" i="19"/>
  <c r="H3" i="20"/>
  <c r="O7" i="20" s="1"/>
  <c r="H3" i="21"/>
  <c r="O7" i="21" s="1"/>
  <c r="H3" i="25"/>
  <c r="O7" i="25" s="1"/>
  <c r="O35" i="19" l="1"/>
  <c r="O36" i="19"/>
  <c r="O7" i="19"/>
  <c r="O17" i="19"/>
  <c r="O25" i="19"/>
  <c r="O33" i="19"/>
  <c r="O19" i="19"/>
  <c r="O31" i="19"/>
  <c r="O11" i="19"/>
  <c r="O24" i="19"/>
  <c r="O14" i="19"/>
  <c r="O10" i="19"/>
  <c r="O27" i="19"/>
  <c r="O34" i="19"/>
  <c r="O28" i="19"/>
  <c r="O22" i="19"/>
  <c r="O29" i="19"/>
  <c r="O21" i="19"/>
  <c r="O18" i="19"/>
  <c r="O9" i="19"/>
  <c r="O30" i="19"/>
  <c r="O15" i="19"/>
  <c r="O8" i="19"/>
  <c r="O32" i="19"/>
  <c r="O16" i="19"/>
  <c r="O12" i="19"/>
  <c r="O26" i="19"/>
  <c r="O20" i="19"/>
  <c r="O23" i="19"/>
  <c r="O13" i="19"/>
  <c r="O7" i="18"/>
  <c r="O7" i="17"/>
  <c r="O7" i="16"/>
  <c r="O7" i="24"/>
  <c r="O7" i="23"/>
  <c r="R38" i="17"/>
  <c r="R38" i="18"/>
  <c r="R38" i="1"/>
  <c r="R38" i="15"/>
  <c r="R38" i="16"/>
  <c r="R38" i="23"/>
  <c r="R38" i="27"/>
  <c r="R38" i="24"/>
  <c r="R38" i="19" l="1"/>
  <c r="R38" i="20" l="1"/>
  <c r="R38" i="25" l="1"/>
  <c r="R38" i="21" l="1"/>
  <c r="A3" i="16" l="1"/>
  <c r="A3" i="15"/>
  <c r="A3" i="20"/>
  <c r="A3" i="21"/>
  <c r="A3" i="19"/>
  <c r="S7" i="19" s="1"/>
  <c r="A3" i="23"/>
  <c r="A3" i="24"/>
  <c r="A3" i="18"/>
  <c r="A3" i="27"/>
  <c r="S36" i="19" l="1"/>
  <c r="S35" i="19"/>
  <c r="L35" i="19"/>
  <c r="C35" i="19"/>
  <c r="F35" i="19"/>
  <c r="F36" i="19"/>
  <c r="I35" i="19"/>
  <c r="L36" i="19"/>
  <c r="M36" i="19" s="1"/>
  <c r="I36" i="19"/>
  <c r="J36" i="19" s="1"/>
  <c r="C36" i="19"/>
  <c r="D36" i="19" s="1"/>
  <c r="S8" i="19"/>
  <c r="I9" i="19"/>
  <c r="C12" i="19"/>
  <c r="C14" i="19"/>
  <c r="C16" i="19"/>
  <c r="S18" i="19"/>
  <c r="I19" i="19"/>
  <c r="S19" i="19"/>
  <c r="C24" i="19"/>
  <c r="S26" i="19"/>
  <c r="I27" i="19"/>
  <c r="S27" i="19"/>
  <c r="C32" i="19"/>
  <c r="L32" i="19"/>
  <c r="S33" i="19"/>
  <c r="S9" i="19"/>
  <c r="S10" i="19"/>
  <c r="S12" i="19"/>
  <c r="S14" i="19"/>
  <c r="S16" i="19"/>
  <c r="S17" i="19"/>
  <c r="S24" i="19"/>
  <c r="S25" i="19"/>
  <c r="I33" i="19"/>
  <c r="C34" i="19"/>
  <c r="S11" i="19"/>
  <c r="S13" i="19"/>
  <c r="S15" i="19"/>
  <c r="C20" i="19"/>
  <c r="S22" i="19"/>
  <c r="I23" i="19"/>
  <c r="S23" i="19"/>
  <c r="C28" i="19"/>
  <c r="S30" i="19"/>
  <c r="I31" i="19"/>
  <c r="S31" i="19"/>
  <c r="S32" i="19"/>
  <c r="S20" i="19"/>
  <c r="S21" i="19"/>
  <c r="S28" i="19"/>
  <c r="S29" i="19"/>
  <c r="S34" i="19"/>
  <c r="I17" i="19"/>
  <c r="C30" i="19"/>
  <c r="D30" i="19" s="1"/>
  <c r="I13" i="19"/>
  <c r="L31" i="19"/>
  <c r="F25" i="19"/>
  <c r="I22" i="19"/>
  <c r="F15" i="19"/>
  <c r="F11" i="19"/>
  <c r="F30" i="19"/>
  <c r="L25" i="19"/>
  <c r="C17" i="19"/>
  <c r="D17" i="19" s="1"/>
  <c r="C13" i="19"/>
  <c r="D13" i="19" s="1"/>
  <c r="F9" i="19"/>
  <c r="F29" i="19"/>
  <c r="I26" i="19"/>
  <c r="L19" i="19"/>
  <c r="M19" i="19" s="1"/>
  <c r="F14" i="19"/>
  <c r="L8" i="19"/>
  <c r="C29" i="19"/>
  <c r="D29" i="19" s="1"/>
  <c r="F23" i="19"/>
  <c r="G23" i="19" s="1"/>
  <c r="I20" i="19"/>
  <c r="J20" i="19" s="1"/>
  <c r="L30" i="19"/>
  <c r="L22" i="19"/>
  <c r="L14" i="19"/>
  <c r="M14" i="19" s="1"/>
  <c r="I15" i="19"/>
  <c r="L11" i="19"/>
  <c r="C18" i="19"/>
  <c r="D18" i="19" s="1"/>
  <c r="C26" i="19"/>
  <c r="D26" i="19" s="1"/>
  <c r="I25" i="19"/>
  <c r="I10" i="19"/>
  <c r="J10" i="19" s="1"/>
  <c r="C31" i="19"/>
  <c r="F20" i="19"/>
  <c r="C25" i="19"/>
  <c r="D25" i="19" s="1"/>
  <c r="F19" i="19"/>
  <c r="G19" i="19" s="1"/>
  <c r="I16" i="19"/>
  <c r="I12" i="19"/>
  <c r="J12" i="19" s="1"/>
  <c r="F24" i="19"/>
  <c r="C19" i="19"/>
  <c r="D19" i="19" s="1"/>
  <c r="F12" i="19"/>
  <c r="F8" i="19"/>
  <c r="F31" i="19"/>
  <c r="G31" i="19" s="1"/>
  <c r="I28" i="19"/>
  <c r="J28" i="19" s="1"/>
  <c r="F18" i="19"/>
  <c r="F10" i="19"/>
  <c r="G10" i="19" s="1"/>
  <c r="L28" i="19"/>
  <c r="L20" i="19"/>
  <c r="L12" i="19"/>
  <c r="C10" i="19"/>
  <c r="L13" i="19"/>
  <c r="I21" i="19"/>
  <c r="J21" i="19" s="1"/>
  <c r="C33" i="19"/>
  <c r="D33" i="19" s="1"/>
  <c r="I30" i="19"/>
  <c r="L23" i="19"/>
  <c r="F17" i="19"/>
  <c r="G17" i="19" s="1"/>
  <c r="F13" i="19"/>
  <c r="G13" i="19" s="1"/>
  <c r="F34" i="19"/>
  <c r="G34" i="19" s="1"/>
  <c r="F27" i="19"/>
  <c r="I24" i="19"/>
  <c r="J24" i="19" s="1"/>
  <c r="C15" i="19"/>
  <c r="D15" i="19" s="1"/>
  <c r="C11" i="19"/>
  <c r="D11" i="19" s="1"/>
  <c r="I34" i="19"/>
  <c r="L27" i="19"/>
  <c r="F21" i="19"/>
  <c r="I18" i="19"/>
  <c r="J18" i="19" s="1"/>
  <c r="L33" i="19"/>
  <c r="M33" i="19" s="1"/>
  <c r="F26" i="19"/>
  <c r="G26" i="19" s="1"/>
  <c r="L21" i="19"/>
  <c r="L26" i="19"/>
  <c r="L18" i="19"/>
  <c r="L10" i="19"/>
  <c r="C22" i="19"/>
  <c r="I8" i="19"/>
  <c r="I11" i="19"/>
  <c r="I29" i="19"/>
  <c r="J29" i="19" s="1"/>
  <c r="L15" i="19"/>
  <c r="F28" i="19"/>
  <c r="G28" i="19" s="1"/>
  <c r="C23" i="19"/>
  <c r="I32" i="19"/>
  <c r="J32" i="19" s="1"/>
  <c r="F22" i="19"/>
  <c r="G22" i="19" s="1"/>
  <c r="L17" i="19"/>
  <c r="M17" i="19" s="1"/>
  <c r="I14" i="19"/>
  <c r="L9" i="19"/>
  <c r="M9" i="19" s="1"/>
  <c r="F32" i="19"/>
  <c r="C27" i="19"/>
  <c r="D27" i="19" s="1"/>
  <c r="F16" i="19"/>
  <c r="C9" i="19"/>
  <c r="F33" i="19"/>
  <c r="G33" i="19" s="1"/>
  <c r="L29" i="19"/>
  <c r="M29" i="19" s="1"/>
  <c r="C21" i="19"/>
  <c r="D21" i="19" s="1"/>
  <c r="C8" i="19"/>
  <c r="L34" i="19"/>
  <c r="L24" i="19"/>
  <c r="M24" i="19" s="1"/>
  <c r="L16" i="19"/>
  <c r="S7" i="27"/>
  <c r="I7" i="27"/>
  <c r="C7" i="27"/>
  <c r="F7" i="27"/>
  <c r="L7" i="27"/>
  <c r="S7" i="18"/>
  <c r="L7" i="18"/>
  <c r="C7" i="18"/>
  <c r="I7" i="18"/>
  <c r="F7" i="18"/>
  <c r="S7" i="20"/>
  <c r="I7" i="20"/>
  <c r="F7" i="20"/>
  <c r="C7" i="20"/>
  <c r="L7" i="20"/>
  <c r="S7" i="23"/>
  <c r="F7" i="23"/>
  <c r="L7" i="23"/>
  <c r="C7" i="23"/>
  <c r="I7" i="23"/>
  <c r="S7" i="15"/>
  <c r="I7" i="15"/>
  <c r="F7" i="15"/>
  <c r="L7" i="15"/>
  <c r="C7" i="15"/>
  <c r="S7" i="21"/>
  <c r="F7" i="21"/>
  <c r="C7" i="21"/>
  <c r="L7" i="21"/>
  <c r="I7" i="21"/>
  <c r="S7" i="24"/>
  <c r="F7" i="24"/>
  <c r="C7" i="24"/>
  <c r="I7" i="24"/>
  <c r="L7" i="24"/>
  <c r="C7" i="19"/>
  <c r="I7" i="19"/>
  <c r="L7" i="19"/>
  <c r="F7" i="19"/>
  <c r="S7" i="16"/>
  <c r="C7" i="16"/>
  <c r="L7" i="16"/>
  <c r="I7" i="16"/>
  <c r="F7" i="16"/>
  <c r="I7" i="1"/>
  <c r="C7" i="1"/>
  <c r="F7" i="1"/>
  <c r="L7" i="1"/>
  <c r="A3" i="25"/>
  <c r="J34" i="19" l="1"/>
  <c r="D35" i="19"/>
  <c r="M26" i="19"/>
  <c r="J30" i="19"/>
  <c r="D10" i="19"/>
  <c r="G20" i="19"/>
  <c r="M31" i="19"/>
  <c r="J35" i="19"/>
  <c r="M35" i="19"/>
  <c r="G36" i="19"/>
  <c r="P36" i="19" s="1"/>
  <c r="Q36" i="19" s="1"/>
  <c r="G35" i="19"/>
  <c r="M34" i="19"/>
  <c r="G32" i="19"/>
  <c r="D22" i="19"/>
  <c r="J16" i="19"/>
  <c r="J26" i="19"/>
  <c r="P26" i="19" s="1"/>
  <c r="Q26" i="19" s="1"/>
  <c r="G15" i="19"/>
  <c r="D8" i="19"/>
  <c r="D9" i="19"/>
  <c r="M10" i="19"/>
  <c r="P10" i="19" s="1"/>
  <c r="Q10" i="19" s="1"/>
  <c r="M27" i="19"/>
  <c r="M20" i="19"/>
  <c r="M11" i="19"/>
  <c r="M30" i="19"/>
  <c r="M8" i="19"/>
  <c r="G29" i="19"/>
  <c r="M25" i="19"/>
  <c r="J22" i="19"/>
  <c r="J33" i="19"/>
  <c r="P33" i="19" s="1"/>
  <c r="Q33" i="19" s="1"/>
  <c r="D14" i="19"/>
  <c r="M16" i="19"/>
  <c r="G16" i="19"/>
  <c r="J14" i="19"/>
  <c r="D23" i="19"/>
  <c r="J11" i="19"/>
  <c r="M18" i="19"/>
  <c r="G27" i="19"/>
  <c r="M23" i="19"/>
  <c r="M13" i="19"/>
  <c r="M28" i="19"/>
  <c r="G24" i="19"/>
  <c r="J25" i="19"/>
  <c r="J15" i="19"/>
  <c r="G14" i="19"/>
  <c r="G9" i="19"/>
  <c r="G30" i="19"/>
  <c r="G25" i="19"/>
  <c r="J17" i="19"/>
  <c r="P17" i="19" s="1"/>
  <c r="Q17" i="19" s="1"/>
  <c r="J31" i="19"/>
  <c r="J23" i="19"/>
  <c r="P23" i="19" s="1"/>
  <c r="Q23" i="19" s="1"/>
  <c r="J27" i="19"/>
  <c r="J19" i="19"/>
  <c r="P19" i="19" s="1"/>
  <c r="Q19" i="19" s="1"/>
  <c r="D12" i="19"/>
  <c r="P29" i="19"/>
  <c r="Q29" i="19" s="1"/>
  <c r="J8" i="19"/>
  <c r="G8" i="19"/>
  <c r="G11" i="19"/>
  <c r="M32" i="19"/>
  <c r="J9" i="19"/>
  <c r="M15" i="19"/>
  <c r="P15" i="19" s="1"/>
  <c r="Q15" i="19" s="1"/>
  <c r="M21" i="19"/>
  <c r="G21" i="19"/>
  <c r="M12" i="19"/>
  <c r="G18" i="19"/>
  <c r="P18" i="19" s="1"/>
  <c r="Q18" i="19" s="1"/>
  <c r="G12" i="19"/>
  <c r="D31" i="19"/>
  <c r="P31" i="19" s="1"/>
  <c r="Q31" i="19" s="1"/>
  <c r="M22" i="19"/>
  <c r="J13" i="19"/>
  <c r="D28" i="19"/>
  <c r="D20" i="19"/>
  <c r="P20" i="19" s="1"/>
  <c r="Q20" i="19" s="1"/>
  <c r="D34" i="19"/>
  <c r="D32" i="19"/>
  <c r="D24" i="19"/>
  <c r="P24" i="19" s="1"/>
  <c r="Q24" i="19" s="1"/>
  <c r="D16" i="19"/>
  <c r="S7" i="25"/>
  <c r="C7" i="25"/>
  <c r="I7" i="25"/>
  <c r="F7" i="25"/>
  <c r="L7" i="25"/>
  <c r="G7" i="1"/>
  <c r="D7" i="26"/>
  <c r="F6" i="27"/>
  <c r="G7" i="27" s="1"/>
  <c r="M7" i="1"/>
  <c r="C6" i="27"/>
  <c r="D7" i="27" s="1"/>
  <c r="L6" i="27"/>
  <c r="M7" i="27" s="1"/>
  <c r="I6" i="27"/>
  <c r="J7" i="27" s="1"/>
  <c r="J7" i="1"/>
  <c r="D7" i="1"/>
  <c r="P22" i="19" l="1"/>
  <c r="Q22" i="19" s="1"/>
  <c r="P30" i="19"/>
  <c r="Q30" i="19" s="1"/>
  <c r="P34" i="19"/>
  <c r="Q34" i="19" s="1"/>
  <c r="P28" i="19"/>
  <c r="Q28" i="19" s="1"/>
  <c r="P35" i="19"/>
  <c r="Q35" i="19" s="1"/>
  <c r="P32" i="19"/>
  <c r="Q32" i="19" s="1"/>
  <c r="P11" i="19"/>
  <c r="Q11" i="19" s="1"/>
  <c r="P25" i="19"/>
  <c r="Q25" i="19" s="1"/>
  <c r="P21" i="19"/>
  <c r="Q21" i="19" s="1"/>
  <c r="P14" i="19"/>
  <c r="Q14" i="19" s="1"/>
  <c r="P12" i="19"/>
  <c r="Q12" i="19" s="1"/>
  <c r="P9" i="19"/>
  <c r="Q9" i="19" s="1"/>
  <c r="P13" i="19"/>
  <c r="Q13" i="19" s="1"/>
  <c r="P16" i="19"/>
  <c r="Q16" i="19" s="1"/>
  <c r="P27" i="19"/>
  <c r="Q27" i="19" s="1"/>
  <c r="P8" i="19"/>
  <c r="Q8" i="19" s="1"/>
  <c r="P7" i="27"/>
  <c r="Q7" i="27" s="1"/>
  <c r="J38" i="27"/>
  <c r="I38" i="27" s="1"/>
  <c r="M38" i="27"/>
  <c r="L38" i="27" s="1"/>
  <c r="G38" i="27"/>
  <c r="F38" i="27" s="1"/>
  <c r="G38" i="1"/>
  <c r="F38" i="1" s="1"/>
  <c r="J38" i="1"/>
  <c r="I38" i="1" s="1"/>
  <c r="M38" i="1"/>
  <c r="L38" i="1" s="1"/>
  <c r="D38" i="1"/>
  <c r="G7" i="15" l="1"/>
  <c r="G38" i="15" s="1"/>
  <c r="F38" i="15" s="1"/>
  <c r="M7" i="15"/>
  <c r="M38" i="15" s="1"/>
  <c r="L38" i="15" s="1"/>
  <c r="J7" i="15"/>
  <c r="J38" i="15" s="1"/>
  <c r="I38" i="15" s="1"/>
  <c r="D38" i="27"/>
  <c r="E8" i="26"/>
  <c r="C38" i="1"/>
  <c r="H40" i="1" s="1"/>
  <c r="C8" i="26" s="1"/>
  <c r="J7" i="23" l="1"/>
  <c r="J38" i="23" s="1"/>
  <c r="I38" i="23" s="1"/>
  <c r="G7" i="23"/>
  <c r="G38" i="23" s="1"/>
  <c r="F38" i="23" s="1"/>
  <c r="M7" i="23"/>
  <c r="H41" i="1"/>
  <c r="J41" i="1" s="1"/>
  <c r="D8" i="26"/>
  <c r="R41" i="1"/>
  <c r="M8" i="26" s="1"/>
  <c r="E9" i="26"/>
  <c r="C38" i="27"/>
  <c r="J7" i="24" l="1"/>
  <c r="J38" i="24" s="1"/>
  <c r="I38" i="24" s="1"/>
  <c r="I6" i="16" s="1"/>
  <c r="G7" i="24"/>
  <c r="G38" i="24" s="1"/>
  <c r="F38" i="24" s="1"/>
  <c r="F6" i="16" s="1"/>
  <c r="M38" i="23"/>
  <c r="L38" i="23" s="1"/>
  <c r="D7" i="15"/>
  <c r="P7" i="15" s="1"/>
  <c r="Q7" i="15" s="1"/>
  <c r="H40" i="27"/>
  <c r="J7" i="16" l="1"/>
  <c r="J38" i="16" s="1"/>
  <c r="I38" i="16" s="1"/>
  <c r="I6" i="17" s="1"/>
  <c r="J7" i="17" s="1"/>
  <c r="G7" i="16"/>
  <c r="G38" i="16" s="1"/>
  <c r="F38" i="16" s="1"/>
  <c r="F6" i="17" s="1"/>
  <c r="G7" i="17" s="1"/>
  <c r="M7" i="24"/>
  <c r="R41" i="27"/>
  <c r="M9" i="26" s="1"/>
  <c r="C9" i="26"/>
  <c r="D9" i="26" s="1"/>
  <c r="H41" i="27"/>
  <c r="J41" i="27" s="1"/>
  <c r="G38" i="17" l="1"/>
  <c r="F38" i="17" s="1"/>
  <c r="J38" i="17"/>
  <c r="I38" i="17" s="1"/>
  <c r="I6" i="18" s="1"/>
  <c r="J7" i="18" s="1"/>
  <c r="J38" i="18" s="1"/>
  <c r="I38" i="18" s="1"/>
  <c r="I6" i="19" s="1"/>
  <c r="M38" i="24"/>
  <c r="L38" i="24" s="1"/>
  <c r="L6" i="16" s="1"/>
  <c r="D38" i="15"/>
  <c r="F6" i="18" l="1"/>
  <c r="G7" i="18" s="1"/>
  <c r="G38" i="18" s="1"/>
  <c r="F38" i="18" s="1"/>
  <c r="F6" i="19" s="1"/>
  <c r="M7" i="16"/>
  <c r="M38" i="16" s="1"/>
  <c r="L38" i="16" s="1"/>
  <c r="L6" i="17" s="1"/>
  <c r="M7" i="17" s="1"/>
  <c r="J7" i="19"/>
  <c r="J38" i="19" s="1"/>
  <c r="I38" i="19" s="1"/>
  <c r="I6" i="20" s="1"/>
  <c r="J7" i="20" s="1"/>
  <c r="J38" i="20" s="1"/>
  <c r="I38" i="20" s="1"/>
  <c r="I6" i="21" s="1"/>
  <c r="E10" i="26"/>
  <c r="C38" i="15"/>
  <c r="J7" i="21" l="1"/>
  <c r="J38" i="21" s="1"/>
  <c r="I38" i="21" s="1"/>
  <c r="I6" i="25" s="1"/>
  <c r="G7" i="19"/>
  <c r="G38" i="19" s="1"/>
  <c r="F38" i="19" s="1"/>
  <c r="F6" i="20" s="1"/>
  <c r="G7" i="20" s="1"/>
  <c r="G38" i="20" s="1"/>
  <c r="F38" i="20" s="1"/>
  <c r="F6" i="21" s="1"/>
  <c r="H40" i="15"/>
  <c r="D7" i="23"/>
  <c r="P7" i="23" s="1"/>
  <c r="Q7" i="23" s="1"/>
  <c r="J7" i="25" l="1"/>
  <c r="J38" i="25" s="1"/>
  <c r="I38" i="25" s="1"/>
  <c r="M38" i="17"/>
  <c r="L38" i="17" s="1"/>
  <c r="G7" i="21"/>
  <c r="G38" i="21" s="1"/>
  <c r="F38" i="21" s="1"/>
  <c r="F6" i="25" s="1"/>
  <c r="C10" i="26"/>
  <c r="D10" i="26" s="1"/>
  <c r="H41" i="15"/>
  <c r="J41" i="15" s="1"/>
  <c r="R41" i="15"/>
  <c r="M10" i="26" s="1"/>
  <c r="G7" i="25" l="1"/>
  <c r="G38" i="25" s="1"/>
  <c r="F38" i="25" s="1"/>
  <c r="L6" i="18"/>
  <c r="M7" i="18" s="1"/>
  <c r="M38" i="18" s="1"/>
  <c r="L38" i="18" s="1"/>
  <c r="L6" i="19" s="1"/>
  <c r="D38" i="23"/>
  <c r="M7" i="19" l="1"/>
  <c r="E11" i="26"/>
  <c r="C38" i="23"/>
  <c r="M38" i="19" l="1"/>
  <c r="L38" i="19" s="1"/>
  <c r="L6" i="20" s="1"/>
  <c r="M7" i="20" s="1"/>
  <c r="D7" i="24"/>
  <c r="P7" i="24" s="1"/>
  <c r="Q7" i="24" s="1"/>
  <c r="H40" i="23"/>
  <c r="M38" i="20" l="1"/>
  <c r="L38" i="20" s="1"/>
  <c r="L6" i="21" s="1"/>
  <c r="R41" i="23"/>
  <c r="M11" i="26" s="1"/>
  <c r="C11" i="26"/>
  <c r="D11" i="26" s="1"/>
  <c r="H41" i="23"/>
  <c r="J41" i="23" s="1"/>
  <c r="M7" i="21" l="1"/>
  <c r="D38" i="24"/>
  <c r="M38" i="21" l="1"/>
  <c r="L38" i="21" s="1"/>
  <c r="L6" i="25" s="1"/>
  <c r="E12" i="26"/>
  <c r="C38" i="24"/>
  <c r="M7" i="25" l="1"/>
  <c r="H40" i="24"/>
  <c r="C6" i="16"/>
  <c r="D7" i="16" s="1"/>
  <c r="P7" i="16" s="1"/>
  <c r="Q7" i="16" s="1"/>
  <c r="M38" i="25" l="1"/>
  <c r="L38" i="25" s="1"/>
  <c r="C12" i="26"/>
  <c r="D12" i="26" s="1"/>
  <c r="R41" i="24"/>
  <c r="M12" i="26" s="1"/>
  <c r="H41" i="24"/>
  <c r="J41" i="24" s="1"/>
  <c r="D38" i="16" l="1"/>
  <c r="E13" i="26" l="1"/>
  <c r="C38" i="16"/>
  <c r="H40" i="16" l="1"/>
  <c r="C6" i="17"/>
  <c r="D7" i="17" s="1"/>
  <c r="P7" i="17" s="1"/>
  <c r="Q7" i="17" s="1"/>
  <c r="R41" i="16" l="1"/>
  <c r="M13" i="26" s="1"/>
  <c r="H41" i="16"/>
  <c r="J41" i="16" s="1"/>
  <c r="C13" i="26"/>
  <c r="D13" i="26" s="1"/>
  <c r="D38" i="17" l="1"/>
  <c r="E14" i="26" l="1"/>
  <c r="C38" i="17"/>
  <c r="C6" i="18" s="1"/>
  <c r="D7" i="18" s="1"/>
  <c r="P7" i="18" s="1"/>
  <c r="Q7" i="18" s="1"/>
  <c r="H40" i="17" l="1"/>
  <c r="H41" i="17" l="1"/>
  <c r="J41" i="17" s="1"/>
  <c r="C14" i="26"/>
  <c r="D14" i="26" s="1"/>
  <c r="R41" i="17"/>
  <c r="M14" i="26" s="1"/>
  <c r="D38" i="18" l="1"/>
  <c r="E15" i="26" l="1"/>
  <c r="C38" i="18"/>
  <c r="C6" i="19" l="1"/>
  <c r="D7" i="19" s="1"/>
  <c r="P7" i="19" s="1"/>
  <c r="Q7" i="19" s="1"/>
  <c r="H40" i="18"/>
  <c r="C15" i="26" l="1"/>
  <c r="D15" i="26" s="1"/>
  <c r="R41" i="18"/>
  <c r="M15" i="26" s="1"/>
  <c r="H41" i="18"/>
  <c r="J41" i="18" s="1"/>
  <c r="D38" i="19" l="1"/>
  <c r="E16" i="26" l="1"/>
  <c r="C38" i="19"/>
  <c r="C6" i="20" l="1"/>
  <c r="D7" i="20" s="1"/>
  <c r="P7" i="20" s="1"/>
  <c r="Q7" i="20" s="1"/>
  <c r="H40" i="19"/>
  <c r="R41" i="19" l="1"/>
  <c r="M16" i="26" s="1"/>
  <c r="H41" i="19"/>
  <c r="J41" i="19" s="1"/>
  <c r="C16" i="26"/>
  <c r="D16" i="26" s="1"/>
  <c r="D38" i="20" l="1"/>
  <c r="E17" i="26" l="1"/>
  <c r="C38" i="20"/>
  <c r="H40" i="20" l="1"/>
  <c r="C6" i="21"/>
  <c r="D7" i="21" s="1"/>
  <c r="P7" i="21" s="1"/>
  <c r="Q7" i="21" s="1"/>
  <c r="R41" i="20" l="1"/>
  <c r="M17" i="26" s="1"/>
  <c r="C17" i="26"/>
  <c r="D17" i="26" s="1"/>
  <c r="H41" i="20"/>
  <c r="J41" i="20" s="1"/>
  <c r="D38" i="21" l="1"/>
  <c r="E18" i="26" l="1"/>
  <c r="C38" i="21"/>
  <c r="H40" i="21" l="1"/>
  <c r="C6" i="25"/>
  <c r="D7" i="25" s="1"/>
  <c r="P7" i="25" s="1"/>
  <c r="Q7" i="25" s="1"/>
  <c r="C18" i="26" l="1"/>
  <c r="D18" i="26" s="1"/>
  <c r="H41" i="21"/>
  <c r="J41" i="21" s="1"/>
  <c r="R41" i="21"/>
  <c r="M18" i="26" s="1"/>
  <c r="D38" i="25" l="1"/>
  <c r="E19" i="26" l="1"/>
  <c r="E20" i="26" s="1"/>
  <c r="D20" i="26" s="1"/>
  <c r="C38" i="25"/>
  <c r="H40" i="25" s="1"/>
  <c r="R41" i="25" s="1"/>
  <c r="C19" i="26" l="1"/>
  <c r="D19" i="26" s="1"/>
  <c r="M19" i="26"/>
  <c r="M20" i="26" s="1"/>
  <c r="H41" i="25"/>
  <c r="J41" i="25" s="1"/>
  <c r="N38" i="15" l="1"/>
  <c r="N38" i="24"/>
  <c r="N38" i="27"/>
  <c r="N38" i="16"/>
  <c r="N38" i="18"/>
  <c r="N38" i="17"/>
  <c r="N38" i="1"/>
  <c r="O7" i="1"/>
  <c r="P7" i="1"/>
  <c r="N38" i="23"/>
  <c r="O38" i="1" l="1"/>
  <c r="O40" i="1" s="1"/>
  <c r="P38" i="17"/>
  <c r="Q38" i="17"/>
  <c r="O38" i="16"/>
  <c r="O40" i="16" s="1"/>
  <c r="P38" i="24"/>
  <c r="Q38" i="24"/>
  <c r="O38" i="15"/>
  <c r="O40" i="15" s="1"/>
  <c r="Q38" i="18"/>
  <c r="P38" i="18"/>
  <c r="Q38" i="27"/>
  <c r="P38" i="27"/>
  <c r="O38" i="24"/>
  <c r="O40" i="24" s="1"/>
  <c r="P38" i="23"/>
  <c r="Q38" i="23"/>
  <c r="O38" i="17"/>
  <c r="O40" i="17" s="1"/>
  <c r="Q38" i="16"/>
  <c r="P38" i="16"/>
  <c r="O38" i="23"/>
  <c r="O40" i="23" s="1"/>
  <c r="Q7" i="1"/>
  <c r="P38" i="1"/>
  <c r="O38" i="18"/>
  <c r="O38" i="27"/>
  <c r="O40" i="27" s="1"/>
  <c r="P38" i="15"/>
  <c r="Q38" i="15"/>
  <c r="Q38" i="1" l="1"/>
  <c r="Q39" i="1" s="1"/>
  <c r="F11" i="26"/>
  <c r="O39" i="23"/>
  <c r="F12" i="26"/>
  <c r="O39" i="24"/>
  <c r="Q39" i="18"/>
  <c r="I15" i="26"/>
  <c r="Q39" i="24"/>
  <c r="I12" i="26"/>
  <c r="O40" i="18"/>
  <c r="F15" i="26"/>
  <c r="O39" i="18"/>
  <c r="Q39" i="16"/>
  <c r="I13" i="26"/>
  <c r="I11" i="26"/>
  <c r="Q39" i="23"/>
  <c r="Q39" i="27"/>
  <c r="I9" i="26"/>
  <c r="O39" i="16"/>
  <c r="F13" i="26"/>
  <c r="I10" i="26"/>
  <c r="Q39" i="15"/>
  <c r="F14" i="26"/>
  <c r="O39" i="17"/>
  <c r="F10" i="26"/>
  <c r="O39" i="15"/>
  <c r="I14" i="26"/>
  <c r="Q39" i="17"/>
  <c r="F9" i="26"/>
  <c r="O39" i="27"/>
  <c r="F8" i="26"/>
  <c r="O39" i="1"/>
  <c r="I8" i="26" l="1"/>
  <c r="J8" i="26" s="1"/>
  <c r="L8" i="26" s="1"/>
  <c r="K10" i="26"/>
  <c r="J10" i="26"/>
  <c r="L10" i="26" s="1"/>
  <c r="K12" i="26"/>
  <c r="J12" i="26"/>
  <c r="L12" i="26" s="1"/>
  <c r="H8" i="26"/>
  <c r="G8" i="26"/>
  <c r="J11" i="26"/>
  <c r="L11" i="26" s="1"/>
  <c r="K11" i="26"/>
  <c r="H15" i="26"/>
  <c r="G15" i="26"/>
  <c r="J15" i="26"/>
  <c r="L15" i="26" s="1"/>
  <c r="K15" i="26"/>
  <c r="J14" i="26"/>
  <c r="L14" i="26" s="1"/>
  <c r="K14" i="26"/>
  <c r="G14" i="26"/>
  <c r="H14" i="26"/>
  <c r="H13" i="26"/>
  <c r="G13" i="26"/>
  <c r="H12" i="26"/>
  <c r="G12" i="26"/>
  <c r="H11" i="26"/>
  <c r="G11" i="26"/>
  <c r="G9" i="26"/>
  <c r="H9" i="26"/>
  <c r="H10" i="26"/>
  <c r="G10" i="26"/>
  <c r="K9" i="26"/>
  <c r="J9" i="26"/>
  <c r="L9" i="26" s="1"/>
  <c r="K13" i="26"/>
  <c r="J13" i="26"/>
  <c r="L13" i="26" s="1"/>
  <c r="K8" i="26" l="1"/>
  <c r="N38" i="20"/>
  <c r="N38" i="19"/>
  <c r="Q38" i="19" l="1"/>
  <c r="P38" i="19"/>
  <c r="O38" i="19"/>
  <c r="Q38" i="20"/>
  <c r="P38" i="20"/>
  <c r="O38" i="20"/>
  <c r="Q39" i="20" l="1"/>
  <c r="I17" i="26"/>
  <c r="O39" i="20"/>
  <c r="F17" i="26"/>
  <c r="O40" i="20"/>
  <c r="O39" i="19"/>
  <c r="F16" i="26"/>
  <c r="O40" i="19"/>
  <c r="I16" i="26"/>
  <c r="Q39" i="19"/>
  <c r="K17" i="26" l="1"/>
  <c r="J17" i="26"/>
  <c r="L17" i="26" s="1"/>
  <c r="G16" i="26"/>
  <c r="H16" i="26"/>
  <c r="J16" i="26"/>
  <c r="L16" i="26" s="1"/>
  <c r="K16" i="26"/>
  <c r="G17" i="26"/>
  <c r="H17" i="26"/>
  <c r="N38" i="21" l="1"/>
  <c r="Q38" i="21" l="1"/>
  <c r="P38" i="21"/>
  <c r="O38" i="21"/>
  <c r="I18" i="26" l="1"/>
  <c r="Q39" i="21"/>
  <c r="O40" i="21"/>
  <c r="F18" i="26"/>
  <c r="O39" i="21"/>
  <c r="H18" i="26" l="1"/>
  <c r="G18" i="26"/>
  <c r="K18" i="26"/>
  <c r="J18" i="26"/>
  <c r="L18" i="26" s="1"/>
  <c r="N38" i="25" l="1"/>
  <c r="Q38" i="25" l="1"/>
  <c r="P38" i="25"/>
  <c r="O38" i="25"/>
  <c r="O40" i="25" l="1"/>
  <c r="O39" i="25"/>
  <c r="F19" i="26"/>
  <c r="Q39" i="25"/>
  <c r="I19" i="26"/>
  <c r="H19" i="26" l="1"/>
  <c r="H20" i="26" s="1"/>
  <c r="G19" i="26"/>
  <c r="G20" i="26" s="1"/>
  <c r="F20" i="26"/>
  <c r="I20" i="26"/>
  <c r="J19" i="26"/>
  <c r="K19" i="26"/>
  <c r="K20" i="26" s="1"/>
  <c r="C20" i="26" l="1"/>
  <c r="J20" i="26"/>
  <c r="L19" i="26"/>
  <c r="L20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Lapointe-ricard, Simon</author>
  </authors>
  <commentList>
    <comment ref="C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Lapointe-ricard, Simon:</t>
        </r>
        <r>
          <rPr>
            <sz val="9"/>
            <color indexed="81"/>
            <rFont val="Tahoma"/>
            <family val="2"/>
          </rPr>
          <t xml:space="preserve">
Valeur du 31 décembre 2019 (2-2019 SBS Production)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Hamel, Eve-Marie</author>
  </authors>
  <commentList>
    <comment ref="O3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Hamel, Eve-Marie:</t>
        </r>
        <r>
          <rPr>
            <sz val="9"/>
            <color indexed="81"/>
            <rFont val="Tahoma"/>
            <family val="2"/>
          </rPr>
          <t xml:space="preserve">
Mvt 601
L15 et KG</t>
        </r>
      </text>
    </comment>
    <comment ref="Q3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Hamel, Eve-Marie:</t>
        </r>
        <r>
          <rPr>
            <sz val="9"/>
            <color indexed="81"/>
            <rFont val="Tahoma"/>
            <family val="2"/>
          </rPr>
          <t xml:space="preserve">
Mvt 998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Lapointe-ricard, Simon</author>
  </authors>
  <commentList>
    <comment ref="R24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Lapointe-ricard, Simon:</t>
        </r>
        <r>
          <rPr>
            <sz val="9"/>
            <color indexed="81"/>
            <rFont val="Tahoma"/>
            <family val="2"/>
          </rPr>
          <t xml:space="preserve">
Faute test des génératrices</t>
        </r>
      </text>
    </comment>
  </commentList>
</comments>
</file>

<file path=xl/sharedStrings.xml><?xml version="1.0" encoding="utf-8"?>
<sst xmlns="http://schemas.openxmlformats.org/spreadsheetml/2006/main" count="534" uniqueCount="66">
  <si>
    <t>DAY</t>
  </si>
  <si>
    <t>OP</t>
  </si>
  <si>
    <t>SBS PRODUCED</t>
  </si>
  <si>
    <t>MT</t>
  </si>
  <si>
    <t>T-651 CLOSING INVENT.</t>
  </si>
  <si>
    <t>T-652 CLOSING INVENT.</t>
  </si>
  <si>
    <t>T-653 CLOSING INVENT.</t>
  </si>
  <si>
    <t>T-654 CLOSING INVENT.</t>
  </si>
  <si>
    <t>CL</t>
  </si>
  <si>
    <t>MT Prod</t>
  </si>
  <si>
    <t>CLOSING INVENTORY</t>
  </si>
  <si>
    <t>Mvt</t>
  </si>
  <si>
    <t>Concentration used to calculate 100% SBS</t>
  </si>
  <si>
    <t>Specific Gravity used for Inventory Calculation</t>
  </si>
  <si>
    <t>Uptime</t>
  </si>
  <si>
    <t>hr</t>
  </si>
  <si>
    <t>Closing Inventory</t>
  </si>
  <si>
    <t>SBS Shipped</t>
  </si>
  <si>
    <t>SBS Produced</t>
  </si>
  <si>
    <t>100% MT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</si>
  <si>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</si>
  <si>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</si>
  <si>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</si>
  <si>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</si>
  <si>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</si>
  <si>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</si>
  <si>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</si>
  <si>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</si>
  <si>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</si>
  <si>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</si>
  <si>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</si>
  <si>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Inventory Mvt.</t>
  </si>
  <si>
    <t>SBS Production Data Summary</t>
  </si>
  <si>
    <t>in</t>
  </si>
  <si>
    <t>TOT</t>
  </si>
  <si>
    <t>JANUARY SBS PRODUCTION DATA</t>
  </si>
  <si>
    <t>FEBRUARY SBS PRODUCTION DATA</t>
  </si>
  <si>
    <t>MARCH SBS PRODUCTION DATA</t>
  </si>
  <si>
    <t>APRIL SBS PRODUCTION DATA</t>
  </si>
  <si>
    <t>MAY SBS PRODUCTION DATA</t>
  </si>
  <si>
    <t>JUNE SBS PRODUCTION DATA</t>
  </si>
  <si>
    <t>AUGUST SBS PRODUCTION DATA</t>
  </si>
  <si>
    <t>SEPTEMBER SBS PRODUCTION DATA</t>
  </si>
  <si>
    <t>OCTOBER SBS PRODUCTION DATA</t>
  </si>
  <si>
    <t>NOVEMBER SBS PRODUCTION DATA</t>
  </si>
  <si>
    <t>DECEMBER SBS PRODUCTION DATA</t>
  </si>
  <si>
    <t>SBS SHIPPING</t>
  </si>
  <si>
    <t>L15</t>
  </si>
  <si>
    <t>wet MT</t>
  </si>
  <si>
    <t>wet MTPD</t>
  </si>
  <si>
    <t>Production</t>
  </si>
  <si>
    <t xml:space="preserve">Notice </t>
  </si>
  <si>
    <t>When inventory reaches the notice threshold,</t>
  </si>
  <si>
    <t>SBS Inventory Limits</t>
  </si>
  <si>
    <t>(MT wet)</t>
  </si>
  <si>
    <t>Maximum Capacity *</t>
  </si>
  <si>
    <t>* SBS unit will shut down when inventory reaches Max Capacity</t>
  </si>
  <si>
    <t>Downtime</t>
  </si>
  <si>
    <t>hrs</t>
  </si>
  <si>
    <t>1st Notice Threshold (70%)</t>
  </si>
  <si>
    <t>KG</t>
  </si>
  <si>
    <t>a written notice must be sent to PVS</t>
  </si>
  <si>
    <t>JUL</t>
  </si>
  <si>
    <t>S/D 2ieme stage</t>
  </si>
  <si>
    <t>Préparatif S/D 2ieme stage</t>
  </si>
  <si>
    <t>JULY SBS PRODUCTION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</si>
</sst>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_-;\-* #,##0.00_-;_-* &quot;-&quot;??_-;_-@_-"/>
    <numFmt numFmtId="165" formatCode="0.000"/>
    <numFmt numFmtId="166" formatCode="#,##0.000\ _$_);\(#,##0.000\ _$\)"/>
    <numFmt numFmtId="167" formatCode="#,##0.0\ _$_);\(#,##0.0\ _$\)"/>
    <numFmt numFmtId="168" formatCode="_(* #,##0.000_);_(* \(#,##0.000\);_(* &quot;-&quot;??_);_(@_)"/>
    <numFmt numFmtId="169" formatCode="mmmm\ yyyy"/>
    <numFmt numFmtId="170" formatCode="0.00_)"/>
    <numFmt numFmtId="171" formatCode="0.0"/>
    <numFmt numFmtId="172" formatCode="0.0%"/>
    <numFmt numFmtId="173" formatCode="#,##0.000"/>
    <numFmt numFmtId="174" formatCode="#,##0.000;\-#,##0.000"/>
  </numFmts>
  <fonts count="4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name val="Courier"/>
      <family val="3"/>
    </font>
    <font>
      <b/>
      <i/>
      <sz val="16"/>
      <name val="Helv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12"/>
      <name val="Calibri"/>
      <family val="2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2"/>
      <color rgb="FF0000FF"/>
      <name val="Calibri"/>
      <family val="2"/>
      <scheme val="minor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  <font>
      <b/>
      <u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8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i/>
      <sz val="8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i/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4" fontId="5" fillId="0" borderId="0" applyFont="0" applyFill="0" applyBorder="0" applyAlignment="0" applyProtection="0"/>
    <xf numFmtId="170" fontId="4" fillId="0" borderId="0"/>
    <xf numFmtId="39" fontId="3" fillId="0" borderId="0"/>
    <xf numFmtId="9" fontId="5" fillId="0" borderId="0" applyFont="0" applyFill="0" applyBorder="0" applyAlignment="0" applyProtection="0"/>
    <xf numFmtId="9" fontId="24" fillId="0" borderId="0" applyFont="0" applyFill="0" applyBorder="0" applyAlignment="0" applyProtection="0"/>
  </cellStyleXfs>
  <cellXfs count="204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39" fontId="7" fillId="2" borderId="0" xfId="0" applyNumberFormat="1" applyFont="1" applyFill="1" applyBorder="1" applyAlignment="1" applyProtection="1"/>
    <xf numFmtId="166" fontId="7" fillId="2" borderId="0" xfId="0" applyNumberFormat="1" applyFont="1" applyFill="1" applyBorder="1" applyAlignment="1" applyProtection="1"/>
    <xf numFmtId="39" fontId="7" fillId="2" borderId="4" xfId="0" applyNumberFormat="1" applyFont="1" applyFill="1" applyBorder="1" applyAlignment="1"/>
    <xf numFmtId="39" fontId="7" fillId="2" borderId="0" xfId="0" applyNumberFormat="1" applyFont="1" applyFill="1" applyBorder="1" applyAlignment="1"/>
    <xf numFmtId="0" fontId="0" fillId="2" borderId="5" xfId="0" applyFill="1" applyBorder="1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165" fontId="7" fillId="0" borderId="13" xfId="1" applyNumberFormat="1" applyFont="1" applyFill="1" applyBorder="1" applyAlignment="1">
      <alignment horizontal="center"/>
    </xf>
    <xf numFmtId="165" fontId="7" fillId="0" borderId="3" xfId="1" applyNumberFormat="1" applyFont="1" applyFill="1" applyBorder="1" applyAlignment="1">
      <alignment horizontal="center"/>
    </xf>
    <xf numFmtId="165" fontId="8" fillId="0" borderId="6" xfId="1" applyNumberFormat="1" applyFon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166" fontId="7" fillId="2" borderId="4" xfId="0" applyNumberFormat="1" applyFont="1" applyFill="1" applyBorder="1" applyAlignment="1" applyProtection="1"/>
    <xf numFmtId="39" fontId="8" fillId="2" borderId="0" xfId="0" applyNumberFormat="1" applyFont="1" applyFill="1" applyBorder="1" applyAlignment="1"/>
    <xf numFmtId="39" fontId="8" fillId="2" borderId="4" xfId="0" applyNumberFormat="1" applyFont="1" applyFill="1" applyBorder="1" applyAlignment="1"/>
    <xf numFmtId="165" fontId="7" fillId="2" borderId="4" xfId="0" applyNumberFormat="1" applyFont="1" applyFill="1" applyBorder="1" applyAlignment="1">
      <alignment horizontal="right"/>
    </xf>
    <xf numFmtId="165" fontId="12" fillId="0" borderId="3" xfId="1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49" fontId="7" fillId="3" borderId="9" xfId="0" applyNumberFormat="1" applyFont="1" applyFill="1" applyBorder="1" applyAlignment="1">
      <alignment horizontal="center"/>
    </xf>
    <xf numFmtId="39" fontId="7" fillId="3" borderId="12" xfId="0" quotePrefix="1" applyNumberFormat="1" applyFont="1" applyFill="1" applyBorder="1" applyAlignment="1">
      <alignment horizontal="center"/>
    </xf>
    <xf numFmtId="9" fontId="8" fillId="3" borderId="11" xfId="4" applyFont="1" applyFill="1" applyBorder="1" applyAlignment="1" applyProtection="1">
      <alignment horizontal="center"/>
    </xf>
    <xf numFmtId="0" fontId="0" fillId="3" borderId="20" xfId="0" applyFill="1" applyBorder="1"/>
    <xf numFmtId="0" fontId="0" fillId="2" borderId="16" xfId="0" applyFill="1" applyBorder="1"/>
    <xf numFmtId="0" fontId="0" fillId="2" borderId="17" xfId="0" applyFill="1" applyBorder="1"/>
    <xf numFmtId="0" fontId="11" fillId="3" borderId="21" xfId="0" applyFont="1" applyFill="1" applyBorder="1" applyAlignment="1">
      <alignment horizontal="center"/>
    </xf>
    <xf numFmtId="165" fontId="15" fillId="2" borderId="24" xfId="0" applyNumberFormat="1" applyFont="1" applyFill="1" applyBorder="1" applyAlignment="1">
      <alignment horizontal="center"/>
    </xf>
    <xf numFmtId="173" fontId="15" fillId="2" borderId="24" xfId="1" applyNumberFormat="1" applyFont="1" applyFill="1" applyBorder="1" applyAlignment="1">
      <alignment horizontal="center"/>
    </xf>
    <xf numFmtId="168" fontId="17" fillId="0" borderId="13" xfId="1" applyNumberFormat="1" applyFont="1" applyFill="1" applyBorder="1" applyAlignment="1"/>
    <xf numFmtId="168" fontId="17" fillId="0" borderId="3" xfId="1" applyNumberFormat="1" applyFont="1" applyFill="1" applyBorder="1" applyAlignment="1"/>
    <xf numFmtId="168" fontId="17" fillId="0" borderId="6" xfId="1" applyNumberFormat="1" applyFont="1" applyFill="1" applyBorder="1" applyAlignment="1"/>
    <xf numFmtId="0" fontId="13" fillId="2" borderId="0" xfId="0" applyFont="1" applyFill="1" applyAlignment="1"/>
    <xf numFmtId="0" fontId="11" fillId="3" borderId="18" xfId="0" applyFont="1" applyFill="1" applyBorder="1" applyAlignment="1">
      <alignment horizontal="center"/>
    </xf>
    <xf numFmtId="0" fontId="0" fillId="3" borderId="17" xfId="0" applyFill="1" applyBorder="1"/>
    <xf numFmtId="0" fontId="0" fillId="3" borderId="1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11" fillId="3" borderId="26" xfId="0" applyFont="1" applyFill="1" applyBorder="1" applyAlignment="1">
      <alignment horizontal="center"/>
    </xf>
    <xf numFmtId="0" fontId="18" fillId="2" borderId="0" xfId="0" applyFont="1" applyFill="1" applyAlignment="1"/>
    <xf numFmtId="2" fontId="0" fillId="2" borderId="4" xfId="0" applyNumberFormat="1" applyFill="1" applyBorder="1" applyAlignment="1">
      <alignment horizontal="right"/>
    </xf>
    <xf numFmtId="172" fontId="8" fillId="2" borderId="0" xfId="4" applyNumberFormat="1" applyFont="1" applyFill="1" applyBorder="1" applyAlignment="1" applyProtection="1">
      <alignment horizontal="right" vertical="center"/>
    </xf>
    <xf numFmtId="0" fontId="11" fillId="2" borderId="27" xfId="0" applyFont="1" applyFill="1" applyBorder="1"/>
    <xf numFmtId="165" fontId="15" fillId="2" borderId="28" xfId="0" applyNumberFormat="1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71" fontId="7" fillId="2" borderId="2" xfId="1" applyNumberFormat="1" applyFont="1" applyFill="1" applyBorder="1" applyAlignment="1">
      <alignment horizontal="center"/>
    </xf>
    <xf numFmtId="165" fontId="19" fillId="0" borderId="3" xfId="1" applyNumberFormat="1" applyFont="1" applyFill="1" applyBorder="1" applyAlignment="1">
      <alignment horizontal="center"/>
    </xf>
    <xf numFmtId="165" fontId="19" fillId="0" borderId="13" xfId="1" applyNumberFormat="1" applyFont="1" applyFill="1" applyBorder="1" applyAlignment="1">
      <alignment horizontal="center"/>
    </xf>
    <xf numFmtId="165" fontId="20" fillId="0" borderId="6" xfId="1" applyNumberFormat="1" applyFont="1" applyFill="1" applyBorder="1" applyAlignment="1">
      <alignment horizontal="center"/>
    </xf>
    <xf numFmtId="168" fontId="7" fillId="0" borderId="13" xfId="1" applyNumberFormat="1" applyFont="1" applyFill="1" applyBorder="1" applyAlignment="1"/>
    <xf numFmtId="168" fontId="7" fillId="0" borderId="3" xfId="1" applyNumberFormat="1" applyFont="1" applyFill="1" applyBorder="1" applyAlignment="1"/>
    <xf numFmtId="168" fontId="7" fillId="0" borderId="6" xfId="1" applyNumberFormat="1" applyFont="1" applyFill="1" applyBorder="1" applyAlignment="1"/>
    <xf numFmtId="0" fontId="14" fillId="2" borderId="3" xfId="0" applyNumberFormat="1" applyFont="1" applyFill="1" applyBorder="1" applyAlignment="1">
      <alignment horizontal="center"/>
    </xf>
    <xf numFmtId="165" fontId="14" fillId="2" borderId="13" xfId="0" applyNumberFormat="1" applyFont="1" applyFill="1" applyBorder="1" applyAlignment="1">
      <alignment horizontal="center"/>
    </xf>
    <xf numFmtId="165" fontId="14" fillId="2" borderId="0" xfId="0" applyNumberFormat="1" applyFont="1" applyFill="1" applyBorder="1" applyAlignment="1">
      <alignment horizontal="center"/>
    </xf>
    <xf numFmtId="165" fontId="14" fillId="2" borderId="0" xfId="1" applyNumberFormat="1" applyFont="1" applyFill="1" applyBorder="1" applyAlignment="1">
      <alignment horizontal="center"/>
    </xf>
    <xf numFmtId="172" fontId="14" fillId="2" borderId="22" xfId="4" applyNumberFormat="1" applyFont="1" applyFill="1" applyBorder="1" applyAlignment="1">
      <alignment horizontal="center"/>
    </xf>
    <xf numFmtId="165" fontId="14" fillId="2" borderId="15" xfId="0" applyNumberFormat="1" applyFont="1" applyFill="1" applyBorder="1" applyAlignment="1">
      <alignment horizontal="center"/>
    </xf>
    <xf numFmtId="165" fontId="14" fillId="2" borderId="29" xfId="0" applyNumberFormat="1" applyFont="1" applyFill="1" applyBorder="1" applyAlignment="1">
      <alignment horizontal="center"/>
    </xf>
    <xf numFmtId="165" fontId="14" fillId="2" borderId="4" xfId="0" applyNumberFormat="1" applyFont="1" applyFill="1" applyBorder="1" applyAlignment="1">
      <alignment horizontal="center"/>
    </xf>
    <xf numFmtId="0" fontId="11" fillId="2" borderId="0" xfId="0" applyFont="1" applyFill="1"/>
    <xf numFmtId="165" fontId="0" fillId="2" borderId="0" xfId="0" applyNumberFormat="1" applyFill="1"/>
    <xf numFmtId="0" fontId="23" fillId="2" borderId="0" xfId="0" applyFont="1" applyFill="1"/>
    <xf numFmtId="165" fontId="22" fillId="2" borderId="0" xfId="0" applyNumberFormat="1" applyFont="1" applyFill="1" applyBorder="1" applyAlignment="1">
      <alignment horizontal="center"/>
    </xf>
    <xf numFmtId="39" fontId="8" fillId="2" borderId="0" xfId="0" applyNumberFormat="1" applyFont="1" applyFill="1" applyBorder="1" applyAlignment="1" applyProtection="1">
      <alignment vertical="center"/>
    </xf>
    <xf numFmtId="165" fontId="8" fillId="2" borderId="0" xfId="1" applyNumberFormat="1" applyFont="1" applyFill="1" applyBorder="1" applyAlignment="1">
      <alignment horizontal="right"/>
    </xf>
    <xf numFmtId="171" fontId="10" fillId="0" borderId="3" xfId="0" applyNumberFormat="1" applyFont="1" applyFill="1" applyBorder="1" applyAlignment="1" applyProtection="1">
      <alignment horizontal="right"/>
    </xf>
    <xf numFmtId="165" fontId="7" fillId="0" borderId="0" xfId="0" applyNumberFormat="1" applyFont="1" applyFill="1" applyBorder="1" applyAlignment="1" applyProtection="1">
      <alignment horizontal="right"/>
    </xf>
    <xf numFmtId="165" fontId="7" fillId="0" borderId="13" xfId="0" applyNumberFormat="1" applyFont="1" applyFill="1" applyBorder="1" applyAlignment="1" applyProtection="1">
      <alignment horizontal="right"/>
    </xf>
    <xf numFmtId="171" fontId="10" fillId="0" borderId="0" xfId="0" applyNumberFormat="1" applyFont="1" applyFill="1" applyBorder="1" applyAlignment="1" applyProtection="1">
      <alignment horizontal="right"/>
    </xf>
    <xf numFmtId="165" fontId="7" fillId="0" borderId="6" xfId="0" applyNumberFormat="1" applyFont="1" applyFill="1" applyBorder="1" applyAlignment="1" applyProtection="1">
      <alignment horizontal="right"/>
    </xf>
    <xf numFmtId="165" fontId="17" fillId="0" borderId="6" xfId="0" applyNumberFormat="1" applyFont="1" applyFill="1" applyBorder="1" applyAlignment="1" applyProtection="1">
      <alignment horizontal="right"/>
    </xf>
    <xf numFmtId="165" fontId="8" fillId="2" borderId="2" xfId="0" applyNumberFormat="1" applyFont="1" applyFill="1" applyBorder="1" applyAlignment="1" applyProtection="1">
      <alignment horizontal="right"/>
    </xf>
    <xf numFmtId="165" fontId="7" fillId="2" borderId="2" xfId="0" applyNumberFormat="1" applyFont="1" applyFill="1" applyBorder="1" applyAlignment="1" applyProtection="1">
      <alignment horizontal="right"/>
    </xf>
    <xf numFmtId="165" fontId="7" fillId="2" borderId="2" xfId="1" applyNumberFormat="1" applyFont="1" applyFill="1" applyBorder="1" applyAlignment="1">
      <alignment horizontal="right"/>
    </xf>
    <xf numFmtId="173" fontId="8" fillId="2" borderId="0" xfId="1" applyNumberFormat="1" applyFont="1" applyFill="1" applyBorder="1" applyAlignment="1">
      <alignment horizontal="right"/>
    </xf>
    <xf numFmtId="0" fontId="11" fillId="3" borderId="2" xfId="0" applyFont="1" applyFill="1" applyBorder="1" applyAlignment="1"/>
    <xf numFmtId="173" fontId="14" fillId="2" borderId="0" xfId="0" applyNumberFormat="1" applyFont="1" applyFill="1" applyBorder="1" applyAlignment="1">
      <alignment horizontal="center"/>
    </xf>
    <xf numFmtId="173" fontId="15" fillId="2" borderId="24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10" fontId="9" fillId="2" borderId="0" xfId="4" applyNumberFormat="1" applyFont="1" applyFill="1" applyBorder="1" applyAlignment="1">
      <alignment horizontal="right"/>
    </xf>
    <xf numFmtId="165" fontId="0" fillId="2" borderId="0" xfId="0" applyNumberFormat="1" applyFill="1" applyBorder="1" applyAlignment="1"/>
    <xf numFmtId="169" fontId="8" fillId="2" borderId="0" xfId="0" applyNumberFormat="1" applyFont="1" applyFill="1" applyBorder="1" applyAlignment="1">
      <alignment horizontal="left" vertical="center"/>
    </xf>
    <xf numFmtId="10" fontId="7" fillId="2" borderId="0" xfId="4" applyNumberFormat="1" applyFont="1" applyFill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22" fillId="2" borderId="6" xfId="0" quotePrefix="1" applyNumberFormat="1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5" fontId="22" fillId="2" borderId="6" xfId="0" applyNumberFormat="1" applyFont="1" applyFill="1" applyBorder="1" applyAlignment="1">
      <alignment horizontal="center"/>
    </xf>
    <xf numFmtId="165" fontId="17" fillId="0" borderId="14" xfId="0" applyNumberFormat="1" applyFont="1" applyFill="1" applyBorder="1" applyAlignment="1" applyProtection="1">
      <alignment horizontal="right"/>
    </xf>
    <xf numFmtId="171" fontId="16" fillId="0" borderId="3" xfId="0" applyNumberFormat="1" applyFont="1" applyFill="1" applyBorder="1" applyAlignment="1" applyProtection="1">
      <alignment horizontal="right"/>
    </xf>
    <xf numFmtId="171" fontId="21" fillId="0" borderId="0" xfId="0" applyNumberFormat="1" applyFont="1" applyFill="1" applyBorder="1" applyAlignment="1" applyProtection="1">
      <alignment horizontal="right"/>
    </xf>
    <xf numFmtId="171" fontId="19" fillId="0" borderId="3" xfId="0" applyNumberFormat="1" applyFont="1" applyFill="1" applyBorder="1" applyAlignment="1" applyProtection="1">
      <alignment horizontal="right"/>
    </xf>
    <xf numFmtId="165" fontId="19" fillId="0" borderId="0" xfId="0" applyNumberFormat="1" applyFont="1" applyFill="1" applyBorder="1" applyAlignment="1" applyProtection="1">
      <alignment horizontal="right"/>
    </xf>
    <xf numFmtId="165" fontId="19" fillId="0" borderId="13" xfId="0" applyNumberFormat="1" applyFont="1" applyFill="1" applyBorder="1" applyAlignment="1" applyProtection="1">
      <alignment horizontal="right"/>
    </xf>
    <xf numFmtId="171" fontId="19" fillId="0" borderId="0" xfId="0" applyNumberFormat="1" applyFont="1" applyFill="1" applyBorder="1" applyAlignment="1" applyProtection="1">
      <alignment horizontal="right"/>
    </xf>
    <xf numFmtId="165" fontId="19" fillId="0" borderId="6" xfId="0" applyNumberFormat="1" applyFont="1" applyFill="1" applyBorder="1" applyAlignment="1" applyProtection="1">
      <alignment horizontal="right"/>
    </xf>
    <xf numFmtId="168" fontId="7" fillId="0" borderId="13" xfId="1" applyNumberFormat="1" applyFont="1" applyFill="1" applyBorder="1" applyAlignment="1">
      <alignment horizontal="center"/>
    </xf>
    <xf numFmtId="168" fontId="7" fillId="0" borderId="3" xfId="1" applyNumberFormat="1" applyFont="1" applyFill="1" applyBorder="1" applyAlignment="1">
      <alignment horizontal="center"/>
    </xf>
    <xf numFmtId="168" fontId="7" fillId="0" borderId="6" xfId="1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165" fontId="12" fillId="0" borderId="3" xfId="0" applyNumberFormat="1" applyFont="1" applyFill="1" applyBorder="1" applyAlignment="1" applyProtection="1">
      <alignment horizontal="center"/>
    </xf>
    <xf numFmtId="171" fontId="12" fillId="0" borderId="0" xfId="0" applyNumberFormat="1" applyFont="1" applyFill="1" applyBorder="1" applyAlignment="1" applyProtection="1">
      <alignment horizontal="right"/>
    </xf>
    <xf numFmtId="171" fontId="12" fillId="0" borderId="3" xfId="0" applyNumberFormat="1" applyFont="1" applyFill="1" applyBorder="1" applyAlignment="1" applyProtection="1">
      <alignment horizontal="right"/>
    </xf>
    <xf numFmtId="39" fontId="8" fillId="2" borderId="0" xfId="0" applyNumberFormat="1" applyFont="1" applyFill="1" applyBorder="1" applyAlignment="1">
      <alignment horizontal="right"/>
    </xf>
    <xf numFmtId="165" fontId="22" fillId="2" borderId="0" xfId="0" quotePrefix="1" applyNumberFormat="1" applyFont="1" applyFill="1" applyBorder="1" applyAlignment="1">
      <alignment horizontal="center"/>
    </xf>
    <xf numFmtId="0" fontId="0" fillId="2" borderId="0" xfId="0" applyNumberFormat="1" applyFill="1"/>
    <xf numFmtId="165" fontId="12" fillId="0" borderId="0" xfId="0" applyNumberFormat="1" applyFont="1" applyFill="1" applyBorder="1" applyAlignment="1" applyProtection="1">
      <alignment horizontal="right"/>
    </xf>
    <xf numFmtId="173" fontId="14" fillId="2" borderId="13" xfId="0" applyNumberFormat="1" applyFont="1" applyFill="1" applyBorder="1" applyAlignment="1">
      <alignment horizontal="center"/>
    </xf>
    <xf numFmtId="165" fontId="22" fillId="2" borderId="0" xfId="0" applyNumberFormat="1" applyFont="1" applyFill="1" applyBorder="1"/>
    <xf numFmtId="165" fontId="15" fillId="2" borderId="30" xfId="0" applyNumberFormat="1" applyFont="1" applyFill="1" applyBorder="1" applyAlignment="1">
      <alignment horizontal="center"/>
    </xf>
    <xf numFmtId="165" fontId="0" fillId="2" borderId="0" xfId="0" applyNumberFormat="1" applyFill="1" applyBorder="1"/>
    <xf numFmtId="165" fontId="8" fillId="2" borderId="0" xfId="0" applyNumberFormat="1" applyFont="1" applyFill="1" applyBorder="1" applyAlignment="1">
      <alignment horizontal="center"/>
    </xf>
    <xf numFmtId="0" fontId="30" fillId="2" borderId="0" xfId="0" applyFont="1" applyFill="1"/>
    <xf numFmtId="0" fontId="31" fillId="2" borderId="0" xfId="0" applyFont="1" applyFill="1" applyProtection="1"/>
    <xf numFmtId="0" fontId="32" fillId="2" borderId="0" xfId="0" applyFont="1" applyFill="1" applyProtection="1"/>
    <xf numFmtId="0" fontId="33" fillId="2" borderId="0" xfId="0" applyFont="1" applyFill="1" applyProtection="1"/>
    <xf numFmtId="0" fontId="28" fillId="2" borderId="10" xfId="0" applyFont="1" applyFill="1" applyBorder="1" applyProtection="1"/>
    <xf numFmtId="0" fontId="28" fillId="2" borderId="10" xfId="0" applyFont="1" applyFill="1" applyBorder="1" applyAlignment="1" applyProtection="1">
      <alignment horizontal="center"/>
    </xf>
    <xf numFmtId="0" fontId="34" fillId="2" borderId="0" xfId="0" applyFont="1" applyFill="1" applyBorder="1" applyProtection="1"/>
    <xf numFmtId="0" fontId="31" fillId="2" borderId="0" xfId="0" applyFont="1" applyFill="1" applyAlignment="1" applyProtection="1"/>
    <xf numFmtId="0" fontId="35" fillId="2" borderId="0" xfId="0" applyFont="1" applyFill="1" applyAlignment="1" applyProtection="1"/>
    <xf numFmtId="0" fontId="27" fillId="2" borderId="0" xfId="0" applyFont="1" applyFill="1" applyAlignment="1" applyProtection="1">
      <alignment wrapText="1"/>
    </xf>
    <xf numFmtId="1" fontId="8" fillId="2" borderId="0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11" fillId="3" borderId="7" xfId="0" applyFont="1" applyFill="1" applyBorder="1" applyAlignment="1">
      <alignment horizontal="center"/>
    </xf>
    <xf numFmtId="0" fontId="25" fillId="3" borderId="7" xfId="0" applyFont="1" applyFill="1" applyBorder="1" applyAlignment="1">
      <alignment horizontal="center"/>
    </xf>
    <xf numFmtId="165" fontId="22" fillId="0" borderId="6" xfId="0" applyNumberFormat="1" applyFont="1" applyFill="1" applyBorder="1" applyAlignment="1">
      <alignment horizontal="center"/>
    </xf>
    <xf numFmtId="0" fontId="6" fillId="2" borderId="0" xfId="0" applyFont="1" applyFill="1" applyBorder="1" applyAlignment="1"/>
    <xf numFmtId="0" fontId="8" fillId="2" borderId="0" xfId="0" quotePrefix="1" applyNumberFormat="1" applyFont="1" applyFill="1" applyBorder="1" applyAlignment="1"/>
    <xf numFmtId="0" fontId="8" fillId="2" borderId="0" xfId="0" applyNumberFormat="1" applyFont="1" applyFill="1" applyBorder="1" applyAlignment="1"/>
    <xf numFmtId="167" fontId="8" fillId="3" borderId="31" xfId="0" applyNumberFormat="1" applyFont="1" applyFill="1" applyBorder="1" applyAlignment="1">
      <alignment horizontal="center"/>
    </xf>
    <xf numFmtId="167" fontId="7" fillId="3" borderId="32" xfId="4" applyNumberFormat="1" applyFont="1" applyFill="1" applyBorder="1" applyAlignment="1" applyProtection="1">
      <alignment horizontal="center"/>
    </xf>
    <xf numFmtId="2" fontId="12" fillId="0" borderId="33" xfId="1" applyNumberFormat="1" applyFont="1" applyFill="1" applyBorder="1" applyAlignment="1">
      <alignment horizontal="center"/>
    </xf>
    <xf numFmtId="171" fontId="10" fillId="0" borderId="33" xfId="0" applyNumberFormat="1" applyFont="1" applyFill="1" applyBorder="1" applyAlignment="1" applyProtection="1">
      <alignment horizontal="center"/>
    </xf>
    <xf numFmtId="2" fontId="7" fillId="0" borderId="33" xfId="1" applyNumberFormat="1" applyFont="1" applyFill="1" applyBorder="1" applyAlignment="1">
      <alignment horizontal="center"/>
    </xf>
    <xf numFmtId="171" fontId="10" fillId="0" borderId="34" xfId="0" applyNumberFormat="1" applyFont="1" applyFill="1" applyBorder="1" applyAlignment="1" applyProtection="1">
      <alignment horizontal="center"/>
    </xf>
    <xf numFmtId="167" fontId="7" fillId="3" borderId="33" xfId="4" applyNumberFormat="1" applyFont="1" applyFill="1" applyBorder="1" applyAlignment="1" applyProtection="1">
      <alignment horizontal="center"/>
    </xf>
    <xf numFmtId="2" fontId="7" fillId="0" borderId="31" xfId="1" applyNumberFormat="1" applyFont="1" applyFill="1" applyBorder="1" applyAlignment="1">
      <alignment horizontal="center"/>
    </xf>
    <xf numFmtId="171" fontId="19" fillId="0" borderId="34" xfId="0" applyNumberFormat="1" applyFont="1" applyFill="1" applyBorder="1" applyAlignment="1" applyProtection="1">
      <alignment horizontal="center"/>
    </xf>
    <xf numFmtId="39" fontId="7" fillId="3" borderId="9" xfId="0" applyNumberFormat="1" applyFont="1" applyFill="1" applyBorder="1" applyAlignment="1" applyProtection="1">
      <alignment horizontal="center"/>
    </xf>
    <xf numFmtId="39" fontId="7" fillId="3" borderId="10" xfId="0" applyNumberFormat="1" applyFont="1" applyFill="1" applyBorder="1" applyAlignment="1" applyProtection="1">
      <alignment horizontal="center"/>
    </xf>
    <xf numFmtId="166" fontId="7" fillId="3" borderId="12" xfId="0" applyNumberFormat="1" applyFont="1" applyFill="1" applyBorder="1" applyAlignment="1" applyProtection="1">
      <alignment horizontal="center"/>
    </xf>
    <xf numFmtId="166" fontId="7" fillId="3" borderId="11" xfId="0" applyNumberFormat="1" applyFont="1" applyFill="1" applyBorder="1" applyAlignment="1" applyProtection="1">
      <alignment horizontal="center"/>
    </xf>
    <xf numFmtId="0" fontId="0" fillId="2" borderId="8" xfId="0" applyFill="1" applyBorder="1" applyAlignment="1">
      <alignment horizontal="left"/>
    </xf>
    <xf numFmtId="39" fontId="2" fillId="2" borderId="4" xfId="0" applyNumberFormat="1" applyFont="1" applyFill="1" applyBorder="1" applyAlignment="1">
      <alignment horizontal="right" vertical="center"/>
    </xf>
    <xf numFmtId="39" fontId="7" fillId="2" borderId="4" xfId="0" applyNumberFormat="1" applyFont="1" applyFill="1" applyBorder="1" applyAlignment="1">
      <alignment horizontal="right" vertical="center"/>
    </xf>
    <xf numFmtId="2" fontId="14" fillId="2" borderId="22" xfId="4" applyNumberFormat="1" applyFont="1" applyFill="1" applyBorder="1" applyAlignment="1">
      <alignment horizontal="center"/>
    </xf>
    <xf numFmtId="2" fontId="14" fillId="2" borderId="23" xfId="4" applyNumberFormat="1" applyFont="1" applyFill="1" applyBorder="1" applyAlignment="1">
      <alignment horizontal="center"/>
    </xf>
    <xf numFmtId="2" fontId="15" fillId="2" borderId="25" xfId="4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171" fontId="12" fillId="0" borderId="33" xfId="0" applyNumberFormat="1" applyFont="1" applyFill="1" applyBorder="1" applyAlignment="1" applyProtection="1">
      <alignment horizontal="center"/>
    </xf>
    <xf numFmtId="165" fontId="26" fillId="2" borderId="6" xfId="0" quotePrefix="1" applyNumberFormat="1" applyFont="1" applyFill="1" applyBorder="1" applyAlignment="1">
      <alignment horizontal="center"/>
    </xf>
    <xf numFmtId="165" fontId="26" fillId="0" borderId="6" xfId="0" applyNumberFormat="1" applyFont="1" applyFill="1" applyBorder="1" applyAlignment="1">
      <alignment horizontal="center"/>
    </xf>
    <xf numFmtId="165" fontId="26" fillId="2" borderId="6" xfId="0" applyNumberFormat="1" applyFont="1" applyFill="1" applyBorder="1" applyAlignment="1">
      <alignment horizontal="center"/>
    </xf>
    <xf numFmtId="10" fontId="1" fillId="2" borderId="0" xfId="4" applyNumberFormat="1" applyFont="1" applyFill="1" applyBorder="1" applyAlignment="1">
      <alignment horizontal="right"/>
    </xf>
    <xf numFmtId="165" fontId="12" fillId="0" borderId="3" xfId="0" applyNumberFormat="1" applyFont="1" applyFill="1" applyBorder="1" applyAlignment="1" applyProtection="1">
      <alignment horizontal="right"/>
    </xf>
    <xf numFmtId="165" fontId="17" fillId="2" borderId="14" xfId="0" applyNumberFormat="1" applyFont="1" applyFill="1" applyBorder="1" applyAlignment="1" applyProtection="1">
      <alignment horizontal="right"/>
    </xf>
    <xf numFmtId="165" fontId="17" fillId="2" borderId="6" xfId="0" applyNumberFormat="1" applyFont="1" applyFill="1" applyBorder="1" applyAlignment="1" applyProtection="1">
      <alignment horizontal="right"/>
    </xf>
    <xf numFmtId="165" fontId="12" fillId="2" borderId="3" xfId="0" applyNumberFormat="1" applyFont="1" applyFill="1" applyBorder="1" applyAlignment="1" applyProtection="1">
      <alignment horizontal="center"/>
    </xf>
    <xf numFmtId="168" fontId="17" fillId="2" borderId="13" xfId="1" applyNumberFormat="1" applyFont="1" applyFill="1" applyBorder="1" applyAlignment="1"/>
    <xf numFmtId="168" fontId="17" fillId="2" borderId="3" xfId="1" applyNumberFormat="1" applyFont="1" applyFill="1" applyBorder="1" applyAlignment="1"/>
    <xf numFmtId="168" fontId="17" fillId="2" borderId="6" xfId="1" applyNumberFormat="1" applyFont="1" applyFill="1" applyBorder="1" applyAlignment="1"/>
    <xf numFmtId="2" fontId="12" fillId="2" borderId="33" xfId="1" applyNumberFormat="1" applyFont="1" applyFill="1" applyBorder="1" applyAlignment="1">
      <alignment horizontal="center"/>
    </xf>
    <xf numFmtId="165" fontId="26" fillId="2" borderId="0" xfId="0" applyNumberFormat="1" applyFont="1" applyFill="1" applyBorder="1"/>
    <xf numFmtId="0" fontId="36" fillId="2" borderId="0" xfId="0" applyFont="1" applyFill="1"/>
    <xf numFmtId="0" fontId="14" fillId="2" borderId="16" xfId="0" applyFont="1" applyFill="1" applyBorder="1"/>
    <xf numFmtId="39" fontId="8" fillId="2" borderId="0" xfId="0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174" fontId="7" fillId="2" borderId="0" xfId="0" applyNumberFormat="1" applyFont="1" applyFill="1" applyBorder="1" applyAlignment="1"/>
    <xf numFmtId="173" fontId="8" fillId="0" borderId="0" xfId="1" applyNumberFormat="1" applyFont="1" applyFill="1" applyBorder="1" applyAlignment="1">
      <alignment horizontal="right"/>
    </xf>
    <xf numFmtId="173" fontId="8" fillId="4" borderId="0" xfId="1" applyNumberFormat="1" applyFont="1" applyFill="1" applyBorder="1" applyAlignment="1">
      <alignment horizontal="right"/>
    </xf>
    <xf numFmtId="174" fontId="7" fillId="4" borderId="0" xfId="0" applyNumberFormat="1" applyFont="1" applyFill="1" applyBorder="1" applyAlignment="1"/>
    <xf numFmtId="171" fontId="39" fillId="0" borderId="3" xfId="0" applyNumberFormat="1" applyFont="1" applyFill="1" applyBorder="1" applyAlignment="1" applyProtection="1">
      <alignment horizontal="right"/>
    </xf>
    <xf numFmtId="165" fontId="39" fillId="0" borderId="0" xfId="0" applyNumberFormat="1" applyFont="1" applyFill="1" applyBorder="1" applyAlignment="1" applyProtection="1">
      <alignment horizontal="right"/>
    </xf>
    <xf numFmtId="165" fontId="39" fillId="0" borderId="13" xfId="0" applyNumberFormat="1" applyFont="1" applyFill="1" applyBorder="1" applyAlignment="1" applyProtection="1">
      <alignment horizontal="right"/>
    </xf>
    <xf numFmtId="171" fontId="39" fillId="0" borderId="0" xfId="0" applyNumberFormat="1" applyFont="1" applyFill="1" applyBorder="1" applyAlignment="1" applyProtection="1">
      <alignment horizontal="right"/>
    </xf>
    <xf numFmtId="165" fontId="39" fillId="0" borderId="6" xfId="0" applyNumberFormat="1" applyFont="1" applyFill="1" applyBorder="1" applyAlignment="1" applyProtection="1">
      <alignment horizontal="right"/>
    </xf>
    <xf numFmtId="165" fontId="39" fillId="0" borderId="13" xfId="1" applyNumberFormat="1" applyFont="1" applyFill="1" applyBorder="1" applyAlignment="1">
      <alignment horizontal="center"/>
    </xf>
    <xf numFmtId="165" fontId="39" fillId="0" borderId="3" xfId="1" applyNumberFormat="1" applyFont="1" applyFill="1" applyBorder="1" applyAlignment="1">
      <alignment horizontal="center"/>
    </xf>
    <xf numFmtId="165" fontId="40" fillId="0" borderId="6" xfId="1" applyNumberFormat="1" applyFont="1" applyFill="1" applyBorder="1" applyAlignment="1">
      <alignment horizontal="center"/>
    </xf>
    <xf numFmtId="171" fontId="39" fillId="0" borderId="33" xfId="0" applyNumberFormat="1" applyFont="1" applyFill="1" applyBorder="1" applyAlignment="1" applyProtection="1">
      <alignment horizontal="center"/>
    </xf>
    <xf numFmtId="165" fontId="41" fillId="2" borderId="6" xfId="0" quotePrefix="1" applyNumberFormat="1" applyFont="1" applyFill="1" applyBorder="1" applyAlignment="1">
      <alignment horizontal="center"/>
    </xf>
    <xf numFmtId="0" fontId="29" fillId="2" borderId="0" xfId="0" applyFont="1" applyFill="1" applyProtection="1"/>
    <xf numFmtId="0" fontId="11" fillId="3" borderId="26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2" borderId="0" xfId="0" quotePrefix="1" applyNumberFormat="1" applyFont="1" applyFill="1" applyBorder="1" applyAlignment="1">
      <alignment horizontal="center"/>
    </xf>
    <xf numFmtId="39" fontId="8" fillId="2" borderId="0" xfId="0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 applyProtection="1">
      <alignment horizontal="center"/>
    </xf>
    <xf numFmtId="166" fontId="8" fillId="3" borderId="2" xfId="0" applyNumberFormat="1" applyFont="1" applyFill="1" applyBorder="1" applyAlignment="1" applyProtection="1">
      <alignment horizontal="center"/>
    </xf>
    <xf numFmtId="166" fontId="8" fillId="3" borderId="18" xfId="0" applyNumberFormat="1" applyFont="1" applyFill="1" applyBorder="1" applyAlignment="1" applyProtection="1">
      <alignment horizontal="center"/>
    </xf>
    <xf numFmtId="166" fontId="8" fillId="3" borderId="26" xfId="0" applyNumberFormat="1" applyFont="1" applyFill="1" applyBorder="1" applyAlignment="1" applyProtection="1">
      <alignment horizontal="center"/>
    </xf>
    <xf numFmtId="165" fontId="0" fillId="2" borderId="0" xfId="0" applyNumberFormat="1" applyFill="1" applyBorder="1" applyAlignment="1">
      <alignment horizontal="left"/>
    </xf>
    <xf numFmtId="166" fontId="8" fillId="3" borderId="7" xfId="0" applyNumberFormat="1" applyFont="1" applyFill="1" applyBorder="1" applyAlignment="1" applyProtection="1">
      <alignment horizontal="center"/>
    </xf>
    <xf numFmtId="39" fontId="8" fillId="3" borderId="1" xfId="0" applyNumberFormat="1" applyFont="1" applyFill="1" applyBorder="1" applyAlignment="1">
      <alignment horizontal="center"/>
    </xf>
    <xf numFmtId="39" fontId="8" fillId="3" borderId="7" xfId="0" applyNumberFormat="1" applyFont="1" applyFill="1" applyBorder="1" applyAlignment="1">
      <alignment horizontal="center"/>
    </xf>
    <xf numFmtId="0" fontId="8" fillId="2" borderId="0" xfId="0" applyNumberFormat="1" applyFont="1" applyFill="1" applyBorder="1" applyAlignment="1">
      <alignment horizontal="center"/>
    </xf>
    <xf numFmtId="165" fontId="14" fillId="2" borderId="0" xfId="0" applyNumberFormat="1" applyFont="1" applyFill="1" applyBorder="1" applyAlignment="1">
      <alignment horizontal="left"/>
    </xf>
  </cellXfs>
  <cellStyles count="6">
    <cellStyle name="Comma" xfId="1" builtinId="3"/>
    <cellStyle name="Normal" xfId="0" builtinId="0"/>
    <cellStyle name="Normal - Style1" xfId="2" xr:uid="{00000000-0005-0000-0000-000002000000}"/>
    <cellStyle name="Normal 2" xfId="3" xr:uid="{00000000-0005-0000-0000-000003000000}"/>
    <cellStyle name="Percent" xfId="4" builtinId="5"/>
    <cellStyle name="Percent 2" xfId="5" xr:uid="{00000000-0005-0000-0000-000004000000}"/>
  </cellStyles>
  <dxfs count="64"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Production</a:t>
            </a:r>
            <a:r>
              <a:rPr lang="en-CA" baseline="0"/>
              <a:t> </a:t>
            </a:r>
            <a:r>
              <a:rPr lang="en-CA"/>
              <a:t>Verification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675923097214939"/>
          <c:y val="0.13160799969591408"/>
          <c:w val="0.66482017681509697"/>
          <c:h val="0.6864547046118209"/>
        </c:manualLayout>
      </c:layout>
      <c:scatterChart>
        <c:scatterStyle val="lineMarker"/>
        <c:varyColors val="0"/>
        <c:ser>
          <c:idx val="1"/>
          <c:order val="0"/>
          <c:tx>
            <c:v>1:1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E5F4-4A7E-96D9-B862D35ED936}"/>
            </c:ext>
          </c:extLst>
        </c:ser>
        <c:ser>
          <c:idx val="0"/>
          <c:order val="1"/>
          <c:tx>
            <c:v>JAN</c:v>
          </c:tx>
          <c:spPr>
            <a:ln>
              <a:noFill/>
            </a:ln>
          </c:spPr>
          <c:marker>
            <c:symbol val="x"/>
            <c:size val="3"/>
            <c:spPr>
              <a:noFill/>
            </c:spPr>
          </c:marker>
          <c:xVal>
            <c:numRef>
              <c:f>JAN!$P$7:$P$37</c:f>
              <c:numCache>
                <c:formatCode>0.000</c:formatCode>
                <c:ptCount val="31"/>
                <c:pt idx="0">
                  <c:v>47.170842671769904</c:v>
                </c:pt>
                <c:pt idx="1">
                  <c:v>45.922383466479971</c:v>
                </c:pt>
                <c:pt idx="2">
                  <c:v>47.132042679736315</c:v>
                </c:pt>
                <c:pt idx="3">
                  <c:v>44.60180695768107</c:v>
                </c:pt>
                <c:pt idx="4">
                  <c:v>39.98795600084452</c:v>
                </c:pt>
                <c:pt idx="5">
                  <c:v>46.334882835977226</c:v>
                </c:pt>
                <c:pt idx="6">
                  <c:v>46.216723187972065</c:v>
                </c:pt>
                <c:pt idx="7">
                  <c:v>53.739382601742136</c:v>
                </c:pt>
                <c:pt idx="8">
                  <c:v>44.427041461269283</c:v>
                </c:pt>
                <c:pt idx="9">
                  <c:v>56.667194455640583</c:v>
                </c:pt>
                <c:pt idx="10">
                  <c:v>73.839321229923158</c:v>
                </c:pt>
                <c:pt idx="11">
                  <c:v>56.139022799527986</c:v>
                </c:pt>
                <c:pt idx="12">
                  <c:v>47.292636967015206</c:v>
                </c:pt>
                <c:pt idx="13">
                  <c:v>40.200323231310428</c:v>
                </c:pt>
                <c:pt idx="14">
                  <c:v>46.162969513249308</c:v>
                </c:pt>
                <c:pt idx="15">
                  <c:v>52.175081617123844</c:v>
                </c:pt>
                <c:pt idx="16">
                  <c:v>53.104896106240489</c:v>
                </c:pt>
                <c:pt idx="17">
                  <c:v>52.559046877587924</c:v>
                </c:pt>
                <c:pt idx="18">
                  <c:v>47.212252895686461</c:v>
                </c:pt>
                <c:pt idx="19">
                  <c:v>44.70863946901575</c:v>
                </c:pt>
                <c:pt idx="20">
                  <c:v>39.931812848136339</c:v>
                </c:pt>
                <c:pt idx="21">
                  <c:v>49.405059963274653</c:v>
                </c:pt>
                <c:pt idx="22">
                  <c:v>51.822179516609047</c:v>
                </c:pt>
                <c:pt idx="23">
                  <c:v>48.107857000739422</c:v>
                </c:pt>
                <c:pt idx="24">
                  <c:v>48.092759090645366</c:v>
                </c:pt>
                <c:pt idx="25">
                  <c:v>47.826057030548377</c:v>
                </c:pt>
                <c:pt idx="26">
                  <c:v>47.779090954080637</c:v>
                </c:pt>
                <c:pt idx="27">
                  <c:v>53.856635599746717</c:v>
                </c:pt>
                <c:pt idx="28">
                  <c:v>48.28602018330507</c:v>
                </c:pt>
                <c:pt idx="29">
                  <c:v>47.327347150149293</c:v>
                </c:pt>
                <c:pt idx="30">
                  <c:v>52.386553282869784</c:v>
                </c:pt>
              </c:numCache>
            </c:numRef>
          </c:xVal>
          <c:yVal>
            <c:numRef>
              <c:f>JAN!$S$7:$S$37</c:f>
              <c:numCache>
                <c:formatCode>0.000</c:formatCode>
                <c:ptCount val="31"/>
                <c:pt idx="0">
                  <c:v>44.813665551366874</c:v>
                </c:pt>
                <c:pt idx="1">
                  <c:v>46.199647214949294</c:v>
                </c:pt>
                <c:pt idx="2">
                  <c:v>48.681479587929502</c:v>
                </c:pt>
                <c:pt idx="3">
                  <c:v>45.85728705078423</c:v>
                </c:pt>
                <c:pt idx="4">
                  <c:v>46.608587541981819</c:v>
                </c:pt>
                <c:pt idx="5">
                  <c:v>46.046075965860858</c:v>
                </c:pt>
                <c:pt idx="6">
                  <c:v>48.763075195774988</c:v>
                </c:pt>
                <c:pt idx="7">
                  <c:v>57.880667196808247</c:v>
                </c:pt>
                <c:pt idx="8">
                  <c:v>46.531697965728142</c:v>
                </c:pt>
                <c:pt idx="9">
                  <c:v>58.349970797186394</c:v>
                </c:pt>
                <c:pt idx="10">
                  <c:v>76.276429463470862</c:v>
                </c:pt>
                <c:pt idx="11">
                  <c:v>59.333610129528822</c:v>
                </c:pt>
                <c:pt idx="12">
                  <c:v>47.665929335686677</c:v>
                </c:pt>
                <c:pt idx="13">
                  <c:v>41.528727057871343</c:v>
                </c:pt>
                <c:pt idx="14">
                  <c:v>51.416998206328984</c:v>
                </c:pt>
                <c:pt idx="15">
                  <c:v>52.474092964253764</c:v>
                </c:pt>
                <c:pt idx="16">
                  <c:v>54.808877565343366</c:v>
                </c:pt>
                <c:pt idx="17">
                  <c:v>55.044303363613814</c:v>
                </c:pt>
                <c:pt idx="18">
                  <c:v>48.737642355578487</c:v>
                </c:pt>
                <c:pt idx="19">
                  <c:v>48.694457999621463</c:v>
                </c:pt>
                <c:pt idx="20">
                  <c:v>45.374004073528951</c:v>
                </c:pt>
                <c:pt idx="21">
                  <c:v>47.549438119896934</c:v>
                </c:pt>
                <c:pt idx="22">
                  <c:v>53.491917064497564</c:v>
                </c:pt>
                <c:pt idx="23">
                  <c:v>51.634782256835528</c:v>
                </c:pt>
                <c:pt idx="24">
                  <c:v>50.562791461339117</c:v>
                </c:pt>
                <c:pt idx="25">
                  <c:v>49.922864212199393</c:v>
                </c:pt>
                <c:pt idx="26">
                  <c:v>51.453983278911252</c:v>
                </c:pt>
                <c:pt idx="27">
                  <c:v>53.140811012128943</c:v>
                </c:pt>
                <c:pt idx="28">
                  <c:v>50.411407344092552</c:v>
                </c:pt>
                <c:pt idx="29">
                  <c:v>50.646911688603389</c:v>
                </c:pt>
                <c:pt idx="30">
                  <c:v>54.695351676922016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F4-4A7E-96D9-B862D35ED936}"/>
            </c:ext>
          </c:extLst>
        </c:ser>
        <c:ser>
          <c:idx val="2"/>
          <c:order val="2"/>
          <c:tx>
            <c:v>FEB</c:v>
          </c:tx>
          <c:spPr>
            <a:ln>
              <a:noFill/>
            </a:ln>
          </c:spPr>
          <c:marker>
            <c:symbol val="x"/>
            <c:size val="3"/>
            <c:spPr>
              <a:noFill/>
            </c:spPr>
          </c:marker>
          <c:xVal>
            <c:numRef>
              <c:f>FEB!$P$7:$P$35</c:f>
              <c:numCache>
                <c:formatCode>0.000</c:formatCode>
                <c:ptCount val="29"/>
                <c:pt idx="0">
                  <c:v>41.69129342277391</c:v>
                </c:pt>
                <c:pt idx="1">
                  <c:v>42.734408837424894</c:v>
                </c:pt>
                <c:pt idx="2">
                  <c:v>48.952749481850788</c:v>
                </c:pt>
                <c:pt idx="3">
                  <c:v>61.77160470623609</c:v>
                </c:pt>
                <c:pt idx="4">
                  <c:v>48.173188876181563</c:v>
                </c:pt>
                <c:pt idx="5">
                  <c:v>47.548209933686927</c:v>
                </c:pt>
                <c:pt idx="6">
                  <c:v>60.538538705069627</c:v>
                </c:pt>
                <c:pt idx="7">
                  <c:v>48.943895127510167</c:v>
                </c:pt>
                <c:pt idx="8">
                  <c:v>46.937822115430741</c:v>
                </c:pt>
                <c:pt idx="9">
                  <c:v>46.243851355943427</c:v>
                </c:pt>
                <c:pt idx="10">
                  <c:v>38.441755843535248</c:v>
                </c:pt>
                <c:pt idx="11">
                  <c:v>42.065930850498063</c:v>
                </c:pt>
                <c:pt idx="12">
                  <c:v>44.106382549304108</c:v>
                </c:pt>
                <c:pt idx="13">
                  <c:v>50.111991159171552</c:v>
                </c:pt>
                <c:pt idx="14">
                  <c:v>49.076635613633265</c:v>
                </c:pt>
                <c:pt idx="15">
                  <c:v>46.480434325263595</c:v>
                </c:pt>
                <c:pt idx="16">
                  <c:v>42.361828879940767</c:v>
                </c:pt>
                <c:pt idx="17">
                  <c:v>42.489293617154189</c:v>
                </c:pt>
                <c:pt idx="18">
                  <c:v>43.580823473634666</c:v>
                </c:pt>
                <c:pt idx="19">
                  <c:v>41.897893465798028</c:v>
                </c:pt>
                <c:pt idx="20">
                  <c:v>55.750873315071438</c:v>
                </c:pt>
                <c:pt idx="21">
                  <c:v>52.540481851344659</c:v>
                </c:pt>
                <c:pt idx="22">
                  <c:v>68.144181673847754</c:v>
                </c:pt>
                <c:pt idx="23">
                  <c:v>73.343541488420726</c:v>
                </c:pt>
                <c:pt idx="24">
                  <c:v>68.390180230811495</c:v>
                </c:pt>
                <c:pt idx="25">
                  <c:v>65.061720263689921</c:v>
                </c:pt>
                <c:pt idx="26">
                  <c:v>69.490218341473593</c:v>
                </c:pt>
                <c:pt idx="27">
                  <c:v>45.885836987095203</c:v>
                </c:pt>
                <c:pt idx="28">
                  <c:v>45.237029239776298</c:v>
                </c:pt>
              </c:numCache>
            </c:numRef>
          </c:xVal>
          <c:yVal>
            <c:numRef>
              <c:f>FEB!$S$7:$S$35</c:f>
              <c:numCache>
                <c:formatCode>0.000</c:formatCode>
                <c:ptCount val="29"/>
                <c:pt idx="0">
                  <c:v>47.483627044749824</c:v>
                </c:pt>
                <c:pt idx="1">
                  <c:v>44.589884611529527</c:v>
                </c:pt>
                <c:pt idx="2">
                  <c:v>51.598853708769987</c:v>
                </c:pt>
                <c:pt idx="3">
                  <c:v>62.90439662711168</c:v>
                </c:pt>
                <c:pt idx="4">
                  <c:v>51.056591682751574</c:v>
                </c:pt>
                <c:pt idx="5">
                  <c:v>50.179725695697535</c:v>
                </c:pt>
                <c:pt idx="6">
                  <c:v>61.836476566753767</c:v>
                </c:pt>
                <c:pt idx="7">
                  <c:v>50.179423650241446</c:v>
                </c:pt>
                <c:pt idx="8">
                  <c:v>48.553164410148121</c:v>
                </c:pt>
                <c:pt idx="9">
                  <c:v>46.296307926333135</c:v>
                </c:pt>
                <c:pt idx="10">
                  <c:v>44.785945012390016</c:v>
                </c:pt>
                <c:pt idx="11">
                  <c:v>43.712954869159894</c:v>
                </c:pt>
                <c:pt idx="12">
                  <c:v>46.12678911860511</c:v>
                </c:pt>
                <c:pt idx="13">
                  <c:v>50.659451004816553</c:v>
                </c:pt>
                <c:pt idx="14">
                  <c:v>50.351830335414533</c:v>
                </c:pt>
                <c:pt idx="15">
                  <c:v>47.161217407691822</c:v>
                </c:pt>
                <c:pt idx="16">
                  <c:v>47.728254326789681</c:v>
                </c:pt>
                <c:pt idx="17">
                  <c:v>46.834748333577991</c:v>
                </c:pt>
                <c:pt idx="18">
                  <c:v>43.770450139180959</c:v>
                </c:pt>
                <c:pt idx="19">
                  <c:v>44.432806117731865</c:v>
                </c:pt>
                <c:pt idx="20">
                  <c:v>59.279533420970225</c:v>
                </c:pt>
                <c:pt idx="21">
                  <c:v>54.850369740122453</c:v>
                </c:pt>
                <c:pt idx="22">
                  <c:v>70.291377212175419</c:v>
                </c:pt>
                <c:pt idx="23">
                  <c:v>73.787395677320703</c:v>
                </c:pt>
                <c:pt idx="24">
                  <c:v>71.612313525109926</c:v>
                </c:pt>
                <c:pt idx="25">
                  <c:v>68.437666191110964</c:v>
                </c:pt>
                <c:pt idx="26">
                  <c:v>70.307846236418627</c:v>
                </c:pt>
                <c:pt idx="27">
                  <c:v>49.637545363689227</c:v>
                </c:pt>
                <c:pt idx="28">
                  <c:v>46.592625138908637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F4-4A7E-96D9-B862D35ED936}"/>
            </c:ext>
          </c:extLst>
        </c:ser>
        <c:ser>
          <c:idx val="3"/>
          <c:order val="3"/>
          <c:tx>
            <c:v>MAR</c:v>
          </c:tx>
          <c:spPr>
            <a:ln>
              <a:noFill/>
            </a:ln>
          </c:spPr>
          <c:marker>
            <c:symbol val="x"/>
            <c:size val="3"/>
            <c:spPr>
              <a:noFill/>
            </c:spPr>
          </c:marker>
          <c:xVal>
            <c:numRef>
              <c:f>MAR!$P$7:$P$37</c:f>
              <c:numCache>
                <c:formatCode>0.000</c:formatCode>
                <c:ptCount val="31"/>
                <c:pt idx="0">
                  <c:v>46.915789402887462</c:v>
                </c:pt>
                <c:pt idx="1">
                  <c:v>47.155809969270052</c:v>
                </c:pt>
                <c:pt idx="2">
                  <c:v>57.042978077718985</c:v>
                </c:pt>
                <c:pt idx="3">
                  <c:v>73.363338573076831</c:v>
                </c:pt>
                <c:pt idx="4">
                  <c:v>71.145467657906892</c:v>
                </c:pt>
                <c:pt idx="5">
                  <c:v>71.545330786300184</c:v>
                </c:pt>
                <c:pt idx="6">
                  <c:v>77.090861760625472</c:v>
                </c:pt>
                <c:pt idx="7">
                  <c:v>68.535077393504864</c:v>
                </c:pt>
                <c:pt idx="8">
                  <c:v>70.963641286233582</c:v>
                </c:pt>
                <c:pt idx="9">
                  <c:v>50.583666818604954</c:v>
                </c:pt>
                <c:pt idx="10">
                  <c:v>46.813041393784097</c:v>
                </c:pt>
                <c:pt idx="11">
                  <c:v>47.88418397270123</c:v>
                </c:pt>
                <c:pt idx="12">
                  <c:v>52.557577365474273</c:v>
                </c:pt>
                <c:pt idx="13">
                  <c:v>50.706805828137448</c:v>
                </c:pt>
                <c:pt idx="14">
                  <c:v>50.694200693900456</c:v>
                </c:pt>
                <c:pt idx="15">
                  <c:v>45.478999644431809</c:v>
                </c:pt>
                <c:pt idx="16">
                  <c:v>44.717149355621402</c:v>
                </c:pt>
                <c:pt idx="17">
                  <c:v>42.182079758827271</c:v>
                </c:pt>
                <c:pt idx="18">
                  <c:v>45.540698735381966</c:v>
                </c:pt>
                <c:pt idx="19">
                  <c:v>46.807802105441155</c:v>
                </c:pt>
                <c:pt idx="20">
                  <c:v>46.170392614802601</c:v>
                </c:pt>
                <c:pt idx="21">
                  <c:v>45.991584171665245</c:v>
                </c:pt>
                <c:pt idx="22">
                  <c:v>56.247916873007398</c:v>
                </c:pt>
                <c:pt idx="23">
                  <c:v>64.55173802503198</c:v>
                </c:pt>
                <c:pt idx="24">
                  <c:v>60.653096568941841</c:v>
                </c:pt>
                <c:pt idx="25">
                  <c:v>50.268438157247445</c:v>
                </c:pt>
                <c:pt idx="26">
                  <c:v>46.290899234599301</c:v>
                </c:pt>
                <c:pt idx="27">
                  <c:v>45.320040768141901</c:v>
                </c:pt>
                <c:pt idx="28">
                  <c:v>44.436031245788243</c:v>
                </c:pt>
                <c:pt idx="29">
                  <c:v>47.101309306191133</c:v>
                </c:pt>
                <c:pt idx="30">
                  <c:v>53.717686168453469</c:v>
                </c:pt>
              </c:numCache>
            </c:numRef>
          </c:xVal>
          <c:yVal>
            <c:numRef>
              <c:f>MAR!$S$7:$S$37</c:f>
              <c:numCache>
                <c:formatCode>0.000</c:formatCode>
                <c:ptCount val="31"/>
                <c:pt idx="0">
                  <c:v>48.367056211333846</c:v>
                </c:pt>
                <c:pt idx="1">
                  <c:v>49.978900927900419</c:v>
                </c:pt>
                <c:pt idx="2">
                  <c:v>60.273116134988328</c:v>
                </c:pt>
                <c:pt idx="3">
                  <c:v>77.715397685967858</c:v>
                </c:pt>
                <c:pt idx="4">
                  <c:v>72.649272801643846</c:v>
                </c:pt>
                <c:pt idx="5">
                  <c:v>77.116961330522699</c:v>
                </c:pt>
                <c:pt idx="6">
                  <c:v>79.775749710895852</c:v>
                </c:pt>
                <c:pt idx="7">
                  <c:v>75.12637827778569</c:v>
                </c:pt>
                <c:pt idx="8">
                  <c:v>73.49861985827971</c:v>
                </c:pt>
                <c:pt idx="9">
                  <c:v>54.382917527963897</c:v>
                </c:pt>
                <c:pt idx="10">
                  <c:v>49.557381820600192</c:v>
                </c:pt>
                <c:pt idx="11">
                  <c:v>50.394524770253497</c:v>
                </c:pt>
                <c:pt idx="12">
                  <c:v>53.006290865825605</c:v>
                </c:pt>
                <c:pt idx="13">
                  <c:v>51.892971769692373</c:v>
                </c:pt>
                <c:pt idx="14">
                  <c:v>52.724753689307683</c:v>
                </c:pt>
                <c:pt idx="15">
                  <c:v>47.157042768598501</c:v>
                </c:pt>
                <c:pt idx="16">
                  <c:v>47.067182467061123</c:v>
                </c:pt>
                <c:pt idx="17">
                  <c:v>45.845680204784429</c:v>
                </c:pt>
                <c:pt idx="18">
                  <c:v>47.980387506989089</c:v>
                </c:pt>
                <c:pt idx="19">
                  <c:v>47.909625430354282</c:v>
                </c:pt>
                <c:pt idx="20">
                  <c:v>47.333508465062891</c:v>
                </c:pt>
                <c:pt idx="21">
                  <c:v>49.109578765068235</c:v>
                </c:pt>
                <c:pt idx="22">
                  <c:v>58.952028794234614</c:v>
                </c:pt>
                <c:pt idx="23">
                  <c:v>65.724057972559109</c:v>
                </c:pt>
                <c:pt idx="24">
                  <c:v>61.592892946370505</c:v>
                </c:pt>
                <c:pt idx="25">
                  <c:v>55.129705769773906</c:v>
                </c:pt>
                <c:pt idx="26">
                  <c:v>47.717924101279245</c:v>
                </c:pt>
                <c:pt idx="27">
                  <c:v>46.815714933328266</c:v>
                </c:pt>
                <c:pt idx="28">
                  <c:v>47.462384150734017</c:v>
                </c:pt>
                <c:pt idx="29">
                  <c:v>50.494798417430694</c:v>
                </c:pt>
                <c:pt idx="30">
                  <c:v>52.999513964887598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F4-4A7E-96D9-B862D35ED936}"/>
            </c:ext>
          </c:extLst>
        </c:ser>
        <c:ser>
          <c:idx val="4"/>
          <c:order val="4"/>
          <c:tx>
            <c:v>APR</c:v>
          </c:tx>
          <c:spPr>
            <a:ln>
              <a:noFill/>
            </a:ln>
          </c:spPr>
          <c:marker>
            <c:symbol val="star"/>
            <c:size val="3"/>
            <c:spPr>
              <a:noFill/>
            </c:spPr>
          </c:marker>
          <c:xVal>
            <c:numRef>
              <c:f>APR!$P$7:$P$36</c:f>
              <c:numCache>
                <c:formatCode>0.000</c:formatCode>
                <c:ptCount val="30"/>
                <c:pt idx="0">
                  <c:v>52.222005105813587</c:v>
                </c:pt>
                <c:pt idx="1">
                  <c:v>49.040783485278538</c:v>
                </c:pt>
                <c:pt idx="2">
                  <c:v>49.104396001418479</c:v>
                </c:pt>
                <c:pt idx="3">
                  <c:v>48.18671866346579</c:v>
                </c:pt>
                <c:pt idx="4">
                  <c:v>45.245251650939963</c:v>
                </c:pt>
                <c:pt idx="5">
                  <c:v>52.306402336346409</c:v>
                </c:pt>
                <c:pt idx="6">
                  <c:v>45.095048198136602</c:v>
                </c:pt>
                <c:pt idx="7">
                  <c:v>48.020678653963088</c:v>
                </c:pt>
                <c:pt idx="8">
                  <c:v>47.292782806027894</c:v>
                </c:pt>
                <c:pt idx="9">
                  <c:v>46.329335683096858</c:v>
                </c:pt>
                <c:pt idx="10">
                  <c:v>49.4007270177854</c:v>
                </c:pt>
                <c:pt idx="11">
                  <c:v>48.594762087328618</c:v>
                </c:pt>
                <c:pt idx="12">
                  <c:v>48.967610824473169</c:v>
                </c:pt>
                <c:pt idx="13">
                  <c:v>50.227642507291655</c:v>
                </c:pt>
                <c:pt idx="14">
                  <c:v>46.187409087395054</c:v>
                </c:pt>
                <c:pt idx="15">
                  <c:v>42.898143800241549</c:v>
                </c:pt>
                <c:pt idx="16">
                  <c:v>43.085087478777439</c:v>
                </c:pt>
                <c:pt idx="17">
                  <c:v>41.478452929920792</c:v>
                </c:pt>
                <c:pt idx="18">
                  <c:v>44.534900850284124</c:v>
                </c:pt>
                <c:pt idx="19">
                  <c:v>52.641201688724053</c:v>
                </c:pt>
                <c:pt idx="20">
                  <c:v>47.732953884688783</c:v>
                </c:pt>
                <c:pt idx="21">
                  <c:v>45.439150625538097</c:v>
                </c:pt>
                <c:pt idx="22">
                  <c:v>49.388853605863943</c:v>
                </c:pt>
                <c:pt idx="23">
                  <c:v>53.12745872022515</c:v>
                </c:pt>
                <c:pt idx="24">
                  <c:v>57.028052255582971</c:v>
                </c:pt>
                <c:pt idx="25">
                  <c:v>52.719814085560259</c:v>
                </c:pt>
                <c:pt idx="26">
                  <c:v>49.015173388983044</c:v>
                </c:pt>
                <c:pt idx="27">
                  <c:v>49.264992865181767</c:v>
                </c:pt>
                <c:pt idx="28">
                  <c:v>47.534778345166387</c:v>
                </c:pt>
                <c:pt idx="29">
                  <c:v>48.88034533536424</c:v>
                </c:pt>
              </c:numCache>
            </c:numRef>
          </c:xVal>
          <c:yVal>
            <c:numRef>
              <c:f>APR!$S$7:$S$36</c:f>
              <c:numCache>
                <c:formatCode>0.000</c:formatCode>
                <c:ptCount val="30"/>
                <c:pt idx="0">
                  <c:v>53.40754254047485</c:v>
                </c:pt>
                <c:pt idx="1">
                  <c:v>52.079193813341995</c:v>
                </c:pt>
                <c:pt idx="2">
                  <c:v>50.120977794073227</c:v>
                </c:pt>
                <c:pt idx="3">
                  <c:v>49.734549543637684</c:v>
                </c:pt>
                <c:pt idx="4">
                  <c:v>50.117791028789483</c:v>
                </c:pt>
                <c:pt idx="5">
                  <c:v>53.607922523059905</c:v>
                </c:pt>
                <c:pt idx="6">
                  <c:v>47.47790679972077</c:v>
                </c:pt>
                <c:pt idx="7">
                  <c:v>49.765715150710896</c:v>
                </c:pt>
                <c:pt idx="8">
                  <c:v>50.167112575922594</c:v>
                </c:pt>
                <c:pt idx="9">
                  <c:v>48.474392825447268</c:v>
                </c:pt>
                <c:pt idx="10">
                  <c:v>51.578733501402901</c:v>
                </c:pt>
                <c:pt idx="11">
                  <c:v>50.338503275845341</c:v>
                </c:pt>
                <c:pt idx="12">
                  <c:v>50.272383368100435</c:v>
                </c:pt>
                <c:pt idx="13">
                  <c:v>52.61338593226133</c:v>
                </c:pt>
                <c:pt idx="14">
                  <c:v>49.244408314539804</c:v>
                </c:pt>
                <c:pt idx="15">
                  <c:v>45.758211707542969</c:v>
                </c:pt>
                <c:pt idx="16">
                  <c:v>44.587843875513812</c:v>
                </c:pt>
                <c:pt idx="17">
                  <c:v>43.117300227304405</c:v>
                </c:pt>
                <c:pt idx="18">
                  <c:v>46.450000460020384</c:v>
                </c:pt>
                <c:pt idx="19">
                  <c:v>54.100248148184299</c:v>
                </c:pt>
                <c:pt idx="20">
                  <c:v>50.168614120872903</c:v>
                </c:pt>
                <c:pt idx="21">
                  <c:v>49.878939169133695</c:v>
                </c:pt>
                <c:pt idx="22">
                  <c:v>49.361032605160226</c:v>
                </c:pt>
                <c:pt idx="23">
                  <c:v>54.763229059300592</c:v>
                </c:pt>
                <c:pt idx="24">
                  <c:v>57.431606230599165</c:v>
                </c:pt>
                <c:pt idx="25">
                  <c:v>56.154005377734244</c:v>
                </c:pt>
                <c:pt idx="26">
                  <c:v>51.787609007669609</c:v>
                </c:pt>
                <c:pt idx="27">
                  <c:v>50.752731814506497</c:v>
                </c:pt>
                <c:pt idx="28">
                  <c:v>49.825496717322466</c:v>
                </c:pt>
                <c:pt idx="29">
                  <c:v>50.996690348968521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F4-4A7E-96D9-B862D35ED936}"/>
            </c:ext>
          </c:extLst>
        </c:ser>
        <c:ser>
          <c:idx val="5"/>
          <c:order val="5"/>
          <c:tx>
            <c:v>MAY</c:v>
          </c:tx>
          <c:spPr>
            <a:ln>
              <a:noFill/>
            </a:ln>
          </c:spPr>
          <c:marker>
            <c:symbol val="x"/>
            <c:size val="3"/>
            <c:spPr>
              <a:noFill/>
            </c:spPr>
          </c:marker>
          <c:xVal>
            <c:numRef>
              <c:f>MAY!$P$7:$P$37</c:f>
              <c:numCache>
                <c:formatCode>0.000</c:formatCode>
                <c:ptCount val="31"/>
                <c:pt idx="0">
                  <c:v>50.021745685261102</c:v>
                </c:pt>
                <c:pt idx="1">
                  <c:v>50.863166630965601</c:v>
                </c:pt>
                <c:pt idx="2">
                  <c:v>47.47582374173151</c:v>
                </c:pt>
                <c:pt idx="3">
                  <c:v>45.46596468204352</c:v>
                </c:pt>
                <c:pt idx="4">
                  <c:v>47.762800020003432</c:v>
                </c:pt>
                <c:pt idx="5">
                  <c:v>45.048724473804413</c:v>
                </c:pt>
                <c:pt idx="6">
                  <c:v>44.941043647353148</c:v>
                </c:pt>
                <c:pt idx="7">
                  <c:v>46.020707176639981</c:v>
                </c:pt>
                <c:pt idx="8">
                  <c:v>45.976473469405676</c:v>
                </c:pt>
                <c:pt idx="9">
                  <c:v>47.389811063673378</c:v>
                </c:pt>
                <c:pt idx="10">
                  <c:v>44.370599478232101</c:v>
                </c:pt>
                <c:pt idx="11">
                  <c:v>43.145649292263741</c:v>
                </c:pt>
                <c:pt idx="12">
                  <c:v>47.908391224202461</c:v>
                </c:pt>
                <c:pt idx="13">
                  <c:v>48.210707990458886</c:v>
                </c:pt>
                <c:pt idx="14">
                  <c:v>46.369710037062362</c:v>
                </c:pt>
                <c:pt idx="15">
                  <c:v>47.222238994310459</c:v>
                </c:pt>
                <c:pt idx="16">
                  <c:v>46.906102692823907</c:v>
                </c:pt>
                <c:pt idx="17">
                  <c:v>45.819413512556793</c:v>
                </c:pt>
                <c:pt idx="18">
                  <c:v>44.909569069777639</c:v>
                </c:pt>
                <c:pt idx="19">
                  <c:v>43.575269730765051</c:v>
                </c:pt>
                <c:pt idx="20">
                  <c:v>47.904487112401767</c:v>
                </c:pt>
                <c:pt idx="21">
                  <c:v>52.880252479521374</c:v>
                </c:pt>
                <c:pt idx="22">
                  <c:v>53.831176249309536</c:v>
                </c:pt>
                <c:pt idx="23">
                  <c:v>49.362068396133893</c:v>
                </c:pt>
                <c:pt idx="24">
                  <c:v>42.739393584065425</c:v>
                </c:pt>
                <c:pt idx="25">
                  <c:v>46.567951562257718</c:v>
                </c:pt>
                <c:pt idx="26">
                  <c:v>47.403782138451746</c:v>
                </c:pt>
                <c:pt idx="27">
                  <c:v>46.510828107284354</c:v>
                </c:pt>
                <c:pt idx="28">
                  <c:v>47.642872018232943</c:v>
                </c:pt>
                <c:pt idx="29">
                  <c:v>46.355214446848088</c:v>
                </c:pt>
                <c:pt idx="30">
                  <c:v>46.886112854586784</c:v>
                </c:pt>
              </c:numCache>
            </c:numRef>
          </c:xVal>
          <c:yVal>
            <c:numRef>
              <c:f>MAY!$S$7:$S$37</c:f>
              <c:numCache>
                <c:formatCode>0.000</c:formatCode>
                <c:ptCount val="31"/>
                <c:pt idx="0">
                  <c:v>53.05407973236359</c:v>
                </c:pt>
                <c:pt idx="1">
                  <c:v>51.56810092924259</c:v>
                </c:pt>
                <c:pt idx="2">
                  <c:v>48.745183372952049</c:v>
                </c:pt>
                <c:pt idx="3">
                  <c:v>49.163116580064738</c:v>
                </c:pt>
                <c:pt idx="4">
                  <c:v>49.740319338552943</c:v>
                </c:pt>
                <c:pt idx="5">
                  <c:v>47.89931767646253</c:v>
                </c:pt>
                <c:pt idx="6">
                  <c:v>47.471612658287782</c:v>
                </c:pt>
                <c:pt idx="7">
                  <c:v>46.789685335740472</c:v>
                </c:pt>
                <c:pt idx="8">
                  <c:v>47.195102279303917</c:v>
                </c:pt>
                <c:pt idx="9">
                  <c:v>47.081580668335484</c:v>
                </c:pt>
                <c:pt idx="10">
                  <c:v>46.954480065161341</c:v>
                </c:pt>
                <c:pt idx="11">
                  <c:v>46.300394058659087</c:v>
                </c:pt>
                <c:pt idx="12">
                  <c:v>49.488380071209534</c:v>
                </c:pt>
                <c:pt idx="13">
                  <c:v>50.144896580741332</c:v>
                </c:pt>
                <c:pt idx="14">
                  <c:v>47.756984571421043</c:v>
                </c:pt>
                <c:pt idx="15">
                  <c:v>48.189507114763536</c:v>
                </c:pt>
                <c:pt idx="16">
                  <c:v>48.767259078711056</c:v>
                </c:pt>
                <c:pt idx="17">
                  <c:v>48.6525287251431</c:v>
                </c:pt>
                <c:pt idx="18">
                  <c:v>46.850506134623146</c:v>
                </c:pt>
                <c:pt idx="19">
                  <c:v>45.455992558409037</c:v>
                </c:pt>
                <c:pt idx="20">
                  <c:v>48.303972351822829</c:v>
                </c:pt>
                <c:pt idx="21">
                  <c:v>54.983131403699062</c:v>
                </c:pt>
                <c:pt idx="22">
                  <c:v>54.553196050222788</c:v>
                </c:pt>
                <c:pt idx="23">
                  <c:v>49.725425012210415</c:v>
                </c:pt>
                <c:pt idx="24">
                  <c:v>46.937630890174084</c:v>
                </c:pt>
                <c:pt idx="25">
                  <c:v>49.630653611312908</c:v>
                </c:pt>
                <c:pt idx="26">
                  <c:v>48.631068604966728</c:v>
                </c:pt>
                <c:pt idx="27">
                  <c:v>48.346670066117596</c:v>
                </c:pt>
                <c:pt idx="28">
                  <c:v>48.900651988473761</c:v>
                </c:pt>
                <c:pt idx="29">
                  <c:v>47.911220046931959</c:v>
                </c:pt>
                <c:pt idx="30">
                  <c:v>47.170067900113473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F4-4A7E-96D9-B862D35ED936}"/>
            </c:ext>
          </c:extLst>
        </c:ser>
        <c:ser>
          <c:idx val="6"/>
          <c:order val="6"/>
          <c:tx>
            <c:v>JUN</c:v>
          </c:tx>
          <c:spPr>
            <a:ln>
              <a:noFill/>
            </a:ln>
          </c:spPr>
          <c:marker>
            <c:symbol val="star"/>
            <c:size val="3"/>
            <c:spPr>
              <a:noFill/>
            </c:spPr>
          </c:marker>
          <c:xVal>
            <c:numRef>
              <c:f>JUN!$P$7:$P$35</c:f>
              <c:numCache>
                <c:formatCode>0.000</c:formatCode>
                <c:ptCount val="29"/>
                <c:pt idx="0">
                  <c:v>42.518641689679903</c:v>
                </c:pt>
                <c:pt idx="1">
                  <c:v>45.6858959224557</c:v>
                </c:pt>
                <c:pt idx="2">
                  <c:v>46.016062111295952</c:v>
                </c:pt>
                <c:pt idx="3">
                  <c:v>45.914242907059673</c:v>
                </c:pt>
                <c:pt idx="4">
                  <c:v>45.857482597530769</c:v>
                </c:pt>
                <c:pt idx="5">
                  <c:v>44.526971334666243</c:v>
                </c:pt>
                <c:pt idx="6">
                  <c:v>46.391032037326305</c:v>
                </c:pt>
                <c:pt idx="7">
                  <c:v>44.58913922049878</c:v>
                </c:pt>
                <c:pt idx="8">
                  <c:v>43.753604445712178</c:v>
                </c:pt>
                <c:pt idx="9">
                  <c:v>45.458702057423629</c:v>
                </c:pt>
                <c:pt idx="10">
                  <c:v>46.649456294918878</c:v>
                </c:pt>
                <c:pt idx="11">
                  <c:v>45.603477848620521</c:v>
                </c:pt>
                <c:pt idx="12">
                  <c:v>44.222711497477476</c:v>
                </c:pt>
                <c:pt idx="13">
                  <c:v>46.158011821883058</c:v>
                </c:pt>
                <c:pt idx="14">
                  <c:v>50.001112298874368</c:v>
                </c:pt>
                <c:pt idx="15">
                  <c:v>68.796296587762612</c:v>
                </c:pt>
                <c:pt idx="16">
                  <c:v>66.52141702437207</c:v>
                </c:pt>
                <c:pt idx="17">
                  <c:v>60.715255569623821</c:v>
                </c:pt>
                <c:pt idx="18">
                  <c:v>53.976675818923567</c:v>
                </c:pt>
                <c:pt idx="19">
                  <c:v>46.578346043543931</c:v>
                </c:pt>
                <c:pt idx="20">
                  <c:v>46.356717953023278</c:v>
                </c:pt>
                <c:pt idx="21">
                  <c:v>48.338861487674244</c:v>
                </c:pt>
                <c:pt idx="22">
                  <c:v>48.915410103283833</c:v>
                </c:pt>
                <c:pt idx="23">
                  <c:v>51.21228531246301</c:v>
                </c:pt>
                <c:pt idx="24">
                  <c:v>49.37848946945374</c:v>
                </c:pt>
                <c:pt idx="25">
                  <c:v>48.647523773968302</c:v>
                </c:pt>
                <c:pt idx="26">
                  <c:v>48.521572502233852</c:v>
                </c:pt>
                <c:pt idx="27">
                  <c:v>47.455712674813981</c:v>
                </c:pt>
                <c:pt idx="28">
                  <c:v>46.810478238494944</c:v>
                </c:pt>
              </c:numCache>
            </c:numRef>
          </c:xVal>
          <c:yVal>
            <c:numRef>
              <c:f>JUN!$S$7:$S$35</c:f>
              <c:numCache>
                <c:formatCode>0.000</c:formatCode>
                <c:ptCount val="29"/>
                <c:pt idx="0">
                  <c:v>47.815458550280688</c:v>
                </c:pt>
                <c:pt idx="1">
                  <c:v>48.489047393796952</c:v>
                </c:pt>
                <c:pt idx="2">
                  <c:v>47.765186045823782</c:v>
                </c:pt>
                <c:pt idx="3">
                  <c:v>46.271001412621636</c:v>
                </c:pt>
                <c:pt idx="4">
                  <c:v>47.582717551314417</c:v>
                </c:pt>
                <c:pt idx="5">
                  <c:v>47.047679135611489</c:v>
                </c:pt>
                <c:pt idx="6">
                  <c:v>47.796005186465706</c:v>
                </c:pt>
                <c:pt idx="7">
                  <c:v>46.346090245837267</c:v>
                </c:pt>
                <c:pt idx="8">
                  <c:v>45.465524553976039</c:v>
                </c:pt>
                <c:pt idx="9">
                  <c:v>47.118751351066408</c:v>
                </c:pt>
                <c:pt idx="10">
                  <c:v>46.941119658742473</c:v>
                </c:pt>
                <c:pt idx="11">
                  <c:v>46.498607424562515</c:v>
                </c:pt>
                <c:pt idx="12">
                  <c:v>46.067169339712798</c:v>
                </c:pt>
                <c:pt idx="13">
                  <c:v>47.601737939120348</c:v>
                </c:pt>
                <c:pt idx="14">
                  <c:v>53.414181503432538</c:v>
                </c:pt>
                <c:pt idx="15">
                  <c:v>70.664579804508236</c:v>
                </c:pt>
                <c:pt idx="16">
                  <c:v>67.00413674899751</c:v>
                </c:pt>
                <c:pt idx="17">
                  <c:v>62.944791906110261</c:v>
                </c:pt>
                <c:pt idx="18">
                  <c:v>55.409484606645442</c:v>
                </c:pt>
                <c:pt idx="19">
                  <c:v>49.239984847098135</c:v>
                </c:pt>
                <c:pt idx="20">
                  <c:v>47.114335356884624</c:v>
                </c:pt>
                <c:pt idx="21">
                  <c:v>51.171228316594259</c:v>
                </c:pt>
                <c:pt idx="22">
                  <c:v>49.993841907547051</c:v>
                </c:pt>
                <c:pt idx="23">
                  <c:v>52.520072261339855</c:v>
                </c:pt>
                <c:pt idx="24">
                  <c:v>52.164784369752944</c:v>
                </c:pt>
                <c:pt idx="25">
                  <c:v>50.176908808331767</c:v>
                </c:pt>
                <c:pt idx="26">
                  <c:v>49.29543824087331</c:v>
                </c:pt>
                <c:pt idx="27">
                  <c:v>48.524213518936591</c:v>
                </c:pt>
                <c:pt idx="28">
                  <c:v>49.010545898006484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F4-4A7E-96D9-B862D35ED936}"/>
            </c:ext>
          </c:extLst>
        </c:ser>
        <c:ser>
          <c:idx val="7"/>
          <c:order val="7"/>
          <c:tx>
            <c:v>JUL</c:v>
          </c:tx>
          <c:spPr>
            <a:ln>
              <a:noFill/>
            </a:ln>
          </c:spPr>
          <c:marker>
            <c:symbol val="x"/>
            <c:size val="3"/>
            <c:spPr>
              <a:noFill/>
            </c:spPr>
          </c:marker>
          <c:xVal>
            <c:numRef>
              <c:f>JUL!$P$7:$P$37</c:f>
              <c:numCache>
                <c:formatCode>0.000</c:formatCode>
                <c:ptCount val="31"/>
                <c:pt idx="0">
                  <c:v>49.703655467778241</c:v>
                </c:pt>
                <c:pt idx="1">
                  <c:v>46.650271080069217</c:v>
                </c:pt>
                <c:pt idx="2">
                  <c:v>49.899897677446688</c:v>
                </c:pt>
                <c:pt idx="3">
                  <c:v>48.424740008054179</c:v>
                </c:pt>
                <c:pt idx="4">
                  <c:v>51.902848883962463</c:v>
                </c:pt>
                <c:pt idx="5">
                  <c:v>54.374094965184639</c:v>
                </c:pt>
                <c:pt idx="6">
                  <c:v>52.331092248952402</c:v>
                </c:pt>
                <c:pt idx="7">
                  <c:v>49.187639606520037</c:v>
                </c:pt>
                <c:pt idx="8">
                  <c:v>49.45341991510638</c:v>
                </c:pt>
                <c:pt idx="9">
                  <c:v>51.471537922731386</c:v>
                </c:pt>
                <c:pt idx="10">
                  <c:v>50.283100683788696</c:v>
                </c:pt>
                <c:pt idx="11">
                  <c:v>63.500362290487502</c:v>
                </c:pt>
                <c:pt idx="12">
                  <c:v>60.437515080404062</c:v>
                </c:pt>
                <c:pt idx="13">
                  <c:v>63.190556637452175</c:v>
                </c:pt>
                <c:pt idx="14">
                  <c:v>65.591913389584946</c:v>
                </c:pt>
                <c:pt idx="15">
                  <c:v>55.578055455491835</c:v>
                </c:pt>
                <c:pt idx="16">
                  <c:v>45.582253503348412</c:v>
                </c:pt>
                <c:pt idx="17">
                  <c:v>45.926337784030601</c:v>
                </c:pt>
                <c:pt idx="18">
                  <c:v>45.040084836292294</c:v>
                </c:pt>
                <c:pt idx="19">
                  <c:v>45.999036221762012</c:v>
                </c:pt>
                <c:pt idx="20">
                  <c:v>45.612938450156712</c:v>
                </c:pt>
                <c:pt idx="21">
                  <c:v>46.481509165970635</c:v>
                </c:pt>
                <c:pt idx="22">
                  <c:v>46.244238808667902</c:v>
                </c:pt>
                <c:pt idx="23">
                  <c:v>56.019812768200801</c:v>
                </c:pt>
                <c:pt idx="24">
                  <c:v>59.713526826744818</c:v>
                </c:pt>
                <c:pt idx="25">
                  <c:v>58.587343147527861</c:v>
                </c:pt>
                <c:pt idx="26">
                  <c:v>65.077993643803239</c:v>
                </c:pt>
                <c:pt idx="27">
                  <c:v>57.855996723084075</c:v>
                </c:pt>
                <c:pt idx="28">
                  <c:v>45.305849669978763</c:v>
                </c:pt>
                <c:pt idx="29">
                  <c:v>45.1412427364818</c:v>
                </c:pt>
                <c:pt idx="30">
                  <c:v>43.500769760685905</c:v>
                </c:pt>
              </c:numCache>
            </c:numRef>
          </c:xVal>
          <c:yVal>
            <c:numRef>
              <c:f>JUL!$S$7:$S$37</c:f>
              <c:numCache>
                <c:formatCode>0.000</c:formatCode>
                <c:ptCount val="31"/>
                <c:pt idx="0">
                  <c:v>50.383384280527913</c:v>
                </c:pt>
                <c:pt idx="1">
                  <c:v>48.08214289716625</c:v>
                </c:pt>
                <c:pt idx="2">
                  <c:v>51.475522805450247</c:v>
                </c:pt>
                <c:pt idx="3">
                  <c:v>50.227892401599291</c:v>
                </c:pt>
                <c:pt idx="4">
                  <c:v>52.773554848919517</c:v>
                </c:pt>
                <c:pt idx="5">
                  <c:v>56.232275997329467</c:v>
                </c:pt>
                <c:pt idx="6">
                  <c:v>55.89995828981646</c:v>
                </c:pt>
                <c:pt idx="7">
                  <c:v>50.124152782908858</c:v>
                </c:pt>
                <c:pt idx="8">
                  <c:v>51.356617207400745</c:v>
                </c:pt>
                <c:pt idx="9">
                  <c:v>52.792177800765359</c:v>
                </c:pt>
                <c:pt idx="10">
                  <c:v>52.231154239047882</c:v>
                </c:pt>
                <c:pt idx="11">
                  <c:v>65.779138046442398</c:v>
                </c:pt>
                <c:pt idx="12">
                  <c:v>64.115507768677574</c:v>
                </c:pt>
                <c:pt idx="13">
                  <c:v>67.254024052224167</c:v>
                </c:pt>
                <c:pt idx="14">
                  <c:v>66.55573703405959</c:v>
                </c:pt>
                <c:pt idx="15">
                  <c:v>58.546738823235621</c:v>
                </c:pt>
                <c:pt idx="16">
                  <c:v>48.006504752767938</c:v>
                </c:pt>
                <c:pt idx="17">
                  <c:v>47.156717772941875</c:v>
                </c:pt>
                <c:pt idx="18">
                  <c:v>46.653064733114135</c:v>
                </c:pt>
                <c:pt idx="19">
                  <c:v>47.536996519386506</c:v>
                </c:pt>
                <c:pt idx="20">
                  <c:v>47.751698258294986</c:v>
                </c:pt>
                <c:pt idx="21">
                  <c:v>48.435054396064814</c:v>
                </c:pt>
                <c:pt idx="22">
                  <c:v>49.022678076247388</c:v>
                </c:pt>
                <c:pt idx="23">
                  <c:v>56.763303260397549</c:v>
                </c:pt>
                <c:pt idx="24">
                  <c:v>60.637530828629458</c:v>
                </c:pt>
                <c:pt idx="25">
                  <c:v>62.351040260305069</c:v>
                </c:pt>
                <c:pt idx="26">
                  <c:v>66.766446111934513</c:v>
                </c:pt>
                <c:pt idx="27">
                  <c:v>60.081620109001207</c:v>
                </c:pt>
                <c:pt idx="28">
                  <c:v>47.112325824049492</c:v>
                </c:pt>
                <c:pt idx="29">
                  <c:v>46.856224154272802</c:v>
                </c:pt>
                <c:pt idx="30">
                  <c:v>44.637218182147038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F4-4A7E-96D9-B862D35ED936}"/>
            </c:ext>
          </c:extLst>
        </c:ser>
        <c:ser>
          <c:idx val="8"/>
          <c:order val="8"/>
          <c:tx>
            <c:v>AUG</c:v>
          </c:tx>
          <c:spPr>
            <a:ln>
              <a:noFill/>
            </a:ln>
          </c:spPr>
          <c:marker>
            <c:symbol val="star"/>
            <c:size val="3"/>
            <c:spPr>
              <a:noFill/>
            </c:spPr>
          </c:marker>
          <c:dPt>
            <c:idx val="0"/>
            <c:marker>
              <c:symbol val="dash"/>
              <c:size val="3"/>
            </c:marker>
            <c:bubble3D val="0"/>
            <c:extLst>
              <c:ext xmlns:c16="http://schemas.microsoft.com/office/drawing/2014/chart" uri="{C3380CC4-5D6E-409C-BE32-E72D297353CC}">
                <c16:uniqueId val="{00000008-E5F4-4A7E-96D9-B862D35ED936}"/>
              </c:ext>
            </c:extLst>
          </c:dPt>
          <c:xVal>
            <c:numRef>
              <c:f>AUG!$P$7:$P$37</c:f>
              <c:numCache>
                <c:formatCode>0.000</c:formatCode>
                <c:ptCount val="31"/>
                <c:pt idx="0">
                  <c:v>44.3542738993266</c:v>
                </c:pt>
                <c:pt idx="1">
                  <c:v>45.971989253272284</c:v>
                </c:pt>
                <c:pt idx="2">
                  <c:v>59.2537591150598</c:v>
                </c:pt>
                <c:pt idx="3">
                  <c:v>56.682487106810441</c:v>
                </c:pt>
                <c:pt idx="4">
                  <c:v>48.512021396603089</c:v>
                </c:pt>
                <c:pt idx="5">
                  <c:v>46.920941396187715</c:v>
                </c:pt>
                <c:pt idx="6">
                  <c:v>46.233019669569401</c:v>
                </c:pt>
                <c:pt idx="7">
                  <c:v>49.401338452867932</c:v>
                </c:pt>
                <c:pt idx="8">
                  <c:v>65.264085711599918</c:v>
                </c:pt>
                <c:pt idx="9">
                  <c:v>66.17136438686353</c:v>
                </c:pt>
                <c:pt idx="10">
                  <c:v>58.393124513087479</c:v>
                </c:pt>
                <c:pt idx="11">
                  <c:v>56.318914816964025</c:v>
                </c:pt>
                <c:pt idx="12">
                  <c:v>58.32016655143898</c:v>
                </c:pt>
                <c:pt idx="13">
                  <c:v>59.926978989978494</c:v>
                </c:pt>
                <c:pt idx="14">
                  <c:v>61.568509627859299</c:v>
                </c:pt>
                <c:pt idx="15">
                  <c:v>46.683214921797905</c:v>
                </c:pt>
                <c:pt idx="16">
                  <c:v>45.148652901670054</c:v>
                </c:pt>
                <c:pt idx="17">
                  <c:v>48.915000442500812</c:v>
                </c:pt>
                <c:pt idx="18">
                  <c:v>51.475557397788123</c:v>
                </c:pt>
                <c:pt idx="19">
                  <c:v>60.369207961438221</c:v>
                </c:pt>
                <c:pt idx="20">
                  <c:v>61.448787974309809</c:v>
                </c:pt>
                <c:pt idx="21">
                  <c:v>61.81388050821559</c:v>
                </c:pt>
                <c:pt idx="22">
                  <c:v>60.062424478130652</c:v>
                </c:pt>
                <c:pt idx="23">
                  <c:v>55.407400442715442</c:v>
                </c:pt>
                <c:pt idx="24">
                  <c:v>53.261122086792071</c:v>
                </c:pt>
                <c:pt idx="25">
                  <c:v>55.76780408949832</c:v>
                </c:pt>
                <c:pt idx="26">
                  <c:v>57.353469192216437</c:v>
                </c:pt>
                <c:pt idx="27">
                  <c:v>49.091185486682718</c:v>
                </c:pt>
                <c:pt idx="28">
                  <c:v>45.044974167737401</c:v>
                </c:pt>
                <c:pt idx="29">
                  <c:v>48.323816040625694</c:v>
                </c:pt>
                <c:pt idx="30">
                  <c:v>46.016812125838442</c:v>
                </c:pt>
              </c:numCache>
            </c:numRef>
          </c:xVal>
          <c:yVal>
            <c:numRef>
              <c:f>AUG!$S$7:$S$37</c:f>
              <c:numCache>
                <c:formatCode>0.000</c:formatCode>
                <c:ptCount val="31"/>
                <c:pt idx="0">
                  <c:v>48.094523765256973</c:v>
                </c:pt>
                <c:pt idx="1">
                  <c:v>49.386631112987438</c:v>
                </c:pt>
                <c:pt idx="2">
                  <c:v>60.11148459425651</c:v>
                </c:pt>
                <c:pt idx="3">
                  <c:v>58.403088695229883</c:v>
                </c:pt>
                <c:pt idx="4">
                  <c:v>51.33035643454965</c:v>
                </c:pt>
                <c:pt idx="5">
                  <c:v>49.666152181194143</c:v>
                </c:pt>
                <c:pt idx="6">
                  <c:v>47.257241365094536</c:v>
                </c:pt>
                <c:pt idx="7">
                  <c:v>50.483042279699561</c:v>
                </c:pt>
                <c:pt idx="8">
                  <c:v>66.41026656430337</c:v>
                </c:pt>
                <c:pt idx="9">
                  <c:v>67.697961855621131</c:v>
                </c:pt>
                <c:pt idx="10">
                  <c:v>62.00270195553442</c:v>
                </c:pt>
                <c:pt idx="11">
                  <c:v>59.509277784338749</c:v>
                </c:pt>
                <c:pt idx="12">
                  <c:v>60.520673181215116</c:v>
                </c:pt>
                <c:pt idx="13">
                  <c:v>60.715930631059543</c:v>
                </c:pt>
                <c:pt idx="14">
                  <c:v>63.454592084712104</c:v>
                </c:pt>
                <c:pt idx="15">
                  <c:v>48.913750696202115</c:v>
                </c:pt>
                <c:pt idx="16">
                  <c:v>48.221947970690834</c:v>
                </c:pt>
                <c:pt idx="17">
                  <c:v>51.269753096535077</c:v>
                </c:pt>
                <c:pt idx="18">
                  <c:v>52.325184764890338</c:v>
                </c:pt>
                <c:pt idx="19">
                  <c:v>64.330453675853434</c:v>
                </c:pt>
                <c:pt idx="20">
                  <c:v>63.665511902702683</c:v>
                </c:pt>
                <c:pt idx="21">
                  <c:v>63.09706229697597</c:v>
                </c:pt>
                <c:pt idx="22">
                  <c:v>61.773066259498492</c:v>
                </c:pt>
                <c:pt idx="23">
                  <c:v>58.283484694934799</c:v>
                </c:pt>
                <c:pt idx="24">
                  <c:v>55.93929986201843</c:v>
                </c:pt>
                <c:pt idx="25">
                  <c:v>58.207746243150218</c:v>
                </c:pt>
                <c:pt idx="26">
                  <c:v>58.834822925018891</c:v>
                </c:pt>
                <c:pt idx="27">
                  <c:v>50.993793048876441</c:v>
                </c:pt>
                <c:pt idx="28">
                  <c:v>46.974093816949612</c:v>
                </c:pt>
                <c:pt idx="29">
                  <c:v>49.328441502786582</c:v>
                </c:pt>
                <c:pt idx="30">
                  <c:v>47.21263820801223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5F4-4A7E-96D9-B862D35ED936}"/>
            </c:ext>
          </c:extLst>
        </c:ser>
        <c:ser>
          <c:idx val="9"/>
          <c:order val="9"/>
          <c:tx>
            <c:v>SEP</c:v>
          </c:tx>
          <c:spPr>
            <a:ln>
              <a:noFill/>
            </a:ln>
          </c:spPr>
          <c:marker>
            <c:symbol val="plus"/>
            <c:size val="3"/>
            <c:spPr>
              <a:noFill/>
            </c:spPr>
          </c:marker>
          <c:xVal>
            <c:numRef>
              <c:f>SEP!$P$7:$P$36</c:f>
              <c:numCache>
                <c:formatCode>0.000</c:formatCode>
                <c:ptCount val="30"/>
                <c:pt idx="0">
                  <c:v>43.561124273304692</c:v>
                </c:pt>
                <c:pt idx="1">
                  <c:v>47.475146654455649</c:v>
                </c:pt>
                <c:pt idx="2">
                  <c:v>45.718615422070222</c:v>
                </c:pt>
                <c:pt idx="3">
                  <c:v>44.778884979544301</c:v>
                </c:pt>
                <c:pt idx="4">
                  <c:v>61.476107596420768</c:v>
                </c:pt>
                <c:pt idx="5">
                  <c:v>62.447087931046816</c:v>
                </c:pt>
                <c:pt idx="6">
                  <c:v>59.45545604871225</c:v>
                </c:pt>
                <c:pt idx="7">
                  <c:v>54.348751451989955</c:v>
                </c:pt>
                <c:pt idx="8">
                  <c:v>57.156876711612099</c:v>
                </c:pt>
                <c:pt idx="9">
                  <c:v>56.228963007856606</c:v>
                </c:pt>
                <c:pt idx="10">
                  <c:v>54.165018458879857</c:v>
                </c:pt>
                <c:pt idx="11">
                  <c:v>50.272094960136322</c:v>
                </c:pt>
                <c:pt idx="12">
                  <c:v>49.185261012661236</c:v>
                </c:pt>
                <c:pt idx="13">
                  <c:v>53.069536440951723</c:v>
                </c:pt>
                <c:pt idx="14">
                  <c:v>44.880425962351893</c:v>
                </c:pt>
                <c:pt idx="15">
                  <c:v>46.750737690684197</c:v>
                </c:pt>
                <c:pt idx="16">
                  <c:v>50.442581943341565</c:v>
                </c:pt>
                <c:pt idx="17">
                  <c:v>58.555165310085854</c:v>
                </c:pt>
                <c:pt idx="18">
                  <c:v>59.456333156468226</c:v>
                </c:pt>
                <c:pt idx="19">
                  <c:v>48.331177059442737</c:v>
                </c:pt>
                <c:pt idx="20">
                  <c:v>46.554151461840355</c:v>
                </c:pt>
                <c:pt idx="21">
                  <c:v>51.270675114589409</c:v>
                </c:pt>
                <c:pt idx="22">
                  <c:v>47.559539863401007</c:v>
                </c:pt>
                <c:pt idx="23">
                  <c:v>43.890527245715511</c:v>
                </c:pt>
                <c:pt idx="24">
                  <c:v>46.164186134757166</c:v>
                </c:pt>
                <c:pt idx="25">
                  <c:v>45.824973109776778</c:v>
                </c:pt>
                <c:pt idx="26">
                  <c:v>41.727124526796402</c:v>
                </c:pt>
                <c:pt idx="27">
                  <c:v>51.53544512281556</c:v>
                </c:pt>
                <c:pt idx="28">
                  <c:v>55.594133013315478</c:v>
                </c:pt>
                <c:pt idx="29">
                  <c:v>63.028360897445374</c:v>
                </c:pt>
              </c:numCache>
            </c:numRef>
          </c:xVal>
          <c:yVal>
            <c:numRef>
              <c:f>SEP!$S$7:$S$36</c:f>
              <c:numCache>
                <c:formatCode>0.000</c:formatCode>
                <c:ptCount val="30"/>
                <c:pt idx="0">
                  <c:v>47.685893178633677</c:v>
                </c:pt>
                <c:pt idx="1">
                  <c:v>48.477381880497369</c:v>
                </c:pt>
                <c:pt idx="2">
                  <c:v>47.783694667382399</c:v>
                </c:pt>
                <c:pt idx="3">
                  <c:v>47.55694331226973</c:v>
                </c:pt>
                <c:pt idx="4">
                  <c:v>62.699044094974411</c:v>
                </c:pt>
                <c:pt idx="5">
                  <c:v>62.708841001128988</c:v>
                </c:pt>
                <c:pt idx="6">
                  <c:v>61.759056200697422</c:v>
                </c:pt>
                <c:pt idx="7">
                  <c:v>58.366384434822045</c:v>
                </c:pt>
                <c:pt idx="8">
                  <c:v>58.666625182980276</c:v>
                </c:pt>
                <c:pt idx="9">
                  <c:v>58.853497761970573</c:v>
                </c:pt>
                <c:pt idx="10">
                  <c:v>56.08670068923918</c:v>
                </c:pt>
                <c:pt idx="11">
                  <c:v>52.475440060395776</c:v>
                </c:pt>
                <c:pt idx="12">
                  <c:v>51.201480924473479</c:v>
                </c:pt>
                <c:pt idx="13">
                  <c:v>53.533028864133634</c:v>
                </c:pt>
                <c:pt idx="14">
                  <c:v>47.549803798188215</c:v>
                </c:pt>
                <c:pt idx="15">
                  <c:v>48.751276194331446</c:v>
                </c:pt>
                <c:pt idx="16">
                  <c:v>52.721781676894473</c:v>
                </c:pt>
                <c:pt idx="17">
                  <c:v>60.161786079095108</c:v>
                </c:pt>
                <c:pt idx="18">
                  <c:v>59.609197126968368</c:v>
                </c:pt>
                <c:pt idx="19">
                  <c:v>50.223280357595932</c:v>
                </c:pt>
                <c:pt idx="20">
                  <c:v>47.837302709290327</c:v>
                </c:pt>
                <c:pt idx="21">
                  <c:v>52.983064566541039</c:v>
                </c:pt>
                <c:pt idx="22">
                  <c:v>49.527967197506236</c:v>
                </c:pt>
                <c:pt idx="23">
                  <c:v>45.373414540482685</c:v>
                </c:pt>
                <c:pt idx="24">
                  <c:v>47.865922183286344</c:v>
                </c:pt>
                <c:pt idx="25">
                  <c:v>45.881555833234941</c:v>
                </c:pt>
                <c:pt idx="26">
                  <c:v>47.019085395428448</c:v>
                </c:pt>
                <c:pt idx="27">
                  <c:v>51.933885649239059</c:v>
                </c:pt>
                <c:pt idx="28">
                  <c:v>58.630182027595012</c:v>
                </c:pt>
                <c:pt idx="29">
                  <c:v>63.544152861547282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5F4-4A7E-96D9-B862D35ED936}"/>
            </c:ext>
          </c:extLst>
        </c:ser>
        <c:ser>
          <c:idx val="10"/>
          <c:order val="10"/>
          <c:tx>
            <c:v>OCT</c:v>
          </c:tx>
          <c:spPr>
            <a:ln>
              <a:noFill/>
            </a:ln>
          </c:spPr>
          <c:marker>
            <c:symbol val="x"/>
            <c:size val="3"/>
            <c:spPr>
              <a:noFill/>
            </c:spPr>
          </c:marker>
          <c:xVal>
            <c:numRef>
              <c:f>OCT!$P$7:$P$37</c:f>
              <c:numCache>
                <c:formatCode>0.000</c:formatCode>
                <c:ptCount val="31"/>
                <c:pt idx="0">
                  <c:v>-249.92093392059854</c:v>
                </c:pt>
              </c:numCache>
            </c:numRef>
          </c:xVal>
          <c:yVal>
            <c:numRef>
              <c:f>OCT!$S$7:$S$37</c:f>
              <c:numCache>
                <c:formatCode>0.000</c:formatCode>
                <c:ptCount val="3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5F4-4A7E-96D9-B862D35ED936}"/>
            </c:ext>
          </c:extLst>
        </c:ser>
        <c:ser>
          <c:idx val="11"/>
          <c:order val="11"/>
          <c:tx>
            <c:v>NOV</c:v>
          </c:tx>
          <c:spPr>
            <a:ln>
              <a:noFill/>
            </a:ln>
          </c:spPr>
          <c:marker>
            <c:symbol val="plus"/>
            <c:size val="5"/>
            <c:spPr>
              <a:noFill/>
            </c:spPr>
          </c:marker>
          <c:xVal>
            <c:numRef>
              <c:f>NOV!$P$7:$P$36</c:f>
              <c:numCache>
                <c:formatCode>0.000</c:formatCode>
                <c:ptCount val="30"/>
                <c:pt idx="0">
                  <c:v>0</c:v>
                </c:pt>
              </c:numCache>
            </c:numRef>
          </c:xVal>
          <c:yVal>
            <c:numRef>
              <c:f>NOV!$S$7:$S$36</c:f>
              <c:numCache>
                <c:formatCode>0.000</c:formatCode>
                <c:ptCount val="3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5F4-4A7E-96D9-B862D35ED936}"/>
            </c:ext>
          </c:extLst>
        </c:ser>
        <c:ser>
          <c:idx val="12"/>
          <c:order val="12"/>
          <c:tx>
            <c:v>DEC</c:v>
          </c:tx>
          <c:spPr>
            <a:ln>
              <a:noFill/>
            </a:ln>
          </c:spPr>
          <c:marker>
            <c:symbol val="x"/>
            <c:size val="5"/>
            <c:spPr>
              <a:solidFill>
                <a:srgbClr val="FF0000"/>
              </a:solidFill>
            </c:spPr>
          </c:marker>
          <c:xVal>
            <c:numRef>
              <c:f>DEC!$P$7:$P$37</c:f>
              <c:numCache>
                <c:formatCode>0.000</c:formatCode>
                <c:ptCount val="31"/>
                <c:pt idx="0">
                  <c:v>0</c:v>
                </c:pt>
              </c:numCache>
            </c:numRef>
          </c:xVal>
          <c:yVal>
            <c:numRef>
              <c:f>DEC!$S$7:$S$37</c:f>
              <c:numCache>
                <c:formatCode>0.000</c:formatCode>
                <c:ptCount val="3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5F4-4A7E-96D9-B862D35ED936}"/>
            </c:ext>
          </c:extLst>
        </c:ser>
        <c:ser>
          <c:idx val="13"/>
          <c:order val="13"/>
          <c:spPr>
            <a:ln>
              <a:noFill/>
            </a:ln>
          </c:spPr>
          <c:marker>
            <c:symbol val="star"/>
            <c:size val="5"/>
            <c:spPr>
              <a:noFill/>
            </c:spPr>
          </c:marker>
          <c:xVal>
            <c:numRef>
              <c:f>#REF!</c:f>
              <c:numCache>
                <c:formatCode>0.000</c:formatCode>
                <c:ptCount val="14"/>
                <c:pt idx="0">
                  <c:v>71.419634680714779</c:v>
                </c:pt>
                <c:pt idx="1">
                  <c:v>71.330807772295458</c:v>
                </c:pt>
                <c:pt idx="2">
                  <c:v>67.06266733206165</c:v>
                </c:pt>
                <c:pt idx="3">
                  <c:v>53.397974815118772</c:v>
                </c:pt>
                <c:pt idx="4">
                  <c:v>55.531588956640363</c:v>
                </c:pt>
                <c:pt idx="5">
                  <c:v>53.513992212109343</c:v>
                </c:pt>
                <c:pt idx="6">
                  <c:v>51.331972709119924</c:v>
                </c:pt>
                <c:pt idx="7">
                  <c:v>41.893446033822684</c:v>
                </c:pt>
                <c:pt idx="8">
                  <c:v>48.197209406802038</c:v>
                </c:pt>
                <c:pt idx="9">
                  <c:v>56.47808997803719</c:v>
                </c:pt>
                <c:pt idx="10">
                  <c:v>57.598878292510491</c:v>
                </c:pt>
                <c:pt idx="11">
                  <c:v>64.642411388554819</c:v>
                </c:pt>
                <c:pt idx="12">
                  <c:v>44.004869442280508</c:v>
                </c:pt>
                <c:pt idx="13">
                  <c:v>45.348136266222092</c:v>
                </c:pt>
              </c:numCache>
            </c:numRef>
          </c:xVal>
          <c:yVal>
            <c:numRef>
              <c:f>#REF!</c:f>
              <c:numCache>
                <c:formatCode>0.000</c:formatCode>
                <c:ptCount val="14"/>
                <c:pt idx="0">
                  <c:v>72.956207388610935</c:v>
                </c:pt>
                <c:pt idx="1">
                  <c:v>73.404415399165941</c:v>
                </c:pt>
                <c:pt idx="2">
                  <c:v>69.767197242865805</c:v>
                </c:pt>
                <c:pt idx="3">
                  <c:v>56.00931125861419</c:v>
                </c:pt>
                <c:pt idx="4">
                  <c:v>57.410014114468211</c:v>
                </c:pt>
                <c:pt idx="5">
                  <c:v>54.850585866431047</c:v>
                </c:pt>
                <c:pt idx="6">
                  <c:v>53.650497002001551</c:v>
                </c:pt>
                <c:pt idx="7">
                  <c:v>49.797540007591728</c:v>
                </c:pt>
                <c:pt idx="8">
                  <c:v>48.830279436015402</c:v>
                </c:pt>
                <c:pt idx="9">
                  <c:v>57.063292669577201</c:v>
                </c:pt>
                <c:pt idx="10">
                  <c:v>63.430940585130479</c:v>
                </c:pt>
                <c:pt idx="11">
                  <c:v>64.099176068369957</c:v>
                </c:pt>
                <c:pt idx="12">
                  <c:v>46.017125572064415</c:v>
                </c:pt>
                <c:pt idx="13">
                  <c:v>46.661685014212523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5F4-4A7E-96D9-B862D35ED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988480"/>
        <c:axId val="305206400"/>
      </c:scatterChart>
      <c:valAx>
        <c:axId val="301988480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Recorded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305206400"/>
        <c:crosses val="autoZero"/>
        <c:crossBetween val="midCat"/>
        <c:majorUnit val="20"/>
      </c:valAx>
      <c:valAx>
        <c:axId val="30520640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DCS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301988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231362106016073"/>
          <c:y val="3.2851166304760239E-2"/>
          <c:w val="8.867551865226625E-2"/>
          <c:h val="0.5111994642421035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703" cy="62885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apports%20Production\Production\2020%20Reports\0%20-%202019%20Production%20Data%20Downlo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apports%20Production\Production\2020%20Reports\0%20-%202020%20Production%20Data%20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apports%20Production\Production\2020%20Reports\1%20-%202020%20Load%20Data%20Ent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1">
          <cell r="A1" t="str">
            <v>PI login: mrmtlsrvpi01\pidemo
Mot passe: Suncor01</v>
          </cell>
        </row>
        <row r="188">
          <cell r="X188">
            <v>1.3443989009780535</v>
          </cell>
        </row>
        <row r="189">
          <cell r="X189">
            <v>1.3444072833908662</v>
          </cell>
        </row>
        <row r="190">
          <cell r="X190">
            <v>1.3441990116823577</v>
          </cell>
        </row>
        <row r="191">
          <cell r="X191">
            <v>1.3428286121090494</v>
          </cell>
        </row>
        <row r="192">
          <cell r="X192">
            <v>1.3424716284858207</v>
          </cell>
        </row>
        <row r="193">
          <cell r="X193">
            <v>1.3412808207147517</v>
          </cell>
        </row>
        <row r="194">
          <cell r="X194">
            <v>1.3425883043272977</v>
          </cell>
        </row>
        <row r="195">
          <cell r="X195">
            <v>1.3422016614690346</v>
          </cell>
        </row>
        <row r="196">
          <cell r="X196">
            <v>1.3414391503734633</v>
          </cell>
        </row>
        <row r="197">
          <cell r="X197">
            <v>1.3424886949127144</v>
          </cell>
        </row>
        <row r="198">
          <cell r="X198">
            <v>1.343109172974922</v>
          </cell>
        </row>
        <row r="199">
          <cell r="X199">
            <v>1.3421159872468003</v>
          </cell>
        </row>
        <row r="200">
          <cell r="X200">
            <v>1.3418162914941905</v>
          </cell>
        </row>
        <row r="201">
          <cell r="X201">
            <v>1.3423699416517108</v>
          </cell>
        </row>
        <row r="202">
          <cell r="X202">
            <v>1.3425627966903264</v>
          </cell>
        </row>
        <row r="203">
          <cell r="X203">
            <v>1.3422235383539487</v>
          </cell>
        </row>
        <row r="204">
          <cell r="X204">
            <v>1.3417686796659831</v>
          </cell>
        </row>
      </sheetData>
      <sheetData sheetId="2" refreshError="1">
        <row r="4">
          <cell r="K4">
            <v>1.3502009709790685</v>
          </cell>
        </row>
        <row r="5">
          <cell r="K5">
            <v>1.3493307685770699</v>
          </cell>
        </row>
        <row r="6">
          <cell r="K6">
            <v>1.3484528873296722</v>
          </cell>
        </row>
        <row r="7">
          <cell r="K7">
            <v>1.3486631266512132</v>
          </cell>
        </row>
        <row r="8">
          <cell r="K8">
            <v>1.3457777388480543</v>
          </cell>
        </row>
        <row r="9">
          <cell r="K9">
            <v>1.3410960733381063</v>
          </cell>
        </row>
        <row r="11">
          <cell r="K11">
            <v>1.342509150372015</v>
          </cell>
        </row>
        <row r="12">
          <cell r="K12">
            <v>1.3431266623125706</v>
          </cell>
        </row>
        <row r="13">
          <cell r="K13">
            <v>1.3463801741512322</v>
          </cell>
        </row>
        <row r="14">
          <cell r="K14">
            <v>1.3530615087864135</v>
          </cell>
        </row>
        <row r="15">
          <cell r="K15">
            <v>1.3478732144813872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/>
      <sheetData sheetId="1">
        <row r="1">
          <cell r="A1" t="str">
            <v>PI login: mrmtlsrvpi01\pidemo
Mot passe: Suncor01</v>
          </cell>
          <cell r="E1" t="str">
            <v>VAL</v>
          </cell>
          <cell r="F1" t="str">
            <v>VAL</v>
          </cell>
          <cell r="G1" t="str">
            <v>VAL</v>
          </cell>
          <cell r="H1" t="str">
            <v>VAL</v>
          </cell>
          <cell r="J1" t="str">
            <v>TOT</v>
          </cell>
          <cell r="K1" t="str">
            <v>TIME</v>
          </cell>
        </row>
        <row r="2">
          <cell r="E2"/>
          <cell r="F2"/>
          <cell r="G2"/>
          <cell r="H2"/>
          <cell r="J2"/>
          <cell r="K2"/>
        </row>
        <row r="3">
          <cell r="E3" t="str">
            <v>T-651</v>
          </cell>
          <cell r="F3" t="str">
            <v>T-652</v>
          </cell>
          <cell r="G3" t="str">
            <v>T-653</v>
          </cell>
          <cell r="H3" t="str">
            <v>T-654</v>
          </cell>
          <cell r="J3" t="str">
            <v>SBS Prod</v>
          </cell>
          <cell r="K3" t="str">
            <v>SBS</v>
          </cell>
        </row>
        <row r="4">
          <cell r="E4" t="str">
            <v>in</v>
          </cell>
          <cell r="F4" t="str">
            <v>in</v>
          </cell>
          <cell r="G4" t="str">
            <v>in</v>
          </cell>
          <cell r="H4" t="str">
            <v>in</v>
          </cell>
          <cell r="J4" t="str">
            <v>USgal</v>
          </cell>
          <cell r="K4" t="str">
            <v>OSF</v>
          </cell>
        </row>
        <row r="5">
          <cell r="A5" t="str">
            <v>Day</v>
          </cell>
          <cell r="E5" t="str">
            <v>LT651.PV</v>
          </cell>
          <cell r="F5" t="str">
            <v>LT652.PV</v>
          </cell>
          <cell r="G5" t="str">
            <v>LT653.PV</v>
          </cell>
          <cell r="H5" t="str">
            <v>LT654.PV</v>
          </cell>
          <cell r="J5" t="str">
            <v>LIC506.S_PV</v>
          </cell>
          <cell r="K5" t="str">
            <v>FV424.VALUE</v>
          </cell>
        </row>
        <row r="6">
          <cell r="A6" t="str">
            <v>OP</v>
          </cell>
          <cell r="E6">
            <v>139.04367065429688</v>
          </cell>
          <cell r="F6">
            <v>85.543388366699219</v>
          </cell>
          <cell r="G6">
            <v>195.45948791503906</v>
          </cell>
          <cell r="H6">
            <v>106.60543060302734</v>
          </cell>
          <cell r="J6">
            <v>8948.8732078490066</v>
          </cell>
          <cell r="K6">
            <v>23.992222048441565</v>
          </cell>
        </row>
        <row r="7">
          <cell r="A7">
            <v>101</v>
          </cell>
          <cell r="E7">
            <v>98.943809509277344</v>
          </cell>
          <cell r="F7">
            <v>85.598106384277344</v>
          </cell>
          <cell r="G7">
            <v>268.24462890625</v>
          </cell>
          <cell r="H7">
            <v>106.89466094970703</v>
          </cell>
          <cell r="J7">
            <v>8829.8032474688207</v>
          </cell>
          <cell r="K7">
            <v>24.000000330607094</v>
          </cell>
        </row>
        <row r="8">
          <cell r="A8">
            <v>102</v>
          </cell>
          <cell r="E8">
            <v>98.832237243652344</v>
          </cell>
          <cell r="F8">
            <v>155.76797485351563</v>
          </cell>
          <cell r="G8">
            <v>260.87100219726563</v>
          </cell>
          <cell r="H8">
            <v>107.1177978515625</v>
          </cell>
          <cell r="J8">
            <v>9102.8883710234841</v>
          </cell>
          <cell r="K8">
            <v>24.00000024159749</v>
          </cell>
        </row>
        <row r="9">
          <cell r="A9">
            <v>103</v>
          </cell>
          <cell r="E9">
            <v>98.572662353515625</v>
          </cell>
          <cell r="F9">
            <v>263.5286865234375</v>
          </cell>
          <cell r="G9">
            <v>228.98109436035156</v>
          </cell>
          <cell r="H9">
            <v>107.02346038818359</v>
          </cell>
          <cell r="J9">
            <v>9591.8930368322908</v>
          </cell>
          <cell r="K9">
            <v>24.000000322129988</v>
          </cell>
        </row>
        <row r="10">
          <cell r="A10">
            <v>104</v>
          </cell>
          <cell r="E10">
            <v>170.49357604980469</v>
          </cell>
          <cell r="F10">
            <v>294.58697509765625</v>
          </cell>
          <cell r="G10">
            <v>229.18904113769531</v>
          </cell>
          <cell r="H10">
            <v>107.165283203125</v>
          </cell>
          <cell r="J10">
            <v>9035.4318741679945</v>
          </cell>
          <cell r="K10">
            <v>24.000000271267361</v>
          </cell>
        </row>
        <row r="11">
          <cell r="A11">
            <v>105</v>
          </cell>
          <cell r="E11">
            <v>269.12521362304688</v>
          </cell>
          <cell r="F11">
            <v>245.86183166503906</v>
          </cell>
          <cell r="G11">
            <v>189.26394653320313</v>
          </cell>
          <cell r="H11">
            <v>111.20289611816406</v>
          </cell>
          <cell r="J11">
            <v>9183.463405072278</v>
          </cell>
          <cell r="K11">
            <v>24.000000334845648</v>
          </cell>
        </row>
        <row r="12">
          <cell r="A12">
            <v>106</v>
          </cell>
          <cell r="E12">
            <v>297.70211791992188</v>
          </cell>
          <cell r="F12">
            <v>121.91133880615234</v>
          </cell>
          <cell r="G12">
            <v>189.15316772460938</v>
          </cell>
          <cell r="H12">
            <v>168.49784851074219</v>
          </cell>
          <cell r="J12">
            <v>9072.6296564721233</v>
          </cell>
          <cell r="K12">
            <v>24.00000028398302</v>
          </cell>
        </row>
        <row r="13">
          <cell r="A13">
            <v>107</v>
          </cell>
          <cell r="E13">
            <v>295.72299194335938</v>
          </cell>
          <cell r="F13">
            <v>81.043670654296875</v>
          </cell>
          <cell r="G13">
            <v>189.25276184082031</v>
          </cell>
          <cell r="H13">
            <v>242.65837097167969</v>
          </cell>
          <cell r="J13">
            <v>9607.9701230127866</v>
          </cell>
          <cell r="K13">
            <v>23.992776557074652</v>
          </cell>
        </row>
        <row r="14">
          <cell r="A14">
            <v>108</v>
          </cell>
          <cell r="E14">
            <v>243.11679077148438</v>
          </cell>
          <cell r="F14">
            <v>81.047027587890625</v>
          </cell>
          <cell r="G14">
            <v>189.03227233886719</v>
          </cell>
          <cell r="H14">
            <v>336.672119140625</v>
          </cell>
          <cell r="J14">
            <v>11404.443195886954</v>
          </cell>
          <cell r="K14">
            <v>24.000000292460125</v>
          </cell>
        </row>
        <row r="15">
          <cell r="A15">
            <v>109</v>
          </cell>
          <cell r="E15">
            <v>102.07180023193359</v>
          </cell>
          <cell r="F15">
            <v>81.094062805175781</v>
          </cell>
          <cell r="G15">
            <v>189.04891967773438</v>
          </cell>
          <cell r="H15">
            <v>411.72665405273438</v>
          </cell>
          <cell r="J15">
            <v>9168.313565804543</v>
          </cell>
          <cell r="K15">
            <v>23.931667739020455</v>
          </cell>
        </row>
        <row r="16">
          <cell r="A16">
            <v>110</v>
          </cell>
          <cell r="E16">
            <v>101.82794189453125</v>
          </cell>
          <cell r="F16">
            <v>80.695991516113281</v>
          </cell>
          <cell r="G16">
            <v>188.79893493652344</v>
          </cell>
          <cell r="H16">
            <v>506.69451904296875</v>
          </cell>
          <cell r="J16">
            <v>11496.911830257377</v>
          </cell>
          <cell r="K16">
            <v>24.000000360276964</v>
          </cell>
        </row>
        <row r="17">
          <cell r="A17">
            <v>111</v>
          </cell>
          <cell r="E17">
            <v>101.75284576416016</v>
          </cell>
          <cell r="F17">
            <v>151.73301696777344</v>
          </cell>
          <cell r="G17">
            <v>190.24053955078125</v>
          </cell>
          <cell r="H17">
            <v>543.89190673828125</v>
          </cell>
          <cell r="J17">
            <v>15029.028674520883</v>
          </cell>
          <cell r="K17">
            <v>24.000000262790252</v>
          </cell>
        </row>
        <row r="18">
          <cell r="A18">
            <v>112</v>
          </cell>
          <cell r="E18">
            <v>102.47544860839844</v>
          </cell>
          <cell r="F18">
            <v>273.19131469726563</v>
          </cell>
          <cell r="G18">
            <v>197.39134216308594</v>
          </cell>
          <cell r="H18">
            <v>450.60293579101563</v>
          </cell>
          <cell r="J18">
            <v>11690.721947421298</v>
          </cell>
          <cell r="K18">
            <v>24.000000326368543</v>
          </cell>
        </row>
        <row r="19">
          <cell r="A19">
            <v>113</v>
          </cell>
          <cell r="E19">
            <v>180.43734741210938</v>
          </cell>
          <cell r="F19">
            <v>291.00613403320313</v>
          </cell>
          <cell r="G19">
            <v>207.73101806640625</v>
          </cell>
          <cell r="H19">
            <v>450.25320434570313</v>
          </cell>
          <cell r="J19">
            <v>9391.795392399632</v>
          </cell>
          <cell r="K19">
            <v>24.000000190734863</v>
          </cell>
        </row>
        <row r="20">
          <cell r="A20">
            <v>114</v>
          </cell>
          <cell r="E20">
            <v>100.11146545410156</v>
          </cell>
          <cell r="F20">
            <v>243.25637817382813</v>
          </cell>
          <cell r="G20">
            <v>274.86456298828125</v>
          </cell>
          <cell r="H20">
            <v>449.89373779296875</v>
          </cell>
          <cell r="J20">
            <v>8182.5595948746068</v>
          </cell>
          <cell r="K20">
            <v>23.991944660610624</v>
          </cell>
        </row>
        <row r="21">
          <cell r="A21">
            <v>115</v>
          </cell>
          <cell r="E21">
            <v>99.544235229492188</v>
          </cell>
          <cell r="F21">
            <v>101.88603210449219</v>
          </cell>
          <cell r="G21">
            <v>178.32406616210938</v>
          </cell>
          <cell r="H21">
            <v>449.97698974609375</v>
          </cell>
          <cell r="J21">
            <v>10130.882447385393</v>
          </cell>
          <cell r="K21">
            <v>24.000000262790252</v>
          </cell>
        </row>
        <row r="22">
          <cell r="A22">
            <v>116</v>
          </cell>
          <cell r="E22">
            <v>99.838844299316406</v>
          </cell>
          <cell r="F22">
            <v>115.12238311767578</v>
          </cell>
          <cell r="G22">
            <v>224.0623779296875</v>
          </cell>
          <cell r="H22">
            <v>328.1107177734375</v>
          </cell>
          <cell r="J22">
            <v>10339.165760333932</v>
          </cell>
          <cell r="K22">
            <v>24.000000250074599</v>
          </cell>
        </row>
        <row r="23">
          <cell r="A23">
            <v>117</v>
          </cell>
          <cell r="E23">
            <v>99.701202392578125</v>
          </cell>
          <cell r="F23">
            <v>238.34542846679688</v>
          </cell>
          <cell r="G23">
            <v>224.06925964355469</v>
          </cell>
          <cell r="H23">
            <v>328.18057250976563</v>
          </cell>
          <cell r="J23">
            <v>10799.197056573488</v>
          </cell>
          <cell r="K23">
            <v>24.000000250074599</v>
          </cell>
        </row>
        <row r="24">
          <cell r="A24">
            <v>118</v>
          </cell>
          <cell r="E24">
            <v>167.05805969238281</v>
          </cell>
          <cell r="F24">
            <v>293.25201416015625</v>
          </cell>
          <cell r="G24">
            <v>223.97207641601563</v>
          </cell>
          <cell r="H24">
            <v>328.03591918945313</v>
          </cell>
          <cell r="J24">
            <v>10845.58387748024</v>
          </cell>
          <cell r="K24">
            <v>24.000000254313154</v>
          </cell>
        </row>
        <row r="25">
          <cell r="A25">
            <v>119</v>
          </cell>
          <cell r="E25">
            <v>277.46493530273438</v>
          </cell>
          <cell r="F25">
            <v>293.00009155273438</v>
          </cell>
          <cell r="G25">
            <v>223.79769897460938</v>
          </cell>
          <cell r="H25">
            <v>327.7569580078125</v>
          </cell>
          <cell r="J25">
            <v>9602.9589958890301</v>
          </cell>
          <cell r="K25">
            <v>24.000000186496312</v>
          </cell>
        </row>
        <row r="26">
          <cell r="A26">
            <v>120</v>
          </cell>
          <cell r="E26">
            <v>242.64704895019531</v>
          </cell>
          <cell r="F26">
            <v>87.351707458496094</v>
          </cell>
          <cell r="G26">
            <v>291.42208862304688</v>
          </cell>
          <cell r="H26">
            <v>327.92437744140625</v>
          </cell>
          <cell r="J26">
            <v>9594.4502215725861</v>
          </cell>
          <cell r="K26">
            <v>24.00000034332275</v>
          </cell>
        </row>
        <row r="27">
          <cell r="A27">
            <v>121</v>
          </cell>
          <cell r="E27">
            <v>141.80853271484375</v>
          </cell>
          <cell r="F27">
            <v>87.313346862792969</v>
          </cell>
          <cell r="G27">
            <v>363.82601928710938</v>
          </cell>
          <cell r="H27">
            <v>327.66690063476563</v>
          </cell>
          <cell r="J27">
            <v>8940.2088311628704</v>
          </cell>
          <cell r="K27">
            <v>23.996386070251464</v>
          </cell>
        </row>
        <row r="28">
          <cell r="A28">
            <v>122</v>
          </cell>
          <cell r="E28">
            <v>116.33548736572266</v>
          </cell>
          <cell r="F28">
            <v>87.356674194335938</v>
          </cell>
          <cell r="G28">
            <v>440.80453491210938</v>
          </cell>
          <cell r="H28">
            <v>327.76840209960938</v>
          </cell>
          <cell r="J28">
            <v>9368.8426947609441</v>
          </cell>
          <cell r="K28">
            <v>24.000000305175782</v>
          </cell>
        </row>
        <row r="29">
          <cell r="A29">
            <v>123</v>
          </cell>
          <cell r="E29">
            <v>116.26734161376953</v>
          </cell>
          <cell r="F29">
            <v>87.232330322265625</v>
          </cell>
          <cell r="G29">
            <v>493.61251831054688</v>
          </cell>
          <cell r="H29">
            <v>328.00503540039063</v>
          </cell>
          <cell r="J29">
            <v>10539.711429497802</v>
          </cell>
          <cell r="K29">
            <v>24.000000237358943</v>
          </cell>
        </row>
        <row r="30">
          <cell r="A30">
            <v>124</v>
          </cell>
          <cell r="E30">
            <v>101.01245880126953</v>
          </cell>
          <cell r="F30">
            <v>87.202522277832031</v>
          </cell>
          <cell r="G30">
            <v>576.70672607421875</v>
          </cell>
          <cell r="H30">
            <v>182.44468688964844</v>
          </cell>
          <cell r="J30">
            <v>10173.793249096212</v>
          </cell>
          <cell r="K30">
            <v>24.000000279744466</v>
          </cell>
        </row>
        <row r="31">
          <cell r="A31">
            <v>125</v>
          </cell>
          <cell r="E31">
            <v>100.92507171630859</v>
          </cell>
          <cell r="F31">
            <v>179.96586608886719</v>
          </cell>
          <cell r="G31">
            <v>590.11163330078125</v>
          </cell>
          <cell r="H31">
            <v>182.58393859863281</v>
          </cell>
          <cell r="J31">
            <v>9962.5749144460078</v>
          </cell>
          <cell r="K31">
            <v>24.000000347561308</v>
          </cell>
        </row>
        <row r="32">
          <cell r="A32">
            <v>126</v>
          </cell>
          <cell r="E32">
            <v>100.49318695068359</v>
          </cell>
          <cell r="F32">
            <v>293.06494140625</v>
          </cell>
          <cell r="G32">
            <v>522.27545166015625</v>
          </cell>
          <cell r="H32">
            <v>182.59071350097656</v>
          </cell>
          <cell r="J32">
            <v>9836.4876677752145</v>
          </cell>
          <cell r="K32">
            <v>24.000000220404729</v>
          </cell>
        </row>
        <row r="33">
          <cell r="A33">
            <v>127</v>
          </cell>
          <cell r="E33">
            <v>215.12588500976563</v>
          </cell>
          <cell r="F33">
            <v>292.96112060546875</v>
          </cell>
          <cell r="G33">
            <v>488.57229614257813</v>
          </cell>
          <cell r="H33">
            <v>80.404197692871094</v>
          </cell>
          <cell r="J33">
            <v>10138.16975383482</v>
          </cell>
          <cell r="K33">
            <v>24.000000250074599</v>
          </cell>
        </row>
        <row r="34">
          <cell r="A34">
            <v>128</v>
          </cell>
          <cell r="E34">
            <v>295.14474487304688</v>
          </cell>
          <cell r="F34">
            <v>292.89913940429688</v>
          </cell>
          <cell r="G34">
            <v>488.57064819335938</v>
          </cell>
          <cell r="H34">
            <v>112.65728759765625</v>
          </cell>
          <cell r="J34">
            <v>10470.531697751536</v>
          </cell>
          <cell r="K34">
            <v>23.994999694824216</v>
          </cell>
        </row>
        <row r="35">
          <cell r="A35">
            <v>129</v>
          </cell>
          <cell r="E35">
            <v>293.08218383789063</v>
          </cell>
          <cell r="F35">
            <v>91.993850708007813</v>
          </cell>
          <cell r="G35">
            <v>488.42526245117188</v>
          </cell>
          <cell r="H35">
            <v>195.23005676269531</v>
          </cell>
          <cell r="J35">
            <v>9932.7471386184152</v>
          </cell>
          <cell r="K35">
            <v>24.000000305175782</v>
          </cell>
        </row>
        <row r="36">
          <cell r="A36">
            <v>130</v>
          </cell>
          <cell r="E36">
            <v>101.05608367919922</v>
          </cell>
          <cell r="F36">
            <v>121.15812683105469</v>
          </cell>
          <cell r="G36">
            <v>488.50521850585938</v>
          </cell>
          <cell r="H36">
            <v>257.458740234375</v>
          </cell>
          <cell r="J36">
            <v>9979.1494357831325</v>
          </cell>
          <cell r="K36">
            <v>24.000000250074599</v>
          </cell>
        </row>
        <row r="37">
          <cell r="A37">
            <v>131</v>
          </cell>
          <cell r="E37">
            <v>100.83217620849609</v>
          </cell>
          <cell r="F37">
            <v>243.13873291015625</v>
          </cell>
          <cell r="G37">
            <v>488.45651245117188</v>
          </cell>
          <cell r="H37">
            <v>257.342041015625</v>
          </cell>
          <cell r="J37">
            <v>10776.828628418338</v>
          </cell>
          <cell r="K37">
            <v>24.000000313652883</v>
          </cell>
        </row>
        <row r="38">
          <cell r="A38">
            <v>201</v>
          </cell>
          <cell r="E38">
            <v>150.70149230957031</v>
          </cell>
          <cell r="F38">
            <v>294.9312744140625</v>
          </cell>
          <cell r="G38">
            <v>488.35479736328125</v>
          </cell>
          <cell r="H38">
            <v>111.06312561035156</v>
          </cell>
          <cell r="J38">
            <v>9361.9094296840995</v>
          </cell>
          <cell r="K38">
            <v>24.00000034332275</v>
          </cell>
        </row>
        <row r="39">
          <cell r="A39">
            <v>202</v>
          </cell>
          <cell r="E39">
            <v>255.22927856445313</v>
          </cell>
          <cell r="F39">
            <v>295.26681518554688</v>
          </cell>
          <cell r="G39">
            <v>350.76174926757813</v>
          </cell>
          <cell r="H39">
            <v>77.950614929199219</v>
          </cell>
          <cell r="J39">
            <v>8791.3768849163862</v>
          </cell>
          <cell r="K39">
            <v>24.000000254313154</v>
          </cell>
        </row>
        <row r="40">
          <cell r="A40">
            <v>203</v>
          </cell>
          <cell r="E40">
            <v>287.17340087890625</v>
          </cell>
          <cell r="F40">
            <v>247.19926452636719</v>
          </cell>
          <cell r="G40">
            <v>350.70126342773438</v>
          </cell>
          <cell r="H40">
            <v>137.71348571777344</v>
          </cell>
          <cell r="J40">
            <v>10173.270770612615</v>
          </cell>
          <cell r="K40">
            <v>24.000000190734863</v>
          </cell>
        </row>
        <row r="41">
          <cell r="A41">
            <v>204</v>
          </cell>
          <cell r="E41">
            <v>106.56142425537109</v>
          </cell>
          <cell r="F41">
            <v>133.80117797851563</v>
          </cell>
          <cell r="G41">
            <v>350.84408569335938</v>
          </cell>
          <cell r="H41">
            <v>179.03593444824219</v>
          </cell>
          <cell r="J41">
            <v>12402.280546027909</v>
          </cell>
          <cell r="K41">
            <v>23.991944385104709</v>
          </cell>
        </row>
        <row r="42">
          <cell r="A42">
            <v>205</v>
          </cell>
          <cell r="E42">
            <v>106.40493774414063</v>
          </cell>
          <cell r="F42">
            <v>166.01583862304688</v>
          </cell>
          <cell r="G42">
            <v>401.10531616210938</v>
          </cell>
          <cell r="H42">
            <v>119.32856750488281</v>
          </cell>
          <cell r="J42">
            <v>10066.357961067612</v>
          </cell>
          <cell r="K42">
            <v>24.000000211927627</v>
          </cell>
        </row>
        <row r="43">
          <cell r="A43">
            <v>206</v>
          </cell>
          <cell r="E43">
            <v>106.39403533935547</v>
          </cell>
          <cell r="F43">
            <v>104.72337341308594</v>
          </cell>
          <cell r="G43">
            <v>373.322998046875</v>
          </cell>
          <cell r="H43">
            <v>201.49667358398438</v>
          </cell>
          <cell r="J43">
            <v>9893.4743701609186</v>
          </cell>
          <cell r="K43">
            <v>24.000000224643284</v>
          </cell>
        </row>
        <row r="44">
          <cell r="A44">
            <v>207</v>
          </cell>
          <cell r="E44">
            <v>106.31651306152344</v>
          </cell>
          <cell r="F44">
            <v>104.62825775146484</v>
          </cell>
          <cell r="G44">
            <v>373.24887084960938</v>
          </cell>
          <cell r="H44">
            <v>302.45654296875</v>
          </cell>
          <cell r="J44">
            <v>12191.72858305778</v>
          </cell>
          <cell r="K44">
            <v>24.000000211927627</v>
          </cell>
        </row>
        <row r="45">
          <cell r="A45">
            <v>208</v>
          </cell>
          <cell r="E45">
            <v>105.82537841796875</v>
          </cell>
          <cell r="F45">
            <v>104.89227294921875</v>
          </cell>
          <cell r="G45">
            <v>373.11810302734375</v>
          </cell>
          <cell r="H45">
            <v>384.21368408203125</v>
          </cell>
          <cell r="J45">
            <v>9893.4148186401198</v>
          </cell>
          <cell r="K45">
            <v>24.00000038570828</v>
          </cell>
        </row>
        <row r="46">
          <cell r="A46">
            <v>209</v>
          </cell>
          <cell r="E46">
            <v>173.60502624511719</v>
          </cell>
          <cell r="F46">
            <v>104.59396362304688</v>
          </cell>
          <cell r="G46">
            <v>307.95858764648438</v>
          </cell>
          <cell r="H46">
            <v>412.45822143554688</v>
          </cell>
          <cell r="J46">
            <v>9572.7802617939815</v>
          </cell>
          <cell r="K46">
            <v>24.000000237358943</v>
          </cell>
        </row>
        <row r="47">
          <cell r="A47">
            <v>210</v>
          </cell>
          <cell r="E47">
            <v>278.736083984375</v>
          </cell>
          <cell r="F47">
            <v>104.66884613037109</v>
          </cell>
          <cell r="G47">
            <v>242.28915405273438</v>
          </cell>
          <cell r="H47">
            <v>413.00640869140625</v>
          </cell>
          <cell r="J47">
            <v>9127.8166540780203</v>
          </cell>
          <cell r="K47">
            <v>24.000000300937227</v>
          </cell>
        </row>
        <row r="48">
          <cell r="A48">
            <v>211</v>
          </cell>
          <cell r="E48">
            <v>284.89981079101563</v>
          </cell>
          <cell r="F48">
            <v>196.66946411132813</v>
          </cell>
          <cell r="G48">
            <v>74.277099609375</v>
          </cell>
          <cell r="H48">
            <v>195.58894348144531</v>
          </cell>
          <cell r="J48">
            <v>8830.0323084768825</v>
          </cell>
          <cell r="K48">
            <v>23.993331536187064</v>
          </cell>
        </row>
        <row r="49">
          <cell r="A49">
            <v>212</v>
          </cell>
          <cell r="E49">
            <v>97.6572265625</v>
          </cell>
          <cell r="F49">
            <v>277.37518310546875</v>
          </cell>
          <cell r="G49">
            <v>87.396430969238281</v>
          </cell>
          <cell r="H49">
            <v>195.56111145019531</v>
          </cell>
          <cell r="J49">
            <v>8618.4807239612928</v>
          </cell>
          <cell r="K49">
            <v>24.000000271267361</v>
          </cell>
        </row>
        <row r="50">
          <cell r="A50">
            <v>213</v>
          </cell>
          <cell r="E50">
            <v>98.02117919921875</v>
          </cell>
          <cell r="F50">
            <v>175.09165954589844</v>
          </cell>
          <cell r="G50">
            <v>162.411865234375</v>
          </cell>
          <cell r="H50">
            <v>195.85568237304688</v>
          </cell>
          <cell r="J50">
            <v>9094.3941919926747</v>
          </cell>
          <cell r="K50">
            <v>24.000000309414332</v>
          </cell>
        </row>
        <row r="51">
          <cell r="A51">
            <v>214</v>
          </cell>
          <cell r="E51">
            <v>97.717239379882813</v>
          </cell>
          <cell r="F51">
            <v>130.55532836914063</v>
          </cell>
          <cell r="G51">
            <v>244.81134033203125</v>
          </cell>
          <cell r="H51">
            <v>195.69877624511719</v>
          </cell>
          <cell r="J51">
            <v>9988.0573911855536</v>
          </cell>
          <cell r="K51">
            <v>21.826684137980145</v>
          </cell>
        </row>
        <row r="52">
          <cell r="A52">
            <v>215</v>
          </cell>
          <cell r="E52">
            <v>97.842300415039063</v>
          </cell>
          <cell r="F52">
            <v>130.5560302734375</v>
          </cell>
          <cell r="G52">
            <v>326.10140991210938</v>
          </cell>
          <cell r="H52">
            <v>196.00299072265625</v>
          </cell>
          <cell r="J52">
            <v>9927.4066569245333</v>
          </cell>
          <cell r="K52">
            <v>24.000000300937227</v>
          </cell>
        </row>
        <row r="53">
          <cell r="A53">
            <v>216</v>
          </cell>
          <cell r="E53">
            <v>117.93084716796875</v>
          </cell>
          <cell r="F53">
            <v>130.68482971191406</v>
          </cell>
          <cell r="G53">
            <v>245.26795959472656</v>
          </cell>
          <cell r="H53">
            <v>196.19148254394531</v>
          </cell>
          <cell r="J53">
            <v>9298.3428908737915</v>
          </cell>
          <cell r="K53">
            <v>24.000000262790252</v>
          </cell>
        </row>
        <row r="54">
          <cell r="A54">
            <v>217</v>
          </cell>
          <cell r="E54">
            <v>224.65748596191406</v>
          </cell>
          <cell r="F54">
            <v>81.969352722167969</v>
          </cell>
          <cell r="G54">
            <v>173.89520263671875</v>
          </cell>
          <cell r="H54">
            <v>196.52304077148438</v>
          </cell>
          <cell r="J54">
            <v>9410.1403379154472</v>
          </cell>
          <cell r="K54">
            <v>24.000000220404729</v>
          </cell>
        </row>
        <row r="55">
          <cell r="A55">
            <v>218</v>
          </cell>
          <cell r="E55">
            <v>195.20101928710938</v>
          </cell>
          <cell r="F55">
            <v>81.82672119140625</v>
          </cell>
          <cell r="G55">
            <v>139.92677307128906</v>
          </cell>
          <cell r="H55">
            <v>222.37644958496094</v>
          </cell>
          <cell r="J55">
            <v>9233.9759902457881</v>
          </cell>
          <cell r="K55">
            <v>23.993890372382268</v>
          </cell>
        </row>
        <row r="56">
          <cell r="A56">
            <v>219</v>
          </cell>
          <cell r="E56">
            <v>92.286483764648438</v>
          </cell>
          <cell r="F56">
            <v>81.969779968261719</v>
          </cell>
          <cell r="G56">
            <v>106.58271026611328</v>
          </cell>
          <cell r="H56">
            <v>235.35667419433594</v>
          </cell>
          <cell r="J56">
            <v>8629.8165368313821</v>
          </cell>
          <cell r="K56">
            <v>24.000000203450519</v>
          </cell>
        </row>
        <row r="57">
          <cell r="A57">
            <v>220</v>
          </cell>
          <cell r="E57">
            <v>191.86279296875</v>
          </cell>
          <cell r="F57">
            <v>82.073722839355469</v>
          </cell>
          <cell r="G57">
            <v>106.62758636474609</v>
          </cell>
          <cell r="H57">
            <v>160.5543212890625</v>
          </cell>
          <cell r="J57">
            <v>8760.4071649558809</v>
          </cell>
          <cell r="K57">
            <v>24.000000317891441</v>
          </cell>
        </row>
        <row r="58">
          <cell r="A58">
            <v>221</v>
          </cell>
          <cell r="E58">
            <v>290.62734985351563</v>
          </cell>
          <cell r="F58">
            <v>116.39998626708984</v>
          </cell>
          <cell r="G58">
            <v>106.41022491455078</v>
          </cell>
          <cell r="H58">
            <v>91.483306884765625</v>
          </cell>
          <cell r="J58">
            <v>11687.599651939749</v>
          </cell>
          <cell r="K58">
            <v>23.691106664869519</v>
          </cell>
        </row>
        <row r="59">
          <cell r="A59">
            <v>222</v>
          </cell>
          <cell r="E59">
            <v>243.62673950195313</v>
          </cell>
          <cell r="F59">
            <v>238.97560119628906</v>
          </cell>
          <cell r="G59">
            <v>106.24141693115234</v>
          </cell>
          <cell r="H59">
            <v>91.5941162109375</v>
          </cell>
          <cell r="J59">
            <v>10814.342240700607</v>
          </cell>
          <cell r="K59">
            <v>24.000000305175782</v>
          </cell>
        </row>
        <row r="60">
          <cell r="A60">
            <v>223</v>
          </cell>
          <cell r="E60">
            <v>195.77777099609375</v>
          </cell>
          <cell r="F60">
            <v>290.44122314453125</v>
          </cell>
          <cell r="G60">
            <v>106.27878570556641</v>
          </cell>
          <cell r="H60">
            <v>169.06600952148438</v>
          </cell>
          <cell r="J60">
            <v>13858.703475367887</v>
          </cell>
          <cell r="K60">
            <v>24.000000211927627</v>
          </cell>
        </row>
        <row r="61">
          <cell r="A61">
            <v>224</v>
          </cell>
          <cell r="E61">
            <v>104.75331878662109</v>
          </cell>
          <cell r="F61">
            <v>290.17669677734375</v>
          </cell>
          <cell r="G61">
            <v>106.30851745605469</v>
          </cell>
          <cell r="H61">
            <v>289.91754150390625</v>
          </cell>
          <cell r="J61">
            <v>14547.981238508186</v>
          </cell>
          <cell r="K61">
            <v>23.294441464742025</v>
          </cell>
        </row>
        <row r="62">
          <cell r="A62">
            <v>225</v>
          </cell>
          <cell r="E62">
            <v>134.17173767089844</v>
          </cell>
          <cell r="F62">
            <v>102.14572906494141</v>
          </cell>
          <cell r="G62">
            <v>106.30295562744141</v>
          </cell>
          <cell r="H62">
            <v>384.19732666015625</v>
          </cell>
          <cell r="J62">
            <v>14119.14032262935</v>
          </cell>
          <cell r="K62">
            <v>23.996667972140841</v>
          </cell>
        </row>
        <row r="63">
          <cell r="A63">
            <v>226</v>
          </cell>
          <cell r="E63">
            <v>287.05694580078125</v>
          </cell>
          <cell r="F63">
            <v>101.88372802734375</v>
          </cell>
          <cell r="G63">
            <v>106.37843322753906</v>
          </cell>
          <cell r="H63">
            <v>283.00030517578125</v>
          </cell>
          <cell r="J63">
            <v>13493.224345653185</v>
          </cell>
          <cell r="K63">
            <v>23.895835528903536</v>
          </cell>
        </row>
        <row r="64">
          <cell r="A64">
            <v>227</v>
          </cell>
          <cell r="E64">
            <v>296.4556884765625</v>
          </cell>
          <cell r="F64">
            <v>254.50303649902344</v>
          </cell>
          <cell r="G64">
            <v>106.50843048095703</v>
          </cell>
          <cell r="H64">
            <v>249.04527282714844</v>
          </cell>
          <cell r="J64">
            <v>13861.950521201494</v>
          </cell>
          <cell r="K64">
            <v>24.000000178019203</v>
          </cell>
        </row>
        <row r="65">
          <cell r="A65">
            <v>228</v>
          </cell>
          <cell r="E65">
            <v>199.57247924804688</v>
          </cell>
          <cell r="F65">
            <v>295.1719970703125</v>
          </cell>
          <cell r="G65">
            <v>106.30607604980469</v>
          </cell>
          <cell r="H65">
            <v>300.11358642578125</v>
          </cell>
          <cell r="J65">
            <v>9786.5776674715016</v>
          </cell>
          <cell r="K65">
            <v>24.000000279744466</v>
          </cell>
        </row>
        <row r="66">
          <cell r="A66">
            <v>229</v>
          </cell>
          <cell r="E66">
            <v>199.31402587890625</v>
          </cell>
          <cell r="F66">
            <v>295.006103515625</v>
          </cell>
          <cell r="G66">
            <v>106.26859283447266</v>
          </cell>
          <cell r="H66">
            <v>375.74905395507813</v>
          </cell>
          <cell r="J66">
            <v>9186.2387898591369</v>
          </cell>
          <cell r="K66">
            <v>24.000000288221568</v>
          </cell>
        </row>
        <row r="67">
          <cell r="A67">
            <v>301</v>
          </cell>
          <cell r="E67">
            <v>108.27414703369141</v>
          </cell>
          <cell r="F67">
            <v>246.63801574707031</v>
          </cell>
          <cell r="G67">
            <v>106.15116119384766</v>
          </cell>
          <cell r="H67">
            <v>454.46844482421875</v>
          </cell>
          <cell r="J67">
            <v>9542.295286590037</v>
          </cell>
          <cell r="K67">
            <v>24.000000305175782</v>
          </cell>
        </row>
        <row r="68">
          <cell r="A68">
            <v>302</v>
          </cell>
          <cell r="E68">
            <v>108.11070251464844</v>
          </cell>
          <cell r="F68">
            <v>105.2943115234375</v>
          </cell>
          <cell r="G68">
            <v>106.11434173583984</v>
          </cell>
          <cell r="H68">
            <v>501.05245971679688</v>
          </cell>
          <cell r="J68">
            <v>9860.2947566095518</v>
          </cell>
          <cell r="K68">
            <v>24.000000296698676</v>
          </cell>
        </row>
        <row r="69">
          <cell r="A69">
            <v>303</v>
          </cell>
          <cell r="E69">
            <v>107.96456146240234</v>
          </cell>
          <cell r="F69">
            <v>105.250732421875</v>
          </cell>
          <cell r="G69">
            <v>106.04747009277344</v>
          </cell>
          <cell r="H69">
            <v>470.79647827148438</v>
          </cell>
          <cell r="J69">
            <v>11891.231698906242</v>
          </cell>
          <cell r="K69">
            <v>23.996390868292913</v>
          </cell>
        </row>
        <row r="70">
          <cell r="A70">
            <v>304</v>
          </cell>
          <cell r="E70">
            <v>161.78282165527344</v>
          </cell>
          <cell r="F70">
            <v>104.66260528564453</v>
          </cell>
          <cell r="G70">
            <v>106.14705657958984</v>
          </cell>
          <cell r="H70">
            <v>334.34487915039063</v>
          </cell>
          <cell r="J70">
            <v>15332.404556399408</v>
          </cell>
          <cell r="K70">
            <v>24.00000028398302</v>
          </cell>
        </row>
        <row r="71">
          <cell r="A71">
            <v>305</v>
          </cell>
          <cell r="E71">
            <v>297.17453002929688</v>
          </cell>
          <cell r="F71">
            <v>138.42755126953125</v>
          </cell>
          <cell r="G71">
            <v>106.09735870361328</v>
          </cell>
          <cell r="H71">
            <v>87.952445983886719</v>
          </cell>
          <cell r="J71">
            <v>14332.91309688748</v>
          </cell>
          <cell r="K71">
            <v>24.000000254313154</v>
          </cell>
        </row>
        <row r="72">
          <cell r="A72">
            <v>306</v>
          </cell>
          <cell r="E72">
            <v>107.60008239746094</v>
          </cell>
          <cell r="F72">
            <v>294.87570190429688</v>
          </cell>
          <cell r="G72">
            <v>106.07021331787109</v>
          </cell>
          <cell r="H72">
            <v>87.32452392578125</v>
          </cell>
          <cell r="J72">
            <v>15214.339558005926</v>
          </cell>
          <cell r="K72">
            <v>24.000000220404729</v>
          </cell>
        </row>
        <row r="73">
          <cell r="A73">
            <v>307</v>
          </cell>
          <cell r="E73">
            <v>278.974609375</v>
          </cell>
          <cell r="F73">
            <v>295.4739990234375</v>
          </cell>
          <cell r="G73">
            <v>111.37081909179688</v>
          </cell>
          <cell r="H73">
            <v>87.110458374023438</v>
          </cell>
          <cell r="J73">
            <v>15738.889650929093</v>
          </cell>
          <cell r="K73">
            <v>24.000000279744466</v>
          </cell>
        </row>
        <row r="74">
          <cell r="A74">
            <v>308</v>
          </cell>
          <cell r="E74">
            <v>277.50201416015625</v>
          </cell>
          <cell r="F74">
            <v>176.45379638671875</v>
          </cell>
          <cell r="G74">
            <v>229.59292602539063</v>
          </cell>
          <cell r="H74">
            <v>86.859756469726563</v>
          </cell>
          <cell r="J74">
            <v>14821.619124521136</v>
          </cell>
          <cell r="K74">
            <v>23.000000262790259</v>
          </cell>
        </row>
        <row r="75">
          <cell r="A75">
            <v>309</v>
          </cell>
          <cell r="E75">
            <v>78.885414123535156</v>
          </cell>
          <cell r="F75">
            <v>89.787254333496094</v>
          </cell>
          <cell r="G75">
            <v>313.42477416992188</v>
          </cell>
          <cell r="H75">
            <v>87.083229064941406</v>
          </cell>
          <cell r="J75">
            <v>14500.480053615276</v>
          </cell>
          <cell r="K75">
            <v>24.000000173780656</v>
          </cell>
        </row>
        <row r="76">
          <cell r="A76">
            <v>310</v>
          </cell>
          <cell r="E76">
            <v>200.97059631347656</v>
          </cell>
          <cell r="F76">
            <v>90.119789123535156</v>
          </cell>
          <cell r="G76">
            <v>107.95335388183594</v>
          </cell>
          <cell r="H76">
            <v>87.065742492675781</v>
          </cell>
          <cell r="J76">
            <v>10729.159437172899</v>
          </cell>
          <cell r="K76">
            <v>22.988052423265245</v>
          </cell>
        </row>
        <row r="77">
          <cell r="A77">
            <v>311</v>
          </cell>
          <cell r="E77">
            <v>123.82610321044922</v>
          </cell>
          <cell r="F77">
            <v>89.791954040527344</v>
          </cell>
          <cell r="G77">
            <v>107.96256256103516</v>
          </cell>
          <cell r="H77">
            <v>87.134834289550781</v>
          </cell>
          <cell r="J77">
            <v>9777.1336112790632</v>
          </cell>
          <cell r="K77">
            <v>24.00000028398302</v>
          </cell>
        </row>
        <row r="78">
          <cell r="A78">
            <v>312</v>
          </cell>
          <cell r="E78">
            <v>142.88676452636719</v>
          </cell>
          <cell r="F78">
            <v>89.621261596679688</v>
          </cell>
          <cell r="G78">
            <v>74.304847717285156</v>
          </cell>
          <cell r="H78">
            <v>86.968994140625</v>
          </cell>
          <cell r="J78">
            <v>9942.2928301443808</v>
          </cell>
          <cell r="K78">
            <v>24.000000309414332</v>
          </cell>
        </row>
        <row r="79">
          <cell r="A79">
            <v>313</v>
          </cell>
          <cell r="E79">
            <v>131.71893310546875</v>
          </cell>
          <cell r="F79">
            <v>89.737396240234375</v>
          </cell>
          <cell r="G79">
            <v>126.37677764892578</v>
          </cell>
          <cell r="H79">
            <v>86.99005126953125</v>
          </cell>
          <cell r="J79">
            <v>10457.565936586065</v>
          </cell>
          <cell r="K79">
            <v>24.000000139872231</v>
          </cell>
        </row>
        <row r="80">
          <cell r="A80">
            <v>314</v>
          </cell>
          <cell r="E80">
            <v>131.77946472167969</v>
          </cell>
          <cell r="F80">
            <v>89.387870788574219</v>
          </cell>
          <cell r="G80">
            <v>210.99034118652344</v>
          </cell>
          <cell r="H80">
            <v>87.036407470703125</v>
          </cell>
          <cell r="J80">
            <v>10237.920161224332</v>
          </cell>
          <cell r="K80">
            <v>24.000000207689073</v>
          </cell>
        </row>
        <row r="81">
          <cell r="A81">
            <v>315</v>
          </cell>
          <cell r="E81">
            <v>106.95004272460938</v>
          </cell>
          <cell r="F81">
            <v>89.871978759765625</v>
          </cell>
          <cell r="G81">
            <v>238.6973876953125</v>
          </cell>
          <cell r="H81">
            <v>87.032150268554688</v>
          </cell>
          <cell r="J81">
            <v>10402.021707043779</v>
          </cell>
          <cell r="K81">
            <v>24.00000024159749</v>
          </cell>
        </row>
        <row r="82">
          <cell r="A82">
            <v>316</v>
          </cell>
          <cell r="E82">
            <v>213.0452880859375</v>
          </cell>
          <cell r="F82">
            <v>89.829505920410156</v>
          </cell>
          <cell r="G82">
            <v>238.60064697265625</v>
          </cell>
          <cell r="H82">
            <v>86.831977844238281</v>
          </cell>
          <cell r="J82">
            <v>9303.5727660199627</v>
          </cell>
          <cell r="K82">
            <v>24.000000322129988</v>
          </cell>
        </row>
        <row r="83">
          <cell r="A83">
            <v>317</v>
          </cell>
          <cell r="E83">
            <v>296.61212158203125</v>
          </cell>
          <cell r="F83">
            <v>117.31601715087891</v>
          </cell>
          <cell r="G83">
            <v>103.21560668945313</v>
          </cell>
          <cell r="H83">
            <v>86.689552307128906</v>
          </cell>
          <cell r="J83">
            <v>9285.8443037363559</v>
          </cell>
          <cell r="K83">
            <v>23.995276904635958</v>
          </cell>
        </row>
        <row r="84">
          <cell r="A84">
            <v>318</v>
          </cell>
          <cell r="E84">
            <v>245.67268371582031</v>
          </cell>
          <cell r="F84">
            <v>220.34716796875</v>
          </cell>
          <cell r="G84">
            <v>77.496231079101563</v>
          </cell>
          <cell r="H84">
            <v>86.788108825683594</v>
          </cell>
          <cell r="J84">
            <v>9044.8551637532928</v>
          </cell>
          <cell r="K84">
            <v>24.000000207689073</v>
          </cell>
        </row>
        <row r="85">
          <cell r="A85">
            <v>319</v>
          </cell>
          <cell r="E85">
            <v>90.661399841308594</v>
          </cell>
          <cell r="F85">
            <v>81.417831420898438</v>
          </cell>
          <cell r="G85">
            <v>77.449295043945313</v>
          </cell>
          <cell r="H85">
            <v>119.75958251953125</v>
          </cell>
          <cell r="J85">
            <v>9466.0097475483562</v>
          </cell>
          <cell r="K85">
            <v>24.000000152587887</v>
          </cell>
        </row>
        <row r="86">
          <cell r="A86">
            <v>320</v>
          </cell>
          <cell r="E86">
            <v>90.071327209472656</v>
          </cell>
          <cell r="F86">
            <v>81.626846313476563</v>
          </cell>
          <cell r="G86">
            <v>77.469833374023438</v>
          </cell>
          <cell r="H86">
            <v>197.97114562988281</v>
          </cell>
          <cell r="J86">
            <v>9452.0491577743724</v>
          </cell>
          <cell r="K86">
            <v>24.000000173780656</v>
          </cell>
        </row>
        <row r="87">
          <cell r="A87">
            <v>321</v>
          </cell>
          <cell r="E87">
            <v>90.847564697265625</v>
          </cell>
          <cell r="F87">
            <v>81.874664306640625</v>
          </cell>
          <cell r="G87">
            <v>77.591484069824219</v>
          </cell>
          <cell r="H87">
            <v>207.33877563476563</v>
          </cell>
          <cell r="J87">
            <v>9338.3875328368522</v>
          </cell>
          <cell r="K87">
            <v>24.00000024159749</v>
          </cell>
        </row>
        <row r="88">
          <cell r="A88">
            <v>322</v>
          </cell>
          <cell r="E88">
            <v>56.678501129150391</v>
          </cell>
          <cell r="F88">
            <v>81.79449462890625</v>
          </cell>
          <cell r="G88">
            <v>79.71600341796875</v>
          </cell>
          <cell r="H88">
            <v>239.67762756347656</v>
          </cell>
          <cell r="J88">
            <v>9688.7869282092361</v>
          </cell>
          <cell r="K88">
            <v>24.000000173780656</v>
          </cell>
        </row>
        <row r="89">
          <cell r="A89">
            <v>323</v>
          </cell>
          <cell r="E89">
            <v>190.75772094726563</v>
          </cell>
          <cell r="F89">
            <v>81.678421020507813</v>
          </cell>
          <cell r="G89">
            <v>79.558143615722656</v>
          </cell>
          <cell r="H89">
            <v>137.43962097167969</v>
          </cell>
          <cell r="J89">
            <v>11630.595503687604</v>
          </cell>
          <cell r="K89">
            <v>24.00000024159749</v>
          </cell>
        </row>
        <row r="90">
          <cell r="A90">
            <v>324</v>
          </cell>
          <cell r="E90">
            <v>89.051025390625</v>
          </cell>
          <cell r="F90">
            <v>132.68589782714844</v>
          </cell>
          <cell r="G90">
            <v>79.656379699707031</v>
          </cell>
          <cell r="H90">
            <v>137.59703063964844</v>
          </cell>
          <cell r="J90">
            <v>12966.643367064358</v>
          </cell>
          <cell r="K90">
            <v>23.993885904947916</v>
          </cell>
        </row>
        <row r="91">
          <cell r="A91">
            <v>325</v>
          </cell>
          <cell r="E91">
            <v>88.992546081542969</v>
          </cell>
          <cell r="F91">
            <v>270.98126220703125</v>
          </cell>
          <cell r="G91">
            <v>79.582466125488281</v>
          </cell>
          <cell r="H91">
            <v>106.22460174560547</v>
          </cell>
          <cell r="J91">
            <v>12151.609340902403</v>
          </cell>
          <cell r="K91">
            <v>24.000000296698676</v>
          </cell>
        </row>
        <row r="92">
          <cell r="A92">
            <v>326</v>
          </cell>
          <cell r="E92">
            <v>80.993965148925781</v>
          </cell>
          <cell r="F92">
            <v>70.986099243164063</v>
          </cell>
          <cell r="G92">
            <v>79.612953186035156</v>
          </cell>
          <cell r="H92">
            <v>83.751014709472656</v>
          </cell>
          <cell r="J92">
            <v>10876.492652756002</v>
          </cell>
          <cell r="K92">
            <v>24.000000186496312</v>
          </cell>
        </row>
        <row r="93">
          <cell r="A93">
            <v>327</v>
          </cell>
          <cell r="E93">
            <v>188.61308288574219</v>
          </cell>
          <cell r="F93">
            <v>70.978477478027344</v>
          </cell>
          <cell r="G93">
            <v>79.557907104492188</v>
          </cell>
          <cell r="H93">
            <v>83.743728637695313</v>
          </cell>
          <cell r="J93">
            <v>9414.22856598824</v>
          </cell>
          <cell r="K93">
            <v>24.000000228881834</v>
          </cell>
        </row>
        <row r="94">
          <cell r="A94">
            <v>328</v>
          </cell>
          <cell r="E94">
            <v>281.69479370117188</v>
          </cell>
          <cell r="F94">
            <v>83.391220092773438</v>
          </cell>
          <cell r="G94">
            <v>79.394828796386719</v>
          </cell>
          <cell r="H94">
            <v>83.745475769042969</v>
          </cell>
          <cell r="J94">
            <v>9236.2324883845013</v>
          </cell>
          <cell r="K94">
            <v>24.00000028398302</v>
          </cell>
        </row>
        <row r="95">
          <cell r="A95">
            <v>329</v>
          </cell>
          <cell r="E95">
            <v>189.91091918945313</v>
          </cell>
          <cell r="F95">
            <v>188.75337219238281</v>
          </cell>
          <cell r="G95">
            <v>79.572959899902344</v>
          </cell>
          <cell r="H95">
            <v>83.646263122558594</v>
          </cell>
          <cell r="J95">
            <v>9363.8133069952455</v>
          </cell>
          <cell r="K95">
            <v>24.000000347561308</v>
          </cell>
        </row>
        <row r="96">
          <cell r="A96">
            <v>330</v>
          </cell>
          <cell r="E96">
            <v>137.96160888671875</v>
          </cell>
          <cell r="F96">
            <v>294.88992309570313</v>
          </cell>
          <cell r="G96">
            <v>85.805755615234375</v>
          </cell>
          <cell r="H96">
            <v>83.66064453125</v>
          </cell>
          <cell r="J96">
            <v>9962.0757325117975</v>
          </cell>
          <cell r="K96">
            <v>24.000000305175782</v>
          </cell>
        </row>
        <row r="97">
          <cell r="A97">
            <v>331</v>
          </cell>
          <cell r="E97">
            <v>82.468040466308594</v>
          </cell>
          <cell r="F97">
            <v>78.578163146972656</v>
          </cell>
          <cell r="G97">
            <v>166.57020568847656</v>
          </cell>
          <cell r="H97">
            <v>83.609916687011719</v>
          </cell>
          <cell r="J97">
            <v>10456.228927577373</v>
          </cell>
          <cell r="K97">
            <v>23.996108864678277</v>
          </cell>
        </row>
        <row r="98">
          <cell r="A98">
            <v>401</v>
          </cell>
          <cell r="E98">
            <v>82.53497314453125</v>
          </cell>
          <cell r="F98">
            <v>81.079879760742188</v>
          </cell>
          <cell r="G98">
            <v>251.67626953125</v>
          </cell>
          <cell r="H98">
            <v>83.567787170410156</v>
          </cell>
          <cell r="J98">
            <v>10535.085996274833</v>
          </cell>
          <cell r="K98">
            <v>24.000000288221568</v>
          </cell>
        </row>
        <row r="99">
          <cell r="A99">
            <v>402</v>
          </cell>
          <cell r="E99">
            <v>82.456268310546875</v>
          </cell>
          <cell r="F99">
            <v>81.258781433105469</v>
          </cell>
          <cell r="G99">
            <v>122.99823760986328</v>
          </cell>
          <cell r="H99">
            <v>83.581298828125</v>
          </cell>
          <cell r="J99">
            <v>10273.058061497994</v>
          </cell>
          <cell r="K99">
            <v>24.000000292460125</v>
          </cell>
        </row>
        <row r="100">
          <cell r="A100">
            <v>403</v>
          </cell>
          <cell r="E100">
            <v>82.165084838867188</v>
          </cell>
          <cell r="F100">
            <v>81.124786376953125</v>
          </cell>
          <cell r="G100">
            <v>205.18313598632813</v>
          </cell>
          <cell r="H100">
            <v>83.472389221191406</v>
          </cell>
          <cell r="J100">
            <v>9886.7835170992294</v>
          </cell>
          <cell r="K100">
            <v>24.000000237358943</v>
          </cell>
        </row>
        <row r="101">
          <cell r="A101">
            <v>404</v>
          </cell>
          <cell r="E101">
            <v>82.489173889160156</v>
          </cell>
          <cell r="F101">
            <v>80.888908386230469</v>
          </cell>
          <cell r="G101">
            <v>255.92045593261719</v>
          </cell>
          <cell r="H101">
            <v>83.418197631835938</v>
          </cell>
          <cell r="J101">
            <v>9810.557301548437</v>
          </cell>
          <cell r="K101">
            <v>24.000000220404729</v>
          </cell>
        </row>
        <row r="102">
          <cell r="A102">
            <v>405</v>
          </cell>
          <cell r="E102">
            <v>145.27362060546875</v>
          </cell>
          <cell r="F102">
            <v>80.761344909667969</v>
          </cell>
          <cell r="G102">
            <v>187.94868469238281</v>
          </cell>
          <cell r="H102">
            <v>83.391693115234375</v>
          </cell>
          <cell r="J102">
            <v>9886.1549009016453</v>
          </cell>
          <cell r="K102">
            <v>24.00000034332275</v>
          </cell>
        </row>
        <row r="103">
          <cell r="A103">
            <v>406</v>
          </cell>
          <cell r="E103">
            <v>40.644439697265625</v>
          </cell>
          <cell r="F103">
            <v>105.587158203125</v>
          </cell>
          <cell r="G103">
            <v>122.19968414306641</v>
          </cell>
          <cell r="H103">
            <v>83.193901062011719</v>
          </cell>
          <cell r="J103">
            <v>10574.612629556374</v>
          </cell>
          <cell r="K103">
            <v>24.000000250074599</v>
          </cell>
        </row>
        <row r="104">
          <cell r="A104">
            <v>407</v>
          </cell>
          <cell r="E104">
            <v>40.735202789306641</v>
          </cell>
          <cell r="F104">
            <v>210.57066345214844</v>
          </cell>
          <cell r="G104">
            <v>121.96470642089844</v>
          </cell>
          <cell r="H104">
            <v>83.182395935058594</v>
          </cell>
          <cell r="J104">
            <v>9365.4155811253859</v>
          </cell>
          <cell r="K104">
            <v>23.990835206773543</v>
          </cell>
        </row>
        <row r="105">
          <cell r="A105">
            <v>408</v>
          </cell>
          <cell r="E105">
            <v>115.29248809814453</v>
          </cell>
          <cell r="F105">
            <v>121.31597900390625</v>
          </cell>
          <cell r="G105">
            <v>88.260856628417969</v>
          </cell>
          <cell r="H105">
            <v>83.191749572753906</v>
          </cell>
          <cell r="J105">
            <v>9816.7049791052832</v>
          </cell>
          <cell r="K105">
            <v>24.000000288221568</v>
          </cell>
        </row>
        <row r="106">
          <cell r="A106">
            <v>409</v>
          </cell>
          <cell r="E106">
            <v>103.01990509033203</v>
          </cell>
          <cell r="F106">
            <v>85.115585327148438</v>
          </cell>
          <cell r="G106">
            <v>88.360214233398438</v>
          </cell>
          <cell r="H106">
            <v>83.409393310546875</v>
          </cell>
          <cell r="J106">
            <v>9895.8839900115381</v>
          </cell>
          <cell r="K106">
            <v>24.000000292460125</v>
          </cell>
        </row>
        <row r="107">
          <cell r="A107">
            <v>410</v>
          </cell>
          <cell r="E107">
            <v>65.293785095214844</v>
          </cell>
          <cell r="F107">
            <v>60.349662780761719</v>
          </cell>
          <cell r="G107">
            <v>66.852546691894531</v>
          </cell>
          <cell r="H107">
            <v>83.279243469238281</v>
          </cell>
          <cell r="J107">
            <v>9561.9808128463319</v>
          </cell>
          <cell r="K107">
            <v>24.000000279744466</v>
          </cell>
        </row>
        <row r="108">
          <cell r="A108">
            <v>411</v>
          </cell>
          <cell r="E108">
            <v>88.00921630859375</v>
          </cell>
          <cell r="F108">
            <v>174.72230529785156</v>
          </cell>
          <cell r="G108">
            <v>66.906295776367188</v>
          </cell>
          <cell r="H108">
            <v>67.194297790527344</v>
          </cell>
          <cell r="J108">
            <v>10174.338064785819</v>
          </cell>
          <cell r="K108">
            <v>24.000000245836045</v>
          </cell>
        </row>
        <row r="109">
          <cell r="A109">
            <v>412</v>
          </cell>
          <cell r="E109">
            <v>88.077217102050781</v>
          </cell>
          <cell r="F109">
            <v>158.81196594238281</v>
          </cell>
          <cell r="G109">
            <v>66.785476684570313</v>
          </cell>
          <cell r="H109">
            <v>126.24864196777344</v>
          </cell>
          <cell r="J109">
            <v>9929.6922439913851</v>
          </cell>
          <cell r="K109">
            <v>24.000000258551701</v>
          </cell>
        </row>
        <row r="110">
          <cell r="A110">
            <v>413</v>
          </cell>
          <cell r="E110">
            <v>87.491767883300781</v>
          </cell>
          <cell r="F110">
            <v>77.170738220214844</v>
          </cell>
          <cell r="G110">
            <v>67.011215209960938</v>
          </cell>
          <cell r="H110">
            <v>208.16291809082031</v>
          </cell>
          <cell r="J110">
            <v>9916.6495372682584</v>
          </cell>
          <cell r="K110">
            <v>24.000000199211968</v>
          </cell>
        </row>
        <row r="111">
          <cell r="A111">
            <v>414</v>
          </cell>
          <cell r="E111">
            <v>87.819602966308594</v>
          </cell>
          <cell r="F111">
            <v>80.908485412597656</v>
          </cell>
          <cell r="G111">
            <v>66.89874267578125</v>
          </cell>
          <cell r="H111">
            <v>222.34022521972656</v>
          </cell>
          <cell r="J111">
            <v>10378.43194023586</v>
          </cell>
          <cell r="K111">
            <v>23.99527694278293</v>
          </cell>
        </row>
        <row r="112">
          <cell r="A112">
            <v>415</v>
          </cell>
          <cell r="E112">
            <v>87.743064880371094</v>
          </cell>
          <cell r="F112">
            <v>80.88720703125</v>
          </cell>
          <cell r="G112">
            <v>66.756431579589844</v>
          </cell>
          <cell r="H112">
            <v>179.42835998535156</v>
          </cell>
          <cell r="J112">
            <v>9713.8728305310196</v>
          </cell>
          <cell r="K112">
            <v>24.000000305175782</v>
          </cell>
        </row>
        <row r="113">
          <cell r="A113">
            <v>416</v>
          </cell>
          <cell r="E113">
            <v>87.80517578125</v>
          </cell>
          <cell r="F113">
            <v>80.9388427734375</v>
          </cell>
          <cell r="G113">
            <v>66.799285888671875</v>
          </cell>
          <cell r="H113">
            <v>84.043525695800781</v>
          </cell>
          <cell r="J113">
            <v>9026.1912914150907</v>
          </cell>
          <cell r="K113">
            <v>24.000000250074599</v>
          </cell>
        </row>
        <row r="114">
          <cell r="A114">
            <v>417</v>
          </cell>
          <cell r="E114">
            <v>87.861289978027344</v>
          </cell>
          <cell r="F114">
            <v>80.757598876953125</v>
          </cell>
          <cell r="G114">
            <v>66.686058044433594</v>
          </cell>
          <cell r="H114">
            <v>155.99394226074219</v>
          </cell>
          <cell r="J114">
            <v>8795.3264140739047</v>
          </cell>
          <cell r="K114">
            <v>24.000000262790252</v>
          </cell>
        </row>
        <row r="115">
          <cell r="A115">
            <v>418</v>
          </cell>
          <cell r="E115">
            <v>87.721656799316406</v>
          </cell>
          <cell r="F115">
            <v>80.777984619140625</v>
          </cell>
          <cell r="G115">
            <v>66.6842041015625</v>
          </cell>
          <cell r="H115">
            <v>81.5604248046875</v>
          </cell>
          <cell r="J115">
            <v>8505.2493377242299</v>
          </cell>
          <cell r="K115">
            <v>24.000000317891441</v>
          </cell>
        </row>
        <row r="116">
          <cell r="A116">
            <v>419</v>
          </cell>
          <cell r="E116">
            <v>87.420150756835938</v>
          </cell>
          <cell r="F116">
            <v>80.807731628417969</v>
          </cell>
          <cell r="G116">
            <v>66.7259521484375</v>
          </cell>
          <cell r="H116">
            <v>155.87530517578125</v>
          </cell>
          <cell r="J116">
            <v>9162.6524287737702</v>
          </cell>
          <cell r="K116">
            <v>24.000000224643284</v>
          </cell>
        </row>
        <row r="117">
          <cell r="A117">
            <v>420</v>
          </cell>
          <cell r="E117">
            <v>87.650802612304688</v>
          </cell>
          <cell r="F117">
            <v>80.914199829101563</v>
          </cell>
          <cell r="G117">
            <v>66.696075439453125</v>
          </cell>
          <cell r="H117">
            <v>217.14984130859375</v>
          </cell>
          <cell r="J117">
            <v>10671.727991022864</v>
          </cell>
          <cell r="K117">
            <v>24.000000271267361</v>
          </cell>
        </row>
        <row r="118">
          <cell r="A118">
            <v>421</v>
          </cell>
          <cell r="E118">
            <v>87.793777465820313</v>
          </cell>
          <cell r="F118">
            <v>81.053871154785156</v>
          </cell>
          <cell r="G118">
            <v>66.68060302734375</v>
          </cell>
          <cell r="H118">
            <v>196.43502807617188</v>
          </cell>
          <cell r="J118">
            <v>9896.1801823549085</v>
          </cell>
          <cell r="K118">
            <v>23.358613912794326</v>
          </cell>
        </row>
        <row r="119">
          <cell r="A119">
            <v>422</v>
          </cell>
          <cell r="E119">
            <v>150.06375122070313</v>
          </cell>
          <cell r="F119">
            <v>80.891143798828125</v>
          </cell>
          <cell r="G119">
            <v>66.690185546875</v>
          </cell>
          <cell r="H119">
            <v>165.55653381347656</v>
          </cell>
          <cell r="J119">
            <v>9839.0393669873702</v>
          </cell>
          <cell r="K119">
            <v>24.00000028398302</v>
          </cell>
        </row>
        <row r="120">
          <cell r="A120">
            <v>423</v>
          </cell>
          <cell r="E120">
            <v>54.995082855224609</v>
          </cell>
          <cell r="F120">
            <v>90.777214050292969</v>
          </cell>
          <cell r="G120">
            <v>66.56597900390625</v>
          </cell>
          <cell r="H120">
            <v>165.41917419433594</v>
          </cell>
          <cell r="J120">
            <v>9736.8779506413412</v>
          </cell>
          <cell r="K120">
            <v>24.000000220404729</v>
          </cell>
        </row>
        <row r="121">
          <cell r="A121">
            <v>424</v>
          </cell>
          <cell r="E121">
            <v>157.155517578125</v>
          </cell>
          <cell r="F121">
            <v>111.91661834716797</v>
          </cell>
          <cell r="G121">
            <v>66.562843322753906</v>
          </cell>
          <cell r="H121">
            <v>98.801956176757813</v>
          </cell>
          <cell r="J121">
            <v>10802.506539899281</v>
          </cell>
          <cell r="K121">
            <v>24.000000377231174</v>
          </cell>
        </row>
        <row r="122">
          <cell r="A122">
            <v>425</v>
          </cell>
          <cell r="E122">
            <v>287.82858276367188</v>
          </cell>
          <cell r="F122">
            <v>113.68796539306641</v>
          </cell>
          <cell r="G122">
            <v>66.620651245117188</v>
          </cell>
          <cell r="H122">
            <v>98.743988037109375</v>
          </cell>
          <cell r="J122">
            <v>11328.866331661329</v>
          </cell>
          <cell r="K122">
            <v>24.000000254313154</v>
          </cell>
        </row>
        <row r="123">
          <cell r="A123">
            <v>426</v>
          </cell>
          <cell r="E123">
            <v>285.9693603515625</v>
          </cell>
          <cell r="F123">
            <v>191.47886657714844</v>
          </cell>
          <cell r="G123">
            <v>66.513748168945313</v>
          </cell>
          <cell r="H123">
            <v>98.857582092285156</v>
          </cell>
          <cell r="J123">
            <v>11076.848840992372</v>
          </cell>
          <cell r="K123">
            <v>24.00000028398302</v>
          </cell>
        </row>
        <row r="124">
          <cell r="A124">
            <v>427</v>
          </cell>
          <cell r="E124">
            <v>196.20526123046875</v>
          </cell>
          <cell r="F124">
            <v>295.38568115234375</v>
          </cell>
          <cell r="G124">
            <v>75.939002990722656</v>
          </cell>
          <cell r="H124">
            <v>99.234954833984375</v>
          </cell>
          <cell r="J124">
            <v>10215.540511413419</v>
          </cell>
          <cell r="K124">
            <v>24.000000139872231</v>
          </cell>
        </row>
        <row r="125">
          <cell r="A125">
            <v>428</v>
          </cell>
          <cell r="E125">
            <v>87.301162719726563</v>
          </cell>
          <cell r="F125">
            <v>93.496536254882813</v>
          </cell>
          <cell r="G125">
            <v>153.42892456054688</v>
          </cell>
          <cell r="H125">
            <v>98.952537536621094</v>
          </cell>
          <cell r="J125">
            <v>10011.402299712434</v>
          </cell>
          <cell r="K125">
            <v>23.995835842556424</v>
          </cell>
        </row>
        <row r="126">
          <cell r="A126">
            <v>429</v>
          </cell>
          <cell r="E126">
            <v>87.159294128417969</v>
          </cell>
          <cell r="F126">
            <v>93.453117370605469</v>
          </cell>
          <cell r="G126">
            <v>166.29142761230469</v>
          </cell>
          <cell r="H126">
            <v>98.710235595703125</v>
          </cell>
          <cell r="J126">
            <v>9828.4973948444585</v>
          </cell>
          <cell r="K126">
            <v>24.00000026702881</v>
          </cell>
        </row>
        <row r="127">
          <cell r="A127">
            <v>430</v>
          </cell>
          <cell r="E127">
            <v>86.933235168457031</v>
          </cell>
          <cell r="F127">
            <v>93.768692016601563</v>
          </cell>
          <cell r="G127">
            <v>217.30618286132813</v>
          </cell>
          <cell r="H127">
            <v>62.357681274414063</v>
          </cell>
          <cell r="J127">
            <v>10059.525168090715</v>
          </cell>
          <cell r="K127">
            <v>24.000000305175782</v>
          </cell>
        </row>
        <row r="128">
          <cell r="A128">
            <v>501</v>
          </cell>
          <cell r="E128">
            <v>86.948448181152344</v>
          </cell>
          <cell r="F128">
            <v>93.704299926757813</v>
          </cell>
          <cell r="G128">
            <v>133.25250244140625</v>
          </cell>
          <cell r="H128">
            <v>66.854728698730469</v>
          </cell>
          <cell r="J128">
            <v>10487.800541702207</v>
          </cell>
          <cell r="K128">
            <v>24.000000233120385</v>
          </cell>
        </row>
        <row r="129">
          <cell r="A129">
            <v>502</v>
          </cell>
          <cell r="E129">
            <v>87.413970947265625</v>
          </cell>
          <cell r="F129">
            <v>93.697601318359375</v>
          </cell>
          <cell r="G129">
            <v>218.03477478027344</v>
          </cell>
          <cell r="H129">
            <v>66.624984741210938</v>
          </cell>
          <cell r="J129">
            <v>10194.050289601921</v>
          </cell>
          <cell r="K129">
            <v>24.000000254313154</v>
          </cell>
        </row>
        <row r="130">
          <cell r="A130">
            <v>503</v>
          </cell>
          <cell r="E130">
            <v>87.431236267089844</v>
          </cell>
          <cell r="F130">
            <v>93.742820739746094</v>
          </cell>
          <cell r="G130">
            <v>297.04251098632813</v>
          </cell>
          <cell r="H130">
            <v>66.801094055175781</v>
          </cell>
          <cell r="J130">
            <v>9636.0122192895942</v>
          </cell>
          <cell r="K130">
            <v>24.000000220404729</v>
          </cell>
        </row>
        <row r="131">
          <cell r="A131">
            <v>504</v>
          </cell>
          <cell r="E131">
            <v>99.632369995117188</v>
          </cell>
          <cell r="F131">
            <v>93.613655090332031</v>
          </cell>
          <cell r="G131">
            <v>105.02841186523438</v>
          </cell>
          <cell r="H131">
            <v>66.857589721679688</v>
          </cell>
          <cell r="J131">
            <v>9718.6298075705163</v>
          </cell>
          <cell r="K131">
            <v>24.000000207689073</v>
          </cell>
        </row>
        <row r="132">
          <cell r="A132">
            <v>505</v>
          </cell>
          <cell r="E132">
            <v>210.8934326171875</v>
          </cell>
          <cell r="F132">
            <v>93.610908508300781</v>
          </cell>
          <cell r="G132">
            <v>104.98951721191406</v>
          </cell>
          <cell r="H132">
            <v>66.828880310058594</v>
          </cell>
          <cell r="J132">
            <v>9832.7320110896926</v>
          </cell>
          <cell r="K132">
            <v>23.992776641845701</v>
          </cell>
        </row>
        <row r="133">
          <cell r="A133">
            <v>506</v>
          </cell>
          <cell r="E133">
            <v>162.04066467285156</v>
          </cell>
          <cell r="F133">
            <v>93.748550415039063</v>
          </cell>
          <cell r="G133">
            <v>121.84250640869141</v>
          </cell>
          <cell r="H133">
            <v>76.524650573730469</v>
          </cell>
          <cell r="J133">
            <v>9468.8003714052829</v>
          </cell>
          <cell r="K133">
            <v>24.000000182257761</v>
          </cell>
        </row>
        <row r="134">
          <cell r="A134">
            <v>507</v>
          </cell>
          <cell r="E134">
            <v>162.08645629882813</v>
          </cell>
          <cell r="F134">
            <v>93.914985656738281</v>
          </cell>
          <cell r="G134">
            <v>97.202896118164063</v>
          </cell>
          <cell r="H134">
            <v>76.627349853515625</v>
          </cell>
          <cell r="J134">
            <v>9384.2510786095081</v>
          </cell>
          <cell r="K134">
            <v>24.000000275505911</v>
          </cell>
        </row>
        <row r="135">
          <cell r="A135">
            <v>508</v>
          </cell>
          <cell r="E135">
            <v>161.86540222167969</v>
          </cell>
          <cell r="F135">
            <v>93.730255126953125</v>
          </cell>
          <cell r="G135">
            <v>174.28213500976563</v>
          </cell>
          <cell r="H135">
            <v>76.639389038085938</v>
          </cell>
          <cell r="J135">
            <v>9249.4467849738103</v>
          </cell>
          <cell r="K135">
            <v>24.000000207689073</v>
          </cell>
        </row>
        <row r="136">
          <cell r="A136">
            <v>509</v>
          </cell>
          <cell r="E136">
            <v>161.79588317871094</v>
          </cell>
          <cell r="F136">
            <v>93.666610717773438</v>
          </cell>
          <cell r="G136">
            <v>251.16993713378906</v>
          </cell>
          <cell r="H136">
            <v>76.573570251464844</v>
          </cell>
          <cell r="J136">
            <v>9329.5901417480563</v>
          </cell>
          <cell r="K136">
            <v>24.000000245836045</v>
          </cell>
        </row>
        <row r="137">
          <cell r="A137">
            <v>510</v>
          </cell>
          <cell r="E137">
            <v>119.79352569580078</v>
          </cell>
          <cell r="F137">
            <v>93.423545837402344</v>
          </cell>
          <cell r="G137">
            <v>327.15594482421875</v>
          </cell>
          <cell r="H137">
            <v>76.562309265136719</v>
          </cell>
          <cell r="J137">
            <v>9307.149039781616</v>
          </cell>
          <cell r="K137">
            <v>24.00000024159749</v>
          </cell>
        </row>
        <row r="138">
          <cell r="A138">
            <v>511</v>
          </cell>
          <cell r="E138">
            <v>50.062385559082031</v>
          </cell>
          <cell r="F138">
            <v>93.516868591308594</v>
          </cell>
          <cell r="G138">
            <v>273.8154296875</v>
          </cell>
          <cell r="H138">
            <v>76.579360961914063</v>
          </cell>
          <cell r="J138">
            <v>9282.0236247043031</v>
          </cell>
          <cell r="K138">
            <v>24.000000203450519</v>
          </cell>
        </row>
        <row r="139">
          <cell r="A139">
            <v>512</v>
          </cell>
          <cell r="E139">
            <v>123.73204803466797</v>
          </cell>
          <cell r="F139">
            <v>93.419456481933594</v>
          </cell>
          <cell r="G139">
            <v>149.36698913574219</v>
          </cell>
          <cell r="H139">
            <v>76.372810363769531</v>
          </cell>
          <cell r="J139">
            <v>9152.7230391900557</v>
          </cell>
          <cell r="K139">
            <v>23.732780401441783</v>
          </cell>
        </row>
        <row r="140">
          <cell r="A140">
            <v>513</v>
          </cell>
          <cell r="E140">
            <v>235.69026184082031</v>
          </cell>
          <cell r="F140">
            <v>93.490203857421875</v>
          </cell>
          <cell r="G140">
            <v>82.246147155761719</v>
          </cell>
          <cell r="H140">
            <v>76.301856994628906</v>
          </cell>
          <cell r="J140">
            <v>9782.9283240245386</v>
          </cell>
          <cell r="K140">
            <v>23.981943244934083</v>
          </cell>
        </row>
        <row r="141">
          <cell r="A141">
            <v>514</v>
          </cell>
          <cell r="E141">
            <v>84.609451293945313</v>
          </cell>
          <cell r="F141">
            <v>93.369728088378906</v>
          </cell>
          <cell r="G141">
            <v>93.894493103027344</v>
          </cell>
          <cell r="H141">
            <v>76.171607971191406</v>
          </cell>
          <cell r="J141">
            <v>9912.7093745872517</v>
          </cell>
          <cell r="K141">
            <v>24.000000288221568</v>
          </cell>
        </row>
        <row r="142">
          <cell r="A142">
            <v>515</v>
          </cell>
          <cell r="E142">
            <v>84.352607727050781</v>
          </cell>
          <cell r="F142">
            <v>93.501480102539063</v>
          </cell>
          <cell r="G142">
            <v>137.85896301269531</v>
          </cell>
          <cell r="H142">
            <v>76.279792785644531</v>
          </cell>
          <cell r="J142">
            <v>9440.6637752436545</v>
          </cell>
          <cell r="K142">
            <v>24.000000199211968</v>
          </cell>
        </row>
        <row r="143">
          <cell r="A143">
            <v>516</v>
          </cell>
          <cell r="E143">
            <v>84.623283386230469</v>
          </cell>
          <cell r="F143">
            <v>93.372718811035156</v>
          </cell>
          <cell r="G143">
            <v>216.54499816894531</v>
          </cell>
          <cell r="H143">
            <v>76.297462463378906</v>
          </cell>
          <cell r="J143">
            <v>9526.1654027763361</v>
          </cell>
          <cell r="K143">
            <v>24.000000322129988</v>
          </cell>
        </row>
        <row r="144">
          <cell r="A144">
            <v>517</v>
          </cell>
          <cell r="E144">
            <v>84.614822387695313</v>
          </cell>
          <cell r="F144">
            <v>93.285903930664063</v>
          </cell>
          <cell r="G144">
            <v>231.81852722167969</v>
          </cell>
          <cell r="H144">
            <v>76.225288391113281</v>
          </cell>
          <cell r="J144">
            <v>9640.3761739559577</v>
          </cell>
          <cell r="K144">
            <v>24.000000258551701</v>
          </cell>
        </row>
        <row r="145">
          <cell r="A145">
            <v>518</v>
          </cell>
          <cell r="E145">
            <v>84.666252136230469</v>
          </cell>
          <cell r="F145">
            <v>93.600898742675781</v>
          </cell>
          <cell r="G145">
            <v>65.045654296875</v>
          </cell>
          <cell r="H145">
            <v>57.510341644287109</v>
          </cell>
          <cell r="J145">
            <v>9617.6961261562465</v>
          </cell>
          <cell r="K145">
            <v>23.451109046936036</v>
          </cell>
        </row>
        <row r="146">
          <cell r="A146">
            <v>519</v>
          </cell>
          <cell r="E146">
            <v>84.911796569824219</v>
          </cell>
          <cell r="F146">
            <v>93.243515014648438</v>
          </cell>
          <cell r="G146">
            <v>79.2008056640625</v>
          </cell>
          <cell r="H146">
            <v>66.582878112792969</v>
          </cell>
          <cell r="J146">
            <v>9261.4699208134371</v>
          </cell>
          <cell r="K146">
            <v>23.994167497422957</v>
          </cell>
        </row>
        <row r="147">
          <cell r="A147">
            <v>520</v>
          </cell>
          <cell r="E147">
            <v>84.713768005371094</v>
          </cell>
          <cell r="F147">
            <v>93.412269592285156</v>
          </cell>
          <cell r="G147">
            <v>86.995170593261719</v>
          </cell>
          <cell r="H147">
            <v>66.363037109375</v>
          </cell>
          <cell r="J147">
            <v>8985.8006355518974</v>
          </cell>
          <cell r="K147">
            <v>24.000000182257761</v>
          </cell>
        </row>
        <row r="148">
          <cell r="A148">
            <v>521</v>
          </cell>
          <cell r="E148">
            <v>84.839523315429688</v>
          </cell>
          <cell r="F148">
            <v>93.661155700683594</v>
          </cell>
          <cell r="G148">
            <v>34.546188354492188</v>
          </cell>
          <cell r="H148">
            <v>21.19520378112793</v>
          </cell>
          <cell r="J148">
            <v>9548.7930419945187</v>
          </cell>
          <cell r="K148">
            <v>24.000000233120385</v>
          </cell>
        </row>
        <row r="149">
          <cell r="A149">
            <v>522</v>
          </cell>
          <cell r="E149">
            <v>84.783012390136719</v>
          </cell>
          <cell r="F149">
            <v>46.61944580078125</v>
          </cell>
          <cell r="G149">
            <v>123.16871643066406</v>
          </cell>
          <cell r="H149">
            <v>21.187902450561523</v>
          </cell>
          <cell r="J149">
            <v>10869.138023488027</v>
          </cell>
          <cell r="K149">
            <v>24.000000305175782</v>
          </cell>
        </row>
        <row r="150">
          <cell r="A150">
            <v>523</v>
          </cell>
          <cell r="E150">
            <v>85.055953979492188</v>
          </cell>
          <cell r="F150">
            <v>46.504932403564453</v>
          </cell>
          <cell r="G150">
            <v>212.68963623046875</v>
          </cell>
          <cell r="H150">
            <v>21.387979507446289</v>
          </cell>
          <cell r="J150">
            <v>10784.147835064594</v>
          </cell>
          <cell r="K150">
            <v>24.000000199211968</v>
          </cell>
        </row>
        <row r="151">
          <cell r="A151">
            <v>524</v>
          </cell>
          <cell r="E151">
            <v>84.767074584960938</v>
          </cell>
          <cell r="F151">
            <v>122.83543395996094</v>
          </cell>
          <cell r="G151">
            <v>240.68336486816406</v>
          </cell>
          <cell r="H151">
            <v>21.246843338012695</v>
          </cell>
          <cell r="J151">
            <v>9829.7876809896989</v>
          </cell>
          <cell r="K151">
            <v>24.00000028398302</v>
          </cell>
        </row>
        <row r="152">
          <cell r="A152">
            <v>525</v>
          </cell>
          <cell r="E152">
            <v>85.071884155273438</v>
          </cell>
          <cell r="F152">
            <v>229.67955017089844</v>
          </cell>
          <cell r="G152">
            <v>157.96780395507813</v>
          </cell>
          <cell r="H152">
            <v>21.250175476074219</v>
          </cell>
          <cell r="J152">
            <v>9278.6928575427555</v>
          </cell>
          <cell r="K152">
            <v>24.000000237358943</v>
          </cell>
        </row>
        <row r="153">
          <cell r="A153">
            <v>526</v>
          </cell>
          <cell r="E153">
            <v>87.702507019042969</v>
          </cell>
          <cell r="F153">
            <v>280.77252197265625</v>
          </cell>
          <cell r="G153">
            <v>112.53663635253906</v>
          </cell>
          <cell r="H153">
            <v>60.750423431396484</v>
          </cell>
          <cell r="J153">
            <v>9811.0531453105432</v>
          </cell>
          <cell r="K153">
            <v>23.996109076605901</v>
          </cell>
        </row>
        <row r="154">
          <cell r="A154">
            <v>527</v>
          </cell>
          <cell r="E154">
            <v>87.709907531738281</v>
          </cell>
          <cell r="F154">
            <v>237.09027099609375</v>
          </cell>
          <cell r="G154">
            <v>112.62870025634766</v>
          </cell>
          <cell r="H154">
            <v>139.33015441894531</v>
          </cell>
          <cell r="J154">
            <v>9613.4538612607648</v>
          </cell>
          <cell r="K154">
            <v>24.00000024159749</v>
          </cell>
        </row>
        <row r="155">
          <cell r="A155">
            <v>528</v>
          </cell>
          <cell r="E155">
            <v>87.697494506835938</v>
          </cell>
          <cell r="F155">
            <v>188.59461975097656</v>
          </cell>
          <cell r="G155">
            <v>112.62408447265625</v>
          </cell>
          <cell r="H155">
            <v>218.30976867675781</v>
          </cell>
          <cell r="J155">
            <v>9557.233582540488</v>
          </cell>
          <cell r="K155">
            <v>24.000000258551701</v>
          </cell>
        </row>
        <row r="156">
          <cell r="A156">
            <v>529</v>
          </cell>
          <cell r="E156">
            <v>87.807929992675781</v>
          </cell>
          <cell r="F156">
            <v>188.27822875976563</v>
          </cell>
          <cell r="G156">
            <v>112.59758758544922</v>
          </cell>
          <cell r="H156">
            <v>297.99136352539063</v>
          </cell>
          <cell r="J156">
            <v>9666.7454605089588</v>
          </cell>
          <cell r="K156">
            <v>22.62724300808377</v>
          </cell>
        </row>
        <row r="157">
          <cell r="A157">
            <v>530</v>
          </cell>
          <cell r="E157">
            <v>87.550773620605469</v>
          </cell>
          <cell r="F157">
            <v>188.02214050292969</v>
          </cell>
          <cell r="G157">
            <v>112.53798675537109</v>
          </cell>
          <cell r="H157">
            <v>375.77752685546875</v>
          </cell>
          <cell r="J157">
            <v>9471.153247717275</v>
          </cell>
          <cell r="K157">
            <v>24.000000156826445</v>
          </cell>
        </row>
        <row r="158">
          <cell r="A158">
            <v>531</v>
          </cell>
          <cell r="E158">
            <v>87.339210510253906</v>
          </cell>
          <cell r="F158">
            <v>144.0692138671875</v>
          </cell>
          <cell r="G158">
            <v>112.47462463378906</v>
          </cell>
          <cell r="H158">
            <v>452.3460693359375</v>
          </cell>
          <cell r="J158">
            <v>9324.6413126107072</v>
          </cell>
          <cell r="K158">
            <v>24.000000190734863</v>
          </cell>
        </row>
        <row r="159">
          <cell r="A159">
            <v>601</v>
          </cell>
          <cell r="E159">
            <v>151.30302429199219</v>
          </cell>
          <cell r="F159">
            <v>94.693923950195313</v>
          </cell>
          <cell r="G159">
            <v>112.41399383544922</v>
          </cell>
          <cell r="H159">
            <v>415.05978393554688</v>
          </cell>
          <cell r="J159">
            <v>9485.2199880250137</v>
          </cell>
          <cell r="K159">
            <v>24.000000224643284</v>
          </cell>
        </row>
        <row r="160">
          <cell r="A160">
            <v>602</v>
          </cell>
          <cell r="E160">
            <v>261.56814575195313</v>
          </cell>
          <cell r="F160">
            <v>94.581146240234375</v>
          </cell>
          <cell r="G160">
            <v>112.24530792236328</v>
          </cell>
          <cell r="H160">
            <v>167.74319458007813</v>
          </cell>
          <cell r="J160">
            <v>9618.8407574569846</v>
          </cell>
          <cell r="K160">
            <v>23.995558514065213</v>
          </cell>
        </row>
        <row r="161">
          <cell r="A161">
            <v>603</v>
          </cell>
          <cell r="E161">
            <v>266.57162475585938</v>
          </cell>
          <cell r="F161">
            <v>196.78285217285156</v>
          </cell>
          <cell r="G161">
            <v>112.30342102050781</v>
          </cell>
          <cell r="H161">
            <v>134.34866333007813</v>
          </cell>
          <cell r="J161">
            <v>9475.2473603731978</v>
          </cell>
          <cell r="K161">
            <v>24.000000237358943</v>
          </cell>
        </row>
        <row r="162">
          <cell r="A162">
            <v>604</v>
          </cell>
          <cell r="E162">
            <v>66.562347412109375</v>
          </cell>
          <cell r="F162">
            <v>208.04859924316406</v>
          </cell>
          <cell r="G162">
            <v>112.290283203125</v>
          </cell>
          <cell r="H162">
            <v>101.60701751708984</v>
          </cell>
          <cell r="J162">
            <v>9178.8438461468213</v>
          </cell>
          <cell r="K162">
            <v>24.000000271267361</v>
          </cell>
        </row>
        <row r="163">
          <cell r="A163">
            <v>605</v>
          </cell>
          <cell r="E163">
            <v>66.519126892089844</v>
          </cell>
          <cell r="F163">
            <v>295.83334350585938</v>
          </cell>
          <cell r="G163">
            <v>127.49774169921875</v>
          </cell>
          <cell r="H163">
            <v>80.160758972167969</v>
          </cell>
          <cell r="J163">
            <v>9439.0508276245855</v>
          </cell>
          <cell r="K163">
            <v>24.000000169542101</v>
          </cell>
        </row>
        <row r="164">
          <cell r="A164">
            <v>606</v>
          </cell>
          <cell r="E164">
            <v>74.611167907714844</v>
          </cell>
          <cell r="F164">
            <v>95.13104248046875</v>
          </cell>
          <cell r="G164">
            <v>195.56289672851563</v>
          </cell>
          <cell r="H164">
            <v>80.367782592773438</v>
          </cell>
          <cell r="J164">
            <v>9332.9145020751857</v>
          </cell>
          <cell r="K164">
            <v>24.000000182257761</v>
          </cell>
        </row>
        <row r="165">
          <cell r="A165">
            <v>607</v>
          </cell>
          <cell r="E165">
            <v>182.43962097167969</v>
          </cell>
          <cell r="F165">
            <v>94.516937255859375</v>
          </cell>
          <cell r="G165">
            <v>78.1585693359375</v>
          </cell>
          <cell r="H165">
            <v>80.351760864257813</v>
          </cell>
          <cell r="J165">
            <v>9481.3609967931661</v>
          </cell>
          <cell r="K165">
            <v>24.000000203450519</v>
          </cell>
        </row>
        <row r="166">
          <cell r="A166">
            <v>608</v>
          </cell>
          <cell r="E166">
            <v>271.81134033203125</v>
          </cell>
          <cell r="F166">
            <v>94.60595703125</v>
          </cell>
          <cell r="G166">
            <v>78.102729797363281</v>
          </cell>
          <cell r="H166">
            <v>90.932929992675781</v>
          </cell>
          <cell r="J166">
            <v>9193.7393239543908</v>
          </cell>
          <cell r="K166">
            <v>24.000000233120385</v>
          </cell>
        </row>
        <row r="167">
          <cell r="A167">
            <v>609</v>
          </cell>
          <cell r="E167">
            <v>179.04571533203125</v>
          </cell>
          <cell r="F167">
            <v>94.541053771972656</v>
          </cell>
          <cell r="G167">
            <v>78.171524047851563</v>
          </cell>
          <cell r="H167">
            <v>165.30296325683594</v>
          </cell>
          <cell r="J167">
            <v>9019.060265038157</v>
          </cell>
          <cell r="K167">
            <v>23.996668010287813</v>
          </cell>
        </row>
        <row r="168">
          <cell r="A168">
            <v>610</v>
          </cell>
          <cell r="E168">
            <v>178.40118408203125</v>
          </cell>
          <cell r="F168">
            <v>94.154502868652344</v>
          </cell>
          <cell r="G168">
            <v>78.101150512695313</v>
          </cell>
          <cell r="H168">
            <v>242.23991394042969</v>
          </cell>
          <cell r="J168">
            <v>9347.0131977494566</v>
          </cell>
          <cell r="K168">
            <v>24.000000220404729</v>
          </cell>
        </row>
        <row r="169">
          <cell r="A169">
            <v>611</v>
          </cell>
          <cell r="E169">
            <v>88.607185363769531</v>
          </cell>
          <cell r="F169">
            <v>94.339668273925781</v>
          </cell>
          <cell r="G169">
            <v>78.111701965332031</v>
          </cell>
          <cell r="H169">
            <v>173.99739074707031</v>
          </cell>
          <cell r="J169">
            <v>9311.776148275887</v>
          </cell>
          <cell r="K169">
            <v>24.000000203450519</v>
          </cell>
        </row>
        <row r="170">
          <cell r="A170">
            <v>612</v>
          </cell>
          <cell r="E170">
            <v>88.854362487792969</v>
          </cell>
          <cell r="F170">
            <v>94.39208984375</v>
          </cell>
          <cell r="G170">
            <v>78.228096008300781</v>
          </cell>
          <cell r="H170">
            <v>250.035888671875</v>
          </cell>
          <cell r="J170">
            <v>9223.9943719247149</v>
          </cell>
          <cell r="K170">
            <v>24.000000271267361</v>
          </cell>
        </row>
        <row r="171">
          <cell r="A171">
            <v>613</v>
          </cell>
          <cell r="E171">
            <v>88.497116088867188</v>
          </cell>
          <cell r="F171">
            <v>122.81618499755859</v>
          </cell>
          <cell r="G171">
            <v>78.009025573730469</v>
          </cell>
          <cell r="H171">
            <v>270.65625</v>
          </cell>
          <cell r="J171">
            <v>9138.4093902036147</v>
          </cell>
          <cell r="K171">
            <v>24.000000152587887</v>
          </cell>
        </row>
        <row r="172">
          <cell r="A172">
            <v>614</v>
          </cell>
          <cell r="E172">
            <v>88.374908447265625</v>
          </cell>
          <cell r="F172">
            <v>231.67695617675781</v>
          </cell>
          <cell r="G172">
            <v>78.024734497070313</v>
          </cell>
          <cell r="H172">
            <v>238.12705993652344</v>
          </cell>
          <cell r="J172">
            <v>9442.823928794518</v>
          </cell>
          <cell r="K172">
            <v>24.000000186496312</v>
          </cell>
        </row>
        <row r="173">
          <cell r="A173">
            <v>615</v>
          </cell>
          <cell r="E173">
            <v>151.48539733886719</v>
          </cell>
          <cell r="F173">
            <v>286.67617797851563</v>
          </cell>
          <cell r="G173">
            <v>77.980072021484375</v>
          </cell>
          <cell r="H173">
            <v>77.696304321289063</v>
          </cell>
          <cell r="J173">
            <v>10595.846560952412</v>
          </cell>
          <cell r="K173">
            <v>24.000000190734863</v>
          </cell>
        </row>
        <row r="174">
          <cell r="A174">
            <v>616</v>
          </cell>
          <cell r="E174">
            <v>297.53326416015625</v>
          </cell>
          <cell r="F174">
            <v>203.42948913574219</v>
          </cell>
          <cell r="G174">
            <v>78.091476440429688</v>
          </cell>
          <cell r="H174">
            <v>88.734657287597656</v>
          </cell>
          <cell r="J174">
            <v>14017.832415060579</v>
          </cell>
          <cell r="K174">
            <v>23.993890177408854</v>
          </cell>
        </row>
        <row r="175">
          <cell r="A175">
            <v>617</v>
          </cell>
          <cell r="E175">
            <v>297.2957763671875</v>
          </cell>
          <cell r="F175">
            <v>158.26795959472656</v>
          </cell>
          <cell r="G175">
            <v>78.120307922363281</v>
          </cell>
          <cell r="H175">
            <v>199.13491821289063</v>
          </cell>
          <cell r="J175">
            <v>13291.70516065712</v>
          </cell>
          <cell r="K175">
            <v>24.000000161064996</v>
          </cell>
        </row>
        <row r="176">
          <cell r="A176">
            <v>618</v>
          </cell>
          <cell r="E176">
            <v>297.13531494140625</v>
          </cell>
          <cell r="F176">
            <v>110.16979217529297</v>
          </cell>
          <cell r="G176">
            <v>78.158676147460938</v>
          </cell>
          <cell r="H176">
            <v>301.84274291992188</v>
          </cell>
          <cell r="J176">
            <v>12486.447195776342</v>
          </cell>
          <cell r="K176">
            <v>24.000000190734863</v>
          </cell>
        </row>
        <row r="177">
          <cell r="A177">
            <v>619</v>
          </cell>
          <cell r="E177">
            <v>297.17257690429688</v>
          </cell>
          <cell r="F177">
            <v>110.28497314453125</v>
          </cell>
          <cell r="G177">
            <v>78.013374328613281</v>
          </cell>
          <cell r="H177">
            <v>392.27059936523438</v>
          </cell>
          <cell r="J177">
            <v>10991.657653234666</v>
          </cell>
          <cell r="K177">
            <v>24.000000203450519</v>
          </cell>
        </row>
        <row r="178">
          <cell r="A178">
            <v>620</v>
          </cell>
          <cell r="E178">
            <v>296.94534301757813</v>
          </cell>
          <cell r="F178">
            <v>110.35259246826172</v>
          </cell>
          <cell r="G178">
            <v>78.046684265136719</v>
          </cell>
          <cell r="H178">
            <v>181.55616760253906</v>
          </cell>
          <cell r="J178">
            <v>9767.8052797634882</v>
          </cell>
          <cell r="K178">
            <v>24.00000024159749</v>
          </cell>
        </row>
        <row r="179">
          <cell r="A179">
            <v>621</v>
          </cell>
          <cell r="E179">
            <v>296.68328857421875</v>
          </cell>
          <cell r="F179">
            <v>110.32239532470703</v>
          </cell>
          <cell r="G179">
            <v>78.057632446289063</v>
          </cell>
          <cell r="H179">
            <v>259.38589477539063</v>
          </cell>
          <cell r="J179">
            <v>9346.1371907519278</v>
          </cell>
          <cell r="K179">
            <v>24.000000228881834</v>
          </cell>
        </row>
        <row r="180">
          <cell r="A180">
            <v>622</v>
          </cell>
          <cell r="E180">
            <v>200.22785949707031</v>
          </cell>
          <cell r="F180">
            <v>86.903045654296875</v>
          </cell>
          <cell r="G180">
            <v>77.957359313964844</v>
          </cell>
          <cell r="H180">
            <v>342.56396484375</v>
          </cell>
          <cell r="J180">
            <v>10150.908772106759</v>
          </cell>
          <cell r="K180">
            <v>23.830553610059948</v>
          </cell>
        </row>
        <row r="181">
          <cell r="A181">
            <v>623</v>
          </cell>
          <cell r="E181">
            <v>107.88323974609375</v>
          </cell>
          <cell r="F181">
            <v>105.98461151123047</v>
          </cell>
          <cell r="G181">
            <v>78.004646301269531</v>
          </cell>
          <cell r="H181">
            <v>409.91140747070313</v>
          </cell>
          <cell r="J181">
            <v>9917.3489686599296</v>
          </cell>
          <cell r="K181">
            <v>23.996113315158418</v>
          </cell>
        </row>
        <row r="182">
          <cell r="A182">
            <v>624</v>
          </cell>
          <cell r="E182">
            <v>108.07832336425781</v>
          </cell>
          <cell r="F182">
            <v>225.83038330078125</v>
          </cell>
          <cell r="G182">
            <v>78.132942199707031</v>
          </cell>
          <cell r="H182">
            <v>375.9483642578125</v>
          </cell>
          <cell r="J182">
            <v>10418.48084886461</v>
          </cell>
          <cell r="K182">
            <v>24.000000237358943</v>
          </cell>
        </row>
        <row r="183">
          <cell r="A183">
            <v>625</v>
          </cell>
          <cell r="E183">
            <v>159.83261108398438</v>
          </cell>
          <cell r="F183">
            <v>289.72024536132813</v>
          </cell>
          <cell r="G183">
            <v>78.111846923828125</v>
          </cell>
          <cell r="H183">
            <v>375.74105834960938</v>
          </cell>
          <cell r="J183">
            <v>10348.001888441388</v>
          </cell>
          <cell r="K183">
            <v>24.000000199211968</v>
          </cell>
        </row>
        <row r="184">
          <cell r="A184">
            <v>626</v>
          </cell>
          <cell r="E184">
            <v>273.20388793945313</v>
          </cell>
          <cell r="F184">
            <v>289.93914794921875</v>
          </cell>
          <cell r="G184">
            <v>78.116584777832031</v>
          </cell>
          <cell r="H184">
            <v>375.75656127929688</v>
          </cell>
          <cell r="J184">
            <v>9953.6642081058308</v>
          </cell>
          <cell r="K184">
            <v>24.000000199211968</v>
          </cell>
        </row>
        <row r="185">
          <cell r="A185">
            <v>627</v>
          </cell>
          <cell r="E185">
            <v>87.972084045410156</v>
          </cell>
          <cell r="F185">
            <v>89.2847900390625</v>
          </cell>
          <cell r="G185">
            <v>78.128860473632813</v>
          </cell>
          <cell r="H185">
            <v>444.94546508789063</v>
          </cell>
          <cell r="J185">
            <v>9778.805647740448</v>
          </cell>
          <cell r="K185">
            <v>23.994722213745117</v>
          </cell>
        </row>
        <row r="186">
          <cell r="A186">
            <v>628</v>
          </cell>
          <cell r="E186">
            <v>88.638542175292969</v>
          </cell>
          <cell r="F186">
            <v>133.63272094726563</v>
          </cell>
          <cell r="G186">
            <v>78.139297485351563</v>
          </cell>
          <cell r="H186">
            <v>458.5919189453125</v>
          </cell>
          <cell r="J186">
            <v>9625.8167113260697</v>
          </cell>
          <cell r="K186">
            <v>24.000000203450519</v>
          </cell>
        </row>
        <row r="187">
          <cell r="A187">
            <v>629</v>
          </cell>
          <cell r="E187">
            <v>88.455619812011719</v>
          </cell>
          <cell r="F187">
            <v>244.05612182617188</v>
          </cell>
          <cell r="G187">
            <v>78.096855163574219</v>
          </cell>
          <cell r="H187">
            <v>424.46029663085938</v>
          </cell>
          <cell r="J187">
            <v>9722.2911516564236</v>
          </cell>
          <cell r="K187">
            <v>24.000000169542101</v>
          </cell>
        </row>
        <row r="188">
          <cell r="A188">
            <v>630</v>
          </cell>
          <cell r="E188">
            <v>161.49298095703125</v>
          </cell>
          <cell r="F188">
            <v>290.59115600585938</v>
          </cell>
          <cell r="G188">
            <v>78.004623413085938</v>
          </cell>
          <cell r="H188">
            <v>266.8311767578125</v>
          </cell>
          <cell r="J188">
            <v>10619.921445060281</v>
          </cell>
          <cell r="K188">
            <v>23.994999720255535</v>
          </cell>
        </row>
        <row r="189">
          <cell r="A189">
            <v>701</v>
          </cell>
          <cell r="E189">
            <v>167.65438842773438</v>
          </cell>
          <cell r="F189">
            <v>290.73281860351563</v>
          </cell>
          <cell r="G189">
            <v>156.42948913574219</v>
          </cell>
          <cell r="H189">
            <v>173.66529846191406</v>
          </cell>
          <cell r="J189">
            <v>9983.3966363867585</v>
          </cell>
          <cell r="K189">
            <v>24.000000178019203</v>
          </cell>
        </row>
        <row r="190">
          <cell r="A190">
            <v>702</v>
          </cell>
          <cell r="E190">
            <v>74.90753173828125</v>
          </cell>
          <cell r="F190">
            <v>242.85078430175781</v>
          </cell>
          <cell r="G190">
            <v>234.98092651367188</v>
          </cell>
          <cell r="H190">
            <v>173.51048278808594</v>
          </cell>
          <cell r="J190">
            <v>9527.4088972890931</v>
          </cell>
          <cell r="K190">
            <v>24.000000220404729</v>
          </cell>
        </row>
        <row r="191">
          <cell r="A191">
            <v>703</v>
          </cell>
          <cell r="E191">
            <v>74.897010803222656</v>
          </cell>
          <cell r="F191">
            <v>49.900646209716797</v>
          </cell>
          <cell r="G191">
            <v>312.60302734375</v>
          </cell>
          <cell r="H191">
            <v>173.48793029785156</v>
          </cell>
          <cell r="J191">
            <v>10199.802346957335</v>
          </cell>
          <cell r="K191">
            <v>24.000000199211968</v>
          </cell>
        </row>
        <row r="192">
          <cell r="A192">
            <v>704</v>
          </cell>
          <cell r="E192">
            <v>74.912086486816406</v>
          </cell>
          <cell r="F192">
            <v>163.25627136230469</v>
          </cell>
          <cell r="G192">
            <v>312.55096435546875</v>
          </cell>
          <cell r="H192">
            <v>173.25343322753906</v>
          </cell>
          <cell r="J192">
            <v>9952.5861395682405</v>
          </cell>
          <cell r="K192">
            <v>24.000000237358943</v>
          </cell>
        </row>
        <row r="193">
          <cell r="A193">
            <v>705</v>
          </cell>
          <cell r="E193">
            <v>74.715118408203125</v>
          </cell>
          <cell r="F193">
            <v>283.51654052734375</v>
          </cell>
          <cell r="G193">
            <v>262.61764526367188</v>
          </cell>
          <cell r="H193">
            <v>173.33839416503906</v>
          </cell>
          <cell r="J193">
            <v>10457.005568252289</v>
          </cell>
          <cell r="K193">
            <v>24.000000152587887</v>
          </cell>
        </row>
        <row r="194">
          <cell r="A194">
            <v>706</v>
          </cell>
          <cell r="E194">
            <v>190.99539184570313</v>
          </cell>
          <cell r="F194">
            <v>292.46359252929688</v>
          </cell>
          <cell r="G194">
            <v>230.35899353027344</v>
          </cell>
          <cell r="H194">
            <v>173.23193359375</v>
          </cell>
          <cell r="J194">
            <v>11142.346292626389</v>
          </cell>
          <cell r="K194">
            <v>23.980833808051212</v>
          </cell>
        </row>
        <row r="195">
          <cell r="A195">
            <v>707</v>
          </cell>
          <cell r="E195">
            <v>285.99417114257813</v>
          </cell>
          <cell r="F195">
            <v>244.53810119628906</v>
          </cell>
          <cell r="G195">
            <v>183.77035522460938</v>
          </cell>
          <cell r="H195">
            <v>173.12406921386719</v>
          </cell>
          <cell r="J195">
            <v>11076.498006911304</v>
          </cell>
          <cell r="K195">
            <v>23.99499969906277</v>
          </cell>
        </row>
        <row r="196">
          <cell r="A196">
            <v>708</v>
          </cell>
          <cell r="E196">
            <v>285.99331665039063</v>
          </cell>
          <cell r="F196">
            <v>174.41287231445313</v>
          </cell>
          <cell r="G196">
            <v>249.36454772949219</v>
          </cell>
          <cell r="H196">
            <v>173.12236022949219</v>
          </cell>
          <cell r="J196">
            <v>9932.0302802292226</v>
          </cell>
          <cell r="K196">
            <v>24.00000026702881</v>
          </cell>
        </row>
        <row r="197">
          <cell r="A197">
            <v>709</v>
          </cell>
          <cell r="E197">
            <v>84.001472473144531</v>
          </cell>
          <cell r="F197">
            <v>284.67193603515625</v>
          </cell>
          <cell r="G197">
            <v>249.78125</v>
          </cell>
          <cell r="H197">
            <v>114.18634796142578</v>
          </cell>
          <cell r="J197">
            <v>10176.241370167736</v>
          </cell>
          <cell r="K197">
            <v>24.000000245836045</v>
          </cell>
        </row>
        <row r="198">
          <cell r="A198">
            <v>710</v>
          </cell>
          <cell r="E198">
            <v>83.992774963378906</v>
          </cell>
          <cell r="F198">
            <v>83.123283386230469</v>
          </cell>
          <cell r="G198">
            <v>249.81390380859375</v>
          </cell>
          <cell r="H198">
            <v>200.52955627441406</v>
          </cell>
          <cell r="J198">
            <v>10460.695679932405</v>
          </cell>
          <cell r="K198">
            <v>24.000000237358943</v>
          </cell>
        </row>
        <row r="199">
          <cell r="A199">
            <v>711</v>
          </cell>
          <cell r="E199">
            <v>83.550216674804688</v>
          </cell>
          <cell r="F199">
            <v>83.064399719238281</v>
          </cell>
          <cell r="G199">
            <v>249.01132202148438</v>
          </cell>
          <cell r="H199">
            <v>285.80352783203125</v>
          </cell>
          <cell r="J199">
            <v>10349.529651310771</v>
          </cell>
          <cell r="K199">
            <v>24.000000186496312</v>
          </cell>
        </row>
        <row r="200">
          <cell r="A200">
            <v>712</v>
          </cell>
          <cell r="E200">
            <v>100.44373321533203</v>
          </cell>
          <cell r="F200">
            <v>82.425270080566406</v>
          </cell>
          <cell r="G200">
            <v>214.99180603027344</v>
          </cell>
          <cell r="H200">
            <v>347.45037841796875</v>
          </cell>
          <cell r="J200">
            <v>13034.043562077139</v>
          </cell>
          <cell r="K200">
            <v>24.000000182257761</v>
          </cell>
        </row>
        <row r="201">
          <cell r="A201">
            <v>713</v>
          </cell>
          <cell r="E201">
            <v>246.78436279296875</v>
          </cell>
          <cell r="F201">
            <v>82.483299255371094</v>
          </cell>
          <cell r="G201">
            <v>110.61604309082031</v>
          </cell>
          <cell r="H201">
            <v>347.46249389648438</v>
          </cell>
          <cell r="J201">
            <v>12704.397565556665</v>
          </cell>
          <cell r="K201">
            <v>24.000000220404729</v>
          </cell>
        </row>
        <row r="202">
          <cell r="A202">
            <v>714</v>
          </cell>
          <cell r="E202">
            <v>201.92453002929688</v>
          </cell>
          <cell r="F202">
            <v>182.23883056640625</v>
          </cell>
          <cell r="G202">
            <v>110.46308898925781</v>
          </cell>
          <cell r="H202">
            <v>346.97421264648438</v>
          </cell>
          <cell r="J202">
            <v>13326.290146927262</v>
          </cell>
          <cell r="K202">
            <v>23.994444914923772</v>
          </cell>
        </row>
        <row r="203">
          <cell r="A203">
            <v>715</v>
          </cell>
          <cell r="E203">
            <v>119.56609344482422</v>
          </cell>
          <cell r="F203">
            <v>270.37539672851563</v>
          </cell>
          <cell r="G203">
            <v>110.36409759521484</v>
          </cell>
          <cell r="H203">
            <v>248.64622497558594</v>
          </cell>
          <cell r="J203">
            <v>13187.925557729328</v>
          </cell>
          <cell r="K203">
            <v>24.000000245836045</v>
          </cell>
        </row>
        <row r="204">
          <cell r="A204">
            <v>716</v>
          </cell>
          <cell r="E204">
            <v>70.995185852050781</v>
          </cell>
          <cell r="F204">
            <v>81.827674865722656</v>
          </cell>
          <cell r="G204">
            <v>110.35778045654297</v>
          </cell>
          <cell r="H204">
            <v>344.17803955078125</v>
          </cell>
          <cell r="J204">
            <v>11600.95384194347</v>
          </cell>
          <cell r="K204">
            <v>24.000000224643284</v>
          </cell>
        </row>
        <row r="205">
          <cell r="A205">
            <v>717</v>
          </cell>
          <cell r="E205">
            <v>70.807098388671875</v>
          </cell>
          <cell r="F205">
            <v>81.622840881347656</v>
          </cell>
          <cell r="G205">
            <v>110.33390808105469</v>
          </cell>
          <cell r="H205">
            <v>259.72503662109375</v>
          </cell>
          <cell r="J205">
            <v>9512.4213055035907</v>
          </cell>
          <cell r="K205">
            <v>24.000000173780656</v>
          </cell>
        </row>
        <row r="206">
          <cell r="A206">
            <v>718</v>
          </cell>
          <cell r="E206">
            <v>71.093978881835938</v>
          </cell>
          <cell r="F206">
            <v>81.462295532226563</v>
          </cell>
          <cell r="G206">
            <v>110.27655029296875</v>
          </cell>
          <cell r="H206">
            <v>336.51580810546875</v>
          </cell>
          <cell r="J206">
            <v>9344.0372122714944</v>
          </cell>
          <cell r="K206">
            <v>24.000000250074599</v>
          </cell>
        </row>
        <row r="207">
          <cell r="A207">
            <v>719</v>
          </cell>
          <cell r="E207">
            <v>71.149703979492188</v>
          </cell>
          <cell r="F207">
            <v>81.400650024414063</v>
          </cell>
          <cell r="G207">
            <v>110.24208068847656</v>
          </cell>
          <cell r="H207">
            <v>378.41729736328125</v>
          </cell>
          <cell r="J207">
            <v>9244.2390717629896</v>
          </cell>
          <cell r="K207">
            <v>24.000000279744466</v>
          </cell>
        </row>
        <row r="208">
          <cell r="A208">
            <v>720</v>
          </cell>
          <cell r="E208">
            <v>94.888313293457031</v>
          </cell>
          <cell r="F208">
            <v>81.403221130371094</v>
          </cell>
          <cell r="G208">
            <v>110.16032409667969</v>
          </cell>
          <cell r="H208">
            <v>404.93450927734375</v>
          </cell>
          <cell r="J208">
            <v>9419.3889103036599</v>
          </cell>
          <cell r="K208">
            <v>24.000000207689073</v>
          </cell>
        </row>
        <row r="209">
          <cell r="A209">
            <v>721</v>
          </cell>
          <cell r="E209">
            <v>201.41075134277344</v>
          </cell>
          <cell r="F209">
            <v>81.3883056640625</v>
          </cell>
          <cell r="G209">
            <v>110.3642578125</v>
          </cell>
          <cell r="H209">
            <v>260.4173583984375</v>
          </cell>
          <cell r="J209">
            <v>9461.9317574873821</v>
          </cell>
          <cell r="K209">
            <v>23.995554377237955</v>
          </cell>
        </row>
        <row r="210">
          <cell r="A210">
            <v>722</v>
          </cell>
          <cell r="E210">
            <v>88.158714294433594</v>
          </cell>
          <cell r="F210">
            <v>103.62779998779297</v>
          </cell>
          <cell r="G210">
            <v>110.23370361328125</v>
          </cell>
          <cell r="H210">
            <v>179.43850708007813</v>
          </cell>
          <cell r="J210">
            <v>9597.3378137634008</v>
          </cell>
          <cell r="K210">
            <v>24.000000216166178</v>
          </cell>
        </row>
        <row r="211">
          <cell r="A211">
            <v>723</v>
          </cell>
          <cell r="E211">
            <v>88.204933166503906</v>
          </cell>
          <cell r="F211">
            <v>214.27183532714844</v>
          </cell>
          <cell r="G211">
            <v>110.21018218994141</v>
          </cell>
          <cell r="H211">
            <v>76.95855712890625</v>
          </cell>
          <cell r="J211">
            <v>9713.7746183959007</v>
          </cell>
          <cell r="K211">
            <v>24.000000173780656</v>
          </cell>
        </row>
        <row r="212">
          <cell r="A212">
            <v>724</v>
          </cell>
          <cell r="E212">
            <v>87.946495056152344</v>
          </cell>
          <cell r="F212">
            <v>235.21534729003906</v>
          </cell>
          <cell r="G212">
            <v>155.74258422851563</v>
          </cell>
          <cell r="H212">
            <v>76.815330505371094</v>
          </cell>
          <cell r="J212">
            <v>11247.568596916743</v>
          </cell>
          <cell r="K212">
            <v>24.000000288221568</v>
          </cell>
        </row>
        <row r="213">
          <cell r="A213">
            <v>725</v>
          </cell>
          <cell r="E213">
            <v>87.967338562011719</v>
          </cell>
          <cell r="F213">
            <v>235.20094299316406</v>
          </cell>
          <cell r="G213">
            <v>255.55191040039063</v>
          </cell>
          <cell r="H213">
            <v>76.88812255859375</v>
          </cell>
          <cell r="J213">
            <v>12015.241333188877</v>
          </cell>
          <cell r="K213">
            <v>24.00000019497341</v>
          </cell>
        </row>
        <row r="214">
          <cell r="A214">
            <v>726</v>
          </cell>
          <cell r="E214">
            <v>87.499336242675781</v>
          </cell>
          <cell r="F214">
            <v>185.88166809082031</v>
          </cell>
          <cell r="G214">
            <v>355.84689331054688</v>
          </cell>
          <cell r="H214">
            <v>76.809410095214844</v>
          </cell>
          <cell r="J214">
            <v>12354.770813808118</v>
          </cell>
          <cell r="K214">
            <v>24.000000178019203</v>
          </cell>
        </row>
        <row r="215">
          <cell r="A215">
            <v>727</v>
          </cell>
          <cell r="E215">
            <v>87.258529663085938</v>
          </cell>
          <cell r="F215">
            <v>92.705329895019531</v>
          </cell>
          <cell r="G215">
            <v>464.71636962890625</v>
          </cell>
          <cell r="H215">
            <v>76.80352783203125</v>
          </cell>
          <cell r="J215">
            <v>13229.677264752423</v>
          </cell>
          <cell r="K215">
            <v>24.000000211927627</v>
          </cell>
        </row>
        <row r="216">
          <cell r="A216">
            <v>728</v>
          </cell>
          <cell r="E216">
            <v>87.500564575195313</v>
          </cell>
          <cell r="F216">
            <v>92.908432006835938</v>
          </cell>
          <cell r="G216">
            <v>468.78189086914063</v>
          </cell>
          <cell r="H216">
            <v>76.778053283691406</v>
          </cell>
          <cell r="J216">
            <v>11905.088407026411</v>
          </cell>
          <cell r="K216">
            <v>23.993886023627386</v>
          </cell>
        </row>
        <row r="217">
          <cell r="A217">
            <v>729</v>
          </cell>
          <cell r="E217">
            <v>114.88924407958984</v>
          </cell>
          <cell r="F217">
            <v>92.694221496582031</v>
          </cell>
          <cell r="G217">
            <v>491.57379150390625</v>
          </cell>
          <cell r="H217">
            <v>76.785255432128906</v>
          </cell>
          <cell r="J217">
            <v>9335.2410101190708</v>
          </cell>
          <cell r="K217">
            <v>24.000000216166178</v>
          </cell>
        </row>
        <row r="218">
          <cell r="A218">
            <v>730</v>
          </cell>
          <cell r="E218">
            <v>220.5867919921875</v>
          </cell>
          <cell r="F218">
            <v>93.291648864746094</v>
          </cell>
          <cell r="G218">
            <v>457.33673095703125</v>
          </cell>
          <cell r="H218">
            <v>76.821258544921875</v>
          </cell>
          <cell r="J218">
            <v>9284.4948249405243</v>
          </cell>
          <cell r="K218">
            <v>24.000000203450519</v>
          </cell>
        </row>
        <row r="219">
          <cell r="A219">
            <v>731</v>
          </cell>
          <cell r="E219">
            <v>262.90380859375</v>
          </cell>
          <cell r="F219">
            <v>151.88450622558594</v>
          </cell>
          <cell r="G219">
            <v>280.11611938476563</v>
          </cell>
          <cell r="H219">
            <v>76.732093811035156</v>
          </cell>
          <cell r="J219">
            <v>8844.8019167607872</v>
          </cell>
          <cell r="K219">
            <v>23.546667747497558</v>
          </cell>
        </row>
        <row r="220">
          <cell r="A220">
            <v>801</v>
          </cell>
          <cell r="E220">
            <v>263.26943969726563</v>
          </cell>
          <cell r="F220">
            <v>260.491455078125</v>
          </cell>
          <cell r="G220">
            <v>175.86422729492188</v>
          </cell>
          <cell r="H220">
            <v>76.61517333984375</v>
          </cell>
          <cell r="J220">
            <v>9530.5364773543424</v>
          </cell>
          <cell r="K220">
            <v>24.000000250074599</v>
          </cell>
        </row>
        <row r="221">
          <cell r="A221">
            <v>802</v>
          </cell>
          <cell r="E221">
            <v>167.61703491210938</v>
          </cell>
          <cell r="F221">
            <v>289.3209228515625</v>
          </cell>
          <cell r="G221">
            <v>175.98883056640625</v>
          </cell>
          <cell r="H221">
            <v>134.8331298828125</v>
          </cell>
          <cell r="J221">
            <v>9786.5838450402807</v>
          </cell>
          <cell r="K221">
            <v>24.000000169542101</v>
          </cell>
        </row>
        <row r="222">
          <cell r="A222">
            <v>803</v>
          </cell>
          <cell r="E222">
            <v>81.929756164550781</v>
          </cell>
          <cell r="F222">
            <v>289.48974609375</v>
          </cell>
          <cell r="G222">
            <v>175.63302612304688</v>
          </cell>
          <cell r="H222">
            <v>232.49461364746094</v>
          </cell>
          <cell r="J222">
            <v>11911.848829810828</v>
          </cell>
          <cell r="K222">
            <v>24.000000220404729</v>
          </cell>
        </row>
        <row r="223">
          <cell r="A223">
            <v>804</v>
          </cell>
          <cell r="E223">
            <v>81.922515869140625</v>
          </cell>
          <cell r="F223">
            <v>141.17364501953125</v>
          </cell>
          <cell r="G223">
            <v>176.19384765625</v>
          </cell>
          <cell r="H223">
            <v>182.49069213867188</v>
          </cell>
          <cell r="J223">
            <v>11573.308635236788</v>
          </cell>
          <cell r="K223">
            <v>23.995276891920302</v>
          </cell>
        </row>
        <row r="224">
          <cell r="A224">
            <v>805</v>
          </cell>
          <cell r="E224">
            <v>82.429306030273438</v>
          </cell>
          <cell r="F224">
            <v>91.700363159179688</v>
          </cell>
          <cell r="G224">
            <v>175.52732849121094</v>
          </cell>
          <cell r="H224">
            <v>265.88449096679688</v>
          </cell>
          <cell r="J224">
            <v>10171.757532787409</v>
          </cell>
          <cell r="K224">
            <v>24.000000148349336</v>
          </cell>
        </row>
        <row r="225">
          <cell r="A225">
            <v>806</v>
          </cell>
          <cell r="E225">
            <v>152.92117309570313</v>
          </cell>
          <cell r="F225">
            <v>91.607795715332031</v>
          </cell>
          <cell r="G225">
            <v>70.957633972167969</v>
          </cell>
          <cell r="H225">
            <v>150.03767395019531</v>
          </cell>
          <cell r="J225">
            <v>9841.9744701712334</v>
          </cell>
          <cell r="K225">
            <v>24.00000019497341</v>
          </cell>
        </row>
        <row r="226">
          <cell r="A226">
            <v>807</v>
          </cell>
          <cell r="E226">
            <v>259.97720336914063</v>
          </cell>
          <cell r="F226">
            <v>91.85760498046875</v>
          </cell>
          <cell r="G226">
            <v>70.972152709960938</v>
          </cell>
          <cell r="H226">
            <v>150.42449951171875</v>
          </cell>
          <cell r="J226">
            <v>9364.6184095189492</v>
          </cell>
          <cell r="K226">
            <v>24.000000169542101</v>
          </cell>
        </row>
        <row r="227">
          <cell r="A227">
            <v>808</v>
          </cell>
          <cell r="E227">
            <v>287.98089599609375</v>
          </cell>
          <cell r="F227">
            <v>178.43382263183594</v>
          </cell>
          <cell r="G227">
            <v>70.707977294921875</v>
          </cell>
          <cell r="H227">
            <v>117.67169952392578</v>
          </cell>
          <cell r="J227">
            <v>10003.851546234924</v>
          </cell>
          <cell r="K227">
            <v>24.000000228881834</v>
          </cell>
        </row>
        <row r="228">
          <cell r="A228">
            <v>809</v>
          </cell>
          <cell r="E228">
            <v>289.22915649414063</v>
          </cell>
          <cell r="F228">
            <v>294.77749633789063</v>
          </cell>
          <cell r="G228">
            <v>96.936477661132813</v>
          </cell>
          <cell r="H228">
            <v>66.922370910644531</v>
          </cell>
          <cell r="J228">
            <v>13160.031920705662</v>
          </cell>
          <cell r="K228">
            <v>24.000000228881834</v>
          </cell>
        </row>
        <row r="229">
          <cell r="A229">
            <v>810</v>
          </cell>
          <cell r="E229">
            <v>289.33181762695313</v>
          </cell>
          <cell r="F229">
            <v>132.20477294921875</v>
          </cell>
          <cell r="G229">
            <v>208.0260009765625</v>
          </cell>
          <cell r="H229">
            <v>66.635978698730469</v>
          </cell>
          <cell r="J229">
            <v>13415.204983766258</v>
          </cell>
          <cell r="K229">
            <v>24.000000237358943</v>
          </cell>
        </row>
        <row r="230">
          <cell r="A230">
            <v>811</v>
          </cell>
          <cell r="E230">
            <v>287.4635009765625</v>
          </cell>
          <cell r="F230">
            <v>83.225486755371094</v>
          </cell>
          <cell r="G230">
            <v>308.6461181640625</v>
          </cell>
          <cell r="H230">
            <v>66.646980285644531</v>
          </cell>
          <cell r="J230">
            <v>12286.617402969787</v>
          </cell>
          <cell r="K230">
            <v>23.994444931877986</v>
          </cell>
        </row>
        <row r="231">
          <cell r="A231">
            <v>812</v>
          </cell>
          <cell r="E231">
            <v>167.48019409179688</v>
          </cell>
          <cell r="F231">
            <v>83.33563232421875</v>
          </cell>
          <cell r="G231">
            <v>261.73306274414063</v>
          </cell>
          <cell r="H231">
            <v>66.604843139648438</v>
          </cell>
          <cell r="J231">
            <v>11792.513955078613</v>
          </cell>
          <cell r="K231">
            <v>24.000000199211968</v>
          </cell>
        </row>
        <row r="232">
          <cell r="A232">
            <v>813</v>
          </cell>
          <cell r="E232">
            <v>167.42149353027344</v>
          </cell>
          <cell r="F232">
            <v>83.505821228027344</v>
          </cell>
          <cell r="G232">
            <v>359.21517944335938</v>
          </cell>
          <cell r="H232">
            <v>66.605659484863281</v>
          </cell>
          <cell r="J232">
            <v>11992.934709216983</v>
          </cell>
          <cell r="K232">
            <v>24.000000173780656</v>
          </cell>
        </row>
        <row r="233">
          <cell r="A233">
            <v>814</v>
          </cell>
          <cell r="E233">
            <v>85.008369445800781</v>
          </cell>
          <cell r="F233">
            <v>83.54827880859375</v>
          </cell>
          <cell r="G233">
            <v>424.73098754882813</v>
          </cell>
          <cell r="H233">
            <v>66.657615661621094</v>
          </cell>
          <cell r="J233">
            <v>12031.62743559266</v>
          </cell>
          <cell r="K233">
            <v>24.000000131395126</v>
          </cell>
        </row>
        <row r="234">
          <cell r="A234">
            <v>815</v>
          </cell>
          <cell r="E234">
            <v>84.934104919433594</v>
          </cell>
          <cell r="F234">
            <v>83.469711303710938</v>
          </cell>
          <cell r="G234">
            <v>498.08651733398438</v>
          </cell>
          <cell r="H234">
            <v>66.606216430664063</v>
          </cell>
          <cell r="J234">
            <v>12574.327744063434</v>
          </cell>
          <cell r="K234">
            <v>24.000000207689073</v>
          </cell>
        </row>
        <row r="235">
          <cell r="A235">
            <v>816</v>
          </cell>
          <cell r="E235">
            <v>85.03912353515625</v>
          </cell>
          <cell r="F235">
            <v>83.356033325195313</v>
          </cell>
          <cell r="G235">
            <v>550.73272705078125</v>
          </cell>
          <cell r="H235">
            <v>66.607215881347656</v>
          </cell>
          <cell r="J235">
            <v>9692.8766262393165</v>
          </cell>
          <cell r="K235">
            <v>24.00000019497341</v>
          </cell>
        </row>
        <row r="236">
          <cell r="A236">
            <v>817</v>
          </cell>
          <cell r="E236">
            <v>192.89567565917969</v>
          </cell>
          <cell r="F236">
            <v>82.946975708007813</v>
          </cell>
          <cell r="G236">
            <v>482.22171020507813</v>
          </cell>
          <cell r="H236">
            <v>66.621711730957031</v>
          </cell>
          <cell r="J236">
            <v>9555.7871908017351</v>
          </cell>
          <cell r="K236">
            <v>24.000000258551701</v>
          </cell>
        </row>
        <row r="237">
          <cell r="A237">
            <v>818</v>
          </cell>
          <cell r="E237">
            <v>249.78239440917969</v>
          </cell>
          <cell r="F237">
            <v>142.57902526855469</v>
          </cell>
          <cell r="G237">
            <v>393.29498291015625</v>
          </cell>
          <cell r="H237">
            <v>66.723442077636719</v>
          </cell>
          <cell r="J237">
            <v>10159.748216998851</v>
          </cell>
          <cell r="K237">
            <v>23.648613768683539</v>
          </cell>
        </row>
        <row r="238">
          <cell r="A238">
            <v>819</v>
          </cell>
          <cell r="E238">
            <v>249.35038757324219</v>
          </cell>
          <cell r="F238">
            <v>259.87063598632813</v>
          </cell>
          <cell r="G238">
            <v>251.37017822265625</v>
          </cell>
          <cell r="H238">
            <v>66.766845703125</v>
          </cell>
          <cell r="J238">
            <v>10368.895313739231</v>
          </cell>
          <cell r="K238">
            <v>24.000000173780656</v>
          </cell>
        </row>
        <row r="239">
          <cell r="A239">
            <v>820</v>
          </cell>
          <cell r="E239">
            <v>110.10411834716797</v>
          </cell>
          <cell r="F239">
            <v>244.30766296386719</v>
          </cell>
          <cell r="G239">
            <v>103.99820709228516</v>
          </cell>
          <cell r="H239">
            <v>147.88438415527344</v>
          </cell>
          <cell r="J239">
            <v>12747.890765172215</v>
          </cell>
          <cell r="K239">
            <v>24.000000131395126</v>
          </cell>
        </row>
        <row r="240">
          <cell r="A240">
            <v>821</v>
          </cell>
          <cell r="E240">
            <v>61.222362518310547</v>
          </cell>
          <cell r="F240">
            <v>54.6295166015625</v>
          </cell>
          <cell r="G240">
            <v>103.99076080322266</v>
          </cell>
          <cell r="H240">
            <v>244.00674438476563</v>
          </cell>
          <cell r="J240">
            <v>12616.124166229241</v>
          </cell>
          <cell r="K240">
            <v>24.000000144110789</v>
          </cell>
        </row>
        <row r="241">
          <cell r="A241">
            <v>822</v>
          </cell>
          <cell r="E241">
            <v>61.381690979003906</v>
          </cell>
          <cell r="F241">
            <v>54.654781341552734</v>
          </cell>
          <cell r="G241">
            <v>103.93116760253906</v>
          </cell>
          <cell r="H241">
            <v>347.3414306640625</v>
          </cell>
          <cell r="J241">
            <v>12503.478707270984</v>
          </cell>
          <cell r="K241">
            <v>24.000000203450519</v>
          </cell>
        </row>
        <row r="242">
          <cell r="A242">
            <v>823</v>
          </cell>
          <cell r="E242">
            <v>61.466255187988281</v>
          </cell>
          <cell r="F242">
            <v>54.700569152832031</v>
          </cell>
          <cell r="G242">
            <v>103.82975769042969</v>
          </cell>
          <cell r="H242">
            <v>447.82684326171875</v>
          </cell>
          <cell r="J242">
            <v>12241.112193514859</v>
          </cell>
          <cell r="K242">
            <v>24.000000250074599</v>
          </cell>
        </row>
        <row r="243">
          <cell r="A243">
            <v>824</v>
          </cell>
          <cell r="E243">
            <v>60.837265014648438</v>
          </cell>
          <cell r="F243">
            <v>54.584705352783203</v>
          </cell>
          <cell r="G243">
            <v>103.93437957763672</v>
          </cell>
          <cell r="H243">
            <v>346.44525146484375</v>
          </cell>
          <cell r="J243">
            <v>11549.607594070159</v>
          </cell>
          <cell r="K243">
            <v>24.000000216166178</v>
          </cell>
        </row>
        <row r="244">
          <cell r="A244">
            <v>825</v>
          </cell>
          <cell r="E244">
            <v>154.15693664550781</v>
          </cell>
          <cell r="F244">
            <v>54.636859893798828</v>
          </cell>
          <cell r="G244">
            <v>103.90155029296875</v>
          </cell>
          <cell r="H244">
            <v>202.00341796875</v>
          </cell>
          <cell r="J244">
            <v>11085.077803343562</v>
          </cell>
          <cell r="K244">
            <v>23.994444630940755</v>
          </cell>
        </row>
        <row r="245">
          <cell r="A245">
            <v>826</v>
          </cell>
          <cell r="E245">
            <v>287.55429077148438</v>
          </cell>
          <cell r="F245">
            <v>54.699558258056641</v>
          </cell>
          <cell r="G245">
            <v>103.83245086669922</v>
          </cell>
          <cell r="H245">
            <v>76.127029418945313</v>
          </cell>
          <cell r="J245">
            <v>11534.599064596108</v>
          </cell>
          <cell r="K245">
            <v>24.000000190734863</v>
          </cell>
        </row>
        <row r="246">
          <cell r="A246">
            <v>827</v>
          </cell>
          <cell r="E246">
            <v>260.83346557617188</v>
          </cell>
          <cell r="F246">
            <v>82.612754821777344</v>
          </cell>
          <cell r="G246">
            <v>178.73289489746094</v>
          </cell>
          <cell r="H246">
            <v>76.215950012207031</v>
          </cell>
          <cell r="J246">
            <v>11658.862218127219</v>
          </cell>
          <cell r="K246">
            <v>24.000000271267361</v>
          </cell>
        </row>
        <row r="247">
          <cell r="A247">
            <v>828</v>
          </cell>
          <cell r="E247">
            <v>59.165912628173828</v>
          </cell>
          <cell r="F247">
            <v>83.224769592285156</v>
          </cell>
          <cell r="G247">
            <v>261.04788208007813</v>
          </cell>
          <cell r="H247">
            <v>75.939208984375</v>
          </cell>
          <cell r="J247">
            <v>10105.063253002951</v>
          </cell>
          <cell r="K247">
            <v>24.000000211927627</v>
          </cell>
        </row>
        <row r="248">
          <cell r="A248">
            <v>829</v>
          </cell>
          <cell r="E248">
            <v>83.077095031738281</v>
          </cell>
          <cell r="F248">
            <v>83.171318054199219</v>
          </cell>
          <cell r="G248">
            <v>319.02813720703125</v>
          </cell>
          <cell r="H248">
            <v>76.207344055175781</v>
          </cell>
          <cell r="J248">
            <v>9308.5091516491775</v>
          </cell>
          <cell r="K248">
            <v>24.000000228881834</v>
          </cell>
        </row>
        <row r="249">
          <cell r="A249">
            <v>830</v>
          </cell>
          <cell r="E249">
            <v>194.48210144042969</v>
          </cell>
          <cell r="F249">
            <v>83.142524719238281</v>
          </cell>
          <cell r="G249">
            <v>256.90621948242188</v>
          </cell>
          <cell r="H249">
            <v>76.017807006835938</v>
          </cell>
          <cell r="J249">
            <v>9775.0528398612059</v>
          </cell>
          <cell r="K249">
            <v>24.000000245836045</v>
          </cell>
        </row>
        <row r="250">
          <cell r="A250">
            <v>831</v>
          </cell>
          <cell r="E250">
            <v>289.140869140625</v>
          </cell>
          <cell r="F250">
            <v>98.912002563476563</v>
          </cell>
          <cell r="G250">
            <v>110.48293304443359</v>
          </cell>
          <cell r="H250">
            <v>75.989112854003906</v>
          </cell>
          <cell r="J250">
            <v>9355.7797313847623</v>
          </cell>
          <cell r="K250">
            <v>24.000000182257761</v>
          </cell>
        </row>
        <row r="251">
          <cell r="A251">
            <v>901</v>
          </cell>
          <cell r="E251">
            <v>97.966201782226563</v>
          </cell>
          <cell r="F251">
            <v>205.59429931640625</v>
          </cell>
          <cell r="G251">
            <v>76.379928588867188</v>
          </cell>
          <cell r="H251">
            <v>75.917221069335938</v>
          </cell>
          <cell r="J251">
            <v>9445.2166704646479</v>
          </cell>
          <cell r="K251">
            <v>23.994167679680718</v>
          </cell>
        </row>
        <row r="252">
          <cell r="A252">
            <v>902</v>
          </cell>
          <cell r="E252">
            <v>97.8304443359375</v>
          </cell>
          <cell r="F252">
            <v>68.595115661621094</v>
          </cell>
          <cell r="G252">
            <v>76.395256042480469</v>
          </cell>
          <cell r="H252">
            <v>75.95465087890625</v>
          </cell>
          <cell r="J252">
            <v>9601.9880295188414</v>
          </cell>
          <cell r="K252">
            <v>24.000000237358943</v>
          </cell>
        </row>
        <row r="253">
          <cell r="A253">
            <v>903</v>
          </cell>
          <cell r="E253">
            <v>77.188087463378906</v>
          </cell>
          <cell r="F253">
            <v>112.50244903564453</v>
          </cell>
          <cell r="G253">
            <v>42.809612274169922</v>
          </cell>
          <cell r="H253">
            <v>42.124408721923828</v>
          </cell>
          <cell r="J253">
            <v>9464.5883586170603</v>
          </cell>
          <cell r="K253">
            <v>24.000000161064996</v>
          </cell>
        </row>
        <row r="254">
          <cell r="A254">
            <v>904</v>
          </cell>
          <cell r="E254">
            <v>81.38189697265625</v>
          </cell>
          <cell r="F254">
            <v>194.80012512207031</v>
          </cell>
          <cell r="G254">
            <v>43.220348358154297</v>
          </cell>
          <cell r="H254">
            <v>54.572422027587891</v>
          </cell>
          <cell r="J254">
            <v>9419.6753762527023</v>
          </cell>
          <cell r="K254">
            <v>24.000000216166178</v>
          </cell>
        </row>
        <row r="255">
          <cell r="A255">
            <v>905</v>
          </cell>
          <cell r="E255">
            <v>81.317306518554688</v>
          </cell>
          <cell r="F255">
            <v>194.73117065429688</v>
          </cell>
          <cell r="G255">
            <v>133.80972290039063</v>
          </cell>
          <cell r="H255">
            <v>66.873916625976563</v>
          </cell>
          <cell r="J255">
            <v>12418.894080260126</v>
          </cell>
          <cell r="K255">
            <v>24.000000211927627</v>
          </cell>
        </row>
        <row r="256">
          <cell r="A256">
            <v>906</v>
          </cell>
          <cell r="E256">
            <v>81.149612426757813</v>
          </cell>
          <cell r="F256">
            <v>149.73805236816406</v>
          </cell>
          <cell r="G256">
            <v>237.08491516113281</v>
          </cell>
          <cell r="H256">
            <v>66.879714965820313</v>
          </cell>
          <cell r="J256">
            <v>12420.834568214992</v>
          </cell>
          <cell r="K256">
            <v>24.000000237358943</v>
          </cell>
        </row>
        <row r="257">
          <cell r="A257">
            <v>907</v>
          </cell>
          <cell r="E257">
            <v>81.184738159179688</v>
          </cell>
          <cell r="F257">
            <v>65.22003173828125</v>
          </cell>
          <cell r="G257">
            <v>194.16178894042969</v>
          </cell>
          <cell r="H257">
            <v>66.7022705078125</v>
          </cell>
          <cell r="J257">
            <v>12232.709262544726</v>
          </cell>
          <cell r="K257">
            <v>24.000000216166178</v>
          </cell>
        </row>
        <row r="258">
          <cell r="A258">
            <v>908</v>
          </cell>
          <cell r="E258">
            <v>81.101638793945313</v>
          </cell>
          <cell r="F258">
            <v>64.979965209960938</v>
          </cell>
          <cell r="G258">
            <v>107.53363800048828</v>
          </cell>
          <cell r="H258">
            <v>66.787322998046875</v>
          </cell>
          <cell r="J258">
            <v>11560.717656968196</v>
          </cell>
          <cell r="K258">
            <v>23.992776595221628</v>
          </cell>
        </row>
        <row r="259">
          <cell r="A259">
            <v>909</v>
          </cell>
          <cell r="E259">
            <v>81.366470336914063</v>
          </cell>
          <cell r="F259">
            <v>130.91682434082031</v>
          </cell>
          <cell r="G259">
            <v>122.10297393798828</v>
          </cell>
          <cell r="H259">
            <v>66.814971923828125</v>
          </cell>
          <cell r="J259">
            <v>11620.186794078279</v>
          </cell>
          <cell r="K259">
            <v>24.000000224643284</v>
          </cell>
        </row>
        <row r="260">
          <cell r="A260">
            <v>910</v>
          </cell>
          <cell r="E260">
            <v>143.44847106933594</v>
          </cell>
          <cell r="F260">
            <v>112.27999114990234</v>
          </cell>
          <cell r="G260">
            <v>91.899330139160156</v>
          </cell>
          <cell r="H260">
            <v>66.818649291992188</v>
          </cell>
          <cell r="J260">
            <v>11657.20092720398</v>
          </cell>
          <cell r="K260">
            <v>24.00000019497341</v>
          </cell>
        </row>
        <row r="261">
          <cell r="A261">
            <v>911</v>
          </cell>
          <cell r="E261">
            <v>270.0992431640625</v>
          </cell>
          <cell r="F261">
            <v>112.08587646484375</v>
          </cell>
          <cell r="G261">
            <v>91.852752685546875</v>
          </cell>
          <cell r="H261">
            <v>66.762580871582031</v>
          </cell>
          <cell r="J261">
            <v>11109.177264581998</v>
          </cell>
          <cell r="K261">
            <v>24.000000233120385</v>
          </cell>
        </row>
        <row r="262">
          <cell r="A262">
            <v>912</v>
          </cell>
          <cell r="E262">
            <v>41.611515045166016</v>
          </cell>
          <cell r="F262">
            <v>210.11654663085938</v>
          </cell>
          <cell r="G262">
            <v>91.870841979980469</v>
          </cell>
          <cell r="H262">
            <v>66.670799255371094</v>
          </cell>
          <cell r="J262">
            <v>10393.889433751823</v>
          </cell>
          <cell r="K262">
            <v>24.000000161064996</v>
          </cell>
        </row>
        <row r="263">
          <cell r="A263">
            <v>913</v>
          </cell>
          <cell r="E263">
            <v>157.12234497070313</v>
          </cell>
          <cell r="F263">
            <v>162.27568054199219</v>
          </cell>
          <cell r="G263">
            <v>92.08367919921875</v>
          </cell>
          <cell r="H263">
            <v>66.692764282226563</v>
          </cell>
          <cell r="J263">
            <v>10141.554429287746</v>
          </cell>
          <cell r="K263">
            <v>24.000000275505911</v>
          </cell>
        </row>
        <row r="264">
          <cell r="A264">
            <v>914</v>
          </cell>
          <cell r="E264">
            <v>77.010765075683594</v>
          </cell>
          <cell r="F264">
            <v>141.91734313964844</v>
          </cell>
          <cell r="G264">
            <v>91.795600891113281</v>
          </cell>
          <cell r="H264">
            <v>66.834465026855469</v>
          </cell>
          <cell r="J264">
            <v>10603.367640695367</v>
          </cell>
          <cell r="K264">
            <v>24.000000216166178</v>
          </cell>
        </row>
        <row r="265">
          <cell r="A265">
            <v>915</v>
          </cell>
          <cell r="E265">
            <v>47.580173492431641</v>
          </cell>
          <cell r="F265">
            <v>28.840343475341797</v>
          </cell>
          <cell r="G265">
            <v>91.480445861816406</v>
          </cell>
          <cell r="H265">
            <v>66.729415893554688</v>
          </cell>
          <cell r="J265">
            <v>9418.2612419474262</v>
          </cell>
          <cell r="K265">
            <v>23.992499389648437</v>
          </cell>
        </row>
        <row r="266">
          <cell r="A266">
            <v>916</v>
          </cell>
          <cell r="E266">
            <v>47.570365905761719</v>
          </cell>
          <cell r="F266">
            <v>91.125434875488281</v>
          </cell>
          <cell r="G266">
            <v>66.201065063476563</v>
          </cell>
          <cell r="H266">
            <v>66.574615478515625</v>
          </cell>
          <cell r="J266">
            <v>9656.2386887081339</v>
          </cell>
          <cell r="K266">
            <v>24.000000190734863</v>
          </cell>
        </row>
        <row r="267">
          <cell r="A267">
            <v>917</v>
          </cell>
          <cell r="E267">
            <v>74.969200134277344</v>
          </cell>
          <cell r="F267">
            <v>181.17619323730469</v>
          </cell>
          <cell r="G267">
            <v>66.192726135253906</v>
          </cell>
          <cell r="H267">
            <v>66.714271545410156</v>
          </cell>
          <cell r="J267">
            <v>10442.682688689223</v>
          </cell>
          <cell r="K267">
            <v>23.957225765652122</v>
          </cell>
        </row>
        <row r="268">
          <cell r="A268">
            <v>918</v>
          </cell>
          <cell r="E268">
            <v>58.164943695068359</v>
          </cell>
          <cell r="F268">
            <v>49.43829345703125</v>
          </cell>
          <cell r="G268">
            <v>66.132789611816406</v>
          </cell>
          <cell r="H268">
            <v>66.776123046875</v>
          </cell>
          <cell r="J268">
            <v>11916.335564283934</v>
          </cell>
          <cell r="K268">
            <v>24.000000152587887</v>
          </cell>
        </row>
        <row r="269">
          <cell r="A269">
            <v>919</v>
          </cell>
          <cell r="E269">
            <v>93.001983642578125</v>
          </cell>
          <cell r="F269">
            <v>153.25086975097656</v>
          </cell>
          <cell r="G269">
            <v>66.188140869140625</v>
          </cell>
          <cell r="H269">
            <v>66.723136901855469</v>
          </cell>
          <cell r="J269">
            <v>11806.883438411191</v>
          </cell>
          <cell r="K269">
            <v>24.00000024159749</v>
          </cell>
        </row>
        <row r="270">
          <cell r="A270">
            <v>920</v>
          </cell>
          <cell r="E270">
            <v>93.225975036621094</v>
          </cell>
          <cell r="F270">
            <v>265.74017333984375</v>
          </cell>
          <cell r="G270">
            <v>66.164726257324219</v>
          </cell>
          <cell r="H270">
            <v>66.743408203125</v>
          </cell>
          <cell r="J270">
            <v>9947.8007699671816</v>
          </cell>
          <cell r="K270">
            <v>24.000000173780656</v>
          </cell>
        </row>
        <row r="271">
          <cell r="A271">
            <v>921</v>
          </cell>
          <cell r="E271">
            <v>93.331520080566406</v>
          </cell>
          <cell r="F271">
            <v>94.419944763183594</v>
          </cell>
          <cell r="G271">
            <v>122.60530853271484</v>
          </cell>
          <cell r="H271">
            <v>66.72906494140625</v>
          </cell>
          <cell r="J271">
            <v>9475.2065842042994</v>
          </cell>
          <cell r="K271">
            <v>24.00000026702881</v>
          </cell>
        </row>
        <row r="272">
          <cell r="A272">
            <v>922</v>
          </cell>
          <cell r="E272">
            <v>92.956710815429688</v>
          </cell>
          <cell r="F272">
            <v>93.748863220214844</v>
          </cell>
          <cell r="G272">
            <v>175.78042602539063</v>
          </cell>
          <cell r="H272">
            <v>66.553581237792969</v>
          </cell>
          <cell r="J272">
            <v>10494.435384098577</v>
          </cell>
          <cell r="K272">
            <v>23.995835940043133</v>
          </cell>
        </row>
        <row r="273">
          <cell r="A273">
            <v>923</v>
          </cell>
          <cell r="E273">
            <v>92.828971862792969</v>
          </cell>
          <cell r="F273">
            <v>93.602867126464844</v>
          </cell>
          <cell r="G273">
            <v>188.58065795898438</v>
          </cell>
          <cell r="H273">
            <v>66.518142700195313</v>
          </cell>
          <cell r="J273">
            <v>9810.0790452996589</v>
          </cell>
          <cell r="K273">
            <v>24.000000237358943</v>
          </cell>
        </row>
        <row r="274">
          <cell r="A274">
            <v>924</v>
          </cell>
          <cell r="E274">
            <v>92.743988037109375</v>
          </cell>
          <cell r="F274">
            <v>93.603797912597656</v>
          </cell>
          <cell r="G274">
            <v>228.44784545898438</v>
          </cell>
          <cell r="H274">
            <v>66.597061157226563</v>
          </cell>
          <cell r="J274">
            <v>8987.180544322764</v>
          </cell>
          <cell r="K274">
            <v>24.000000178019203</v>
          </cell>
        </row>
        <row r="275">
          <cell r="A275">
            <v>925</v>
          </cell>
          <cell r="E275">
            <v>92.897476196289063</v>
          </cell>
          <cell r="F275">
            <v>93.599311828613281</v>
          </cell>
          <cell r="G275">
            <v>305.54718017578125</v>
          </cell>
          <cell r="H275">
            <v>66.582710266113281</v>
          </cell>
          <cell r="J275">
            <v>9480.8752865157894</v>
          </cell>
          <cell r="K275">
            <v>24.000000224643284</v>
          </cell>
        </row>
        <row r="276">
          <cell r="A276">
            <v>926</v>
          </cell>
          <cell r="E276">
            <v>110.08556365966797</v>
          </cell>
          <cell r="F276">
            <v>93.599273681640625</v>
          </cell>
          <cell r="G276">
            <v>225.86106872558594</v>
          </cell>
          <cell r="H276">
            <v>66.396064758300781</v>
          </cell>
          <cell r="J276">
            <v>9087.828855370979</v>
          </cell>
          <cell r="K276">
            <v>24.000000237358943</v>
          </cell>
        </row>
        <row r="277">
          <cell r="A277">
            <v>927</v>
          </cell>
          <cell r="E277">
            <v>215.12828063964844</v>
          </cell>
          <cell r="F277">
            <v>93.565605163574219</v>
          </cell>
          <cell r="G277">
            <v>158.02392578125</v>
          </cell>
          <cell r="H277">
            <v>66.446937561035156</v>
          </cell>
          <cell r="J277">
            <v>9313.1410487219164</v>
          </cell>
          <cell r="K277">
            <v>24.000000262790252</v>
          </cell>
        </row>
        <row r="278">
          <cell r="A278">
            <v>928</v>
          </cell>
          <cell r="E278">
            <v>296.27365112304688</v>
          </cell>
          <cell r="F278">
            <v>93.657966613769531</v>
          </cell>
          <cell r="G278">
            <v>106.48280334472656</v>
          </cell>
          <cell r="H278">
            <v>94.843574523925781</v>
          </cell>
          <cell r="J278">
            <v>10286.622936025553</v>
          </cell>
          <cell r="K278">
            <v>24.000000190734863</v>
          </cell>
        </row>
        <row r="279">
          <cell r="A279">
            <v>929</v>
          </cell>
          <cell r="E279">
            <v>200.37800598144531</v>
          </cell>
          <cell r="F279">
            <v>93.926368713378906</v>
          </cell>
          <cell r="G279">
            <v>106.73949432373047</v>
          </cell>
          <cell r="H279">
            <v>189.16412353515625</v>
          </cell>
          <cell r="J279">
            <v>11612.968443412607</v>
          </cell>
          <cell r="K279">
            <v>23.995554063585068</v>
          </cell>
        </row>
        <row r="280">
          <cell r="A280">
            <v>930</v>
          </cell>
          <cell r="E280">
            <v>133.57473754882813</v>
          </cell>
          <cell r="F280">
            <v>93.796379089355469</v>
          </cell>
          <cell r="G280">
            <v>106.69291687011719</v>
          </cell>
          <cell r="H280">
            <v>148.17247009277344</v>
          </cell>
          <cell r="J280">
            <v>12586.286046275904</v>
          </cell>
          <cell r="K280">
            <v>24.000000203450519</v>
          </cell>
        </row>
        <row r="281">
          <cell r="A281">
            <v>1001</v>
          </cell>
          <cell r="E281"/>
          <cell r="F281"/>
          <cell r="G281"/>
          <cell r="H281"/>
          <cell r="J281"/>
          <cell r="K281"/>
        </row>
        <row r="282">
          <cell r="A282">
            <v>1002</v>
          </cell>
          <cell r="E282"/>
          <cell r="F282"/>
          <cell r="G282"/>
          <cell r="H282"/>
          <cell r="J282"/>
          <cell r="K282"/>
        </row>
        <row r="283">
          <cell r="A283">
            <v>1003</v>
          </cell>
          <cell r="E283"/>
          <cell r="F283"/>
          <cell r="G283"/>
          <cell r="H283"/>
          <cell r="J283"/>
          <cell r="K283"/>
        </row>
        <row r="284">
          <cell r="A284">
            <v>1004</v>
          </cell>
          <cell r="E284"/>
          <cell r="F284"/>
          <cell r="G284"/>
          <cell r="H284"/>
          <cell r="J284"/>
          <cell r="K284"/>
        </row>
        <row r="285">
          <cell r="A285">
            <v>1005</v>
          </cell>
          <cell r="E285"/>
          <cell r="F285"/>
          <cell r="G285"/>
          <cell r="H285"/>
          <cell r="J285"/>
          <cell r="K285"/>
        </row>
        <row r="286">
          <cell r="A286">
            <v>1006</v>
          </cell>
          <cell r="E286"/>
          <cell r="F286"/>
          <cell r="G286"/>
          <cell r="H286"/>
          <cell r="J286"/>
          <cell r="K286"/>
        </row>
        <row r="287">
          <cell r="A287">
            <v>1007</v>
          </cell>
          <cell r="E287"/>
          <cell r="F287"/>
          <cell r="G287"/>
          <cell r="H287"/>
          <cell r="J287"/>
          <cell r="K287"/>
        </row>
        <row r="288">
          <cell r="A288">
            <v>1008</v>
          </cell>
          <cell r="E288"/>
          <cell r="F288"/>
          <cell r="G288"/>
          <cell r="H288"/>
          <cell r="J288"/>
          <cell r="K288"/>
        </row>
        <row r="289">
          <cell r="A289">
            <v>1009</v>
          </cell>
          <cell r="E289"/>
          <cell r="F289"/>
          <cell r="G289"/>
          <cell r="H289"/>
          <cell r="J289"/>
          <cell r="K289"/>
        </row>
        <row r="290">
          <cell r="A290">
            <v>1010</v>
          </cell>
          <cell r="E290"/>
          <cell r="F290"/>
          <cell r="G290"/>
          <cell r="H290"/>
          <cell r="J290"/>
          <cell r="K290"/>
        </row>
        <row r="291">
          <cell r="A291">
            <v>1011</v>
          </cell>
          <cell r="E291"/>
          <cell r="F291"/>
          <cell r="G291"/>
          <cell r="H291"/>
          <cell r="J291"/>
          <cell r="K291"/>
        </row>
        <row r="292">
          <cell r="A292">
            <v>1012</v>
          </cell>
          <cell r="E292"/>
          <cell r="F292"/>
          <cell r="G292"/>
          <cell r="H292"/>
          <cell r="J292"/>
          <cell r="K292"/>
        </row>
        <row r="293">
          <cell r="A293">
            <v>1013</v>
          </cell>
          <cell r="E293"/>
          <cell r="F293"/>
          <cell r="G293"/>
          <cell r="H293"/>
          <cell r="J293"/>
          <cell r="K293"/>
        </row>
        <row r="294">
          <cell r="A294">
            <v>1014</v>
          </cell>
          <cell r="E294"/>
          <cell r="F294"/>
          <cell r="G294"/>
          <cell r="H294"/>
          <cell r="J294"/>
          <cell r="K294"/>
        </row>
        <row r="295">
          <cell r="A295">
            <v>1015</v>
          </cell>
          <cell r="E295"/>
          <cell r="F295"/>
          <cell r="G295"/>
          <cell r="H295"/>
          <cell r="J295"/>
          <cell r="K295"/>
        </row>
        <row r="296">
          <cell r="A296">
            <v>1016</v>
          </cell>
          <cell r="E296"/>
          <cell r="F296"/>
          <cell r="G296"/>
          <cell r="H296"/>
          <cell r="J296"/>
          <cell r="K296"/>
        </row>
        <row r="297">
          <cell r="A297">
            <v>1017</v>
          </cell>
          <cell r="E297"/>
          <cell r="F297"/>
          <cell r="G297"/>
          <cell r="H297"/>
          <cell r="J297"/>
          <cell r="K297"/>
        </row>
        <row r="298">
          <cell r="A298">
            <v>1018</v>
          </cell>
          <cell r="E298"/>
          <cell r="F298"/>
          <cell r="G298"/>
          <cell r="H298"/>
          <cell r="J298"/>
          <cell r="K298"/>
        </row>
        <row r="299">
          <cell r="A299">
            <v>1019</v>
          </cell>
          <cell r="E299"/>
          <cell r="F299"/>
          <cell r="G299"/>
          <cell r="H299"/>
          <cell r="J299"/>
          <cell r="K299"/>
        </row>
        <row r="300">
          <cell r="A300">
            <v>1020</v>
          </cell>
          <cell r="E300"/>
          <cell r="F300"/>
          <cell r="G300"/>
          <cell r="H300"/>
          <cell r="J300"/>
          <cell r="K300"/>
        </row>
        <row r="301">
          <cell r="A301">
            <v>1021</v>
          </cell>
          <cell r="E301"/>
          <cell r="F301"/>
          <cell r="G301"/>
          <cell r="H301"/>
          <cell r="J301"/>
          <cell r="K301"/>
        </row>
        <row r="302">
          <cell r="A302">
            <v>1022</v>
          </cell>
          <cell r="E302"/>
          <cell r="F302"/>
          <cell r="G302"/>
          <cell r="H302"/>
          <cell r="J302"/>
          <cell r="K302"/>
        </row>
        <row r="303">
          <cell r="A303">
            <v>1023</v>
          </cell>
          <cell r="E303"/>
          <cell r="F303"/>
          <cell r="G303"/>
          <cell r="H303"/>
          <cell r="J303"/>
          <cell r="K303"/>
        </row>
        <row r="304">
          <cell r="A304">
            <v>1024</v>
          </cell>
          <cell r="E304"/>
          <cell r="F304"/>
          <cell r="G304"/>
          <cell r="H304"/>
          <cell r="J304"/>
          <cell r="K304"/>
        </row>
        <row r="305">
          <cell r="A305">
            <v>1025</v>
          </cell>
          <cell r="E305"/>
          <cell r="F305"/>
          <cell r="G305"/>
          <cell r="H305"/>
          <cell r="J305"/>
          <cell r="K305"/>
        </row>
        <row r="306">
          <cell r="A306">
            <v>1026</v>
          </cell>
          <cell r="E306"/>
          <cell r="F306"/>
          <cell r="G306"/>
          <cell r="H306"/>
          <cell r="J306"/>
          <cell r="K306"/>
        </row>
        <row r="307">
          <cell r="A307">
            <v>1027</v>
          </cell>
          <cell r="E307"/>
          <cell r="F307"/>
          <cell r="G307"/>
          <cell r="H307"/>
          <cell r="J307"/>
          <cell r="K307"/>
        </row>
        <row r="308">
          <cell r="A308">
            <v>1028</v>
          </cell>
          <cell r="E308"/>
          <cell r="F308"/>
          <cell r="G308"/>
          <cell r="H308"/>
          <cell r="J308"/>
          <cell r="K308"/>
        </row>
        <row r="309">
          <cell r="A309">
            <v>1029</v>
          </cell>
          <cell r="E309"/>
          <cell r="F309"/>
          <cell r="G309"/>
          <cell r="H309"/>
          <cell r="J309"/>
          <cell r="K309"/>
        </row>
        <row r="310">
          <cell r="A310">
            <v>1030</v>
          </cell>
          <cell r="E310"/>
          <cell r="F310"/>
          <cell r="G310"/>
          <cell r="H310"/>
          <cell r="J310"/>
          <cell r="K310"/>
        </row>
        <row r="311">
          <cell r="A311">
            <v>1031</v>
          </cell>
          <cell r="E311"/>
          <cell r="F311"/>
          <cell r="G311"/>
          <cell r="H311"/>
          <cell r="J311"/>
          <cell r="K311"/>
        </row>
        <row r="312">
          <cell r="A312">
            <v>1101</v>
          </cell>
          <cell r="E312"/>
          <cell r="F312"/>
          <cell r="G312"/>
          <cell r="H312"/>
          <cell r="J312"/>
          <cell r="K312"/>
        </row>
        <row r="313">
          <cell r="A313">
            <v>1102</v>
          </cell>
          <cell r="E313"/>
          <cell r="F313"/>
          <cell r="G313"/>
          <cell r="H313"/>
          <cell r="J313"/>
          <cell r="K313"/>
        </row>
        <row r="314">
          <cell r="A314">
            <v>1103</v>
          </cell>
          <cell r="E314"/>
          <cell r="F314"/>
          <cell r="G314"/>
          <cell r="H314"/>
          <cell r="J314"/>
          <cell r="K314"/>
        </row>
        <row r="315">
          <cell r="A315">
            <v>1104</v>
          </cell>
          <cell r="E315"/>
          <cell r="F315"/>
          <cell r="G315"/>
          <cell r="H315"/>
          <cell r="J315"/>
          <cell r="K315"/>
        </row>
        <row r="316">
          <cell r="A316">
            <v>1105</v>
          </cell>
          <cell r="E316"/>
          <cell r="F316"/>
          <cell r="G316"/>
          <cell r="H316"/>
          <cell r="J316"/>
          <cell r="K316"/>
        </row>
        <row r="317">
          <cell r="A317">
            <v>1106</v>
          </cell>
          <cell r="E317"/>
          <cell r="F317"/>
          <cell r="G317"/>
          <cell r="H317"/>
          <cell r="J317"/>
          <cell r="K317"/>
        </row>
        <row r="318">
          <cell r="A318">
            <v>1107</v>
          </cell>
          <cell r="E318"/>
          <cell r="F318"/>
          <cell r="G318"/>
          <cell r="H318"/>
          <cell r="J318"/>
          <cell r="K318"/>
        </row>
        <row r="319">
          <cell r="A319">
            <v>1108</v>
          </cell>
          <cell r="E319"/>
          <cell r="F319"/>
          <cell r="G319"/>
          <cell r="H319"/>
          <cell r="J319"/>
          <cell r="K319"/>
        </row>
        <row r="320">
          <cell r="A320">
            <v>1109</v>
          </cell>
          <cell r="E320"/>
          <cell r="F320"/>
          <cell r="G320"/>
          <cell r="H320"/>
          <cell r="J320"/>
          <cell r="K320"/>
        </row>
        <row r="321">
          <cell r="A321">
            <v>1110</v>
          </cell>
          <cell r="E321"/>
          <cell r="F321"/>
          <cell r="G321"/>
          <cell r="H321"/>
          <cell r="J321"/>
          <cell r="K321"/>
        </row>
        <row r="322">
          <cell r="A322">
            <v>1111</v>
          </cell>
          <cell r="E322"/>
          <cell r="F322"/>
          <cell r="G322"/>
          <cell r="H322"/>
          <cell r="J322"/>
          <cell r="K322"/>
        </row>
        <row r="323">
          <cell r="A323">
            <v>1112</v>
          </cell>
          <cell r="E323"/>
          <cell r="F323"/>
          <cell r="G323"/>
          <cell r="H323"/>
          <cell r="J323"/>
          <cell r="K323"/>
        </row>
        <row r="324">
          <cell r="A324">
            <v>1113</v>
          </cell>
          <cell r="E324"/>
          <cell r="F324"/>
          <cell r="G324"/>
          <cell r="H324"/>
          <cell r="J324"/>
          <cell r="K324"/>
        </row>
        <row r="325">
          <cell r="A325">
            <v>1114</v>
          </cell>
          <cell r="E325"/>
          <cell r="F325"/>
          <cell r="G325"/>
          <cell r="H325"/>
          <cell r="J325"/>
          <cell r="K325"/>
        </row>
        <row r="326">
          <cell r="A326">
            <v>1115</v>
          </cell>
          <cell r="E326"/>
          <cell r="F326"/>
          <cell r="G326"/>
          <cell r="H326"/>
          <cell r="J326"/>
          <cell r="K326"/>
        </row>
        <row r="327">
          <cell r="A327">
            <v>1116</v>
          </cell>
          <cell r="E327"/>
          <cell r="F327"/>
          <cell r="G327"/>
          <cell r="H327"/>
          <cell r="J327"/>
          <cell r="K327"/>
        </row>
        <row r="328">
          <cell r="A328">
            <v>1117</v>
          </cell>
          <cell r="E328"/>
          <cell r="F328"/>
          <cell r="G328"/>
          <cell r="H328"/>
          <cell r="J328"/>
          <cell r="K328"/>
        </row>
        <row r="329">
          <cell r="A329">
            <v>1118</v>
          </cell>
          <cell r="E329"/>
          <cell r="F329"/>
          <cell r="G329"/>
          <cell r="H329"/>
          <cell r="J329"/>
          <cell r="K329"/>
        </row>
        <row r="330">
          <cell r="A330">
            <v>1119</v>
          </cell>
          <cell r="E330"/>
          <cell r="F330"/>
          <cell r="G330"/>
          <cell r="H330"/>
          <cell r="J330"/>
          <cell r="K330"/>
        </row>
        <row r="331">
          <cell r="A331">
            <v>1120</v>
          </cell>
          <cell r="E331"/>
          <cell r="F331"/>
          <cell r="G331"/>
          <cell r="H331"/>
          <cell r="J331"/>
          <cell r="K331"/>
        </row>
        <row r="332">
          <cell r="A332">
            <v>1121</v>
          </cell>
          <cell r="E332"/>
          <cell r="F332"/>
          <cell r="G332"/>
          <cell r="H332"/>
          <cell r="J332"/>
          <cell r="K332"/>
        </row>
        <row r="333">
          <cell r="A333">
            <v>1122</v>
          </cell>
          <cell r="E333"/>
          <cell r="F333"/>
          <cell r="G333"/>
          <cell r="H333"/>
          <cell r="J333"/>
          <cell r="K333"/>
        </row>
        <row r="334">
          <cell r="A334">
            <v>1123</v>
          </cell>
          <cell r="E334"/>
          <cell r="F334"/>
          <cell r="G334"/>
          <cell r="H334"/>
          <cell r="J334"/>
          <cell r="K334"/>
        </row>
        <row r="335">
          <cell r="A335">
            <v>1124</v>
          </cell>
          <cell r="E335"/>
          <cell r="F335"/>
          <cell r="G335"/>
          <cell r="H335"/>
          <cell r="J335"/>
          <cell r="K335"/>
        </row>
        <row r="336">
          <cell r="A336">
            <v>1125</v>
          </cell>
          <cell r="E336"/>
          <cell r="F336"/>
          <cell r="G336"/>
          <cell r="H336"/>
          <cell r="J336"/>
          <cell r="K336"/>
        </row>
        <row r="337">
          <cell r="A337">
            <v>1126</v>
          </cell>
          <cell r="E337"/>
          <cell r="F337"/>
          <cell r="G337"/>
          <cell r="H337"/>
          <cell r="J337"/>
          <cell r="K337"/>
        </row>
        <row r="338">
          <cell r="A338">
            <v>1127</v>
          </cell>
          <cell r="E338"/>
          <cell r="F338"/>
          <cell r="G338"/>
          <cell r="H338"/>
          <cell r="J338"/>
          <cell r="K338"/>
        </row>
        <row r="339">
          <cell r="A339">
            <v>1128</v>
          </cell>
          <cell r="E339"/>
          <cell r="F339"/>
          <cell r="G339"/>
          <cell r="H339"/>
          <cell r="J339"/>
          <cell r="K339"/>
        </row>
        <row r="340">
          <cell r="A340">
            <v>1129</v>
          </cell>
          <cell r="E340"/>
          <cell r="F340"/>
          <cell r="G340"/>
          <cell r="H340"/>
          <cell r="J340"/>
          <cell r="K340"/>
        </row>
        <row r="341">
          <cell r="A341">
            <v>1130</v>
          </cell>
          <cell r="E341"/>
          <cell r="F341"/>
          <cell r="G341"/>
          <cell r="H341"/>
          <cell r="J341"/>
          <cell r="K341"/>
        </row>
        <row r="342">
          <cell r="A342">
            <v>1201</v>
          </cell>
          <cell r="E342"/>
          <cell r="F342"/>
          <cell r="G342"/>
          <cell r="H342"/>
          <cell r="J342"/>
          <cell r="K342"/>
        </row>
        <row r="343">
          <cell r="A343">
            <v>1202</v>
          </cell>
          <cell r="E343"/>
          <cell r="F343"/>
          <cell r="G343"/>
          <cell r="H343"/>
          <cell r="J343"/>
          <cell r="K343"/>
        </row>
        <row r="344">
          <cell r="A344">
            <v>1203</v>
          </cell>
          <cell r="E344"/>
          <cell r="F344"/>
          <cell r="G344"/>
          <cell r="H344"/>
          <cell r="J344"/>
          <cell r="K344"/>
        </row>
        <row r="345">
          <cell r="A345">
            <v>1204</v>
          </cell>
          <cell r="E345"/>
          <cell r="F345"/>
          <cell r="G345"/>
          <cell r="H345"/>
          <cell r="J345"/>
          <cell r="K345"/>
        </row>
        <row r="346">
          <cell r="A346">
            <v>1205</v>
          </cell>
          <cell r="E346"/>
          <cell r="F346"/>
          <cell r="G346"/>
          <cell r="H346"/>
          <cell r="J346"/>
          <cell r="K346"/>
        </row>
        <row r="347">
          <cell r="A347">
            <v>1206</v>
          </cell>
          <cell r="E347"/>
          <cell r="F347"/>
          <cell r="G347"/>
          <cell r="H347"/>
          <cell r="J347"/>
          <cell r="K347"/>
        </row>
        <row r="348">
          <cell r="A348">
            <v>1207</v>
          </cell>
          <cell r="E348"/>
          <cell r="F348"/>
          <cell r="G348"/>
          <cell r="H348"/>
          <cell r="J348"/>
          <cell r="K348"/>
        </row>
        <row r="349">
          <cell r="A349">
            <v>1208</v>
          </cell>
          <cell r="E349"/>
          <cell r="F349"/>
          <cell r="G349"/>
          <cell r="H349"/>
          <cell r="J349"/>
          <cell r="K349"/>
        </row>
        <row r="350">
          <cell r="A350">
            <v>1209</v>
          </cell>
          <cell r="E350"/>
          <cell r="F350"/>
          <cell r="G350"/>
          <cell r="H350"/>
          <cell r="J350"/>
          <cell r="K350"/>
        </row>
        <row r="351">
          <cell r="A351">
            <v>1210</v>
          </cell>
          <cell r="E351"/>
          <cell r="F351"/>
          <cell r="G351"/>
          <cell r="H351"/>
          <cell r="J351"/>
          <cell r="K351"/>
        </row>
        <row r="352">
          <cell r="A352">
            <v>1211</v>
          </cell>
          <cell r="E352"/>
          <cell r="F352"/>
          <cell r="G352"/>
          <cell r="H352"/>
          <cell r="J352"/>
          <cell r="K352"/>
        </row>
        <row r="353">
          <cell r="A353">
            <v>1212</v>
          </cell>
          <cell r="E353"/>
          <cell r="F353"/>
          <cell r="G353"/>
          <cell r="H353"/>
          <cell r="J353"/>
          <cell r="K353"/>
        </row>
        <row r="354">
          <cell r="A354">
            <v>1213</v>
          </cell>
          <cell r="E354"/>
          <cell r="F354"/>
          <cell r="G354"/>
          <cell r="H354"/>
          <cell r="J354"/>
          <cell r="K354"/>
        </row>
        <row r="355">
          <cell r="A355">
            <v>1214</v>
          </cell>
          <cell r="E355"/>
          <cell r="F355"/>
          <cell r="G355"/>
          <cell r="H355"/>
          <cell r="J355"/>
          <cell r="K355"/>
        </row>
        <row r="356">
          <cell r="A356">
            <v>1215</v>
          </cell>
          <cell r="E356"/>
          <cell r="F356"/>
          <cell r="G356"/>
          <cell r="H356"/>
          <cell r="J356"/>
          <cell r="K356"/>
        </row>
        <row r="357">
          <cell r="A357">
            <v>1216</v>
          </cell>
          <cell r="E357"/>
          <cell r="F357"/>
          <cell r="G357"/>
          <cell r="H357"/>
          <cell r="J357"/>
          <cell r="K357"/>
        </row>
        <row r="358">
          <cell r="A358">
            <v>1217</v>
          </cell>
          <cell r="E358"/>
          <cell r="F358"/>
          <cell r="G358"/>
          <cell r="H358"/>
          <cell r="J358"/>
          <cell r="K358"/>
        </row>
        <row r="359">
          <cell r="A359">
            <v>1218</v>
          </cell>
          <cell r="E359"/>
          <cell r="F359"/>
          <cell r="G359"/>
          <cell r="H359"/>
          <cell r="J359"/>
          <cell r="K359"/>
        </row>
        <row r="360">
          <cell r="A360">
            <v>1219</v>
          </cell>
          <cell r="E360"/>
          <cell r="F360"/>
          <cell r="G360"/>
          <cell r="H360"/>
          <cell r="J360"/>
          <cell r="K360"/>
        </row>
        <row r="361">
          <cell r="A361">
            <v>1220</v>
          </cell>
          <cell r="E361"/>
          <cell r="F361"/>
          <cell r="G361"/>
          <cell r="H361"/>
          <cell r="J361"/>
          <cell r="K361"/>
        </row>
        <row r="362">
          <cell r="A362">
            <v>1221</v>
          </cell>
          <cell r="E362"/>
          <cell r="F362"/>
          <cell r="G362"/>
          <cell r="H362"/>
          <cell r="J362"/>
          <cell r="K362"/>
        </row>
        <row r="363">
          <cell r="A363">
            <v>1222</v>
          </cell>
          <cell r="E363"/>
          <cell r="F363"/>
          <cell r="G363"/>
          <cell r="H363"/>
          <cell r="J363"/>
          <cell r="K363"/>
        </row>
        <row r="364">
          <cell r="A364">
            <v>1223</v>
          </cell>
          <cell r="E364"/>
          <cell r="F364"/>
          <cell r="G364"/>
          <cell r="H364"/>
          <cell r="J364"/>
          <cell r="K364"/>
        </row>
        <row r="365">
          <cell r="A365">
            <v>1224</v>
          </cell>
          <cell r="E365"/>
          <cell r="F365"/>
          <cell r="G365"/>
          <cell r="H365"/>
          <cell r="J365"/>
          <cell r="K365"/>
        </row>
        <row r="366">
          <cell r="A366">
            <v>1225</v>
          </cell>
          <cell r="E366"/>
          <cell r="F366"/>
          <cell r="G366"/>
          <cell r="H366"/>
          <cell r="J366"/>
          <cell r="K366"/>
        </row>
        <row r="367">
          <cell r="A367">
            <v>1226</v>
          </cell>
          <cell r="E367"/>
          <cell r="F367"/>
          <cell r="G367"/>
          <cell r="H367"/>
          <cell r="J367"/>
          <cell r="K367"/>
        </row>
        <row r="368">
          <cell r="A368">
            <v>1227</v>
          </cell>
          <cell r="E368"/>
          <cell r="F368"/>
          <cell r="G368"/>
          <cell r="H368"/>
          <cell r="J368"/>
          <cell r="K368"/>
        </row>
        <row r="369">
          <cell r="A369">
            <v>1228</v>
          </cell>
          <cell r="E369"/>
          <cell r="F369"/>
          <cell r="G369"/>
          <cell r="H369"/>
          <cell r="J369"/>
          <cell r="K369"/>
        </row>
        <row r="370">
          <cell r="A370">
            <v>1229</v>
          </cell>
          <cell r="E370"/>
          <cell r="F370"/>
          <cell r="G370"/>
          <cell r="H370"/>
          <cell r="J370"/>
          <cell r="K370"/>
        </row>
        <row r="371">
          <cell r="A371">
            <v>1230</v>
          </cell>
          <cell r="E371"/>
          <cell r="F371"/>
          <cell r="G371"/>
          <cell r="H371"/>
          <cell r="J371"/>
          <cell r="K371"/>
        </row>
        <row r="372">
          <cell r="A372"/>
          <cell r="E372"/>
          <cell r="F372"/>
          <cell r="G372"/>
          <cell r="H372"/>
          <cell r="J372"/>
          <cell r="K372"/>
        </row>
        <row r="373">
          <cell r="A373"/>
          <cell r="E373"/>
          <cell r="F373"/>
          <cell r="G373"/>
          <cell r="H373"/>
          <cell r="J373"/>
          <cell r="K373"/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LIST"/>
      <sheetName val="SBS"/>
      <sheetName val="SU"/>
      <sheetName val="CA"/>
      <sheetName val="TOTAL"/>
    </sheetNames>
    <sheetDataSet>
      <sheetData sheetId="0"/>
      <sheetData sheetId="1"/>
      <sheetData sheetId="2">
        <row r="1">
          <cell r="A1" t="str">
            <v>CODE</v>
          </cell>
          <cell r="C1" t="str">
            <v>Qté SBS (MT wet)</v>
          </cell>
        </row>
        <row r="2">
          <cell r="A2">
            <v>101</v>
          </cell>
          <cell r="C2">
            <v>20.021999999999998</v>
          </cell>
        </row>
        <row r="3">
          <cell r="A3">
            <v>102</v>
          </cell>
          <cell r="C3">
            <v>20.021000000000001</v>
          </cell>
        </row>
        <row r="4">
          <cell r="A4">
            <v>103</v>
          </cell>
          <cell r="C4">
            <v>20.02</v>
          </cell>
        </row>
        <row r="5">
          <cell r="A5">
            <v>104</v>
          </cell>
          <cell r="C5">
            <v>0</v>
          </cell>
        </row>
        <row r="6">
          <cell r="A6">
            <v>105</v>
          </cell>
          <cell r="C6">
            <v>40.049999999999997</v>
          </cell>
        </row>
        <row r="7">
          <cell r="A7">
            <v>106</v>
          </cell>
          <cell r="C7">
            <v>53.069000000000003</v>
          </cell>
        </row>
        <row r="8">
          <cell r="A8">
            <v>107</v>
          </cell>
          <cell r="C8">
            <v>20.042000000000002</v>
          </cell>
        </row>
        <row r="9">
          <cell r="A9">
            <v>108</v>
          </cell>
          <cell r="C9">
            <v>20.027000000000001</v>
          </cell>
        </row>
        <row r="10">
          <cell r="A10">
            <v>109</v>
          </cell>
          <cell r="C10">
            <v>60.075000000000003</v>
          </cell>
        </row>
        <row r="11">
          <cell r="A11">
            <v>110</v>
          </cell>
          <cell r="C11">
            <v>0</v>
          </cell>
        </row>
        <row r="12">
          <cell r="A12">
            <v>111</v>
          </cell>
          <cell r="C12">
            <v>20.02</v>
          </cell>
        </row>
        <row r="13">
          <cell r="A13">
            <v>112</v>
          </cell>
          <cell r="C13">
            <v>55.256</v>
          </cell>
        </row>
        <row r="14">
          <cell r="A14">
            <v>113</v>
          </cell>
          <cell r="C14">
            <v>0</v>
          </cell>
        </row>
        <row r="15">
          <cell r="A15">
            <v>114</v>
          </cell>
          <cell r="C15">
            <v>55.265999999999998</v>
          </cell>
        </row>
        <row r="16">
          <cell r="A16">
            <v>115</v>
          </cell>
          <cell r="C16">
            <v>165.33799999999999</v>
          </cell>
        </row>
        <row r="17">
          <cell r="A17">
            <v>116</v>
          </cell>
          <cell r="C17">
            <v>92.11</v>
          </cell>
        </row>
        <row r="18">
          <cell r="A18">
            <v>117</v>
          </cell>
          <cell r="C18">
            <v>0</v>
          </cell>
        </row>
        <row r="19">
          <cell r="A19">
            <v>118</v>
          </cell>
          <cell r="C19">
            <v>0</v>
          </cell>
        </row>
        <row r="20">
          <cell r="A20">
            <v>119</v>
          </cell>
          <cell r="C20">
            <v>0</v>
          </cell>
        </row>
        <row r="21">
          <cell r="A21">
            <v>120</v>
          </cell>
          <cell r="C21">
            <v>107.611</v>
          </cell>
        </row>
        <row r="22">
          <cell r="A22">
            <v>121</v>
          </cell>
          <cell r="C22">
            <v>40.042999999999999</v>
          </cell>
        </row>
        <row r="23">
          <cell r="A23">
            <v>122</v>
          </cell>
          <cell r="C23">
            <v>14.026999999999999</v>
          </cell>
        </row>
        <row r="24">
          <cell r="A24">
            <v>123</v>
          </cell>
          <cell r="C24">
            <v>20.015000000000001</v>
          </cell>
        </row>
        <row r="25">
          <cell r="A25">
            <v>124</v>
          </cell>
          <cell r="C25">
            <v>92.251000000000005</v>
          </cell>
        </row>
        <row r="26">
          <cell r="A26">
            <v>125</v>
          </cell>
          <cell r="C26">
            <v>0</v>
          </cell>
        </row>
        <row r="27">
          <cell r="A27">
            <v>126</v>
          </cell>
          <cell r="C27">
            <v>40.036999999999999</v>
          </cell>
        </row>
        <row r="28">
          <cell r="A28">
            <v>127</v>
          </cell>
          <cell r="C28">
            <v>80.105000000000004</v>
          </cell>
        </row>
        <row r="29">
          <cell r="A29">
            <v>128</v>
          </cell>
          <cell r="C29">
            <v>0</v>
          </cell>
        </row>
        <row r="30">
          <cell r="A30">
            <v>129</v>
          </cell>
          <cell r="C30">
            <v>86.224999999999994</v>
          </cell>
        </row>
        <row r="31">
          <cell r="A31">
            <v>130</v>
          </cell>
          <cell r="C31">
            <v>80.072999999999993</v>
          </cell>
        </row>
        <row r="32">
          <cell r="A32">
            <v>131</v>
          </cell>
          <cell r="C32">
            <v>0</v>
          </cell>
        </row>
        <row r="33">
          <cell r="A33">
            <v>201</v>
          </cell>
          <cell r="C33">
            <v>86.227000000000004</v>
          </cell>
        </row>
        <row r="34">
          <cell r="A34">
            <v>202</v>
          </cell>
          <cell r="C34">
            <v>100.121</v>
          </cell>
        </row>
        <row r="35">
          <cell r="A35">
            <v>203</v>
          </cell>
          <cell r="C35">
            <v>20.029</v>
          </cell>
        </row>
        <row r="36">
          <cell r="A36">
            <v>204</v>
          </cell>
          <cell r="C36">
            <v>163.517</v>
          </cell>
        </row>
        <row r="37">
          <cell r="A37">
            <v>205</v>
          </cell>
          <cell r="C37">
            <v>40.037999999999997</v>
          </cell>
        </row>
        <row r="38">
          <cell r="A38">
            <v>206</v>
          </cell>
          <cell r="C38">
            <v>41.281999999999996</v>
          </cell>
        </row>
        <row r="39">
          <cell r="A39">
            <v>207</v>
          </cell>
          <cell r="C39">
            <v>0</v>
          </cell>
        </row>
        <row r="40">
          <cell r="A40">
            <v>208</v>
          </cell>
          <cell r="C40">
            <v>0</v>
          </cell>
        </row>
        <row r="41">
          <cell r="A41">
            <v>209</v>
          </cell>
          <cell r="C41">
            <v>40.045999999999999</v>
          </cell>
        </row>
        <row r="42">
          <cell r="A42">
            <v>210</v>
          </cell>
          <cell r="C42">
            <v>40.046999999999997</v>
          </cell>
        </row>
        <row r="43">
          <cell r="A43">
            <v>211</v>
          </cell>
          <cell r="C43">
            <v>227.72200000000001</v>
          </cell>
        </row>
        <row r="44">
          <cell r="A44">
            <v>212</v>
          </cell>
          <cell r="C44">
            <v>80.096000000000004</v>
          </cell>
        </row>
        <row r="45">
          <cell r="A45">
            <v>213</v>
          </cell>
          <cell r="C45">
            <v>42.765999999999998</v>
          </cell>
        </row>
        <row r="46">
          <cell r="A46">
            <v>214</v>
          </cell>
          <cell r="C46">
            <v>20.016999999999999</v>
          </cell>
        </row>
        <row r="47">
          <cell r="A47">
            <v>215</v>
          </cell>
          <cell r="C47">
            <v>0</v>
          </cell>
        </row>
        <row r="48">
          <cell r="A48">
            <v>216</v>
          </cell>
          <cell r="C48">
            <v>86.222999999999999</v>
          </cell>
        </row>
        <row r="49">
          <cell r="A49">
            <v>217</v>
          </cell>
          <cell r="C49">
            <v>60.052999999999997</v>
          </cell>
        </row>
        <row r="50">
          <cell r="A50">
            <v>218</v>
          </cell>
          <cell r="C50">
            <v>60.116</v>
          </cell>
        </row>
        <row r="51">
          <cell r="A51">
            <v>219</v>
          </cell>
          <cell r="C51">
            <v>100.089</v>
          </cell>
        </row>
        <row r="52">
          <cell r="A52">
            <v>220</v>
          </cell>
          <cell r="C52">
            <v>43.871000000000002</v>
          </cell>
        </row>
        <row r="53">
          <cell r="A53">
            <v>221</v>
          </cell>
          <cell r="C53">
            <v>40.045000000000002</v>
          </cell>
        </row>
        <row r="54">
          <cell r="A54">
            <v>222</v>
          </cell>
          <cell r="C54">
            <v>20.018000000000001</v>
          </cell>
        </row>
        <row r="55">
          <cell r="A55">
            <v>223</v>
          </cell>
          <cell r="C55">
            <v>20.018000000000001</v>
          </cell>
        </row>
        <row r="56">
          <cell r="A56">
            <v>224</v>
          </cell>
          <cell r="C56">
            <v>40.043999999999997</v>
          </cell>
        </row>
        <row r="57">
          <cell r="A57">
            <v>225</v>
          </cell>
          <cell r="C57">
            <v>80.078999999999994</v>
          </cell>
        </row>
        <row r="58">
          <cell r="A58">
            <v>226</v>
          </cell>
          <cell r="C58">
            <v>60.067</v>
          </cell>
        </row>
        <row r="59">
          <cell r="A59">
            <v>227</v>
          </cell>
          <cell r="C59">
            <v>20.015999999999998</v>
          </cell>
        </row>
        <row r="60">
          <cell r="A60">
            <v>228</v>
          </cell>
          <cell r="C60">
            <v>39.542000000000002</v>
          </cell>
        </row>
        <row r="61">
          <cell r="A61">
            <v>229</v>
          </cell>
          <cell r="C61">
            <v>0</v>
          </cell>
        </row>
        <row r="62">
          <cell r="A62">
            <v>301</v>
          </cell>
          <cell r="C62">
            <v>60.066000000000003</v>
          </cell>
        </row>
        <row r="63">
          <cell r="A63">
            <v>302</v>
          </cell>
          <cell r="C63">
            <v>80.129000000000005</v>
          </cell>
        </row>
        <row r="64">
          <cell r="A64">
            <v>303</v>
          </cell>
          <cell r="C64">
            <v>75.331000000000003</v>
          </cell>
        </row>
        <row r="65">
          <cell r="A65">
            <v>304</v>
          </cell>
          <cell r="C65">
            <v>132.315</v>
          </cell>
        </row>
        <row r="66">
          <cell r="A66">
            <v>305</v>
          </cell>
          <cell r="C66">
            <v>146.28899999999999</v>
          </cell>
        </row>
        <row r="67">
          <cell r="A67">
            <v>306</v>
          </cell>
          <cell r="C67">
            <v>86.2</v>
          </cell>
        </row>
        <row r="68">
          <cell r="A68">
            <v>307</v>
          </cell>
          <cell r="C68">
            <v>0</v>
          </cell>
        </row>
        <row r="69">
          <cell r="A69">
            <v>308</v>
          </cell>
          <cell r="C69">
            <v>49.576999999999998</v>
          </cell>
        </row>
        <row r="70">
          <cell r="A70">
            <v>309</v>
          </cell>
          <cell r="C70">
            <v>143.31399999999999</v>
          </cell>
        </row>
        <row r="71">
          <cell r="A71">
            <v>310</v>
          </cell>
          <cell r="C71">
            <v>121.26</v>
          </cell>
        </row>
        <row r="72">
          <cell r="A72">
            <v>311</v>
          </cell>
          <cell r="C72">
            <v>80.119</v>
          </cell>
        </row>
        <row r="73">
          <cell r="A73">
            <v>312</v>
          </cell>
          <cell r="C73">
            <v>60.06</v>
          </cell>
        </row>
        <row r="74">
          <cell r="A74">
            <v>313</v>
          </cell>
          <cell r="C74">
            <v>26.038</v>
          </cell>
        </row>
        <row r="75">
          <cell r="A75">
            <v>314</v>
          </cell>
          <cell r="C75">
            <v>0</v>
          </cell>
        </row>
        <row r="76">
          <cell r="A76">
            <v>315</v>
          </cell>
          <cell r="C76">
            <v>44.542000000000002</v>
          </cell>
        </row>
        <row r="77">
          <cell r="A77">
            <v>316</v>
          </cell>
          <cell r="C77">
            <v>0</v>
          </cell>
        </row>
        <row r="78">
          <cell r="A78">
            <v>317</v>
          </cell>
          <cell r="C78">
            <v>78.28</v>
          </cell>
        </row>
        <row r="79">
          <cell r="A79">
            <v>318</v>
          </cell>
          <cell r="C79">
            <v>35.139000000000003</v>
          </cell>
        </row>
        <row r="80">
          <cell r="A80">
            <v>319</v>
          </cell>
          <cell r="C80">
            <v>152.31800000000001</v>
          </cell>
        </row>
        <row r="81">
          <cell r="A81">
            <v>320</v>
          </cell>
          <cell r="C81">
            <v>0</v>
          </cell>
        </row>
        <row r="82">
          <cell r="A82">
            <v>321</v>
          </cell>
          <cell r="C82">
            <v>40.031999999999996</v>
          </cell>
        </row>
        <row r="83">
          <cell r="A83">
            <v>322</v>
          </cell>
          <cell r="C83">
            <v>40.043999999999997</v>
          </cell>
        </row>
        <row r="84">
          <cell r="A84">
            <v>323</v>
          </cell>
          <cell r="C84">
            <v>60.055</v>
          </cell>
        </row>
        <row r="85">
          <cell r="A85">
            <v>324</v>
          </cell>
          <cell r="C85">
            <v>86.224999999999994</v>
          </cell>
        </row>
        <row r="86">
          <cell r="A86">
            <v>325</v>
          </cell>
          <cell r="C86">
            <v>20.021000000000001</v>
          </cell>
        </row>
        <row r="87">
          <cell r="A87">
            <v>326</v>
          </cell>
          <cell r="C87">
            <v>153.28800000000001</v>
          </cell>
        </row>
        <row r="88">
          <cell r="A88">
            <v>327</v>
          </cell>
          <cell r="C88">
            <v>0</v>
          </cell>
        </row>
        <row r="89">
          <cell r="A89">
            <v>328</v>
          </cell>
          <cell r="C89">
            <v>0</v>
          </cell>
        </row>
        <row r="90">
          <cell r="A90">
            <v>329</v>
          </cell>
          <cell r="C90">
            <v>38.542999999999999</v>
          </cell>
        </row>
        <row r="91">
          <cell r="A91">
            <v>330</v>
          </cell>
          <cell r="C91">
            <v>20.021999999999998</v>
          </cell>
        </row>
        <row r="92">
          <cell r="A92">
            <v>331</v>
          </cell>
          <cell r="C92">
            <v>122.27200000000001</v>
          </cell>
        </row>
        <row r="93">
          <cell r="A93">
            <v>401</v>
          </cell>
          <cell r="C93">
            <v>0</v>
          </cell>
        </row>
        <row r="94">
          <cell r="A94">
            <v>402</v>
          </cell>
          <cell r="C94">
            <v>126.262</v>
          </cell>
        </row>
        <row r="95">
          <cell r="A95">
            <v>403</v>
          </cell>
          <cell r="C95">
            <v>0</v>
          </cell>
        </row>
        <row r="96">
          <cell r="A96">
            <v>404</v>
          </cell>
          <cell r="C96">
            <v>17.713000000000001</v>
          </cell>
        </row>
        <row r="97">
          <cell r="A97">
            <v>405</v>
          </cell>
          <cell r="C97">
            <v>59.1</v>
          </cell>
        </row>
        <row r="98">
          <cell r="A98">
            <v>406</v>
          </cell>
          <cell r="C98">
            <v>126.27</v>
          </cell>
        </row>
        <row r="99">
          <cell r="A99">
            <v>407</v>
          </cell>
          <cell r="C99">
            <v>0</v>
          </cell>
        </row>
        <row r="100">
          <cell r="A100">
            <v>408</v>
          </cell>
          <cell r="C100">
            <v>74.582999999999998</v>
          </cell>
        </row>
        <row r="101">
          <cell r="A101">
            <v>409</v>
          </cell>
          <cell r="C101">
            <v>67.974000000000004</v>
          </cell>
        </row>
        <row r="102">
          <cell r="A102">
            <v>410</v>
          </cell>
          <cell r="C102">
            <v>86.230999999999995</v>
          </cell>
        </row>
        <row r="103">
          <cell r="A103">
            <v>411</v>
          </cell>
          <cell r="C103">
            <v>0</v>
          </cell>
        </row>
        <row r="104">
          <cell r="A104">
            <v>412</v>
          </cell>
          <cell r="C104">
            <v>20.026</v>
          </cell>
        </row>
        <row r="105">
          <cell r="A105">
            <v>413</v>
          </cell>
          <cell r="C105">
            <v>35.046999999999997</v>
          </cell>
        </row>
        <row r="106">
          <cell r="A106">
            <v>414</v>
          </cell>
          <cell r="C106">
            <v>40.030999999999999</v>
          </cell>
        </row>
        <row r="107">
          <cell r="A107">
            <v>415</v>
          </cell>
          <cell r="C107">
            <v>72.084000000000003</v>
          </cell>
        </row>
        <row r="108">
          <cell r="A108">
            <v>416</v>
          </cell>
          <cell r="C108">
            <v>100.10299999999999</v>
          </cell>
        </row>
        <row r="109">
          <cell r="A109">
            <v>417</v>
          </cell>
          <cell r="C109">
            <v>0</v>
          </cell>
        </row>
        <row r="110">
          <cell r="A110">
            <v>418</v>
          </cell>
          <cell r="C110">
            <v>86.228999999999999</v>
          </cell>
        </row>
        <row r="111">
          <cell r="A111">
            <v>419</v>
          </cell>
          <cell r="C111">
            <v>0</v>
          </cell>
        </row>
        <row r="112">
          <cell r="A112">
            <v>420</v>
          </cell>
          <cell r="C112">
            <v>15.718</v>
          </cell>
        </row>
        <row r="113">
          <cell r="A113">
            <v>421</v>
          </cell>
          <cell r="C113">
            <v>60.06</v>
          </cell>
        </row>
        <row r="114">
          <cell r="A114">
            <v>422</v>
          </cell>
          <cell r="C114">
            <v>37.234000000000002</v>
          </cell>
        </row>
        <row r="115">
          <cell r="A115">
            <v>423</v>
          </cell>
          <cell r="C115">
            <v>86.224000000000004</v>
          </cell>
        </row>
        <row r="116">
          <cell r="A116">
            <v>424</v>
          </cell>
          <cell r="C116">
            <v>40.042999999999999</v>
          </cell>
        </row>
        <row r="117">
          <cell r="A117">
            <v>425</v>
          </cell>
          <cell r="C117">
            <v>0</v>
          </cell>
        </row>
        <row r="118">
          <cell r="A118">
            <v>426</v>
          </cell>
          <cell r="C118">
            <v>20.021000000000001</v>
          </cell>
        </row>
        <row r="119">
          <cell r="A119">
            <v>427</v>
          </cell>
          <cell r="C119">
            <v>37.039000000000001</v>
          </cell>
        </row>
        <row r="120">
          <cell r="A120">
            <v>428</v>
          </cell>
          <cell r="C120">
            <v>136.72300000000001</v>
          </cell>
        </row>
        <row r="121">
          <cell r="A121">
            <v>429</v>
          </cell>
          <cell r="C121">
            <v>40.036000000000001</v>
          </cell>
        </row>
        <row r="122">
          <cell r="A122">
            <v>430</v>
          </cell>
          <cell r="C122">
            <v>40.036999999999999</v>
          </cell>
        </row>
        <row r="123">
          <cell r="A123">
            <v>501</v>
          </cell>
          <cell r="C123">
            <v>98.241</v>
          </cell>
        </row>
        <row r="124">
          <cell r="A124">
            <v>502</v>
          </cell>
          <cell r="C124">
            <v>0</v>
          </cell>
        </row>
        <row r="125">
          <cell r="A125">
            <v>503</v>
          </cell>
          <cell r="C125">
            <v>0</v>
          </cell>
        </row>
        <row r="126">
          <cell r="A126">
            <v>504</v>
          </cell>
          <cell r="C126">
            <v>155.30500000000001</v>
          </cell>
        </row>
        <row r="127">
          <cell r="A127">
            <v>505</v>
          </cell>
          <cell r="C127">
            <v>0</v>
          </cell>
        </row>
        <row r="128">
          <cell r="A128">
            <v>506</v>
          </cell>
          <cell r="C128">
            <v>50.070999999999998</v>
          </cell>
        </row>
        <row r="129">
          <cell r="A129">
            <v>507</v>
          </cell>
          <cell r="C129">
            <v>59.552999999999997</v>
          </cell>
        </row>
        <row r="130">
          <cell r="A130">
            <v>508</v>
          </cell>
          <cell r="C130">
            <v>0</v>
          </cell>
        </row>
        <row r="131">
          <cell r="A131">
            <v>509</v>
          </cell>
          <cell r="C131">
            <v>0</v>
          </cell>
        </row>
        <row r="132">
          <cell r="A132">
            <v>510</v>
          </cell>
          <cell r="C132">
            <v>20.015000000000001</v>
          </cell>
        </row>
        <row r="133">
          <cell r="A133">
            <v>511</v>
          </cell>
          <cell r="C133">
            <v>106.244</v>
          </cell>
        </row>
        <row r="134">
          <cell r="A134">
            <v>512</v>
          </cell>
          <cell r="C134">
            <v>86.230999999999995</v>
          </cell>
        </row>
        <row r="135">
          <cell r="A135">
            <v>513</v>
          </cell>
          <cell r="C135">
            <v>40.036999999999999</v>
          </cell>
        </row>
        <row r="136">
          <cell r="A136">
            <v>514</v>
          </cell>
          <cell r="C136">
            <v>106.274</v>
          </cell>
        </row>
        <row r="137">
          <cell r="A137">
            <v>515</v>
          </cell>
          <cell r="C137">
            <v>20.013999999999999</v>
          </cell>
        </row>
        <row r="138">
          <cell r="A138">
            <v>516</v>
          </cell>
          <cell r="C138">
            <v>0</v>
          </cell>
        </row>
        <row r="139">
          <cell r="A139">
            <v>517</v>
          </cell>
          <cell r="C139">
            <v>37.838000000000001</v>
          </cell>
        </row>
        <row r="140">
          <cell r="A140">
            <v>518</v>
          </cell>
          <cell r="C140">
            <v>156.81100000000001</v>
          </cell>
        </row>
        <row r="141">
          <cell r="A141">
            <v>519</v>
          </cell>
          <cell r="C141">
            <v>31.039000000000001</v>
          </cell>
        </row>
        <row r="142">
          <cell r="A142">
            <v>520</v>
          </cell>
          <cell r="C142">
            <v>39.048999999999999</v>
          </cell>
        </row>
        <row r="143">
          <cell r="A143">
            <v>521</v>
          </cell>
          <cell r="C143">
            <v>106.238</v>
          </cell>
        </row>
        <row r="144">
          <cell r="A144">
            <v>522</v>
          </cell>
          <cell r="C144">
            <v>20.015999999999998</v>
          </cell>
        </row>
        <row r="145">
          <cell r="A145">
            <v>523</v>
          </cell>
          <cell r="C145">
            <v>0</v>
          </cell>
        </row>
        <row r="146">
          <cell r="A146">
            <v>524</v>
          </cell>
          <cell r="C146">
            <v>0</v>
          </cell>
        </row>
        <row r="147">
          <cell r="A147">
            <v>525</v>
          </cell>
          <cell r="C147">
            <v>46.265000000000001</v>
          </cell>
        </row>
        <row r="148">
          <cell r="A148">
            <v>526</v>
          </cell>
          <cell r="C148">
            <v>27.039000000000001</v>
          </cell>
        </row>
        <row r="149">
          <cell r="A149">
            <v>527</v>
          </cell>
          <cell r="C149">
            <v>19.027000000000001</v>
          </cell>
        </row>
        <row r="150">
          <cell r="A150">
            <v>528</v>
          </cell>
          <cell r="C150">
            <v>20.029</v>
          </cell>
        </row>
        <row r="151">
          <cell r="A151">
            <v>529</v>
          </cell>
          <cell r="C151">
            <v>0</v>
          </cell>
        </row>
        <row r="152">
          <cell r="A152">
            <v>530</v>
          </cell>
          <cell r="C152">
            <v>0</v>
          </cell>
        </row>
        <row r="153">
          <cell r="A153">
            <v>531</v>
          </cell>
          <cell r="C153">
            <v>20.018000000000001</v>
          </cell>
        </row>
        <row r="154">
          <cell r="A154">
            <v>601</v>
          </cell>
          <cell r="C154">
            <v>60.097000000000001</v>
          </cell>
        </row>
        <row r="155">
          <cell r="A155">
            <v>602</v>
          </cell>
          <cell r="C155">
            <v>146.30600000000001</v>
          </cell>
        </row>
        <row r="156">
          <cell r="A156">
            <v>603</v>
          </cell>
          <cell r="C156">
            <v>20.021000000000001</v>
          </cell>
        </row>
        <row r="157">
          <cell r="A157">
            <v>604</v>
          </cell>
          <cell r="C157">
            <v>146.28700000000001</v>
          </cell>
        </row>
        <row r="158">
          <cell r="A158">
            <v>605</v>
          </cell>
          <cell r="C158">
            <v>12.015000000000001</v>
          </cell>
        </row>
        <row r="159">
          <cell r="A159">
            <v>606</v>
          </cell>
          <cell r="C159">
            <v>86.227999999999994</v>
          </cell>
        </row>
        <row r="160">
          <cell r="A160">
            <v>607</v>
          </cell>
          <cell r="C160">
            <v>70.602000000000004</v>
          </cell>
        </row>
        <row r="161">
          <cell r="A161">
            <v>608</v>
          </cell>
          <cell r="C161">
            <v>0</v>
          </cell>
        </row>
        <row r="162">
          <cell r="A162">
            <v>609</v>
          </cell>
          <cell r="C162">
            <v>39.049999999999997</v>
          </cell>
        </row>
        <row r="163">
          <cell r="A163">
            <v>610</v>
          </cell>
          <cell r="C163">
            <v>0</v>
          </cell>
        </row>
        <row r="164">
          <cell r="A164">
            <v>611</v>
          </cell>
          <cell r="C164">
            <v>125.761</v>
          </cell>
        </row>
        <row r="165">
          <cell r="A165">
            <v>612</v>
          </cell>
          <cell r="C165">
            <v>0</v>
          </cell>
        </row>
        <row r="166">
          <cell r="A166">
            <v>613</v>
          </cell>
          <cell r="C166">
            <v>20.023</v>
          </cell>
        </row>
        <row r="167">
          <cell r="A167">
            <v>614</v>
          </cell>
          <cell r="C167">
            <v>19.015000000000001</v>
          </cell>
        </row>
        <row r="168">
          <cell r="A168">
            <v>615</v>
          </cell>
          <cell r="C168">
            <v>95.257000000000005</v>
          </cell>
        </row>
        <row r="169">
          <cell r="A169">
            <v>616</v>
          </cell>
          <cell r="C169">
            <v>35.249000000000002</v>
          </cell>
        </row>
        <row r="170">
          <cell r="A170">
            <v>617</v>
          </cell>
          <cell r="C170">
            <v>20.018000000000001</v>
          </cell>
        </row>
        <row r="171">
          <cell r="A171">
            <v>618</v>
          </cell>
          <cell r="C171">
            <v>20.024000000000001</v>
          </cell>
        </row>
        <row r="172">
          <cell r="A172">
            <v>619</v>
          </cell>
          <cell r="C172">
            <v>0</v>
          </cell>
        </row>
        <row r="173">
          <cell r="A173">
            <v>620</v>
          </cell>
          <cell r="C173">
            <v>172.453</v>
          </cell>
        </row>
        <row r="174">
          <cell r="A174">
            <v>621</v>
          </cell>
          <cell r="C174">
            <v>0</v>
          </cell>
        </row>
        <row r="175">
          <cell r="A175">
            <v>622</v>
          </cell>
          <cell r="C175">
            <v>50.055999999999997</v>
          </cell>
        </row>
        <row r="176">
          <cell r="A176">
            <v>623</v>
          </cell>
          <cell r="C176">
            <v>40.04</v>
          </cell>
        </row>
        <row r="177">
          <cell r="A177">
            <v>624</v>
          </cell>
          <cell r="C177">
            <v>20.018999999999998</v>
          </cell>
        </row>
        <row r="178">
          <cell r="A178">
            <v>625</v>
          </cell>
          <cell r="C178">
            <v>0</v>
          </cell>
        </row>
        <row r="179">
          <cell r="A179">
            <v>626</v>
          </cell>
          <cell r="C179">
            <v>0</v>
          </cell>
        </row>
        <row r="180">
          <cell r="A180">
            <v>627</v>
          </cell>
          <cell r="C180">
            <v>172.422</v>
          </cell>
        </row>
        <row r="181">
          <cell r="A181">
            <v>628</v>
          </cell>
          <cell r="C181">
            <v>20.027000000000001</v>
          </cell>
        </row>
        <row r="182">
          <cell r="A182">
            <v>629</v>
          </cell>
          <cell r="C182">
            <v>20.015999999999998</v>
          </cell>
        </row>
        <row r="183">
          <cell r="A183">
            <v>630</v>
          </cell>
          <cell r="C183">
            <v>92.477000000000004</v>
          </cell>
        </row>
        <row r="184">
          <cell r="A184">
            <v>701</v>
          </cell>
          <cell r="C184">
            <v>55.365000000000002</v>
          </cell>
        </row>
        <row r="185">
          <cell r="A185">
            <v>702</v>
          </cell>
          <cell r="C185">
            <v>60.064</v>
          </cell>
        </row>
        <row r="186">
          <cell r="A186">
            <v>703</v>
          </cell>
          <cell r="C186">
            <v>86.221999999999994</v>
          </cell>
        </row>
        <row r="187">
          <cell r="A187">
            <v>704</v>
          </cell>
          <cell r="C187">
            <v>0</v>
          </cell>
        </row>
        <row r="188">
          <cell r="A188">
            <v>705</v>
          </cell>
          <cell r="C188">
            <v>30.238</v>
          </cell>
        </row>
        <row r="189">
          <cell r="A189">
            <v>706</v>
          </cell>
          <cell r="C189">
            <v>20.044</v>
          </cell>
        </row>
        <row r="190">
          <cell r="A190">
            <v>707</v>
          </cell>
          <cell r="C190">
            <v>60.069000000000003</v>
          </cell>
        </row>
        <row r="191">
          <cell r="A191">
            <v>708</v>
          </cell>
          <cell r="C191">
            <v>40.034999999999997</v>
          </cell>
        </row>
        <row r="192">
          <cell r="A192">
            <v>709</v>
          </cell>
          <cell r="C192">
            <v>123.758</v>
          </cell>
        </row>
        <row r="193">
          <cell r="A193">
            <v>710</v>
          </cell>
          <cell r="C193">
            <v>86.231999999999999</v>
          </cell>
        </row>
        <row r="194">
          <cell r="A194">
            <v>711</v>
          </cell>
          <cell r="C194">
            <v>0</v>
          </cell>
        </row>
        <row r="195">
          <cell r="A195">
            <v>712</v>
          </cell>
          <cell r="C195">
            <v>40.017000000000003</v>
          </cell>
        </row>
        <row r="196">
          <cell r="A196">
            <v>713</v>
          </cell>
          <cell r="C196">
            <v>60.073999999999998</v>
          </cell>
        </row>
        <row r="197">
          <cell r="A197">
            <v>714</v>
          </cell>
          <cell r="C197">
            <v>40.042999999999999</v>
          </cell>
        </row>
        <row r="198">
          <cell r="A198">
            <v>715</v>
          </cell>
          <cell r="C198">
            <v>121.956</v>
          </cell>
        </row>
        <row r="199">
          <cell r="A199">
            <v>716</v>
          </cell>
          <cell r="C199">
            <v>100.11199999999999</v>
          </cell>
        </row>
        <row r="200">
          <cell r="A200">
            <v>717</v>
          </cell>
          <cell r="C200">
            <v>96.251999999999995</v>
          </cell>
        </row>
        <row r="201">
          <cell r="A201">
            <v>718</v>
          </cell>
          <cell r="C201">
            <v>0</v>
          </cell>
        </row>
        <row r="202">
          <cell r="A202">
            <v>719</v>
          </cell>
          <cell r="C202">
            <v>20.013999999999999</v>
          </cell>
        </row>
        <row r="203">
          <cell r="A203">
            <v>720</v>
          </cell>
          <cell r="C203">
            <v>20.018999999999998</v>
          </cell>
        </row>
        <row r="204">
          <cell r="A204">
            <v>721</v>
          </cell>
          <cell r="C204">
            <v>86.230999999999995</v>
          </cell>
        </row>
        <row r="205">
          <cell r="A205">
            <v>722</v>
          </cell>
          <cell r="C205">
            <v>133.982</v>
          </cell>
        </row>
        <row r="206">
          <cell r="A206">
            <v>723</v>
          </cell>
          <cell r="C206">
            <v>60.075000000000003</v>
          </cell>
        </row>
        <row r="207">
          <cell r="A207">
            <v>724</v>
          </cell>
          <cell r="C207">
            <v>20.018999999999998</v>
          </cell>
        </row>
        <row r="208">
          <cell r="A208">
            <v>725</v>
          </cell>
          <cell r="C208">
            <v>0</v>
          </cell>
        </row>
        <row r="209">
          <cell r="A209">
            <v>726</v>
          </cell>
          <cell r="C209">
            <v>20.018000000000001</v>
          </cell>
        </row>
        <row r="210">
          <cell r="A210">
            <v>727</v>
          </cell>
          <cell r="C210">
            <v>40.040999999999997</v>
          </cell>
        </row>
        <row r="211">
          <cell r="A211">
            <v>728</v>
          </cell>
          <cell r="C211">
            <v>55.25</v>
          </cell>
        </row>
        <row r="212">
          <cell r="A212">
            <v>729</v>
          </cell>
          <cell r="C212">
            <v>20.027999999999999</v>
          </cell>
        </row>
        <row r="213">
          <cell r="A213">
            <v>730</v>
          </cell>
          <cell r="C213">
            <v>20.024000000000001</v>
          </cell>
        </row>
        <row r="214">
          <cell r="A214">
            <v>731</v>
          </cell>
          <cell r="C214">
            <v>106.244</v>
          </cell>
        </row>
        <row r="215">
          <cell r="A215">
            <v>801</v>
          </cell>
          <cell r="C215">
            <v>60.063000000000002</v>
          </cell>
        </row>
        <row r="216">
          <cell r="A216">
            <v>802</v>
          </cell>
          <cell r="C216">
            <v>39.738</v>
          </cell>
        </row>
        <row r="217">
          <cell r="A217">
            <v>803</v>
          </cell>
          <cell r="C217">
            <v>37.741999999999997</v>
          </cell>
        </row>
        <row r="218">
          <cell r="A218">
            <v>804</v>
          </cell>
          <cell r="C218">
            <v>149.81200000000001</v>
          </cell>
        </row>
        <row r="219">
          <cell r="A219">
            <v>805</v>
          </cell>
          <cell r="C219">
            <v>20.047999999999998</v>
          </cell>
        </row>
        <row r="220">
          <cell r="A220">
            <v>806</v>
          </cell>
          <cell r="C220">
            <v>148.505</v>
          </cell>
        </row>
        <row r="221">
          <cell r="A221">
            <v>807</v>
          </cell>
          <cell r="C221">
            <v>0</v>
          </cell>
        </row>
        <row r="222">
          <cell r="A222">
            <v>808</v>
          </cell>
          <cell r="C222">
            <v>20.027000000000001</v>
          </cell>
        </row>
        <row r="223">
          <cell r="A223">
            <v>809</v>
          </cell>
          <cell r="C223">
            <v>29.52</v>
          </cell>
        </row>
        <row r="224">
          <cell r="A224">
            <v>810</v>
          </cell>
          <cell r="C224">
            <v>69.573999999999998</v>
          </cell>
        </row>
        <row r="225">
          <cell r="A225">
            <v>811</v>
          </cell>
          <cell r="C225">
            <v>20.033000000000001</v>
          </cell>
        </row>
        <row r="226">
          <cell r="A226">
            <v>812</v>
          </cell>
          <cell r="C226">
            <v>135.767</v>
          </cell>
        </row>
        <row r="227">
          <cell r="A227">
            <v>813</v>
          </cell>
          <cell r="C227">
            <v>0</v>
          </cell>
        </row>
        <row r="228">
          <cell r="A228">
            <v>814</v>
          </cell>
          <cell r="C228">
            <v>56.037999999999997</v>
          </cell>
        </row>
        <row r="229">
          <cell r="A229">
            <v>815</v>
          </cell>
          <cell r="C229">
            <v>17.815000000000001</v>
          </cell>
        </row>
        <row r="230">
          <cell r="A230">
            <v>816</v>
          </cell>
          <cell r="C230">
            <v>15.215999999999999</v>
          </cell>
        </row>
        <row r="231">
          <cell r="A231">
            <v>817</v>
          </cell>
          <cell r="C231">
            <v>40.04</v>
          </cell>
        </row>
        <row r="232">
          <cell r="A232">
            <v>818</v>
          </cell>
          <cell r="C232">
            <v>52.07</v>
          </cell>
        </row>
        <row r="233">
          <cell r="A233">
            <v>819</v>
          </cell>
          <cell r="C233">
            <v>86.2</v>
          </cell>
        </row>
        <row r="234">
          <cell r="A234">
            <v>820</v>
          </cell>
          <cell r="C234">
            <v>166.328</v>
          </cell>
        </row>
        <row r="235">
          <cell r="A235">
            <v>821</v>
          </cell>
          <cell r="C235">
            <v>106.245</v>
          </cell>
        </row>
        <row r="236">
          <cell r="A236">
            <v>822</v>
          </cell>
          <cell r="C236">
            <v>0</v>
          </cell>
        </row>
        <row r="237">
          <cell r="A237">
            <v>823</v>
          </cell>
          <cell r="C237">
            <v>0</v>
          </cell>
        </row>
        <row r="238">
          <cell r="A238">
            <v>824</v>
          </cell>
          <cell r="C238">
            <v>116.267</v>
          </cell>
        </row>
        <row r="239">
          <cell r="A239">
            <v>825</v>
          </cell>
          <cell r="C239">
            <v>99.602999999999994</v>
          </cell>
        </row>
        <row r="240">
          <cell r="A240">
            <v>826</v>
          </cell>
          <cell r="C240">
            <v>73.850999999999999</v>
          </cell>
        </row>
        <row r="241">
          <cell r="A241">
            <v>827</v>
          </cell>
          <cell r="C241">
            <v>12.016</v>
          </cell>
        </row>
        <row r="242">
          <cell r="A242">
            <v>828</v>
          </cell>
          <cell r="C242">
            <v>86.227000000000004</v>
          </cell>
        </row>
        <row r="243">
          <cell r="A243">
            <v>829</v>
          </cell>
          <cell r="C243">
            <v>0</v>
          </cell>
        </row>
        <row r="244">
          <cell r="A244">
            <v>830</v>
          </cell>
          <cell r="C244">
            <v>37.834000000000003</v>
          </cell>
        </row>
        <row r="245">
          <cell r="A245">
            <v>831</v>
          </cell>
          <cell r="C245">
            <v>86.23</v>
          </cell>
        </row>
        <row r="246">
          <cell r="A246">
            <v>901</v>
          </cell>
          <cell r="C246">
            <v>100.10299999999999</v>
          </cell>
        </row>
        <row r="247">
          <cell r="A247">
            <v>902</v>
          </cell>
          <cell r="C247">
            <v>106.249</v>
          </cell>
        </row>
        <row r="248">
          <cell r="A248">
            <v>903</v>
          </cell>
          <cell r="C248">
            <v>76.06</v>
          </cell>
        </row>
        <row r="249">
          <cell r="A249">
            <v>904</v>
          </cell>
          <cell r="C249">
            <v>0</v>
          </cell>
        </row>
        <row r="250">
          <cell r="A250">
            <v>905</v>
          </cell>
          <cell r="C250">
            <v>0</v>
          </cell>
        </row>
        <row r="251">
          <cell r="A251">
            <v>906</v>
          </cell>
          <cell r="C251">
            <v>20.045999999999999</v>
          </cell>
        </row>
        <row r="252">
          <cell r="A252">
            <v>907</v>
          </cell>
          <cell r="C252">
            <v>121.459</v>
          </cell>
        </row>
        <row r="253">
          <cell r="A253">
            <v>908</v>
          </cell>
          <cell r="C253">
            <v>106.244</v>
          </cell>
        </row>
        <row r="254">
          <cell r="A254">
            <v>909</v>
          </cell>
          <cell r="C254">
            <v>20.039000000000001</v>
          </cell>
        </row>
        <row r="255">
          <cell r="A255">
            <v>910</v>
          </cell>
          <cell r="C255">
            <v>55.66</v>
          </cell>
        </row>
        <row r="256">
          <cell r="A256">
            <v>911</v>
          </cell>
          <cell r="C256">
            <v>0</v>
          </cell>
        </row>
        <row r="257">
          <cell r="A257">
            <v>912</v>
          </cell>
          <cell r="C257">
            <v>106.258</v>
          </cell>
        </row>
        <row r="258">
          <cell r="A258">
            <v>913</v>
          </cell>
          <cell r="C258">
            <v>20.027000000000001</v>
          </cell>
        </row>
        <row r="259">
          <cell r="A259">
            <v>914</v>
          </cell>
          <cell r="C259">
            <v>96.24</v>
          </cell>
        </row>
        <row r="260">
          <cell r="A260">
            <v>915</v>
          </cell>
          <cell r="C260">
            <v>106.241</v>
          </cell>
        </row>
        <row r="261">
          <cell r="A261">
            <v>916</v>
          </cell>
          <cell r="C261">
            <v>35.256999999999998</v>
          </cell>
        </row>
        <row r="262">
          <cell r="A262">
            <v>917</v>
          </cell>
          <cell r="C262">
            <v>0</v>
          </cell>
        </row>
        <row r="263">
          <cell r="A263">
            <v>918</v>
          </cell>
          <cell r="C263">
            <v>122.251</v>
          </cell>
        </row>
        <row r="264">
          <cell r="A264">
            <v>919</v>
          </cell>
          <cell r="C264">
            <v>0</v>
          </cell>
        </row>
        <row r="265">
          <cell r="A265">
            <v>920</v>
          </cell>
          <cell r="C265">
            <v>0</v>
          </cell>
        </row>
        <row r="266">
          <cell r="A266">
            <v>921</v>
          </cell>
          <cell r="C266">
            <v>86.227999999999994</v>
          </cell>
        </row>
        <row r="267">
          <cell r="A267">
            <v>922</v>
          </cell>
          <cell r="C267">
            <v>20.023</v>
          </cell>
        </row>
        <row r="268">
          <cell r="A268">
            <v>923</v>
          </cell>
          <cell r="C268">
            <v>40.042999999999999</v>
          </cell>
        </row>
        <row r="269">
          <cell r="A269">
            <v>924</v>
          </cell>
          <cell r="C269">
            <v>20.036999999999999</v>
          </cell>
        </row>
        <row r="270">
          <cell r="A270">
            <v>925</v>
          </cell>
          <cell r="C270">
            <v>0</v>
          </cell>
        </row>
        <row r="271">
          <cell r="A271">
            <v>926</v>
          </cell>
          <cell r="C271">
            <v>86.221999999999994</v>
          </cell>
        </row>
        <row r="272">
          <cell r="A272">
            <v>927</v>
          </cell>
          <cell r="C272">
            <v>37.237000000000002</v>
          </cell>
        </row>
        <row r="273">
          <cell r="A273">
            <v>928</v>
          </cell>
          <cell r="C273">
            <v>30.541</v>
          </cell>
        </row>
        <row r="274">
          <cell r="A274">
            <v>929</v>
          </cell>
          <cell r="C274">
            <v>40.039000000000001</v>
          </cell>
        </row>
        <row r="275">
          <cell r="A275">
            <v>930</v>
          </cell>
          <cell r="C275">
            <v>116.273</v>
          </cell>
        </row>
        <row r="276">
          <cell r="A276">
            <v>1001</v>
          </cell>
          <cell r="C276">
            <v>0</v>
          </cell>
        </row>
        <row r="277">
          <cell r="A277">
            <v>1002</v>
          </cell>
          <cell r="C277">
            <v>0</v>
          </cell>
        </row>
        <row r="278">
          <cell r="A278">
            <v>1003</v>
          </cell>
          <cell r="C278">
            <v>0</v>
          </cell>
        </row>
        <row r="279">
          <cell r="A279">
            <v>1004</v>
          </cell>
          <cell r="C279">
            <v>0</v>
          </cell>
        </row>
        <row r="280">
          <cell r="A280">
            <v>1005</v>
          </cell>
          <cell r="C280">
            <v>0</v>
          </cell>
        </row>
        <row r="281">
          <cell r="A281">
            <v>1006</v>
          </cell>
          <cell r="C281">
            <v>0</v>
          </cell>
        </row>
        <row r="282">
          <cell r="A282">
            <v>1007</v>
          </cell>
          <cell r="C282">
            <v>0</v>
          </cell>
        </row>
        <row r="283">
          <cell r="A283">
            <v>1008</v>
          </cell>
          <cell r="C283">
            <v>0</v>
          </cell>
        </row>
        <row r="284">
          <cell r="A284">
            <v>1009</v>
          </cell>
          <cell r="C284">
            <v>0</v>
          </cell>
        </row>
        <row r="285">
          <cell r="A285">
            <v>1010</v>
          </cell>
          <cell r="C285">
            <v>0</v>
          </cell>
        </row>
        <row r="286">
          <cell r="A286">
            <v>1011</v>
          </cell>
          <cell r="C286">
            <v>0</v>
          </cell>
        </row>
        <row r="287">
          <cell r="A287">
            <v>1012</v>
          </cell>
          <cell r="C287">
            <v>0</v>
          </cell>
        </row>
        <row r="288">
          <cell r="A288">
            <v>1013</v>
          </cell>
          <cell r="C288">
            <v>0</v>
          </cell>
        </row>
        <row r="289">
          <cell r="A289">
            <v>1014</v>
          </cell>
          <cell r="C289">
            <v>0</v>
          </cell>
        </row>
        <row r="290">
          <cell r="A290">
            <v>1015</v>
          </cell>
          <cell r="C290">
            <v>0</v>
          </cell>
        </row>
        <row r="291">
          <cell r="A291">
            <v>1016</v>
          </cell>
          <cell r="C291">
            <v>0</v>
          </cell>
        </row>
        <row r="292">
          <cell r="A292">
            <v>1017</v>
          </cell>
          <cell r="C292">
            <v>0</v>
          </cell>
        </row>
        <row r="293">
          <cell r="A293">
            <v>1018</v>
          </cell>
          <cell r="C293">
            <v>0</v>
          </cell>
        </row>
        <row r="294">
          <cell r="A294">
            <v>1019</v>
          </cell>
          <cell r="C294">
            <v>0</v>
          </cell>
        </row>
        <row r="295">
          <cell r="A295">
            <v>1020</v>
          </cell>
          <cell r="C295">
            <v>0</v>
          </cell>
        </row>
        <row r="296">
          <cell r="A296">
            <v>1021</v>
          </cell>
          <cell r="C296">
            <v>0</v>
          </cell>
        </row>
        <row r="297">
          <cell r="A297">
            <v>1022</v>
          </cell>
          <cell r="C297">
            <v>0</v>
          </cell>
        </row>
        <row r="298">
          <cell r="A298">
            <v>1023</v>
          </cell>
          <cell r="C298">
            <v>0</v>
          </cell>
        </row>
        <row r="299">
          <cell r="A299">
            <v>1024</v>
          </cell>
          <cell r="C299">
            <v>0</v>
          </cell>
        </row>
        <row r="300">
          <cell r="A300">
            <v>1025</v>
          </cell>
          <cell r="C300">
            <v>0</v>
          </cell>
        </row>
        <row r="301">
          <cell r="A301">
            <v>1026</v>
          </cell>
          <cell r="C301">
            <v>0</v>
          </cell>
        </row>
        <row r="302">
          <cell r="A302">
            <v>1027</v>
          </cell>
          <cell r="C302">
            <v>0</v>
          </cell>
        </row>
        <row r="303">
          <cell r="A303">
            <v>1028</v>
          </cell>
          <cell r="C303">
            <v>0</v>
          </cell>
        </row>
        <row r="304">
          <cell r="A304">
            <v>1029</v>
          </cell>
          <cell r="C304">
            <v>0</v>
          </cell>
        </row>
        <row r="305">
          <cell r="A305">
            <v>1030</v>
          </cell>
          <cell r="C305">
            <v>0</v>
          </cell>
        </row>
        <row r="306">
          <cell r="A306">
            <v>1031</v>
          </cell>
          <cell r="C306">
            <v>0</v>
          </cell>
        </row>
        <row r="307">
          <cell r="A307">
            <v>1101</v>
          </cell>
          <cell r="C307">
            <v>0</v>
          </cell>
        </row>
        <row r="308">
          <cell r="A308">
            <v>1102</v>
          </cell>
          <cell r="C308">
            <v>0</v>
          </cell>
        </row>
        <row r="309">
          <cell r="A309">
            <v>1103</v>
          </cell>
          <cell r="C309">
            <v>0</v>
          </cell>
        </row>
        <row r="310">
          <cell r="A310">
            <v>1104</v>
          </cell>
          <cell r="C310">
            <v>0</v>
          </cell>
        </row>
        <row r="311">
          <cell r="A311">
            <v>1105</v>
          </cell>
          <cell r="C311">
            <v>0</v>
          </cell>
        </row>
        <row r="312">
          <cell r="A312">
            <v>1106</v>
          </cell>
          <cell r="C312">
            <v>0</v>
          </cell>
        </row>
        <row r="313">
          <cell r="A313">
            <v>1107</v>
          </cell>
          <cell r="C313">
            <v>0</v>
          </cell>
        </row>
        <row r="314">
          <cell r="A314">
            <v>1108</v>
          </cell>
          <cell r="C314">
            <v>0</v>
          </cell>
        </row>
        <row r="315">
          <cell r="A315">
            <v>1109</v>
          </cell>
          <cell r="C315">
            <v>0</v>
          </cell>
        </row>
        <row r="316">
          <cell r="A316">
            <v>1110</v>
          </cell>
          <cell r="C316">
            <v>0</v>
          </cell>
        </row>
        <row r="317">
          <cell r="A317">
            <v>1111</v>
          </cell>
          <cell r="C317">
            <v>0</v>
          </cell>
        </row>
        <row r="318">
          <cell r="A318">
            <v>1112</v>
          </cell>
          <cell r="C318">
            <v>0</v>
          </cell>
        </row>
        <row r="319">
          <cell r="A319">
            <v>1113</v>
          </cell>
          <cell r="C319">
            <v>0</v>
          </cell>
        </row>
        <row r="320">
          <cell r="A320">
            <v>1114</v>
          </cell>
          <cell r="C320">
            <v>0</v>
          </cell>
        </row>
        <row r="321">
          <cell r="A321">
            <v>1115</v>
          </cell>
          <cell r="C321">
            <v>0</v>
          </cell>
        </row>
        <row r="322">
          <cell r="A322">
            <v>1116</v>
          </cell>
          <cell r="C322">
            <v>0</v>
          </cell>
        </row>
        <row r="323">
          <cell r="A323">
            <v>1117</v>
          </cell>
          <cell r="C323">
            <v>0</v>
          </cell>
        </row>
        <row r="324">
          <cell r="A324">
            <v>1118</v>
          </cell>
          <cell r="C324">
            <v>0</v>
          </cell>
        </row>
        <row r="325">
          <cell r="A325">
            <v>1119</v>
          </cell>
          <cell r="C325">
            <v>0</v>
          </cell>
        </row>
        <row r="326">
          <cell r="A326">
            <v>1120</v>
          </cell>
          <cell r="C326">
            <v>0</v>
          </cell>
        </row>
        <row r="327">
          <cell r="A327">
            <v>1121</v>
          </cell>
          <cell r="C327">
            <v>0</v>
          </cell>
        </row>
        <row r="328">
          <cell r="A328">
            <v>1122</v>
          </cell>
          <cell r="C328">
            <v>0</v>
          </cell>
        </row>
        <row r="329">
          <cell r="A329">
            <v>1123</v>
          </cell>
          <cell r="C329">
            <v>0</v>
          </cell>
        </row>
        <row r="330">
          <cell r="A330">
            <v>1124</v>
          </cell>
          <cell r="C330">
            <v>0</v>
          </cell>
        </row>
        <row r="331">
          <cell r="A331">
            <v>1125</v>
          </cell>
          <cell r="C331">
            <v>0</v>
          </cell>
        </row>
        <row r="332">
          <cell r="A332">
            <v>1126</v>
          </cell>
          <cell r="C332">
            <v>0</v>
          </cell>
        </row>
        <row r="333">
          <cell r="A333">
            <v>1127</v>
          </cell>
          <cell r="C333">
            <v>0</v>
          </cell>
        </row>
        <row r="334">
          <cell r="A334">
            <v>1128</v>
          </cell>
          <cell r="C334">
            <v>0</v>
          </cell>
        </row>
        <row r="335">
          <cell r="A335">
            <v>1129</v>
          </cell>
          <cell r="C335">
            <v>0</v>
          </cell>
        </row>
        <row r="336">
          <cell r="A336">
            <v>1130</v>
          </cell>
          <cell r="C336">
            <v>0</v>
          </cell>
        </row>
        <row r="337">
          <cell r="A337">
            <v>1201</v>
          </cell>
          <cell r="C337">
            <v>0</v>
          </cell>
        </row>
        <row r="338">
          <cell r="A338">
            <v>1202</v>
          </cell>
          <cell r="C338">
            <v>0</v>
          </cell>
        </row>
        <row r="339">
          <cell r="A339">
            <v>1203</v>
          </cell>
          <cell r="C339">
            <v>0</v>
          </cell>
        </row>
        <row r="340">
          <cell r="A340">
            <v>1204</v>
          </cell>
          <cell r="C340">
            <v>0</v>
          </cell>
        </row>
        <row r="341">
          <cell r="A341">
            <v>1205</v>
          </cell>
          <cell r="C341">
            <v>0</v>
          </cell>
        </row>
        <row r="342">
          <cell r="A342">
            <v>1206</v>
          </cell>
          <cell r="C342">
            <v>0</v>
          </cell>
        </row>
        <row r="343">
          <cell r="A343">
            <v>1207</v>
          </cell>
          <cell r="C343">
            <v>0</v>
          </cell>
        </row>
        <row r="344">
          <cell r="A344">
            <v>1208</v>
          </cell>
          <cell r="C344">
            <v>0</v>
          </cell>
        </row>
        <row r="345">
          <cell r="A345">
            <v>1209</v>
          </cell>
          <cell r="C345">
            <v>0</v>
          </cell>
        </row>
        <row r="346">
          <cell r="A346">
            <v>1210</v>
          </cell>
          <cell r="C346">
            <v>0</v>
          </cell>
        </row>
        <row r="347">
          <cell r="A347">
            <v>1211</v>
          </cell>
          <cell r="C347">
            <v>0</v>
          </cell>
        </row>
        <row r="348">
          <cell r="A348">
            <v>1212</v>
          </cell>
          <cell r="C348">
            <v>0</v>
          </cell>
        </row>
        <row r="349">
          <cell r="A349">
            <v>1213</v>
          </cell>
          <cell r="C349">
            <v>0</v>
          </cell>
        </row>
        <row r="350">
          <cell r="A350">
            <v>1214</v>
          </cell>
          <cell r="C350">
            <v>0</v>
          </cell>
        </row>
        <row r="351">
          <cell r="A351">
            <v>1215</v>
          </cell>
          <cell r="C351">
            <v>0</v>
          </cell>
        </row>
        <row r="352">
          <cell r="A352">
            <v>1216</v>
          </cell>
          <cell r="C352">
            <v>0</v>
          </cell>
        </row>
        <row r="353">
          <cell r="A353">
            <v>1217</v>
          </cell>
          <cell r="C353">
            <v>0</v>
          </cell>
        </row>
        <row r="354">
          <cell r="A354">
            <v>1218</v>
          </cell>
          <cell r="C354">
            <v>0</v>
          </cell>
        </row>
        <row r="355">
          <cell r="A355">
            <v>1219</v>
          </cell>
          <cell r="C355">
            <v>0</v>
          </cell>
        </row>
        <row r="356">
          <cell r="A356">
            <v>1220</v>
          </cell>
          <cell r="C356">
            <v>0</v>
          </cell>
        </row>
        <row r="357">
          <cell r="A357">
            <v>1221</v>
          </cell>
          <cell r="C357">
            <v>0</v>
          </cell>
        </row>
        <row r="358">
          <cell r="A358">
            <v>1222</v>
          </cell>
          <cell r="C358">
            <v>0</v>
          </cell>
        </row>
        <row r="359">
          <cell r="A359">
            <v>1223</v>
          </cell>
          <cell r="C359">
            <v>0</v>
          </cell>
        </row>
        <row r="360">
          <cell r="A360">
            <v>1224</v>
          </cell>
          <cell r="C360">
            <v>0</v>
          </cell>
        </row>
        <row r="361">
          <cell r="A361">
            <v>1225</v>
          </cell>
          <cell r="C361">
            <v>0</v>
          </cell>
        </row>
        <row r="362">
          <cell r="A362">
            <v>1226</v>
          </cell>
          <cell r="C362">
            <v>0</v>
          </cell>
        </row>
        <row r="363">
          <cell r="A363">
            <v>1227</v>
          </cell>
          <cell r="C363">
            <v>0</v>
          </cell>
        </row>
        <row r="364">
          <cell r="A364">
            <v>1228</v>
          </cell>
          <cell r="C364">
            <v>0</v>
          </cell>
        </row>
        <row r="365">
          <cell r="A365">
            <v>1229</v>
          </cell>
          <cell r="C365">
            <v>0</v>
          </cell>
        </row>
        <row r="366">
          <cell r="A366">
            <v>1230</v>
          </cell>
          <cell r="C366">
            <v>0</v>
          </cell>
        </row>
        <row r="367">
          <cell r="C367"/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O29"/>
  <sheetViews>
    <sheetView tabSelected="1" zoomScaleNormal="100" workbookViewId="0">
      <selection activeCell="C7" sqref="C7"/>
    </sheetView>
  </sheetViews>
  <sheetFormatPr defaultColWidth="8.90625" defaultRowHeight="14.5" x14ac:dyDescent="0.35"/>
  <cols>
    <col min="1" max="1" width="5.90625" style="1" customWidth="1"/>
    <col min="2" max="2" width="15.6328125" style="1" customWidth="1"/>
    <col min="3" max="6" width="16.6328125" style="1" customWidth="1"/>
    <col min="7" max="7" width="9.54296875" style="1" bestFit="1" customWidth="1"/>
    <col min="8" max="8" width="16.6328125" style="1" customWidth="1"/>
    <col min="9" max="10" width="11.6328125" style="1" customWidth="1"/>
    <col min="11" max="11" width="15" style="1" customWidth="1"/>
    <col min="12" max="12" width="11.6328125" style="1" customWidth="1"/>
    <col min="13" max="13" width="13.36328125" style="1" customWidth="1"/>
    <col min="14" max="16384" width="8.90625" style="1"/>
  </cols>
  <sheetData>
    <row r="2" spans="1:15" ht="15.5" x14ac:dyDescent="0.35">
      <c r="B2" s="41">
        <v>2021</v>
      </c>
      <c r="C2" s="34" t="s">
        <v>32</v>
      </c>
      <c r="D2" s="34"/>
      <c r="E2" s="34"/>
      <c r="F2" s="34"/>
      <c r="G2" s="34"/>
      <c r="H2" s="34"/>
      <c r="I2" s="34"/>
      <c r="J2" s="34"/>
      <c r="K2" s="34"/>
      <c r="L2" s="34"/>
    </row>
    <row r="4" spans="1:15" ht="15" thickBot="1" x14ac:dyDescent="0.4"/>
    <row r="5" spans="1:15" x14ac:dyDescent="0.35">
      <c r="B5" s="25"/>
      <c r="C5" s="40" t="s">
        <v>16</v>
      </c>
      <c r="D5" s="79" t="s">
        <v>16</v>
      </c>
      <c r="E5" s="35" t="s">
        <v>31</v>
      </c>
      <c r="F5" s="188" t="s">
        <v>17</v>
      </c>
      <c r="G5" s="189"/>
      <c r="H5" s="190"/>
      <c r="I5" s="188" t="s">
        <v>18</v>
      </c>
      <c r="J5" s="189"/>
      <c r="K5" s="189"/>
      <c r="L5" s="190"/>
      <c r="M5" s="28" t="s">
        <v>57</v>
      </c>
    </row>
    <row r="6" spans="1:15" ht="15" thickBot="1" x14ac:dyDescent="0.4">
      <c r="B6" s="36"/>
      <c r="C6" s="46" t="s">
        <v>48</v>
      </c>
      <c r="D6" s="38" t="s">
        <v>47</v>
      </c>
      <c r="E6" s="37" t="s">
        <v>47</v>
      </c>
      <c r="F6" s="46" t="s">
        <v>19</v>
      </c>
      <c r="G6" s="38" t="s">
        <v>48</v>
      </c>
      <c r="H6" s="37" t="s">
        <v>47</v>
      </c>
      <c r="I6" s="38" t="s">
        <v>19</v>
      </c>
      <c r="J6" s="38" t="s">
        <v>48</v>
      </c>
      <c r="K6" s="38" t="s">
        <v>47</v>
      </c>
      <c r="L6" s="38" t="s">
        <v>49</v>
      </c>
      <c r="M6" s="39" t="s">
        <v>58</v>
      </c>
    </row>
    <row r="7" spans="1:15" x14ac:dyDescent="0.35">
      <c r="B7" s="26" t="s">
        <v>1</v>
      </c>
      <c r="C7" s="116">
        <f>JAN!$C$6+JAN!$F$6+JAN!$I$6+JAN!$L$6</f>
        <v>277.93400000000003</v>
      </c>
      <c r="D7" s="80">
        <f>IFERROR(C7*38%*1000/0.505,"")</f>
        <v>209138.45544554459</v>
      </c>
      <c r="E7" s="56"/>
      <c r="F7" s="60"/>
      <c r="G7" s="57"/>
      <c r="H7" s="56"/>
      <c r="I7" s="57"/>
      <c r="J7" s="57"/>
      <c r="K7" s="80"/>
      <c r="L7" s="58"/>
      <c r="M7" s="59"/>
    </row>
    <row r="8" spans="1:15" x14ac:dyDescent="0.35">
      <c r="B8" s="26" t="s">
        <v>20</v>
      </c>
      <c r="C8" s="116">
        <f>IFERROR(JAN!$H$40,"")</f>
        <v>596.6468196458984</v>
      </c>
      <c r="D8" s="80">
        <f>IFERROR(C8*38%*1000/0.505,"")</f>
        <v>448961.96329790377</v>
      </c>
      <c r="E8" s="112">
        <f>IFERROR((JAN!$D$38+JAN!$G$38+JAN!$J$38+JAN!$M$38)*JAN!$H$3*1000/0.505,"")</f>
        <v>239823.50785235912</v>
      </c>
      <c r="F8" s="60">
        <f>IFERROR(JAN!$O$38,"")</f>
        <v>456.64714000000004</v>
      </c>
      <c r="G8" s="57">
        <f>IFERROR(F8/38%,"")</f>
        <v>1201.703</v>
      </c>
      <c r="H8" s="112">
        <f>IFERROR(F8*1000/0.505,"")</f>
        <v>904251.76237623766</v>
      </c>
      <c r="I8" s="57">
        <f>JAN!$Q$38</f>
        <v>577.75801146544143</v>
      </c>
      <c r="J8" s="57">
        <f>IFERROR(I8/38%,"")</f>
        <v>1520.4158196458984</v>
      </c>
      <c r="K8" s="80">
        <f>IFERROR(I8*1000/0.505,"")</f>
        <v>1144075.2702285969</v>
      </c>
      <c r="L8" s="58">
        <f>IFERROR(J8/(DATE($B$2,2,1)-DATE($B$2,1,1)),"")</f>
        <v>49.045671601480592</v>
      </c>
      <c r="M8" s="151">
        <f>JAN!R41</f>
        <v>9.2218004862729686E-2</v>
      </c>
      <c r="N8" s="64"/>
      <c r="O8" s="64"/>
    </row>
    <row r="9" spans="1:15" x14ac:dyDescent="0.35">
      <c r="B9" s="26" t="s">
        <v>21</v>
      </c>
      <c r="C9" s="116">
        <f>FEB!$H$40</f>
        <v>502.55041537747104</v>
      </c>
      <c r="D9" s="80">
        <f t="shared" ref="D9:D19" si="0">IFERROR(C9*38%*1000/0.505,"")</f>
        <v>378156.7482048297</v>
      </c>
      <c r="E9" s="112">
        <f>IFERROR((FEB!$D$38+FEB!$G$38+FEB!$J$38+FEB!$M$38)*FEB!$H$3*1000/0.505,"")</f>
        <v>-70805.215093073974</v>
      </c>
      <c r="F9" s="60">
        <f>IFERROR(FEB!$O$38,"")</f>
        <v>597.39382000000012</v>
      </c>
      <c r="G9" s="57">
        <f t="shared" ref="G9:G19" si="1">IFERROR(F9/38%,"")</f>
        <v>1572.0890000000004</v>
      </c>
      <c r="H9" s="112">
        <f t="shared" ref="H9:H19" si="2">IFERROR(F9*1000/0.505,"")</f>
        <v>1182958.0594059408</v>
      </c>
      <c r="I9" s="57">
        <f>FEB!$Q$38</f>
        <v>561.63718637799775</v>
      </c>
      <c r="J9" s="57">
        <f t="shared" ref="J9:J19" si="3">IFERROR(I9/38%,"")</f>
        <v>1477.9925957315729</v>
      </c>
      <c r="K9" s="80">
        <f t="shared" ref="K9:K19" si="4">IFERROR(I9*1000/0.505,"")</f>
        <v>1112152.8443128669</v>
      </c>
      <c r="L9" s="58">
        <f>IFERROR(J9/(DATE($B$2,3,1)-DATE($B$2,2,1)),"")</f>
        <v>52.785449847556173</v>
      </c>
      <c r="M9" s="151">
        <f>FEB!R41</f>
        <v>3.3160924275719026</v>
      </c>
      <c r="N9" s="115"/>
      <c r="O9" s="115"/>
    </row>
    <row r="10" spans="1:15" x14ac:dyDescent="0.35">
      <c r="B10" s="26" t="s">
        <v>22</v>
      </c>
      <c r="C10" s="116">
        <f>MAR!$H$40</f>
        <v>219.54504909117205</v>
      </c>
      <c r="D10" s="80">
        <f t="shared" si="0"/>
        <v>165202.21515771362</v>
      </c>
      <c r="E10" s="112">
        <f>IFERROR((MAR!$D$38+MAR!$G$38+MAR!$J$38+MAR!$M$38)*MAR!$H$3*1000/0.505,"")</f>
        <v>-212954.53304711616</v>
      </c>
      <c r="F10" s="60">
        <f>IFERROR(MAR!$O$38,"")</f>
        <v>741.56201999999996</v>
      </c>
      <c r="G10" s="57">
        <f t="shared" si="1"/>
        <v>1951.4789999999998</v>
      </c>
      <c r="H10" s="112">
        <f t="shared" si="2"/>
        <v>1468439.6435643565</v>
      </c>
      <c r="I10" s="57">
        <f>MAR!$Q$38</f>
        <v>634.01998081120621</v>
      </c>
      <c r="J10" s="57">
        <f t="shared" si="3"/>
        <v>1668.4736337137006</v>
      </c>
      <c r="K10" s="80">
        <f t="shared" si="4"/>
        <v>1255485.1105172399</v>
      </c>
      <c r="L10" s="58">
        <f>IFERROR(J10/(DATE($B$2,4,1)-DATE($B$2,3,1)),"")</f>
        <v>53.82173011979679</v>
      </c>
      <c r="M10" s="151">
        <f>MAR!R41</f>
        <v>2.0302786127725767</v>
      </c>
      <c r="N10" s="115"/>
      <c r="O10" s="115"/>
    </row>
    <row r="11" spans="1:15" x14ac:dyDescent="0.35">
      <c r="B11" s="26" t="s">
        <v>23</v>
      </c>
      <c r="C11" s="116">
        <f>APR!$H$40</f>
        <v>245.74796306003572</v>
      </c>
      <c r="D11" s="80">
        <f t="shared" si="0"/>
        <v>184919.25933230412</v>
      </c>
      <c r="E11" s="112">
        <f>IFERROR((APR!$D$38+APR!$G$38+APR!$J$38+APR!$M$38)*JAN!$H$3*1000/0.505,"")</f>
        <v>19717.044174590501</v>
      </c>
      <c r="F11" s="60">
        <f>IFERROR(APR!$O$38,"")</f>
        <v>541.41944000000001</v>
      </c>
      <c r="G11" s="57">
        <f t="shared" si="1"/>
        <v>1424.788</v>
      </c>
      <c r="H11" s="112">
        <f t="shared" si="2"/>
        <v>1072117.7029702971</v>
      </c>
      <c r="I11" s="57">
        <f>IFERROR(APR!$Q$38,"")</f>
        <v>551.37654730816814</v>
      </c>
      <c r="J11" s="57">
        <f t="shared" si="3"/>
        <v>1450.9909139688634</v>
      </c>
      <c r="K11" s="80">
        <f t="shared" si="4"/>
        <v>1091834.7471448875</v>
      </c>
      <c r="L11" s="58">
        <f>IFERROR(J11/(DATE($B$2,5,1)-DATE($B$2,4,1)),"")</f>
        <v>48.366363798962112</v>
      </c>
      <c r="M11" s="151">
        <f>APR!R41</f>
        <v>0.65943113538969556</v>
      </c>
      <c r="N11" s="115"/>
      <c r="O11" s="115"/>
    </row>
    <row r="12" spans="1:15" x14ac:dyDescent="0.35">
      <c r="B12" s="26" t="s">
        <v>24</v>
      </c>
      <c r="C12" s="116">
        <f>MAY!$H$40</f>
        <v>437.88201462246451</v>
      </c>
      <c r="D12" s="80">
        <f t="shared" si="0"/>
        <v>329495.37733967626</v>
      </c>
      <c r="E12" s="112">
        <f>IFERROR((MAY!$D$38+MAY!$G$38+MAY!$J$38+MAY!$M$38)*JAN!$H$3*1000/0.505,"")</f>
        <v>144576.11800737216</v>
      </c>
      <c r="F12" s="60">
        <f>IFERROR(MAY!$O$38,"")</f>
        <v>480.83451999999994</v>
      </c>
      <c r="G12" s="57">
        <f t="shared" si="1"/>
        <v>1265.3539999999998</v>
      </c>
      <c r="H12" s="112">
        <f t="shared" si="2"/>
        <v>952147.56435643556</v>
      </c>
      <c r="I12" s="57">
        <f>IFERROR(MAY!$Q$38,"")</f>
        <v>553.84545959372281</v>
      </c>
      <c r="J12" s="57">
        <f t="shared" ref="J12" si="5">IFERROR(I12/38%,"")</f>
        <v>1457.4880515624284</v>
      </c>
      <c r="K12" s="80">
        <f t="shared" ref="K12" si="6">IFERROR(I12*1000/0.505,"")</f>
        <v>1096723.6823638077</v>
      </c>
      <c r="L12" s="58">
        <f>IFERROR(J12/(DATE($B$2,6,1)-DATE($B$2,5,1)),"")</f>
        <v>47.015743598788013</v>
      </c>
      <c r="M12" s="151">
        <f>MAY!R41</f>
        <v>2.2238654539320351</v>
      </c>
      <c r="N12" s="115"/>
      <c r="O12" s="115"/>
    </row>
    <row r="13" spans="1:15" x14ac:dyDescent="0.35">
      <c r="A13" s="64"/>
      <c r="B13" s="26" t="s">
        <v>25</v>
      </c>
      <c r="C13" s="116">
        <f>JUN!$H$40</f>
        <v>399.48255089293116</v>
      </c>
      <c r="D13" s="80">
        <f t="shared" si="0"/>
        <v>300600.73136497784</v>
      </c>
      <c r="E13" s="112">
        <f>IFERROR((JUN!$D$38+JUN!$G$38+JUN!$J$38+JUN!$M$38)*JAN!$H$3*1000/0.505,"")</f>
        <v>-28894.645974698386</v>
      </c>
      <c r="F13" s="60">
        <f>IFERROR(JUN!$O$38,"")</f>
        <v>571.31593999999996</v>
      </c>
      <c r="G13" s="57">
        <f t="shared" si="1"/>
        <v>1503.463</v>
      </c>
      <c r="H13" s="112">
        <f t="shared" si="2"/>
        <v>1131318.6930693069</v>
      </c>
      <c r="I13" s="57">
        <f>IFERROR(JUN!$Q$38,"")</f>
        <v>556.72414378277733</v>
      </c>
      <c r="J13" s="57">
        <f t="shared" si="3"/>
        <v>1465.0635362704666</v>
      </c>
      <c r="K13" s="80">
        <f t="shared" si="4"/>
        <v>1102424.0470946087</v>
      </c>
      <c r="L13" s="58">
        <f>IFERROR(J13/(DATE($B$2,7,1)-DATE($B$2,6,1)),"")</f>
        <v>48.835451209015552</v>
      </c>
      <c r="M13" s="151">
        <f>JUN!R41</f>
        <v>0.19748965793189655</v>
      </c>
      <c r="N13" s="115"/>
      <c r="O13" s="115"/>
    </row>
    <row r="14" spans="1:15" x14ac:dyDescent="0.35">
      <c r="B14" s="170" t="s">
        <v>62</v>
      </c>
      <c r="C14" s="116">
        <f>JUL!$H$40</f>
        <v>391.1261862526818</v>
      </c>
      <c r="D14" s="80">
        <f t="shared" si="0"/>
        <v>294312.77381389914</v>
      </c>
      <c r="E14" s="112">
        <f>IFERROR((JUL!$D$38+JUL!$G$38+JUL!$J$38+JUL!$M$38)*JAN!$H$3*1000/0.505,"")</f>
        <v>-6287.9575510786999</v>
      </c>
      <c r="F14" s="60">
        <f>JUL!O38</f>
        <v>616.52188000000001</v>
      </c>
      <c r="G14" s="57">
        <f t="shared" si="1"/>
        <v>1622.4259999999999</v>
      </c>
      <c r="H14" s="112">
        <f t="shared" si="2"/>
        <v>1220835.4059405942</v>
      </c>
      <c r="I14" s="57">
        <f>JUL!Q38</f>
        <v>613.34646143670534</v>
      </c>
      <c r="J14" s="57">
        <f t="shared" si="3"/>
        <v>1614.0696353597509</v>
      </c>
      <c r="K14" s="80">
        <f t="shared" si="4"/>
        <v>1214547.4483895155</v>
      </c>
      <c r="L14" s="58">
        <f>IFERROR(J14/(DATE($B$2,7,1)-DATE($B$2,6,1)),"")</f>
        <v>53.802321178658367</v>
      </c>
      <c r="M14" s="151">
        <f>JUL!R41</f>
        <v>0.4936080381606871</v>
      </c>
      <c r="N14" s="115"/>
      <c r="O14" s="115"/>
    </row>
    <row r="15" spans="1:15" x14ac:dyDescent="0.35">
      <c r="B15" s="26" t="s">
        <v>26</v>
      </c>
      <c r="C15" s="116">
        <f>AUG!$H$40</f>
        <v>277.7934713581285</v>
      </c>
      <c r="D15" s="80">
        <f t="shared" si="0"/>
        <v>209032.71112096799</v>
      </c>
      <c r="E15" s="112">
        <f>IFERROR((AUG!$D$38+AUG!$G$38+AUG!$J$38+AUG!$M$38)*JAN!$H$3*1000/0.505,"")</f>
        <v>-85280.062692931257</v>
      </c>
      <c r="F15" s="60">
        <f>IFERROR(AUG!$O$38,"")</f>
        <v>677.46742000000017</v>
      </c>
      <c r="G15" s="57">
        <f t="shared" si="1"/>
        <v>1782.8090000000004</v>
      </c>
      <c r="H15" s="112">
        <f t="shared" si="2"/>
        <v>1341519.6435643567</v>
      </c>
      <c r="I15" s="57">
        <f>IFERROR(AUG!$Q$38,"")</f>
        <v>634.40098834006983</v>
      </c>
      <c r="J15" s="57">
        <f t="shared" si="3"/>
        <v>1669.476285105447</v>
      </c>
      <c r="K15" s="80">
        <f t="shared" si="4"/>
        <v>1256239.5808714253</v>
      </c>
      <c r="L15" s="58">
        <f>IFERROR(J15/(DATE($B$2,9,1)-DATE($B$2,8,1)),"")</f>
        <v>53.854073713078932</v>
      </c>
      <c r="M15" s="151">
        <f>AUG!R41</f>
        <v>0.36721431308308183</v>
      </c>
      <c r="N15" s="64"/>
      <c r="O15" s="64"/>
    </row>
    <row r="16" spans="1:15" x14ac:dyDescent="0.35">
      <c r="B16" s="26" t="s">
        <v>27</v>
      </c>
      <c r="C16" s="116">
        <f>SEP!$H$40</f>
        <v>249.92093392059854</v>
      </c>
      <c r="D16" s="80">
        <f t="shared" si="0"/>
        <v>188059.31661351971</v>
      </c>
      <c r="E16" s="112">
        <f>IFERROR((SEP!$D$38+SEP!$G$38+SEP!$J$38+SEP!$M$38)*JAN!$H$3*1000/0.505,"")</f>
        <v>-20973.394507448284</v>
      </c>
      <c r="F16" s="60">
        <f>IFERROR(SEP!$O$38,"")</f>
        <v>596.13526000000002</v>
      </c>
      <c r="G16" s="57">
        <f t="shared" si="1"/>
        <v>1568.777</v>
      </c>
      <c r="H16" s="112">
        <f t="shared" si="2"/>
        <v>1180465.8613861387</v>
      </c>
      <c r="I16" s="57">
        <f>IFERROR(SEP!$Q$38,"")</f>
        <v>585.54369577373848</v>
      </c>
      <c r="J16" s="57">
        <f t="shared" si="3"/>
        <v>1540.9044625624697</v>
      </c>
      <c r="K16" s="80">
        <f t="shared" si="4"/>
        <v>1159492.4668786901</v>
      </c>
      <c r="L16" s="58">
        <f t="shared" ref="L16:L19" si="7">IFERROR(J16/30,"")</f>
        <v>51.363482085415654</v>
      </c>
      <c r="M16" s="151">
        <f>SEP!R41</f>
        <v>7.1935420566319408E-2</v>
      </c>
      <c r="N16" s="64"/>
      <c r="O16" s="64"/>
    </row>
    <row r="17" spans="2:15" x14ac:dyDescent="0.35">
      <c r="B17" s="26" t="s">
        <v>28</v>
      </c>
      <c r="C17" s="116">
        <f>OCT!$H$40</f>
        <v>0</v>
      </c>
      <c r="D17" s="80">
        <f t="shared" si="0"/>
        <v>0</v>
      </c>
      <c r="E17" s="112">
        <f>IFERROR((OCT!$D$38+OCT!$G$38+OCT!$J$38+OCT!$M$38)*JAN!$H$3*1000/0.505,"")</f>
        <v>-188059.31661351971</v>
      </c>
      <c r="F17" s="60">
        <f>IFERROR(OCT!$O$38,"")</f>
        <v>0</v>
      </c>
      <c r="G17" s="57">
        <f t="shared" si="1"/>
        <v>0</v>
      </c>
      <c r="H17" s="112">
        <f t="shared" si="2"/>
        <v>0</v>
      </c>
      <c r="I17" s="57" t="str">
        <f>IFERROR(OCT!$Q$38,"")</f>
        <v/>
      </c>
      <c r="J17" s="57" t="str">
        <f t="shared" si="3"/>
        <v/>
      </c>
      <c r="K17" s="80" t="str">
        <f t="shared" si="4"/>
        <v/>
      </c>
      <c r="L17" s="58" t="str">
        <f t="shared" si="7"/>
        <v/>
      </c>
      <c r="M17" s="151">
        <f>OCT!R41</f>
        <v>24</v>
      </c>
      <c r="N17" s="64"/>
      <c r="O17" s="64"/>
    </row>
    <row r="18" spans="2:15" x14ac:dyDescent="0.35">
      <c r="B18" s="26" t="s">
        <v>29</v>
      </c>
      <c r="C18" s="116">
        <f>NOV!$H$40</f>
        <v>0</v>
      </c>
      <c r="D18" s="80">
        <f t="shared" si="0"/>
        <v>0</v>
      </c>
      <c r="E18" s="112">
        <f>IFERROR((NOV!$D$38+NOV!$G$38+NOV!$J$38+NOV!$M$38)*JAN!$H$3*1000/0.505,"")</f>
        <v>0</v>
      </c>
      <c r="F18" s="60">
        <f>IFERROR(NOV!$O$38,"")</f>
        <v>0</v>
      </c>
      <c r="G18" s="57">
        <f t="shared" si="1"/>
        <v>0</v>
      </c>
      <c r="H18" s="112">
        <f t="shared" si="2"/>
        <v>0</v>
      </c>
      <c r="I18" s="57" t="str">
        <f>IFERROR(NOV!$Q$38,"")</f>
        <v/>
      </c>
      <c r="J18" s="57" t="str">
        <f t="shared" si="3"/>
        <v/>
      </c>
      <c r="K18" s="80" t="str">
        <f t="shared" si="4"/>
        <v/>
      </c>
      <c r="L18" s="58" t="str">
        <f t="shared" si="7"/>
        <v/>
      </c>
      <c r="M18" s="151">
        <f>NOV!R41</f>
        <v>24</v>
      </c>
      <c r="N18" s="64"/>
      <c r="O18" s="64"/>
    </row>
    <row r="19" spans="2:15" ht="15" thickBot="1" x14ac:dyDescent="0.4">
      <c r="B19" s="27" t="s">
        <v>30</v>
      </c>
      <c r="C19" s="116">
        <f>DEC!$H$40</f>
        <v>0</v>
      </c>
      <c r="D19" s="80">
        <f t="shared" si="0"/>
        <v>0</v>
      </c>
      <c r="E19" s="112">
        <f>IFERROR((DEC!$D$38+DEC!$G$38+DEC!$J$38+DEC!$M$38)*JAN!$H$3*1000/0.505,"")</f>
        <v>0</v>
      </c>
      <c r="F19" s="61">
        <f>IFERROR(DEC!$O$38,"")</f>
        <v>0</v>
      </c>
      <c r="G19" s="57">
        <f t="shared" si="1"/>
        <v>0</v>
      </c>
      <c r="H19" s="112">
        <f t="shared" si="2"/>
        <v>0</v>
      </c>
      <c r="I19" s="62" t="str">
        <f>IFERROR(DEC!$Q$38,"")</f>
        <v/>
      </c>
      <c r="J19" s="57" t="str">
        <f t="shared" si="3"/>
        <v/>
      </c>
      <c r="K19" s="80" t="str">
        <f t="shared" si="4"/>
        <v/>
      </c>
      <c r="L19" s="58" t="str">
        <f t="shared" si="7"/>
        <v/>
      </c>
      <c r="M19" s="152">
        <f>DEC!R41</f>
        <v>24</v>
      </c>
    </row>
    <row r="20" spans="2:15" ht="15" thickBot="1" x14ac:dyDescent="0.4">
      <c r="B20" s="44" t="s">
        <v>34</v>
      </c>
      <c r="C20" s="29">
        <f>C7+I20/38%-G20</f>
        <v>249.92093392059724</v>
      </c>
      <c r="D20" s="29">
        <f>D7+E20</f>
        <v>0</v>
      </c>
      <c r="E20" s="45">
        <f t="shared" ref="E20:M20" si="8">SUM(E8:E19)</f>
        <v>-209138.45544554471</v>
      </c>
      <c r="F20" s="114">
        <f t="shared" si="8"/>
        <v>5279.2974400000003</v>
      </c>
      <c r="G20" s="29">
        <f t="shared" si="8"/>
        <v>13892.888000000001</v>
      </c>
      <c r="H20" s="81">
        <f t="shared" si="8"/>
        <v>10454054.336633664</v>
      </c>
      <c r="I20" s="29">
        <f t="shared" si="8"/>
        <v>5268.6524748898273</v>
      </c>
      <c r="J20" s="29">
        <f t="shared" si="8"/>
        <v>13864.874933920597</v>
      </c>
      <c r="K20" s="81">
        <f t="shared" si="8"/>
        <v>10432975.197801637</v>
      </c>
      <c r="L20" s="30">
        <f t="shared" si="8"/>
        <v>458.89028715275219</v>
      </c>
      <c r="M20" s="153">
        <f t="shared" si="8"/>
        <v>81.452133064270924</v>
      </c>
    </row>
    <row r="22" spans="2:15" x14ac:dyDescent="0.35">
      <c r="B22" s="187" t="s">
        <v>51</v>
      </c>
      <c r="C22" s="187"/>
      <c r="D22" s="117"/>
    </row>
    <row r="23" spans="2:15" x14ac:dyDescent="0.35">
      <c r="B23" s="118" t="s">
        <v>52</v>
      </c>
      <c r="C23" s="119"/>
      <c r="D23" s="117"/>
    </row>
    <row r="24" spans="2:15" x14ac:dyDescent="0.35">
      <c r="B24" s="118" t="s">
        <v>61</v>
      </c>
      <c r="C24" s="120"/>
      <c r="D24" s="117"/>
    </row>
    <row r="26" spans="2:15" x14ac:dyDescent="0.35">
      <c r="B26" s="121" t="s">
        <v>53</v>
      </c>
      <c r="C26" s="122" t="s">
        <v>54</v>
      </c>
      <c r="D26" s="123"/>
    </row>
    <row r="27" spans="2:15" ht="26" x14ac:dyDescent="0.35">
      <c r="B27" s="126" t="s">
        <v>59</v>
      </c>
      <c r="C27" s="127">
        <v>693</v>
      </c>
      <c r="D27" s="123"/>
    </row>
    <row r="28" spans="2:15" ht="26" x14ac:dyDescent="0.35">
      <c r="B28" s="126" t="s">
        <v>55</v>
      </c>
      <c r="C28" s="127">
        <v>990</v>
      </c>
      <c r="D28" s="123"/>
    </row>
    <row r="29" spans="2:15" x14ac:dyDescent="0.35">
      <c r="B29" s="124" t="s">
        <v>56</v>
      </c>
      <c r="C29" s="125"/>
      <c r="D29" s="123"/>
    </row>
  </sheetData>
  <mergeCells count="3">
    <mergeCell ref="B22:C22"/>
    <mergeCell ref="I5:L5"/>
    <mergeCell ref="F5:H5"/>
  </mergeCells>
  <pageMargins left="0.70866141732283472" right="0.70866141732283472" top="0.74803149606299213" bottom="0.74803149606299213" header="0.31496062992125984" footer="0.31496062992125984"/>
  <pageSetup scale="63" orientation="landscape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4AE34430-4110-4E38-A589-653D6F370E8A}">
            <x14:iconSet custom="1">
              <x14:cfvo type="percent">
                <xm:f>0</xm:f>
              </x14:cfvo>
              <x14:cfvo type="num">
                <xm:f>693</xm:f>
              </x14:cfvo>
              <x14:cfvo type="num">
                <xm:f>990</xm:f>
              </x14:cfvo>
              <x14:cfIcon iconSet="3TrafficLights1" iconId="2"/>
              <x14:cfIcon iconSet="3TrafficLights1" iconId="1"/>
              <x14:cfIcon iconSet="4TrafficLights" iconId="0"/>
            </x14:iconSet>
          </x14:cfRule>
          <xm:sqref>C27:C28</xm:sqref>
        </x14:conditionalFormatting>
        <x14:conditionalFormatting xmlns:xm="http://schemas.microsoft.com/office/excel/2006/main">
          <x14:cfRule type="iconSet" priority="10" id="{D2D1DC88-3B0C-484D-ABFA-56750E2F29BE}">
            <x14:iconSet custom="1">
              <x14:cfvo type="percent">
                <xm:f>0</xm:f>
              </x14:cfvo>
              <x14:cfvo type="num">
                <xm:f>693</xm:f>
              </x14:cfvo>
              <x14:cfvo type="num">
                <xm:f>990</xm:f>
              </x14:cfvo>
              <x14:cfIcon iconSet="3TrafficLights1" iconId="2"/>
              <x14:cfIcon iconSet="3TrafficLights1" iconId="1"/>
              <x14:cfIcon iconSet="4TrafficLights" iconId="0"/>
            </x14:iconSet>
          </x14:cfRule>
          <xm:sqref>C7:C19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41"/>
  <sheetViews>
    <sheetView showGridLines="0" zoomScale="70" zoomScaleNormal="70" workbookViewId="0">
      <pane xSplit="1" ySplit="5" topLeftCell="B6" activePane="bottomRight" state="frozen"/>
      <selection activeCell="B9" sqref="B9"/>
      <selection pane="topRight" activeCell="B9" sqref="B9"/>
      <selection pane="bottomLeft" activeCell="B9" sqref="B9"/>
      <selection pane="bottomRight" activeCell="C11" sqref="C11"/>
    </sheetView>
  </sheetViews>
  <sheetFormatPr defaultColWidth="8.90625" defaultRowHeight="14.5" x14ac:dyDescent="0.35"/>
  <cols>
    <col min="1" max="7" width="9.6328125" style="1" customWidth="1"/>
    <col min="8" max="8" width="10.36328125" style="1" bestFit="1" customWidth="1"/>
    <col min="9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19" width="10.6328125" style="82" customWidth="1"/>
    <col min="20" max="16384" width="8.90625" style="1"/>
  </cols>
  <sheetData>
    <row r="1" spans="1:20" s="10" customFormat="1" x14ac:dyDescent="0.35">
      <c r="A1" s="191" t="s">
        <v>35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</row>
    <row r="2" spans="1:20" s="10" customFormat="1" x14ac:dyDescent="0.35">
      <c r="A2" s="192">
        <f>SUMMARY!B2</f>
        <v>2021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33"/>
      <c r="S2" s="83"/>
    </row>
    <row r="3" spans="1:20" s="10" customFormat="1" ht="15" thickBot="1" x14ac:dyDescent="0.4">
      <c r="A3" s="168">
        <f>[1]SUMMARY!$K$4</f>
        <v>1.3502009709790685</v>
      </c>
      <c r="B3" s="198" t="s">
        <v>13</v>
      </c>
      <c r="C3" s="198"/>
      <c r="D3" s="198"/>
      <c r="E3" s="198"/>
      <c r="F3" s="198"/>
      <c r="G3" s="198"/>
      <c r="H3" s="84">
        <v>0.38</v>
      </c>
      <c r="I3" s="8" t="s">
        <v>12</v>
      </c>
      <c r="J3" s="8"/>
      <c r="K3" s="8"/>
      <c r="L3" s="8"/>
      <c r="M3" s="85"/>
      <c r="N3" s="86"/>
      <c r="S3" s="83"/>
    </row>
    <row r="4" spans="1:20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29" t="s">
        <v>50</v>
      </c>
    </row>
    <row r="5" spans="1:20" x14ac:dyDescent="0.35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36" t="s">
        <v>15</v>
      </c>
      <c r="S5" s="91" t="s">
        <v>3</v>
      </c>
    </row>
    <row r="6" spans="1:20" ht="14" customHeight="1" x14ac:dyDescent="0.35">
      <c r="A6" s="3" t="s">
        <v>1</v>
      </c>
      <c r="B6" s="107"/>
      <c r="C6" s="70">
        <v>59.835000000000001</v>
      </c>
      <c r="D6" s="161"/>
      <c r="E6" s="106"/>
      <c r="F6" s="70">
        <v>36.811999999999998</v>
      </c>
      <c r="G6" s="161"/>
      <c r="H6" s="106"/>
      <c r="I6" s="70">
        <v>117.307</v>
      </c>
      <c r="J6" s="161"/>
      <c r="K6" s="106"/>
      <c r="L6" s="70">
        <v>63.98</v>
      </c>
      <c r="M6" s="162"/>
      <c r="N6" s="163"/>
      <c r="O6" s="164"/>
      <c r="P6" s="165"/>
      <c r="Q6" s="166"/>
      <c r="R6" s="167"/>
      <c r="S6" s="158"/>
    </row>
    <row r="7" spans="1:20" ht="14" customHeight="1" x14ac:dyDescent="0.35">
      <c r="A7" s="15">
        <v>1</v>
      </c>
      <c r="B7" s="107">
        <f>LOOKUP(A7+100,'[2]DCS Data'!$A:$A,'[2]DCS Data'!$E:$E)</f>
        <v>98.943809509277344</v>
      </c>
      <c r="C7" s="70">
        <f t="shared" ref="C7" si="0">IF(B7="","",$A$3*PI()/4*(157.5*2.54)^2*B7*2.54/1000000)</f>
        <v>42.651979411027916</v>
      </c>
      <c r="D7" s="71">
        <f>IF(C7="","",C7-C6)</f>
        <v>-17.183020588972084</v>
      </c>
      <c r="E7" s="106">
        <f t="array" ref="E7">LOOKUP(A7+100,'[2]DCS Data'!$A:$A,'[2]DCS Data'!$F:$F)</f>
        <v>85.598106384277344</v>
      </c>
      <c r="F7" s="70">
        <f t="shared" ref="F7" si="1">IF(E7="","",$A$3*PI()/4*(157.5*2.54)^2*E7*2.54/1000000)</f>
        <v>36.899010551871356</v>
      </c>
      <c r="G7" s="71">
        <f>IF(F7="","",F7-F6)</f>
        <v>8.7010551871358643E-2</v>
      </c>
      <c r="H7" s="106">
        <f t="array" ref="H7">LOOKUP(A7+100,'[2]DCS Data'!$A:$A,'[2]DCS Data'!$G:$G)</f>
        <v>268.24462890625</v>
      </c>
      <c r="I7" s="70">
        <f t="shared" ref="I7" si="2">IF(H7="","",$A$3*PI()/4*(186*2.54)^2*H7*2.54/1000000)</f>
        <v>161.26732062551875</v>
      </c>
      <c r="J7" s="71">
        <f>IF(I7="","",I7-I6)</f>
        <v>43.960320625518747</v>
      </c>
      <c r="K7" s="106">
        <f t="array" ref="K7">LOOKUP(A7+100,'[2]DCS Data'!$A:$A,'[2]DCS Data'!$H:$H)</f>
        <v>106.89466094970703</v>
      </c>
      <c r="L7" s="70">
        <f t="shared" ref="L7" si="3">IF(K7="","",$A$3*PI()/4*(186*2.54)^2*K7*2.54/1000000)</f>
        <v>64.264532083351881</v>
      </c>
      <c r="M7" s="73">
        <f>IF(L7="","",L7-L6)</f>
        <v>0.28453208335188407</v>
      </c>
      <c r="N7" s="111">
        <f>IF(K7="", "", LOOKUP(A7+100,[3]SBS!$A:$A,[3]SBS!$C:$C))</f>
        <v>20.021999999999998</v>
      </c>
      <c r="O7" s="12">
        <f>IF(N7="","",N7*$H$3)</f>
        <v>7.6083599999999993</v>
      </c>
      <c r="P7" s="13">
        <f>IFERROR(D7+G7+J7+M7+N7,0)</f>
        <v>47.170842671769904</v>
      </c>
      <c r="Q7" s="14">
        <f>IF(P7="","",P7*$H$3)</f>
        <v>17.924920215272564</v>
      </c>
      <c r="R7" s="155">
        <f t="array" ref="R7">LOOKUP(A7+100,'[2]DCS Data'!$A:$A,'[2]DCS Data'!$K:$K)</f>
        <v>24.000000330607094</v>
      </c>
      <c r="S7" s="156">
        <f t="array" ref="S7">IFERROR(LOOKUP(A7+100,'[2]DCS Data'!$A:$A,'[2]DCS Data'!$J:$J)*3785.4*0.993*$A$3/1000000,0)</f>
        <v>44.813665551366874</v>
      </c>
      <c r="T7" s="64"/>
    </row>
    <row r="8" spans="1:20" ht="14" customHeight="1" x14ac:dyDescent="0.35">
      <c r="A8" s="15">
        <v>2</v>
      </c>
      <c r="B8" s="177">
        <v>98.832237243652344</v>
      </c>
      <c r="C8" s="178">
        <v>42.60388364839374</v>
      </c>
      <c r="D8" s="179">
        <v>-4.8095762634176253E-2</v>
      </c>
      <c r="E8" s="180">
        <v>155.76797485351563</v>
      </c>
      <c r="F8" s="178">
        <v>67.147328259346168</v>
      </c>
      <c r="G8" s="179">
        <v>30.248317707474811</v>
      </c>
      <c r="H8" s="180">
        <v>260.87100219726563</v>
      </c>
      <c r="I8" s="178">
        <v>156.83433336497507</v>
      </c>
      <c r="J8" s="179">
        <v>-4.4329872605436833</v>
      </c>
      <c r="K8" s="180">
        <v>107.1177978515625</v>
      </c>
      <c r="L8" s="178">
        <v>64.398680865534899</v>
      </c>
      <c r="M8" s="181">
        <v>0.13414878218301851</v>
      </c>
      <c r="N8" s="178">
        <v>20.021000000000001</v>
      </c>
      <c r="O8" s="182">
        <v>7.6079800000000004</v>
      </c>
      <c r="P8" s="183">
        <v>45.922383466479971</v>
      </c>
      <c r="Q8" s="184">
        <v>17.450505717262388</v>
      </c>
      <c r="R8" s="185">
        <v>24.00000024159749</v>
      </c>
      <c r="S8" s="186">
        <v>46.199647214949294</v>
      </c>
      <c r="T8" s="64"/>
    </row>
    <row r="9" spans="1:20" ht="14" customHeight="1" x14ac:dyDescent="0.35">
      <c r="A9" s="15">
        <v>3</v>
      </c>
      <c r="B9" s="177">
        <v>98.572662353515625</v>
      </c>
      <c r="C9" s="178">
        <v>42.49198798837579</v>
      </c>
      <c r="D9" s="179">
        <v>-0.11189566001795015</v>
      </c>
      <c r="E9" s="180">
        <v>263.5286865234375</v>
      </c>
      <c r="F9" s="178">
        <v>113.60003387335696</v>
      </c>
      <c r="G9" s="179">
        <v>46.452705614010796</v>
      </c>
      <c r="H9" s="180">
        <v>228.98109436035156</v>
      </c>
      <c r="I9" s="178">
        <v>137.66228129883194</v>
      </c>
      <c r="J9" s="179">
        <v>-19.172052066143124</v>
      </c>
      <c r="K9" s="180">
        <v>107.02346038818359</v>
      </c>
      <c r="L9" s="178">
        <v>64.341965657421497</v>
      </c>
      <c r="M9" s="181">
        <v>-5.6715208113402582E-2</v>
      </c>
      <c r="N9" s="178">
        <v>20.02</v>
      </c>
      <c r="O9" s="182">
        <v>7.6075999999999997</v>
      </c>
      <c r="P9" s="183">
        <v>47.132042679736315</v>
      </c>
      <c r="Q9" s="184">
        <v>17.910176218299799</v>
      </c>
      <c r="R9" s="185">
        <v>24.000000322129988</v>
      </c>
      <c r="S9" s="186">
        <v>48.681479587929502</v>
      </c>
      <c r="T9" s="64"/>
    </row>
    <row r="10" spans="1:20" ht="14" customHeight="1" x14ac:dyDescent="0.35">
      <c r="A10" s="15">
        <v>4</v>
      </c>
      <c r="B10" s="177">
        <v>170.49357604980469</v>
      </c>
      <c r="C10" s="178">
        <v>73.495133565753321</v>
      </c>
      <c r="D10" s="179">
        <v>31.003145577377531</v>
      </c>
      <c r="E10" s="180">
        <v>294.58697509765625</v>
      </c>
      <c r="F10" s="178">
        <v>126.98841553542682</v>
      </c>
      <c r="G10" s="179">
        <v>13.388381662069861</v>
      </c>
      <c r="H10" s="180">
        <v>229.18904113769531</v>
      </c>
      <c r="I10" s="178">
        <v>137.78729785462161</v>
      </c>
      <c r="J10" s="179">
        <v>0.12501655578967075</v>
      </c>
      <c r="K10" s="180">
        <v>107.165283203125</v>
      </c>
      <c r="L10" s="178">
        <v>64.427228819865505</v>
      </c>
      <c r="M10" s="181">
        <v>8.5263162444007889E-2</v>
      </c>
      <c r="N10" s="178">
        <v>0</v>
      </c>
      <c r="O10" s="182">
        <v>0</v>
      </c>
      <c r="P10" s="183">
        <v>44.60180695768107</v>
      </c>
      <c r="Q10" s="184">
        <v>16.948686643918808</v>
      </c>
      <c r="R10" s="185">
        <v>24.000000271267361</v>
      </c>
      <c r="S10" s="186">
        <v>45.85728705078423</v>
      </c>
      <c r="T10" s="64"/>
    </row>
    <row r="11" spans="1:20" ht="14" customHeight="1" x14ac:dyDescent="0.35">
      <c r="A11" s="15">
        <v>5</v>
      </c>
      <c r="B11" s="177">
        <v>269.12521362304688</v>
      </c>
      <c r="C11" s="178">
        <v>116.01254416389129</v>
      </c>
      <c r="D11" s="179">
        <v>42.517410598137971</v>
      </c>
      <c r="E11" s="180">
        <v>245.86183166503906</v>
      </c>
      <c r="F11" s="178">
        <v>105.98433428168748</v>
      </c>
      <c r="G11" s="179">
        <v>-21.004081253739344</v>
      </c>
      <c r="H11" s="180">
        <v>189.26394653320313</v>
      </c>
      <c r="I11" s="178">
        <v>113.78453195082763</v>
      </c>
      <c r="J11" s="179">
        <v>-24.002765903793986</v>
      </c>
      <c r="K11" s="180">
        <v>111.20289611816406</v>
      </c>
      <c r="L11" s="178">
        <v>66.854621380105385</v>
      </c>
      <c r="M11" s="181">
        <v>2.4273925602398805</v>
      </c>
      <c r="N11" s="178">
        <v>40.049999999999997</v>
      </c>
      <c r="O11" s="182">
        <v>15.218999999999999</v>
      </c>
      <c r="P11" s="183">
        <v>39.98795600084452</v>
      </c>
      <c r="Q11" s="184">
        <v>15.195423280320918</v>
      </c>
      <c r="R11" s="185">
        <v>24.000000334845648</v>
      </c>
      <c r="S11" s="186">
        <v>46.608587541981819</v>
      </c>
      <c r="T11" s="64"/>
    </row>
    <row r="12" spans="1:20" ht="14" customHeight="1" x14ac:dyDescent="0.35">
      <c r="A12" s="15">
        <v>6</v>
      </c>
      <c r="B12" s="177">
        <v>297.70211791992188</v>
      </c>
      <c r="C12" s="178">
        <v>128.33126869801126</v>
      </c>
      <c r="D12" s="179">
        <v>12.318724534119966</v>
      </c>
      <c r="E12" s="180">
        <v>121.91133880615234</v>
      </c>
      <c r="F12" s="178">
        <v>52.552655274944811</v>
      </c>
      <c r="G12" s="179">
        <v>-53.431679006742669</v>
      </c>
      <c r="H12" s="180">
        <v>189.15316772460938</v>
      </c>
      <c r="I12" s="178">
        <v>113.71793228873246</v>
      </c>
      <c r="J12" s="179">
        <v>-6.6599662095171652E-2</v>
      </c>
      <c r="K12" s="180">
        <v>168.49784851074219</v>
      </c>
      <c r="L12" s="178">
        <v>101.30005835080048</v>
      </c>
      <c r="M12" s="181">
        <v>34.445436970695098</v>
      </c>
      <c r="N12" s="178">
        <v>53.069000000000003</v>
      </c>
      <c r="O12" s="182">
        <v>20.166220000000003</v>
      </c>
      <c r="P12" s="183">
        <v>46.334882835977226</v>
      </c>
      <c r="Q12" s="184">
        <v>17.607255477671345</v>
      </c>
      <c r="R12" s="185">
        <v>24.00000028398302</v>
      </c>
      <c r="S12" s="186">
        <v>46.046075965860858</v>
      </c>
      <c r="T12" s="64"/>
    </row>
    <row r="13" spans="1:20" ht="14" customHeight="1" x14ac:dyDescent="0.35">
      <c r="A13" s="15">
        <v>7</v>
      </c>
      <c r="B13" s="177">
        <v>295.72299194335938</v>
      </c>
      <c r="C13" s="178">
        <v>127.47812143369192</v>
      </c>
      <c r="D13" s="179">
        <v>-0.85314726431933252</v>
      </c>
      <c r="E13" s="180">
        <v>81.043670654296875</v>
      </c>
      <c r="F13" s="178">
        <v>34.935717446952424</v>
      </c>
      <c r="G13" s="179">
        <v>-17.616937827992388</v>
      </c>
      <c r="H13" s="180">
        <v>189.25276184082031</v>
      </c>
      <c r="I13" s="178">
        <v>113.77780777006789</v>
      </c>
      <c r="J13" s="179">
        <v>5.9875481335438963E-2</v>
      </c>
      <c r="K13" s="180">
        <v>242.65837097167969</v>
      </c>
      <c r="L13" s="178">
        <v>145.88499114974883</v>
      </c>
      <c r="M13" s="181">
        <v>44.584932798948344</v>
      </c>
      <c r="N13" s="178">
        <v>20.042000000000002</v>
      </c>
      <c r="O13" s="182">
        <v>7.6159600000000003</v>
      </c>
      <c r="P13" s="183">
        <v>46.216723187972065</v>
      </c>
      <c r="Q13" s="184">
        <v>17.562354811429383</v>
      </c>
      <c r="R13" s="185">
        <v>23.992776557074652</v>
      </c>
      <c r="S13" s="186">
        <v>48.763075195774988</v>
      </c>
      <c r="T13" s="64"/>
    </row>
    <row r="14" spans="1:20" ht="14" customHeight="1" x14ac:dyDescent="0.35">
      <c r="A14" s="15">
        <v>8</v>
      </c>
      <c r="B14" s="177">
        <v>243.11679077148438</v>
      </c>
      <c r="C14" s="178">
        <v>104.80102197286288</v>
      </c>
      <c r="D14" s="179">
        <v>-22.677099460829041</v>
      </c>
      <c r="E14" s="180">
        <v>81.047027587890625</v>
      </c>
      <c r="F14" s="178">
        <v>34.937164529526214</v>
      </c>
      <c r="G14" s="179">
        <v>1.447082573790226E-3</v>
      </c>
      <c r="H14" s="180">
        <v>189.03227233886719</v>
      </c>
      <c r="I14" s="178">
        <v>113.64525059137983</v>
      </c>
      <c r="J14" s="179">
        <v>-0.13255717868806016</v>
      </c>
      <c r="K14" s="180">
        <v>336.672119140625</v>
      </c>
      <c r="L14" s="178">
        <v>202.40558330843427</v>
      </c>
      <c r="M14" s="181">
        <v>56.520592158685446</v>
      </c>
      <c r="N14" s="178">
        <v>20.027000000000001</v>
      </c>
      <c r="O14" s="182">
        <v>7.6102600000000002</v>
      </c>
      <c r="P14" s="183">
        <v>53.739382601742136</v>
      </c>
      <c r="Q14" s="184">
        <v>20.420965388662012</v>
      </c>
      <c r="R14" s="185">
        <v>24.000000292460125</v>
      </c>
      <c r="S14" s="186">
        <v>57.880667196808247</v>
      </c>
      <c r="T14" s="64"/>
    </row>
    <row r="15" spans="1:20" ht="14" customHeight="1" x14ac:dyDescent="0.35">
      <c r="A15" s="15">
        <v>9</v>
      </c>
      <c r="B15" s="177">
        <v>102.07180023193359</v>
      </c>
      <c r="C15" s="178">
        <v>44.000370953281113</v>
      </c>
      <c r="D15" s="179">
        <v>-60.800651019581771</v>
      </c>
      <c r="E15" s="180">
        <v>81.094062805175781</v>
      </c>
      <c r="F15" s="178">
        <v>34.957440129679362</v>
      </c>
      <c r="G15" s="179">
        <v>2.0275600153148332E-2</v>
      </c>
      <c r="H15" s="180">
        <v>189.04891967773438</v>
      </c>
      <c r="I15" s="178">
        <v>113.65525888770846</v>
      </c>
      <c r="J15" s="179">
        <v>1.0008296328621213E-2</v>
      </c>
      <c r="K15" s="180">
        <v>411.72665405273438</v>
      </c>
      <c r="L15" s="178">
        <v>247.52799189280356</v>
      </c>
      <c r="M15" s="181">
        <v>45.122408584369282</v>
      </c>
      <c r="N15" s="178">
        <v>60.075000000000003</v>
      </c>
      <c r="O15" s="182">
        <v>22.828500000000002</v>
      </c>
      <c r="P15" s="183">
        <v>44.427041461269283</v>
      </c>
      <c r="Q15" s="184">
        <v>16.882275755282329</v>
      </c>
      <c r="R15" s="185">
        <v>23.931667739020455</v>
      </c>
      <c r="S15" s="186">
        <v>46.531697965728142</v>
      </c>
      <c r="T15" s="64"/>
    </row>
    <row r="16" spans="1:20" ht="14" customHeight="1" x14ac:dyDescent="0.35">
      <c r="A16" s="15">
        <v>10</v>
      </c>
      <c r="B16" s="177">
        <v>101.82794189453125</v>
      </c>
      <c r="C16" s="178">
        <v>43.895250270767697</v>
      </c>
      <c r="D16" s="179">
        <v>-0.10512068251341589</v>
      </c>
      <c r="E16" s="180">
        <v>80.695991516113281</v>
      </c>
      <c r="F16" s="178">
        <v>34.785842447020663</v>
      </c>
      <c r="G16" s="179">
        <v>-0.17159768265869957</v>
      </c>
      <c r="H16" s="180">
        <v>188.79893493652344</v>
      </c>
      <c r="I16" s="178">
        <v>113.5049693196499</v>
      </c>
      <c r="J16" s="179">
        <v>-0.15028956805855387</v>
      </c>
      <c r="K16" s="180">
        <v>506.69451904296875</v>
      </c>
      <c r="L16" s="178">
        <v>304.62219428167481</v>
      </c>
      <c r="M16" s="181">
        <v>57.094202388871253</v>
      </c>
      <c r="N16" s="178">
        <v>0</v>
      </c>
      <c r="O16" s="182">
        <v>0</v>
      </c>
      <c r="P16" s="183">
        <v>56.667194455640583</v>
      </c>
      <c r="Q16" s="184">
        <v>21.533533893143421</v>
      </c>
      <c r="R16" s="185">
        <v>24.000000360276964</v>
      </c>
      <c r="S16" s="186">
        <v>58.349970797186394</v>
      </c>
      <c r="T16" s="64"/>
    </row>
    <row r="17" spans="1:20" ht="14" customHeight="1" x14ac:dyDescent="0.35">
      <c r="A17" s="15">
        <v>11</v>
      </c>
      <c r="B17" s="177">
        <v>101.75284576416016</v>
      </c>
      <c r="C17" s="178">
        <v>43.862878375827322</v>
      </c>
      <c r="D17" s="179">
        <v>-3.2371894940375512E-2</v>
      </c>
      <c r="E17" s="180">
        <v>151.73301696777344</v>
      </c>
      <c r="F17" s="178">
        <v>65.407967893896483</v>
      </c>
      <c r="G17" s="179">
        <v>30.62212544687582</v>
      </c>
      <c r="H17" s="180">
        <v>190.24053955078125</v>
      </c>
      <c r="I17" s="178">
        <v>114.37165475708319</v>
      </c>
      <c r="J17" s="179">
        <v>0.86668543743328996</v>
      </c>
      <c r="K17" s="180">
        <v>543.89190673828125</v>
      </c>
      <c r="L17" s="178">
        <v>326.98507652222924</v>
      </c>
      <c r="M17" s="181">
        <v>22.362882240554427</v>
      </c>
      <c r="N17" s="178">
        <v>20.02</v>
      </c>
      <c r="O17" s="182">
        <v>7.6075999999999997</v>
      </c>
      <c r="P17" s="183">
        <v>73.839321229923158</v>
      </c>
      <c r="Q17" s="184">
        <v>28.058942067370801</v>
      </c>
      <c r="R17" s="185">
        <v>24.000000262790252</v>
      </c>
      <c r="S17" s="186">
        <v>76.276429463470862</v>
      </c>
      <c r="T17" s="64"/>
    </row>
    <row r="18" spans="1:20" ht="14" customHeight="1" x14ac:dyDescent="0.35">
      <c r="A18" s="15">
        <v>12</v>
      </c>
      <c r="B18" s="177">
        <v>102.47544860839844</v>
      </c>
      <c r="C18" s="178">
        <v>44.174372766306711</v>
      </c>
      <c r="D18" s="179">
        <v>0.31149439047938898</v>
      </c>
      <c r="E18" s="180">
        <v>273.19131469726563</v>
      </c>
      <c r="F18" s="178">
        <v>117.76532950903687</v>
      </c>
      <c r="G18" s="179">
        <v>52.357361615140391</v>
      </c>
      <c r="H18" s="180">
        <v>197.39134216308594</v>
      </c>
      <c r="I18" s="178">
        <v>118.67068129234093</v>
      </c>
      <c r="J18" s="179">
        <v>4.2990265352577381</v>
      </c>
      <c r="K18" s="180">
        <v>450.60293579101563</v>
      </c>
      <c r="L18" s="178">
        <v>270.9002167808797</v>
      </c>
      <c r="M18" s="181">
        <v>-56.084859741349533</v>
      </c>
      <c r="N18" s="178">
        <v>55.256</v>
      </c>
      <c r="O18" s="182">
        <v>20.99728</v>
      </c>
      <c r="P18" s="183">
        <v>56.139022799527986</v>
      </c>
      <c r="Q18" s="184">
        <v>21.332828663820635</v>
      </c>
      <c r="R18" s="185">
        <v>24.000000326368543</v>
      </c>
      <c r="S18" s="186">
        <v>59.333610129528822</v>
      </c>
      <c r="T18" s="64"/>
    </row>
    <row r="19" spans="1:20" ht="14" customHeight="1" x14ac:dyDescent="0.35">
      <c r="A19" s="15">
        <v>13</v>
      </c>
      <c r="B19" s="177">
        <v>180.43734741210938</v>
      </c>
      <c r="C19" s="178">
        <v>77.781622366987733</v>
      </c>
      <c r="D19" s="179">
        <v>33.607249600681023</v>
      </c>
      <c r="E19" s="180">
        <v>291.00613403320313</v>
      </c>
      <c r="F19" s="178">
        <v>125.44481255397</v>
      </c>
      <c r="G19" s="179">
        <v>7.6794830449331215</v>
      </c>
      <c r="H19" s="180">
        <v>207.73101806640625</v>
      </c>
      <c r="I19" s="178">
        <v>124.88684239820773</v>
      </c>
      <c r="J19" s="179">
        <v>6.2161611058668029</v>
      </c>
      <c r="K19" s="180">
        <v>450.25320434570313</v>
      </c>
      <c r="L19" s="178">
        <v>270.68995999641396</v>
      </c>
      <c r="M19" s="181">
        <v>-0.21025678446574148</v>
      </c>
      <c r="N19" s="178">
        <v>0</v>
      </c>
      <c r="O19" s="182">
        <v>0</v>
      </c>
      <c r="P19" s="183">
        <v>47.292636967015206</v>
      </c>
      <c r="Q19" s="184">
        <v>17.971202047465777</v>
      </c>
      <c r="R19" s="185">
        <v>24.000000190734863</v>
      </c>
      <c r="S19" s="186">
        <v>47.665929335686677</v>
      </c>
      <c r="T19" s="64"/>
    </row>
    <row r="20" spans="1:20" ht="14" customHeight="1" x14ac:dyDescent="0.35">
      <c r="A20" s="15">
        <v>14</v>
      </c>
      <c r="B20" s="177">
        <v>100.11146545410156</v>
      </c>
      <c r="C20" s="178">
        <v>43.155324062550932</v>
      </c>
      <c r="D20" s="179">
        <v>-34.626298304436801</v>
      </c>
      <c r="E20" s="180">
        <v>243.25637817382813</v>
      </c>
      <c r="F20" s="178">
        <v>104.86119429734009</v>
      </c>
      <c r="G20" s="179">
        <v>-20.583618256629904</v>
      </c>
      <c r="H20" s="180">
        <v>274.86456298828125</v>
      </c>
      <c r="I20" s="178">
        <v>165.24719167262867</v>
      </c>
      <c r="J20" s="179">
        <v>40.36034927442094</v>
      </c>
      <c r="K20" s="180">
        <v>449.89373779296875</v>
      </c>
      <c r="L20" s="178">
        <v>270.47385051437016</v>
      </c>
      <c r="M20" s="181">
        <v>-0.2161094820438052</v>
      </c>
      <c r="N20" s="178">
        <v>55.265999999999998</v>
      </c>
      <c r="O20" s="182">
        <v>21.001079999999998</v>
      </c>
      <c r="P20" s="183">
        <v>40.200323231310428</v>
      </c>
      <c r="Q20" s="184">
        <v>15.276122827897963</v>
      </c>
      <c r="R20" s="185">
        <v>23.991944660610624</v>
      </c>
      <c r="S20" s="186">
        <v>41.528727057871343</v>
      </c>
      <c r="T20" s="64"/>
    </row>
    <row r="21" spans="1:20" ht="14" customHeight="1" x14ac:dyDescent="0.35">
      <c r="A21" s="15">
        <v>15</v>
      </c>
      <c r="B21" s="177">
        <v>99.544235229492188</v>
      </c>
      <c r="C21" s="178">
        <v>42.910806573469586</v>
      </c>
      <c r="D21" s="179">
        <v>-0.24451748908134618</v>
      </c>
      <c r="E21" s="180">
        <v>101.88603210449219</v>
      </c>
      <c r="F21" s="178">
        <v>43.920291376942245</v>
      </c>
      <c r="G21" s="179">
        <v>-60.940902920397846</v>
      </c>
      <c r="H21" s="180">
        <v>178.32406616210938</v>
      </c>
      <c r="I21" s="178">
        <v>107.20753094020688</v>
      </c>
      <c r="J21" s="179">
        <v>-58.039660732421794</v>
      </c>
      <c r="K21" s="180">
        <v>449.97698974609375</v>
      </c>
      <c r="L21" s="178">
        <v>270.52390116952046</v>
      </c>
      <c r="M21" s="181">
        <v>5.0050655150300827E-2</v>
      </c>
      <c r="N21" s="178">
        <v>165.33799999999999</v>
      </c>
      <c r="O21" s="182">
        <v>62.828440000000001</v>
      </c>
      <c r="P21" s="183">
        <v>46.162969513249308</v>
      </c>
      <c r="Q21" s="184">
        <v>17.541928415034736</v>
      </c>
      <c r="R21" s="185">
        <v>24.000000262790252</v>
      </c>
      <c r="S21" s="186">
        <v>51.416998206328984</v>
      </c>
      <c r="T21" s="64"/>
    </row>
    <row r="22" spans="1:20" ht="14" customHeight="1" x14ac:dyDescent="0.35">
      <c r="A22" s="15">
        <v>16</v>
      </c>
      <c r="B22" s="177">
        <v>99.838844299316406</v>
      </c>
      <c r="C22" s="178">
        <v>43.037804513439411</v>
      </c>
      <c r="D22" s="179">
        <v>0.12699793996982578</v>
      </c>
      <c r="E22" s="180">
        <v>115.12238311767578</v>
      </c>
      <c r="F22" s="178">
        <v>49.626121521257751</v>
      </c>
      <c r="G22" s="179">
        <v>5.7058301443155059</v>
      </c>
      <c r="H22" s="180">
        <v>224.0623779296875</v>
      </c>
      <c r="I22" s="178">
        <v>134.70517374024172</v>
      </c>
      <c r="J22" s="179">
        <v>27.497642800034839</v>
      </c>
      <c r="K22" s="180">
        <v>328.1107177734375</v>
      </c>
      <c r="L22" s="178">
        <v>197.25851190232413</v>
      </c>
      <c r="M22" s="181">
        <v>-73.265389267196326</v>
      </c>
      <c r="N22" s="178">
        <v>92.11</v>
      </c>
      <c r="O22" s="182">
        <v>35.001800000000003</v>
      </c>
      <c r="P22" s="183">
        <v>52.175081617123844</v>
      </c>
      <c r="Q22" s="184">
        <v>19.826531014507061</v>
      </c>
      <c r="R22" s="185">
        <v>24.000000250074599</v>
      </c>
      <c r="S22" s="186">
        <v>52.474092964253764</v>
      </c>
      <c r="T22" s="64"/>
    </row>
    <row r="23" spans="1:20" ht="14" customHeight="1" x14ac:dyDescent="0.35">
      <c r="A23" s="15">
        <v>17</v>
      </c>
      <c r="B23" s="177">
        <v>99.701202392578125</v>
      </c>
      <c r="C23" s="178">
        <v>42.978470839090186</v>
      </c>
      <c r="D23" s="179">
        <v>-5.9333674349225873E-2</v>
      </c>
      <c r="E23" s="180">
        <v>238.34542846679688</v>
      </c>
      <c r="F23" s="178">
        <v>102.74421773426113</v>
      </c>
      <c r="G23" s="179">
        <v>53.118096213003376</v>
      </c>
      <c r="H23" s="180">
        <v>224.06925964355469</v>
      </c>
      <c r="I23" s="178">
        <v>134.70931099197793</v>
      </c>
      <c r="J23" s="179">
        <v>4.1372517362106009E-3</v>
      </c>
      <c r="K23" s="180">
        <v>328.18057250976563</v>
      </c>
      <c r="L23" s="178">
        <v>197.30050821817426</v>
      </c>
      <c r="M23" s="181">
        <v>4.199631585012753E-2</v>
      </c>
      <c r="N23" s="178">
        <v>0</v>
      </c>
      <c r="O23" s="182">
        <v>0</v>
      </c>
      <c r="P23" s="183">
        <v>53.104896106240489</v>
      </c>
      <c r="Q23" s="184">
        <v>20.179860520371385</v>
      </c>
      <c r="R23" s="185">
        <v>24.000000250074599</v>
      </c>
      <c r="S23" s="186">
        <v>54.808877565343366</v>
      </c>
      <c r="T23" s="64"/>
    </row>
    <row r="24" spans="1:20" ht="14" customHeight="1" x14ac:dyDescent="0.35">
      <c r="A24" s="15">
        <v>18</v>
      </c>
      <c r="B24" s="177">
        <v>167.05805969238281</v>
      </c>
      <c r="C24" s="178">
        <v>72.014176104445269</v>
      </c>
      <c r="D24" s="179">
        <v>29.035705265355084</v>
      </c>
      <c r="E24" s="180">
        <v>293.25201416015625</v>
      </c>
      <c r="F24" s="178">
        <v>126.41295026172078</v>
      </c>
      <c r="G24" s="179">
        <v>23.668732527459653</v>
      </c>
      <c r="H24" s="180">
        <v>223.97207641601563</v>
      </c>
      <c r="I24" s="178">
        <v>134.65088492477625</v>
      </c>
      <c r="J24" s="179">
        <v>-5.8426067201679643E-2</v>
      </c>
      <c r="K24" s="180">
        <v>328.03591918945313</v>
      </c>
      <c r="L24" s="178">
        <v>197.21354337014913</v>
      </c>
      <c r="M24" s="181">
        <v>-8.6964848025132824E-2</v>
      </c>
      <c r="N24" s="178">
        <v>0</v>
      </c>
      <c r="O24" s="182">
        <v>0</v>
      </c>
      <c r="P24" s="183">
        <v>52.559046877587924</v>
      </c>
      <c r="Q24" s="184">
        <v>19.972437813483413</v>
      </c>
      <c r="R24" s="185">
        <v>24.000000254313154</v>
      </c>
      <c r="S24" s="186">
        <v>55.044303363613814</v>
      </c>
      <c r="T24" s="64"/>
    </row>
    <row r="25" spans="1:20" ht="14" customHeight="1" x14ac:dyDescent="0.35">
      <c r="A25" s="15">
        <v>19</v>
      </c>
      <c r="B25" s="177">
        <v>277.46493530273438</v>
      </c>
      <c r="C25" s="178">
        <v>119.60757086783462</v>
      </c>
      <c r="D25" s="179">
        <v>47.593394763389355</v>
      </c>
      <c r="E25" s="180">
        <v>293.00009155273438</v>
      </c>
      <c r="F25" s="178">
        <v>126.30435329220624</v>
      </c>
      <c r="G25" s="179">
        <v>-0.10859696951453657</v>
      </c>
      <c r="H25" s="180">
        <v>223.79769897460938</v>
      </c>
      <c r="I25" s="178">
        <v>134.54605008477301</v>
      </c>
      <c r="J25" s="179">
        <v>-0.10483484000323529</v>
      </c>
      <c r="K25" s="180">
        <v>327.7569580078125</v>
      </c>
      <c r="L25" s="178">
        <v>197.045833311964</v>
      </c>
      <c r="M25" s="181">
        <v>-0.16771005818512208</v>
      </c>
      <c r="N25" s="178">
        <v>0</v>
      </c>
      <c r="O25" s="182">
        <v>0</v>
      </c>
      <c r="P25" s="183">
        <v>47.212252895686461</v>
      </c>
      <c r="Q25" s="184">
        <v>17.940656100360854</v>
      </c>
      <c r="R25" s="185">
        <v>24.000000186496312</v>
      </c>
      <c r="S25" s="186">
        <v>48.737642355578487</v>
      </c>
      <c r="T25" s="64"/>
    </row>
    <row r="26" spans="1:20" ht="14" customHeight="1" x14ac:dyDescent="0.35">
      <c r="A26" s="15">
        <v>20</v>
      </c>
      <c r="B26" s="177">
        <v>242.64704895019531</v>
      </c>
      <c r="C26" s="178">
        <v>104.59852907725386</v>
      </c>
      <c r="D26" s="179">
        <v>-15.009041790580767</v>
      </c>
      <c r="E26" s="180">
        <v>87.351707458496094</v>
      </c>
      <c r="F26" s="178">
        <v>37.654940177824578</v>
      </c>
      <c r="G26" s="179">
        <v>-88.649413114381673</v>
      </c>
      <c r="H26" s="180">
        <v>291.42208862304688</v>
      </c>
      <c r="I26" s="178">
        <v>175.20149273802002</v>
      </c>
      <c r="J26" s="179">
        <v>40.655442653247007</v>
      </c>
      <c r="K26" s="180">
        <v>327.92437744140625</v>
      </c>
      <c r="L26" s="178">
        <v>197.14648503269518</v>
      </c>
      <c r="M26" s="181">
        <v>0.10065172073117878</v>
      </c>
      <c r="N26" s="178">
        <v>107.611</v>
      </c>
      <c r="O26" s="182">
        <v>40.892180000000003</v>
      </c>
      <c r="P26" s="183">
        <v>44.70863946901575</v>
      </c>
      <c r="Q26" s="184">
        <v>16.989282998225985</v>
      </c>
      <c r="R26" s="185">
        <v>24.00000034332275</v>
      </c>
      <c r="S26" s="186">
        <v>48.694457999621463</v>
      </c>
      <c r="T26" s="64"/>
    </row>
    <row r="27" spans="1:20" ht="14" customHeight="1" x14ac:dyDescent="0.35">
      <c r="A27" s="15">
        <v>21</v>
      </c>
      <c r="B27" s="177">
        <v>141.80853271484375</v>
      </c>
      <c r="C27" s="178">
        <v>61.129793239813274</v>
      </c>
      <c r="D27" s="179">
        <v>-43.468735837440583</v>
      </c>
      <c r="E27" s="180">
        <v>87.313346862792969</v>
      </c>
      <c r="F27" s="178">
        <v>37.63840397059505</v>
      </c>
      <c r="G27" s="179">
        <v>-1.6536207229528088E-2</v>
      </c>
      <c r="H27" s="180">
        <v>363.82601928710938</v>
      </c>
      <c r="I27" s="178">
        <v>218.73037139090829</v>
      </c>
      <c r="J27" s="179">
        <v>43.528878652888267</v>
      </c>
      <c r="K27" s="180">
        <v>327.66690063476563</v>
      </c>
      <c r="L27" s="178">
        <v>196.99169127261337</v>
      </c>
      <c r="M27" s="181">
        <v>-0.15479376008181589</v>
      </c>
      <c r="N27" s="178">
        <v>40.042999999999999</v>
      </c>
      <c r="O27" s="182">
        <v>15.216340000000001</v>
      </c>
      <c r="P27" s="183">
        <v>39.931812848136339</v>
      </c>
      <c r="Q27" s="184">
        <v>15.174088882291809</v>
      </c>
      <c r="R27" s="185">
        <v>23.996386070251464</v>
      </c>
      <c r="S27" s="186">
        <v>45.374004073528951</v>
      </c>
      <c r="T27" s="64"/>
    </row>
    <row r="28" spans="1:20" ht="14" customHeight="1" x14ac:dyDescent="0.35">
      <c r="A28" s="15">
        <v>22</v>
      </c>
      <c r="B28" s="177">
        <v>116.33548736572266</v>
      </c>
      <c r="C28" s="178">
        <v>50.149057697535397</v>
      </c>
      <c r="D28" s="179">
        <v>-10.980735542277877</v>
      </c>
      <c r="E28" s="180">
        <v>87.356674194335938</v>
      </c>
      <c r="F28" s="178">
        <v>37.657081202268976</v>
      </c>
      <c r="G28" s="179">
        <v>1.8677231673926542E-2</v>
      </c>
      <c r="H28" s="180">
        <v>440.80453491210938</v>
      </c>
      <c r="I28" s="178">
        <v>265.00946749505448</v>
      </c>
      <c r="J28" s="179">
        <v>46.279096104146191</v>
      </c>
      <c r="K28" s="180">
        <v>327.76840209960938</v>
      </c>
      <c r="L28" s="178">
        <v>197.05271344234578</v>
      </c>
      <c r="M28" s="181">
        <v>6.1022169732410703E-2</v>
      </c>
      <c r="N28" s="178">
        <v>14.026999999999999</v>
      </c>
      <c r="O28" s="182">
        <v>5.33026</v>
      </c>
      <c r="P28" s="183">
        <v>49.405059963274653</v>
      </c>
      <c r="Q28" s="184">
        <v>18.77392278604437</v>
      </c>
      <c r="R28" s="185">
        <v>24.000000305175782</v>
      </c>
      <c r="S28" s="186">
        <v>47.549438119896934</v>
      </c>
      <c r="T28" s="64"/>
    </row>
    <row r="29" spans="1:20" ht="14" customHeight="1" x14ac:dyDescent="0.35">
      <c r="A29" s="15">
        <v>23</v>
      </c>
      <c r="B29" s="177">
        <v>116.26734161376953</v>
      </c>
      <c r="C29" s="178">
        <v>50.119681921287551</v>
      </c>
      <c r="D29" s="179">
        <v>-2.9375776247846375E-2</v>
      </c>
      <c r="E29" s="180">
        <v>87.232330322265625</v>
      </c>
      <c r="F29" s="178">
        <v>37.603479948206356</v>
      </c>
      <c r="G29" s="179">
        <v>-5.3601254062620285E-2</v>
      </c>
      <c r="H29" s="180">
        <v>493.61251831054688</v>
      </c>
      <c r="I29" s="178">
        <v>296.75736129269416</v>
      </c>
      <c r="J29" s="179">
        <v>31.747893797639676</v>
      </c>
      <c r="K29" s="180">
        <v>328.00503540039063</v>
      </c>
      <c r="L29" s="178">
        <v>197.19497619162561</v>
      </c>
      <c r="M29" s="181">
        <v>0.14226274927983695</v>
      </c>
      <c r="N29" s="178">
        <v>20.015000000000001</v>
      </c>
      <c r="O29" s="182">
        <v>7.6057000000000006</v>
      </c>
      <c r="P29" s="183">
        <v>51.822179516609047</v>
      </c>
      <c r="Q29" s="184">
        <v>19.692428216311438</v>
      </c>
      <c r="R29" s="185">
        <v>24.000000237358943</v>
      </c>
      <c r="S29" s="186">
        <v>53.491917064497564</v>
      </c>
      <c r="T29" s="64"/>
    </row>
    <row r="30" spans="1:20" ht="14" customHeight="1" x14ac:dyDescent="0.35">
      <c r="A30" s="15">
        <v>24</v>
      </c>
      <c r="B30" s="177">
        <v>101.01245880126953</v>
      </c>
      <c r="C30" s="178">
        <v>43.543717736530894</v>
      </c>
      <c r="D30" s="179">
        <v>-6.575964184756657</v>
      </c>
      <c r="E30" s="180">
        <v>87.202522277832031</v>
      </c>
      <c r="F30" s="178">
        <v>37.590630512715954</v>
      </c>
      <c r="G30" s="179">
        <v>-1.2849435490402072E-2</v>
      </c>
      <c r="H30" s="180">
        <v>576.70672607421875</v>
      </c>
      <c r="I30" s="178">
        <v>346.71318072582397</v>
      </c>
      <c r="J30" s="179">
        <v>49.955819433129818</v>
      </c>
      <c r="K30" s="180">
        <v>182.44468688964844</v>
      </c>
      <c r="L30" s="178">
        <v>109.68482737948227</v>
      </c>
      <c r="M30" s="181">
        <v>-87.510148812143342</v>
      </c>
      <c r="N30" s="178">
        <v>92.251000000000005</v>
      </c>
      <c r="O30" s="182">
        <v>35.05538</v>
      </c>
      <c r="P30" s="183">
        <v>48.107857000739422</v>
      </c>
      <c r="Q30" s="184">
        <v>18.280985660280979</v>
      </c>
      <c r="R30" s="185">
        <v>24.000000279744466</v>
      </c>
      <c r="S30" s="186">
        <v>51.634782256835528</v>
      </c>
      <c r="T30" s="64"/>
    </row>
    <row r="31" spans="1:20" ht="14" customHeight="1" x14ac:dyDescent="0.35">
      <c r="A31" s="15">
        <v>25</v>
      </c>
      <c r="B31" s="177">
        <v>100.92507171630859</v>
      </c>
      <c r="C31" s="178">
        <v>43.506047546076033</v>
      </c>
      <c r="D31" s="179">
        <v>-3.7670190454861086E-2</v>
      </c>
      <c r="E31" s="180">
        <v>179.96586608886719</v>
      </c>
      <c r="F31" s="178">
        <v>77.578379619499586</v>
      </c>
      <c r="G31" s="179">
        <v>39.987749106783632</v>
      </c>
      <c r="H31" s="180">
        <v>590.11163330078125</v>
      </c>
      <c r="I31" s="178">
        <v>354.77214347365566</v>
      </c>
      <c r="J31" s="179">
        <v>8.0589627478316856</v>
      </c>
      <c r="K31" s="180">
        <v>182.58393859863281</v>
      </c>
      <c r="L31" s="178">
        <v>109.76854480596718</v>
      </c>
      <c r="M31" s="181">
        <v>8.3717426484909652E-2</v>
      </c>
      <c r="N31" s="178">
        <v>0</v>
      </c>
      <c r="O31" s="182">
        <v>0</v>
      </c>
      <c r="P31" s="183">
        <v>48.092759090645366</v>
      </c>
      <c r="Q31" s="184">
        <v>18.27524845444524</v>
      </c>
      <c r="R31" s="185">
        <v>24.000000347561308</v>
      </c>
      <c r="S31" s="186">
        <v>50.562791461339117</v>
      </c>
      <c r="T31" s="64"/>
    </row>
    <row r="32" spans="1:20" ht="14" customHeight="1" x14ac:dyDescent="0.35">
      <c r="A32" s="15">
        <v>26</v>
      </c>
      <c r="B32" s="177">
        <v>100.49318695068359</v>
      </c>
      <c r="C32" s="178">
        <v>43.319873795310485</v>
      </c>
      <c r="D32" s="179">
        <v>-0.18617375076554765</v>
      </c>
      <c r="E32" s="180">
        <v>293.06494140625</v>
      </c>
      <c r="F32" s="178">
        <v>126.33230829647255</v>
      </c>
      <c r="G32" s="179">
        <v>48.753928676972961</v>
      </c>
      <c r="H32" s="180">
        <v>522.27545166015625</v>
      </c>
      <c r="I32" s="178">
        <v>313.98937254081062</v>
      </c>
      <c r="J32" s="179">
        <v>-40.78277093284504</v>
      </c>
      <c r="K32" s="180">
        <v>182.59071350097656</v>
      </c>
      <c r="L32" s="178">
        <v>109.77261784315318</v>
      </c>
      <c r="M32" s="181">
        <v>4.073037186003603E-3</v>
      </c>
      <c r="N32" s="178">
        <v>40.036999999999999</v>
      </c>
      <c r="O32" s="182">
        <v>15.21406</v>
      </c>
      <c r="P32" s="183">
        <v>47.826057030548377</v>
      </c>
      <c r="Q32" s="184">
        <v>18.173901671608384</v>
      </c>
      <c r="R32" s="185">
        <v>24.000000220404729</v>
      </c>
      <c r="S32" s="186">
        <v>49.922864212199393</v>
      </c>
      <c r="T32" s="64"/>
    </row>
    <row r="33" spans="1:20" ht="14" customHeight="1" x14ac:dyDescent="0.35">
      <c r="A33" s="15">
        <v>27</v>
      </c>
      <c r="B33" s="177">
        <v>215.12588500976563</v>
      </c>
      <c r="C33" s="178">
        <v>92.734905434941325</v>
      </c>
      <c r="D33" s="179">
        <v>49.41503163963084</v>
      </c>
      <c r="E33" s="180">
        <v>292.96112060546875</v>
      </c>
      <c r="F33" s="178">
        <v>126.28755397905421</v>
      </c>
      <c r="G33" s="179">
        <v>-4.4754317418338019E-2</v>
      </c>
      <c r="H33" s="180">
        <v>488.57229614257813</v>
      </c>
      <c r="I33" s="178">
        <v>293.72720509646427</v>
      </c>
      <c r="J33" s="179">
        <v>-20.262167444346346</v>
      </c>
      <c r="K33" s="180">
        <v>80.404197692871094</v>
      </c>
      <c r="L33" s="178">
        <v>48.338598919367662</v>
      </c>
      <c r="M33" s="181">
        <v>-61.434018923785523</v>
      </c>
      <c r="N33" s="178">
        <v>80.105000000000004</v>
      </c>
      <c r="O33" s="182">
        <v>30.439900000000002</v>
      </c>
      <c r="P33" s="183">
        <v>47.779090954080637</v>
      </c>
      <c r="Q33" s="184">
        <v>18.156054562550644</v>
      </c>
      <c r="R33" s="185">
        <v>24.000000250074599</v>
      </c>
      <c r="S33" s="186">
        <v>51.453983278911252</v>
      </c>
      <c r="T33" s="64"/>
    </row>
    <row r="34" spans="1:20" ht="14" customHeight="1" x14ac:dyDescent="0.35">
      <c r="A34" s="15">
        <v>28</v>
      </c>
      <c r="B34" s="177">
        <v>295.14474487304688</v>
      </c>
      <c r="C34" s="178">
        <v>127.22885488270934</v>
      </c>
      <c r="D34" s="179">
        <v>34.493949447768017</v>
      </c>
      <c r="E34" s="180">
        <v>292.89913940429688</v>
      </c>
      <c r="F34" s="178">
        <v>126.26083557262369</v>
      </c>
      <c r="G34" s="179">
        <v>-2.6718406430518371E-2</v>
      </c>
      <c r="H34" s="180">
        <v>488.57064819335938</v>
      </c>
      <c r="I34" s="178">
        <v>293.72621435768929</v>
      </c>
      <c r="J34" s="179">
        <v>-9.9073877498767615E-4</v>
      </c>
      <c r="K34" s="180">
        <v>112.65728759765625</v>
      </c>
      <c r="L34" s="178">
        <v>67.728994216551868</v>
      </c>
      <c r="M34" s="181">
        <v>19.390395297184206</v>
      </c>
      <c r="N34" s="178">
        <v>0</v>
      </c>
      <c r="O34" s="182">
        <v>0</v>
      </c>
      <c r="P34" s="183">
        <v>53.856635599746717</v>
      </c>
      <c r="Q34" s="184">
        <v>20.465521527903753</v>
      </c>
      <c r="R34" s="185">
        <v>23.994999694824216</v>
      </c>
      <c r="S34" s="186">
        <v>53.140811012128943</v>
      </c>
      <c r="T34" s="64"/>
    </row>
    <row r="35" spans="1:20" ht="14" customHeight="1" x14ac:dyDescent="0.35">
      <c r="A35" s="15">
        <v>29</v>
      </c>
      <c r="B35" s="177">
        <v>293.08218383789063</v>
      </c>
      <c r="C35" s="178">
        <v>126.33974103878336</v>
      </c>
      <c r="D35" s="179">
        <v>-0.88911384392598336</v>
      </c>
      <c r="E35" s="180">
        <v>91.993850708007813</v>
      </c>
      <c r="F35" s="178">
        <v>39.656041603807694</v>
      </c>
      <c r="G35" s="179">
        <v>-86.604793968815997</v>
      </c>
      <c r="H35" s="180">
        <v>488.42526245117188</v>
      </c>
      <c r="I35" s="178">
        <v>293.6388091813198</v>
      </c>
      <c r="J35" s="179">
        <v>-8.7405176369486526E-2</v>
      </c>
      <c r="K35" s="180">
        <v>195.23005676269531</v>
      </c>
      <c r="L35" s="178">
        <v>117.37132738896841</v>
      </c>
      <c r="M35" s="181">
        <v>49.642333172416542</v>
      </c>
      <c r="N35" s="178">
        <v>86.224999999999994</v>
      </c>
      <c r="O35" s="182">
        <v>32.765499999999996</v>
      </c>
      <c r="P35" s="183">
        <v>48.28602018330507</v>
      </c>
      <c r="Q35" s="184">
        <v>18.348687669655927</v>
      </c>
      <c r="R35" s="185">
        <v>24.000000305175782</v>
      </c>
      <c r="S35" s="186">
        <v>50.411407344092552</v>
      </c>
      <c r="T35" s="64"/>
    </row>
    <row r="36" spans="1:20" ht="14" customHeight="1" x14ac:dyDescent="0.35">
      <c r="A36" s="15">
        <v>30</v>
      </c>
      <c r="B36" s="177">
        <v>101.05608367919922</v>
      </c>
      <c r="C36" s="178">
        <v>43.562523232342038</v>
      </c>
      <c r="D36" s="179">
        <v>-82.777217806441314</v>
      </c>
      <c r="E36" s="180">
        <v>121.15812683105469</v>
      </c>
      <c r="F36" s="178">
        <v>52.227966122451726</v>
      </c>
      <c r="G36" s="179">
        <v>12.571924518644032</v>
      </c>
      <c r="H36" s="180">
        <v>488.50521850585938</v>
      </c>
      <c r="I36" s="178">
        <v>293.68687835892018</v>
      </c>
      <c r="J36" s="179">
        <v>4.8069177600382318E-2</v>
      </c>
      <c r="K36" s="180">
        <v>257.458740234375</v>
      </c>
      <c r="L36" s="178">
        <v>154.7828986493146</v>
      </c>
      <c r="M36" s="181">
        <v>37.411571260346193</v>
      </c>
      <c r="N36" s="178">
        <v>80.072999999999993</v>
      </c>
      <c r="O36" s="182">
        <v>30.427739999999996</v>
      </c>
      <c r="P36" s="183">
        <v>47.327347150149293</v>
      </c>
      <c r="Q36" s="184">
        <v>17.984391917056733</v>
      </c>
      <c r="R36" s="185">
        <v>24.000000250074599</v>
      </c>
      <c r="S36" s="186">
        <v>50.646911688603389</v>
      </c>
      <c r="T36" s="64"/>
    </row>
    <row r="37" spans="1:20" ht="14" customHeight="1" thickBot="1" x14ac:dyDescent="0.4">
      <c r="A37" s="15">
        <v>31</v>
      </c>
      <c r="B37" s="177">
        <v>100.83217620849609</v>
      </c>
      <c r="C37" s="178">
        <v>43.466002824670554</v>
      </c>
      <c r="D37" s="179">
        <v>-9.6520407671484065E-2</v>
      </c>
      <c r="E37" s="180">
        <v>243.13873291015625</v>
      </c>
      <c r="F37" s="178">
        <v>104.81048063077699</v>
      </c>
      <c r="G37" s="179">
        <v>52.582514508325268</v>
      </c>
      <c r="H37" s="180">
        <v>488.45651245117188</v>
      </c>
      <c r="I37" s="178">
        <v>293.6575965240155</v>
      </c>
      <c r="J37" s="179">
        <v>-2.9281834904679727E-2</v>
      </c>
      <c r="K37" s="180">
        <v>257.342041015625</v>
      </c>
      <c r="L37" s="178">
        <v>154.71273966643528</v>
      </c>
      <c r="M37" s="181">
        <v>-7.015898287932032E-2</v>
      </c>
      <c r="N37" s="178">
        <v>0</v>
      </c>
      <c r="O37" s="182">
        <v>0</v>
      </c>
      <c r="P37" s="183">
        <v>52.386553282869784</v>
      </c>
      <c r="Q37" s="184">
        <v>19.906890247490519</v>
      </c>
      <c r="R37" s="185">
        <v>24.000000313652883</v>
      </c>
      <c r="S37" s="186">
        <v>54.695351676922016</v>
      </c>
      <c r="T37" s="64"/>
    </row>
    <row r="38" spans="1:20" ht="14.4" customHeight="1" x14ac:dyDescent="0.35">
      <c r="A38" s="11" t="s">
        <v>8</v>
      </c>
      <c r="B38" s="75"/>
      <c r="C38" s="75">
        <f>IFERROR(C6+D38,"")</f>
        <v>43.466002824670554</v>
      </c>
      <c r="D38" s="76">
        <f>IF($B$7="","",SUM(D7:D37))</f>
        <v>-16.368997175329447</v>
      </c>
      <c r="E38" s="75"/>
      <c r="F38" s="75">
        <f>IFERROR(F6+G38,"")</f>
        <v>104.81048063077698</v>
      </c>
      <c r="G38" s="76">
        <f>IF($B$7="","",SUM(G7:G37))</f>
        <v>67.998480630776982</v>
      </c>
      <c r="H38" s="75"/>
      <c r="I38" s="75">
        <f>IFERROR(I6+J38,"")</f>
        <v>293.6575965240155</v>
      </c>
      <c r="J38" s="76">
        <f>IF($B$7="","",SUM(J7:J37))</f>
        <v>176.35059652401549</v>
      </c>
      <c r="K38" s="75"/>
      <c r="L38" s="75">
        <f>IFERROR(L6+M38,"")</f>
        <v>154.71273966643531</v>
      </c>
      <c r="M38" s="76">
        <f>IF($B$7="","",SUM(M7:M37))</f>
        <v>90.732739666435322</v>
      </c>
      <c r="N38" s="76">
        <f>SUM(N7:N37)</f>
        <v>1201.703</v>
      </c>
      <c r="O38" s="76">
        <f>IF($B$7="","",SUM(O7:O37))</f>
        <v>456.64714000000004</v>
      </c>
      <c r="P38" s="77">
        <f>IF(B7="","",SUM(P7:P37))</f>
        <v>1520.4158196458984</v>
      </c>
      <c r="Q38" s="77">
        <f>IF(B7="","",SUM(Q7:Q37))</f>
        <v>577.75801146544143</v>
      </c>
      <c r="R38" s="48">
        <f>SUM(R7:R37)</f>
        <v>743.90778199513727</v>
      </c>
      <c r="S38" s="88"/>
    </row>
    <row r="39" spans="1:20" ht="14.4" customHeight="1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08" t="s">
        <v>47</v>
      </c>
      <c r="O39" s="78">
        <f>IFERROR(O38*1000/0.505,"")</f>
        <v>904251.76237623766</v>
      </c>
      <c r="P39" s="68" t="s">
        <v>47</v>
      </c>
      <c r="Q39" s="78">
        <f>IFERROR(Q38*1000/0.505,"")</f>
        <v>1144075.2702285969</v>
      </c>
      <c r="R39" s="10"/>
      <c r="S39" s="89"/>
    </row>
    <row r="40" spans="1:20" ht="14.4" customHeight="1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596.6468196458984</v>
      </c>
      <c r="I40" s="17" t="s">
        <v>3</v>
      </c>
      <c r="J40" s="17"/>
      <c r="K40" s="17"/>
      <c r="L40" s="10"/>
      <c r="M40" s="6"/>
      <c r="N40" s="172" t="s">
        <v>60</v>
      </c>
      <c r="O40" s="173">
        <f>IFERROR(O38*1000,"")</f>
        <v>456647.14</v>
      </c>
      <c r="P40" s="10"/>
      <c r="Q40" s="67"/>
      <c r="R40" s="43"/>
      <c r="S40" s="89"/>
    </row>
    <row r="41" spans="1:20" ht="15" customHeight="1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226.7257914654414</v>
      </c>
      <c r="I41" s="7" t="s">
        <v>19</v>
      </c>
      <c r="J41" s="7">
        <f>IFERROR(H41*1000/0.505,"")</f>
        <v>448961.96329790377</v>
      </c>
      <c r="K41" s="7" t="s">
        <v>47</v>
      </c>
      <c r="L41" s="2"/>
      <c r="M41" s="7"/>
      <c r="N41" s="16"/>
      <c r="O41" s="7"/>
      <c r="P41" s="7"/>
      <c r="Q41" s="149" t="s">
        <v>57</v>
      </c>
      <c r="R41" s="42">
        <f>IF(H40="",0,COUNT(R7:R37)*24-R38)</f>
        <v>9.2218004862729686E-2</v>
      </c>
      <c r="S41" s="148" t="s">
        <v>58</v>
      </c>
    </row>
  </sheetData>
  <mergeCells count="10">
    <mergeCell ref="A1:Q1"/>
    <mergeCell ref="A2:Q2"/>
    <mergeCell ref="B40:G40"/>
    <mergeCell ref="B4:D4"/>
    <mergeCell ref="E4:G4"/>
    <mergeCell ref="B3:G3"/>
    <mergeCell ref="H4:J4"/>
    <mergeCell ref="K4:M4"/>
    <mergeCell ref="P4:Q4"/>
    <mergeCell ref="N4:O4"/>
  </mergeCells>
  <phoneticPr fontId="0" type="noConversion"/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63" priority="4" operator="lessThan">
      <formula>23.98</formula>
    </cfRule>
  </conditionalFormatting>
  <conditionalFormatting sqref="R7:R37">
    <cfRule type="cellIs" dxfId="62" priority="3" operator="equal">
      <formula>""</formula>
    </cfRule>
  </conditionalFormatting>
  <conditionalFormatting sqref="R7:R37">
    <cfRule type="cellIs" dxfId="61" priority="2" operator="equal">
      <formula>""</formula>
    </cfRule>
  </conditionalFormatting>
  <conditionalFormatting sqref="R7:R37">
    <cfRule type="cellIs" dxfId="60" priority="1" operator="lessThan">
      <formula>23.98</formula>
    </cfRule>
  </conditionalFormatting>
  <pageMargins left="0.31496062992125984" right="0.31496062992125984" top="0.74803149606299213" bottom="0.74803149606299213" header="0.31496062992125984" footer="0.31496062992125984"/>
  <pageSetup scale="60" orientation="landscape" horizontalDpi="300" verticalDpi="300" r:id="rId1"/>
  <ignoredErrors>
    <ignoredError sqref="P7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U41"/>
  <sheetViews>
    <sheetView showGridLines="0" zoomScale="70" zoomScaleNormal="70" workbookViewId="0">
      <pane xSplit="1" ySplit="5" topLeftCell="B6" activePane="bottomRight" state="frozen"/>
      <selection activeCell="M17" sqref="M17"/>
      <selection pane="topRight" activeCell="M17" sqref="M17"/>
      <selection pane="bottomLeft" activeCell="M17" sqref="M17"/>
      <selection pane="bottomRight" activeCell="B8" sqref="B8:S35"/>
    </sheetView>
  </sheetViews>
  <sheetFormatPr defaultColWidth="8.90625" defaultRowHeight="14.5" x14ac:dyDescent="0.35"/>
  <cols>
    <col min="1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20" width="10.6328125" style="82" customWidth="1"/>
    <col min="21" max="16384" width="8.90625" style="1"/>
  </cols>
  <sheetData>
    <row r="1" spans="1:20" s="10" customFormat="1" x14ac:dyDescent="0.35">
      <c r="A1" s="191" t="s">
        <v>36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  <c r="T1" s="83"/>
    </row>
    <row r="2" spans="1:20" s="10" customFormat="1" x14ac:dyDescent="0.35">
      <c r="A2" s="192">
        <f>SUMMARY!B2</f>
        <v>2021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33"/>
      <c r="S2" s="83"/>
      <c r="T2" s="83"/>
    </row>
    <row r="3" spans="1:20" s="10" customFormat="1" ht="15" thickBot="1" x14ac:dyDescent="0.4">
      <c r="A3" s="168">
        <f>[1]SUMMARY!$K$5</f>
        <v>1.3493307685770699</v>
      </c>
      <c r="B3" s="198" t="s">
        <v>13</v>
      </c>
      <c r="C3" s="198"/>
      <c r="D3" s="198"/>
      <c r="E3" s="198"/>
      <c r="F3" s="198"/>
      <c r="G3" s="198"/>
      <c r="H3" s="159">
        <f>JAN!H3</f>
        <v>0.38</v>
      </c>
      <c r="I3" s="8" t="s">
        <v>12</v>
      </c>
      <c r="J3" s="8"/>
      <c r="K3" s="8"/>
      <c r="L3" s="8"/>
      <c r="M3" s="85"/>
      <c r="N3" s="86"/>
      <c r="S3" s="83"/>
      <c r="T3" s="83"/>
    </row>
    <row r="4" spans="1:20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29" t="s">
        <v>50</v>
      </c>
      <c r="T4" s="154"/>
    </row>
    <row r="5" spans="1:20" x14ac:dyDescent="0.35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36" t="s">
        <v>15</v>
      </c>
      <c r="S5" s="91" t="s">
        <v>3</v>
      </c>
      <c r="T5" s="83"/>
    </row>
    <row r="6" spans="1:20" ht="14" customHeight="1" x14ac:dyDescent="0.35">
      <c r="A6" s="3" t="s">
        <v>1</v>
      </c>
      <c r="B6" s="69"/>
      <c r="C6" s="70">
        <f>JAN!C37</f>
        <v>43.466002824670554</v>
      </c>
      <c r="D6" s="93"/>
      <c r="E6" s="72"/>
      <c r="F6" s="70">
        <f>JAN!F37</f>
        <v>104.81048063077699</v>
      </c>
      <c r="G6" s="93"/>
      <c r="H6" s="72"/>
      <c r="I6" s="70">
        <f>JAN!I37</f>
        <v>293.6575965240155</v>
      </c>
      <c r="J6" s="93"/>
      <c r="K6" s="72"/>
      <c r="L6" s="70">
        <f>JAN!L37</f>
        <v>154.71273966643528</v>
      </c>
      <c r="M6" s="74"/>
      <c r="N6" s="105"/>
      <c r="O6" s="31"/>
      <c r="P6" s="32"/>
      <c r="Q6" s="33"/>
      <c r="R6" s="137"/>
      <c r="S6" s="90"/>
      <c r="T6" s="66"/>
    </row>
    <row r="7" spans="1:20" ht="14" customHeight="1" x14ac:dyDescent="0.35">
      <c r="A7" s="104">
        <v>1</v>
      </c>
      <c r="B7" s="107">
        <f>LOOKUP(A7+200,'[2]DCS Data'!$A:$A,'[2]DCS Data'!$E:$E)</f>
        <v>150.70149230957031</v>
      </c>
      <c r="C7" s="70">
        <f t="shared" ref="C7" si="0">IF(B7="","",$A$3*PI()/4*(157.5*2.54)^2*B7*2.54/1000000)</f>
        <v>64.921436981205773</v>
      </c>
      <c r="D7" s="71">
        <f t="shared" ref="D7" si="1">IF(C7="","",C7-C6)</f>
        <v>21.455434156535219</v>
      </c>
      <c r="E7" s="106">
        <f>LOOKUP(A7+200,'[2]DCS Data'!$A:$A,'[2]DCS Data'!$F:$F)</f>
        <v>294.9312744140625</v>
      </c>
      <c r="F7" s="70">
        <f t="shared" ref="F7" si="2">IF(E7="","",$A$3*PI()/4*(157.5*2.54)^2*E7*2.54/1000000)</f>
        <v>127.05489409704609</v>
      </c>
      <c r="G7" s="71">
        <f t="shared" ref="G7" si="3">IF(F7="","",F7-F6)</f>
        <v>22.244413466269094</v>
      </c>
      <c r="H7" s="106">
        <f>LOOKUP(A7+200,'[2]DCS Data'!$A:$A,'[2]DCS Data'!$G:$G)</f>
        <v>488.35479736328125</v>
      </c>
      <c r="I7" s="70">
        <f t="shared" ref="I7" si="4">IF(H7="","",$A$3*PI()/4*(186*2.54)^2*H7*2.54/1000000)</f>
        <v>293.40722347759618</v>
      </c>
      <c r="J7" s="71">
        <f t="shared" ref="J7" si="5">IF(I7="","",I7-I6)</f>
        <v>-0.25037304641932678</v>
      </c>
      <c r="K7" s="106">
        <f>LOOKUP(A7+200,'[2]DCS Data'!$A:$A,'[2]DCS Data'!$H:$H)</f>
        <v>111.06312561035156</v>
      </c>
      <c r="L7" s="70">
        <f t="shared" ref="L7" si="6">IF(K7="","",$A$3*PI()/4*(186*2.54)^2*K7*2.54/1000000)</f>
        <v>66.727558512824203</v>
      </c>
      <c r="M7" s="73">
        <f t="shared" ref="M7" si="7">IF(L7="","",L7-L6)</f>
        <v>-87.98518115361108</v>
      </c>
      <c r="N7" s="111">
        <f>IF(K7="", "", LOOKUP(A7+200,[3]SBS!$A:$A,[3]SBS!$C:$C))</f>
        <v>86.227000000000004</v>
      </c>
      <c r="O7" s="12">
        <f t="shared" ref="O7" si="8">IF(N7="","",N7*$H$3)</f>
        <v>32.766260000000003</v>
      </c>
      <c r="P7" s="13">
        <f t="shared" ref="P7" si="9">IFERROR(D7+G7+J7+M7+N7,0)</f>
        <v>41.69129342277391</v>
      </c>
      <c r="Q7" s="14">
        <f t="shared" ref="Q7" si="10">IF(P7="","",P7*$H$3)</f>
        <v>15.842691500654086</v>
      </c>
      <c r="R7" s="155">
        <f>LOOKUP(A7+200,'[2]DCS Data'!$A:$A,'[2]DCS Data'!$K:$K)</f>
        <v>24.00000034332275</v>
      </c>
      <c r="S7" s="156">
        <f>IFERROR(LOOKUP(A7+200,'[2]DCS Data'!$A:$A,'[2]DCS Data'!$J:$J)*3785.4*0.993*$A$3/1000000,0)</f>
        <v>47.483627044749824</v>
      </c>
      <c r="T7" s="109"/>
    </row>
    <row r="8" spans="1:20" ht="14" customHeight="1" x14ac:dyDescent="0.35">
      <c r="A8" s="104">
        <v>2</v>
      </c>
      <c r="B8" s="177">
        <v>255.22927856445313</v>
      </c>
      <c r="C8" s="178">
        <v>109.95147606131889</v>
      </c>
      <c r="D8" s="179">
        <v>45.030039080113113</v>
      </c>
      <c r="E8" s="180">
        <v>295.26681518554688</v>
      </c>
      <c r="F8" s="178">
        <v>127.19944335609259</v>
      </c>
      <c r="G8" s="179">
        <v>0.1445492590464994</v>
      </c>
      <c r="H8" s="180">
        <v>350.76174926757813</v>
      </c>
      <c r="I8" s="178">
        <v>210.74028863934114</v>
      </c>
      <c r="J8" s="179">
        <v>-82.666934838255031</v>
      </c>
      <c r="K8" s="180">
        <v>77.950614929199219</v>
      </c>
      <c r="L8" s="178">
        <v>46.83331384934452</v>
      </c>
      <c r="M8" s="181">
        <v>-19.894244663479682</v>
      </c>
      <c r="N8" s="178">
        <v>100.121</v>
      </c>
      <c r="O8" s="182">
        <v>38.04598</v>
      </c>
      <c r="P8" s="183">
        <v>42.734408837424894</v>
      </c>
      <c r="Q8" s="184">
        <v>16.239075358221459</v>
      </c>
      <c r="R8" s="185">
        <v>24.000000254313154</v>
      </c>
      <c r="S8" s="186">
        <v>44.589884611529527</v>
      </c>
      <c r="T8" s="109"/>
    </row>
    <row r="9" spans="1:20" ht="14" customHeight="1" x14ac:dyDescent="0.35">
      <c r="A9" s="104">
        <v>3</v>
      </c>
      <c r="B9" s="177">
        <v>287.17340087890625</v>
      </c>
      <c r="C9" s="178">
        <v>123.71284160571302</v>
      </c>
      <c r="D9" s="179">
        <v>13.761365544394138</v>
      </c>
      <c r="E9" s="180">
        <v>247.19926452636719</v>
      </c>
      <c r="F9" s="178">
        <v>106.49218682441537</v>
      </c>
      <c r="G9" s="179">
        <v>-20.707256531677217</v>
      </c>
      <c r="H9" s="180">
        <v>350.70126342773438</v>
      </c>
      <c r="I9" s="178">
        <v>210.70394829329746</v>
      </c>
      <c r="J9" s="179">
        <v>-3.6340346043687077E-2</v>
      </c>
      <c r="K9" s="180">
        <v>137.71348571777344</v>
      </c>
      <c r="L9" s="178">
        <v>82.739294664522077</v>
      </c>
      <c r="M9" s="181">
        <v>35.905980815177557</v>
      </c>
      <c r="N9" s="178">
        <v>20.029</v>
      </c>
      <c r="O9" s="182">
        <v>7.6110199999999999</v>
      </c>
      <c r="P9" s="183">
        <v>48.952749481850788</v>
      </c>
      <c r="Q9" s="184">
        <v>18.602044803103301</v>
      </c>
      <c r="R9" s="185">
        <v>24.000000190734863</v>
      </c>
      <c r="S9" s="186">
        <v>51.598853708769987</v>
      </c>
      <c r="T9" s="109"/>
    </row>
    <row r="10" spans="1:20" ht="14" customHeight="1" x14ac:dyDescent="0.35">
      <c r="A10" s="104">
        <v>4</v>
      </c>
      <c r="B10" s="177">
        <v>106.56142425537109</v>
      </c>
      <c r="C10" s="178">
        <v>45.906119995224955</v>
      </c>
      <c r="D10" s="179">
        <v>-77.806721610488069</v>
      </c>
      <c r="E10" s="180">
        <v>133.80117797851563</v>
      </c>
      <c r="F10" s="178">
        <v>57.640867459357317</v>
      </c>
      <c r="G10" s="179">
        <v>-48.851319365058053</v>
      </c>
      <c r="H10" s="180">
        <v>350.84408569335938</v>
      </c>
      <c r="I10" s="178">
        <v>210.78975698123105</v>
      </c>
      <c r="J10" s="179">
        <v>8.5808687933592864E-2</v>
      </c>
      <c r="K10" s="180">
        <v>179.03593444824219</v>
      </c>
      <c r="L10" s="178">
        <v>107.56613165837071</v>
      </c>
      <c r="M10" s="181">
        <v>24.82683699384863</v>
      </c>
      <c r="N10" s="178">
        <v>163.517</v>
      </c>
      <c r="O10" s="182">
        <v>62.13646</v>
      </c>
      <c r="P10" s="183">
        <v>61.77160470623609</v>
      </c>
      <c r="Q10" s="184">
        <v>23.473209788369715</v>
      </c>
      <c r="R10" s="185">
        <v>23.991944385104709</v>
      </c>
      <c r="S10" s="186">
        <v>62.90439662711168</v>
      </c>
      <c r="T10" s="109"/>
    </row>
    <row r="11" spans="1:20" ht="14" customHeight="1" x14ac:dyDescent="0.35">
      <c r="A11" s="104">
        <v>5</v>
      </c>
      <c r="B11" s="177">
        <v>106.40493774414063</v>
      </c>
      <c r="C11" s="178">
        <v>45.838706401493653</v>
      </c>
      <c r="D11" s="179">
        <v>-6.7413593731302512E-2</v>
      </c>
      <c r="E11" s="180">
        <v>166.01583862304688</v>
      </c>
      <c r="F11" s="178">
        <v>71.518779541400107</v>
      </c>
      <c r="G11" s="179">
        <v>13.877912082042791</v>
      </c>
      <c r="H11" s="180">
        <v>401.10531616210938</v>
      </c>
      <c r="I11" s="178">
        <v>240.98708105795836</v>
      </c>
      <c r="J11" s="179">
        <v>30.197324076727313</v>
      </c>
      <c r="K11" s="180">
        <v>119.32856750488281</v>
      </c>
      <c r="L11" s="178">
        <v>71.693497969513473</v>
      </c>
      <c r="M11" s="181">
        <v>-35.872633688857235</v>
      </c>
      <c r="N11" s="178">
        <v>40.037999999999997</v>
      </c>
      <c r="O11" s="182">
        <v>15.21444</v>
      </c>
      <c r="P11" s="183">
        <v>48.173188876181563</v>
      </c>
      <c r="Q11" s="184">
        <v>18.305811772948992</v>
      </c>
      <c r="R11" s="185">
        <v>24.000000211927627</v>
      </c>
      <c r="S11" s="186">
        <v>51.056591682751574</v>
      </c>
      <c r="T11" s="109"/>
    </row>
    <row r="12" spans="1:20" ht="14" customHeight="1" x14ac:dyDescent="0.35">
      <c r="A12" s="104">
        <v>6</v>
      </c>
      <c r="B12" s="177">
        <v>106.39403533935547</v>
      </c>
      <c r="C12" s="178">
        <v>45.834009700921179</v>
      </c>
      <c r="D12" s="179">
        <v>-4.6967005724738442E-3</v>
      </c>
      <c r="E12" s="180">
        <v>104.72337341308594</v>
      </c>
      <c r="F12" s="178">
        <v>45.114297033840188</v>
      </c>
      <c r="G12" s="179">
        <v>-26.404482507559919</v>
      </c>
      <c r="H12" s="180">
        <v>373.322998046875</v>
      </c>
      <c r="I12" s="178">
        <v>224.29525604881769</v>
      </c>
      <c r="J12" s="179">
        <v>-16.691825009140672</v>
      </c>
      <c r="K12" s="180">
        <v>201.49667358398438</v>
      </c>
      <c r="L12" s="178">
        <v>121.06071212047347</v>
      </c>
      <c r="M12" s="181">
        <v>49.367214150959995</v>
      </c>
      <c r="N12" s="178">
        <v>41.281999999999996</v>
      </c>
      <c r="O12" s="182">
        <v>15.687159999999999</v>
      </c>
      <c r="P12" s="183">
        <v>47.548209933686927</v>
      </c>
      <c r="Q12" s="184">
        <v>18.068319774801033</v>
      </c>
      <c r="R12" s="185">
        <v>24.000000224643284</v>
      </c>
      <c r="S12" s="186">
        <v>50.179725695697535</v>
      </c>
      <c r="T12" s="109"/>
    </row>
    <row r="13" spans="1:20" ht="14" customHeight="1" x14ac:dyDescent="0.35">
      <c r="A13" s="104">
        <v>7</v>
      </c>
      <c r="B13" s="177">
        <v>106.31651306152344</v>
      </c>
      <c r="C13" s="178">
        <v>45.80061349762034</v>
      </c>
      <c r="D13" s="179">
        <v>-3.3396203300839034E-2</v>
      </c>
      <c r="E13" s="180">
        <v>104.62825775146484</v>
      </c>
      <c r="F13" s="178">
        <v>45.073321690217341</v>
      </c>
      <c r="G13" s="179">
        <v>-4.0975343622847049E-2</v>
      </c>
      <c r="H13" s="180">
        <v>373.24887084960938</v>
      </c>
      <c r="I13" s="178">
        <v>224.25071987296496</v>
      </c>
      <c r="J13" s="179">
        <v>-4.4536175852726956E-2</v>
      </c>
      <c r="K13" s="180">
        <v>302.45654296875</v>
      </c>
      <c r="L13" s="178">
        <v>181.71815854831951</v>
      </c>
      <c r="M13" s="181">
        <v>60.65744642784604</v>
      </c>
      <c r="N13" s="178">
        <v>0</v>
      </c>
      <c r="O13" s="182">
        <v>0</v>
      </c>
      <c r="P13" s="183">
        <v>60.538538705069627</v>
      </c>
      <c r="Q13" s="184">
        <v>23.00464470792646</v>
      </c>
      <c r="R13" s="185">
        <v>24.000000211927627</v>
      </c>
      <c r="S13" s="186">
        <v>61.836476566753767</v>
      </c>
      <c r="T13" s="109"/>
    </row>
    <row r="14" spans="1:20" ht="14" customHeight="1" x14ac:dyDescent="0.35">
      <c r="A14" s="104">
        <v>8</v>
      </c>
      <c r="B14" s="177">
        <v>105.82537841796875</v>
      </c>
      <c r="C14" s="178">
        <v>45.589035189256109</v>
      </c>
      <c r="D14" s="179">
        <v>-0.2115783083642313</v>
      </c>
      <c r="E14" s="180">
        <v>104.89227294921875</v>
      </c>
      <c r="F14" s="178">
        <v>45.187058095613054</v>
      </c>
      <c r="G14" s="179">
        <v>0.11373640539571284</v>
      </c>
      <c r="H14" s="180">
        <v>373.11810302734375</v>
      </c>
      <c r="I14" s="178">
        <v>224.17215358497452</v>
      </c>
      <c r="J14" s="179">
        <v>-7.8566287990440742E-2</v>
      </c>
      <c r="K14" s="180">
        <v>384.21368408203125</v>
      </c>
      <c r="L14" s="178">
        <v>230.83846186678863</v>
      </c>
      <c r="M14" s="181">
        <v>49.120303318469126</v>
      </c>
      <c r="N14" s="178">
        <v>0</v>
      </c>
      <c r="O14" s="182">
        <v>0</v>
      </c>
      <c r="P14" s="183">
        <v>48.943895127510167</v>
      </c>
      <c r="Q14" s="184">
        <v>18.598680148453862</v>
      </c>
      <c r="R14" s="185">
        <v>24.00000038570828</v>
      </c>
      <c r="S14" s="186">
        <v>50.179423650241446</v>
      </c>
      <c r="T14" s="109"/>
    </row>
    <row r="15" spans="1:20" ht="14" customHeight="1" x14ac:dyDescent="0.35">
      <c r="A15" s="104">
        <v>9</v>
      </c>
      <c r="B15" s="177">
        <v>173.60502624511719</v>
      </c>
      <c r="C15" s="178">
        <v>74.788162998683205</v>
      </c>
      <c r="D15" s="179">
        <v>29.199127809427097</v>
      </c>
      <c r="E15" s="180">
        <v>104.59396362304688</v>
      </c>
      <c r="F15" s="178">
        <v>45.058547953986917</v>
      </c>
      <c r="G15" s="179">
        <v>-0.12851014162613694</v>
      </c>
      <c r="H15" s="180">
        <v>307.95858764648438</v>
      </c>
      <c r="I15" s="178">
        <v>185.02382823982222</v>
      </c>
      <c r="J15" s="179">
        <v>-39.148325345152301</v>
      </c>
      <c r="K15" s="180">
        <v>412.45822143554688</v>
      </c>
      <c r="L15" s="178">
        <v>247.80799165957072</v>
      </c>
      <c r="M15" s="181">
        <v>16.969529792782083</v>
      </c>
      <c r="N15" s="178">
        <v>40.045999999999999</v>
      </c>
      <c r="O15" s="182">
        <v>15.21748</v>
      </c>
      <c r="P15" s="183">
        <v>46.937822115430741</v>
      </c>
      <c r="Q15" s="184">
        <v>17.836372403863681</v>
      </c>
      <c r="R15" s="185">
        <v>24.000000237358943</v>
      </c>
      <c r="S15" s="186">
        <v>48.553164410148121</v>
      </c>
      <c r="T15" s="109"/>
    </row>
    <row r="16" spans="1:20" ht="14" customHeight="1" x14ac:dyDescent="0.35">
      <c r="A16" s="104">
        <v>10</v>
      </c>
      <c r="B16" s="177">
        <v>278.736083984375</v>
      </c>
      <c r="C16" s="178">
        <v>120.07808836827618</v>
      </c>
      <c r="D16" s="179">
        <v>45.289925369592979</v>
      </c>
      <c r="E16" s="180">
        <v>104.66884613037109</v>
      </c>
      <c r="F16" s="178">
        <v>45.090806957569036</v>
      </c>
      <c r="G16" s="179">
        <v>3.2259003582119306E-2</v>
      </c>
      <c r="H16" s="180">
        <v>242.28915405273438</v>
      </c>
      <c r="I16" s="178">
        <v>145.56914020948139</v>
      </c>
      <c r="J16" s="179">
        <v>-39.454688030340833</v>
      </c>
      <c r="K16" s="180">
        <v>413.00640869140625</v>
      </c>
      <c r="L16" s="178">
        <v>248.13734667267988</v>
      </c>
      <c r="M16" s="181">
        <v>0.32935501310916493</v>
      </c>
      <c r="N16" s="178">
        <v>40.046999999999997</v>
      </c>
      <c r="O16" s="182">
        <v>15.217859999999998</v>
      </c>
      <c r="P16" s="183">
        <v>46.243851355943427</v>
      </c>
      <c r="Q16" s="184">
        <v>17.572663515258501</v>
      </c>
      <c r="R16" s="185">
        <v>24.000000300937227</v>
      </c>
      <c r="S16" s="186">
        <v>46.296307926333135</v>
      </c>
      <c r="T16" s="109"/>
    </row>
    <row r="17" spans="1:21" ht="14" customHeight="1" x14ac:dyDescent="0.35">
      <c r="A17" s="104">
        <v>11</v>
      </c>
      <c r="B17" s="177">
        <v>284.89981079101563</v>
      </c>
      <c r="C17" s="178">
        <v>122.73339055084971</v>
      </c>
      <c r="D17" s="179">
        <v>2.6553021825735215</v>
      </c>
      <c r="E17" s="180">
        <v>196.66946411132813</v>
      </c>
      <c r="F17" s="178">
        <v>84.724205611733424</v>
      </c>
      <c r="G17" s="179">
        <v>39.633398654164388</v>
      </c>
      <c r="H17" s="180">
        <v>74.277099609375</v>
      </c>
      <c r="I17" s="178">
        <v>44.626238304655551</v>
      </c>
      <c r="J17" s="179">
        <v>-100.94290190482585</v>
      </c>
      <c r="K17" s="180">
        <v>195.58894348144531</v>
      </c>
      <c r="L17" s="178">
        <v>117.51130358430306</v>
      </c>
      <c r="M17" s="181">
        <v>-130.62604308837683</v>
      </c>
      <c r="N17" s="178">
        <v>227.72200000000001</v>
      </c>
      <c r="O17" s="182">
        <v>86.534360000000007</v>
      </c>
      <c r="P17" s="183">
        <v>38.441755843535248</v>
      </c>
      <c r="Q17" s="184">
        <v>14.607867220543394</v>
      </c>
      <c r="R17" s="185">
        <v>23.993331536187064</v>
      </c>
      <c r="S17" s="186">
        <v>44.785945012390016</v>
      </c>
      <c r="T17" s="109"/>
    </row>
    <row r="18" spans="1:21" ht="14" customHeight="1" x14ac:dyDescent="0.35">
      <c r="A18" s="104">
        <v>12</v>
      </c>
      <c r="B18" s="177">
        <v>97.6572265625</v>
      </c>
      <c r="C18" s="178">
        <v>42.070236882677847</v>
      </c>
      <c r="D18" s="179">
        <v>-80.663153668171859</v>
      </c>
      <c r="E18" s="180">
        <v>277.37518310546875</v>
      </c>
      <c r="F18" s="178">
        <v>119.49181918610984</v>
      </c>
      <c r="G18" s="179">
        <v>34.767613574376412</v>
      </c>
      <c r="H18" s="180">
        <v>87.396430969238281</v>
      </c>
      <c r="I18" s="178">
        <v>52.508430941982276</v>
      </c>
      <c r="J18" s="179">
        <v>7.8821926373267246</v>
      </c>
      <c r="K18" s="180">
        <v>195.56111145019531</v>
      </c>
      <c r="L18" s="178">
        <v>117.49458189126985</v>
      </c>
      <c r="M18" s="181">
        <v>-1.6721693033218799E-2</v>
      </c>
      <c r="N18" s="178">
        <v>80.096000000000004</v>
      </c>
      <c r="O18" s="182">
        <v>30.436480000000003</v>
      </c>
      <c r="P18" s="183">
        <v>42.065930850498063</v>
      </c>
      <c r="Q18" s="184">
        <v>15.985053723189264</v>
      </c>
      <c r="R18" s="185">
        <v>24.000000271267361</v>
      </c>
      <c r="S18" s="186">
        <v>43.712954869159894</v>
      </c>
      <c r="T18" s="109"/>
    </row>
    <row r="19" spans="1:21" ht="14" customHeight="1" x14ac:dyDescent="0.35">
      <c r="A19" s="104">
        <v>13</v>
      </c>
      <c r="B19" s="177">
        <v>98.02117919921875</v>
      </c>
      <c r="C19" s="178">
        <v>42.227025828870516</v>
      </c>
      <c r="D19" s="179">
        <v>0.1567889461926697</v>
      </c>
      <c r="E19" s="180">
        <v>175.09165954589844</v>
      </c>
      <c r="F19" s="178">
        <v>75.42859706918712</v>
      </c>
      <c r="G19" s="179">
        <v>-44.063222116922717</v>
      </c>
      <c r="H19" s="180">
        <v>162.411865234375</v>
      </c>
      <c r="I19" s="178">
        <v>97.578266243153422</v>
      </c>
      <c r="J19" s="179">
        <v>45.069835301171146</v>
      </c>
      <c r="K19" s="180">
        <v>195.85568237304688</v>
      </c>
      <c r="L19" s="178">
        <v>117.67156231013286</v>
      </c>
      <c r="M19" s="181">
        <v>0.17698041886301041</v>
      </c>
      <c r="N19" s="178">
        <v>42.765999999999998</v>
      </c>
      <c r="O19" s="182">
        <v>16.251079999999998</v>
      </c>
      <c r="P19" s="183">
        <v>44.106382549304108</v>
      </c>
      <c r="Q19" s="184">
        <v>16.760425368735561</v>
      </c>
      <c r="R19" s="185">
        <v>24.000000309414332</v>
      </c>
      <c r="S19" s="186">
        <v>46.12678911860511</v>
      </c>
      <c r="T19" s="109"/>
    </row>
    <row r="20" spans="1:21" ht="14" customHeight="1" x14ac:dyDescent="0.35">
      <c r="A20" s="104">
        <v>14</v>
      </c>
      <c r="B20" s="177">
        <v>97.717239379882813</v>
      </c>
      <c r="C20" s="178">
        <v>42.096090099404989</v>
      </c>
      <c r="D20" s="179">
        <v>-0.13093572946552712</v>
      </c>
      <c r="E20" s="180">
        <v>130.55532836914063</v>
      </c>
      <c r="F20" s="178">
        <v>56.242571943924467</v>
      </c>
      <c r="G20" s="179">
        <v>-19.186025125262653</v>
      </c>
      <c r="H20" s="180">
        <v>244.81134033203125</v>
      </c>
      <c r="I20" s="178">
        <v>147.08448863504685</v>
      </c>
      <c r="J20" s="179">
        <v>49.506222391893431</v>
      </c>
      <c r="K20" s="180">
        <v>195.69877624511719</v>
      </c>
      <c r="L20" s="178">
        <v>117.57729193213916</v>
      </c>
      <c r="M20" s="181">
        <v>-9.4270377993694865E-2</v>
      </c>
      <c r="N20" s="178">
        <v>20.016999999999999</v>
      </c>
      <c r="O20" s="182">
        <v>7.6064600000000002</v>
      </c>
      <c r="P20" s="183">
        <v>50.111991159171552</v>
      </c>
      <c r="Q20" s="184">
        <v>19.042556640485191</v>
      </c>
      <c r="R20" s="185">
        <v>21.826684137980145</v>
      </c>
      <c r="S20" s="186">
        <v>50.659451004816553</v>
      </c>
      <c r="T20" s="109"/>
    </row>
    <row r="21" spans="1:21" ht="14" customHeight="1" x14ac:dyDescent="0.35">
      <c r="A21" s="104">
        <v>15</v>
      </c>
      <c r="B21" s="177">
        <v>97.842300415039063</v>
      </c>
      <c r="C21" s="178">
        <v>42.149965757756284</v>
      </c>
      <c r="D21" s="179">
        <v>5.3875658351294931E-2</v>
      </c>
      <c r="E21" s="180">
        <v>130.5560302734375</v>
      </c>
      <c r="F21" s="178">
        <v>56.242874320728298</v>
      </c>
      <c r="G21" s="179">
        <v>3.0237680383038423E-4</v>
      </c>
      <c r="H21" s="180">
        <v>326.10140991210938</v>
      </c>
      <c r="I21" s="178">
        <v>195.9241718747075</v>
      </c>
      <c r="J21" s="179">
        <v>48.839683239660644</v>
      </c>
      <c r="K21" s="180">
        <v>196.00299072265625</v>
      </c>
      <c r="L21" s="178">
        <v>117.76006627095666</v>
      </c>
      <c r="M21" s="181">
        <v>0.18277433881749516</v>
      </c>
      <c r="N21" s="178">
        <v>0</v>
      </c>
      <c r="O21" s="182">
        <v>0</v>
      </c>
      <c r="P21" s="183">
        <v>49.076635613633265</v>
      </c>
      <c r="Q21" s="184">
        <v>18.64912153318064</v>
      </c>
      <c r="R21" s="185">
        <v>24.000000300937227</v>
      </c>
      <c r="S21" s="186">
        <v>50.351830335414533</v>
      </c>
      <c r="T21" s="109"/>
    </row>
    <row r="22" spans="1:21" ht="14" customHeight="1" x14ac:dyDescent="0.35">
      <c r="A22" s="104">
        <v>16</v>
      </c>
      <c r="B22" s="177">
        <v>117.93084716796875</v>
      </c>
      <c r="C22" s="178">
        <v>50.804009603488716</v>
      </c>
      <c r="D22" s="179">
        <v>8.6540438457324314</v>
      </c>
      <c r="E22" s="180">
        <v>130.68482971191406</v>
      </c>
      <c r="F22" s="178">
        <v>56.298360464230399</v>
      </c>
      <c r="G22" s="179">
        <v>5.5486143502101015E-2</v>
      </c>
      <c r="H22" s="180">
        <v>245.26795959472656</v>
      </c>
      <c r="I22" s="178">
        <v>147.35882891137294</v>
      </c>
      <c r="J22" s="179">
        <v>-48.565342963334558</v>
      </c>
      <c r="K22" s="180">
        <v>196.19148254394531</v>
      </c>
      <c r="L22" s="178">
        <v>117.87331357032028</v>
      </c>
      <c r="M22" s="181">
        <v>0.11324729936362132</v>
      </c>
      <c r="N22" s="178">
        <v>86.222999999999999</v>
      </c>
      <c r="O22" s="182">
        <v>32.764740000000003</v>
      </c>
      <c r="P22" s="183">
        <v>46.480434325263595</v>
      </c>
      <c r="Q22" s="184">
        <v>17.662565043600168</v>
      </c>
      <c r="R22" s="185">
        <v>24.000000262790252</v>
      </c>
      <c r="S22" s="186">
        <v>47.161217407691822</v>
      </c>
      <c r="T22" s="109"/>
      <c r="U22" s="64"/>
    </row>
    <row r="23" spans="1:21" ht="14" customHeight="1" x14ac:dyDescent="0.35">
      <c r="A23" s="104">
        <v>17</v>
      </c>
      <c r="B23" s="177">
        <v>224.65748596191406</v>
      </c>
      <c r="C23" s="178">
        <v>96.78130318226647</v>
      </c>
      <c r="D23" s="179">
        <v>45.977293578777754</v>
      </c>
      <c r="E23" s="180">
        <v>81.969352722167969</v>
      </c>
      <c r="F23" s="178">
        <v>35.311980562282116</v>
      </c>
      <c r="G23" s="179">
        <v>-20.986379901948283</v>
      </c>
      <c r="H23" s="180">
        <v>173.89520263671875</v>
      </c>
      <c r="I23" s="178">
        <v>104.47754144566922</v>
      </c>
      <c r="J23" s="179">
        <v>-42.881287465703721</v>
      </c>
      <c r="K23" s="180">
        <v>196.52304077148438</v>
      </c>
      <c r="L23" s="178">
        <v>118.0725162391353</v>
      </c>
      <c r="M23" s="181">
        <v>0.19920266881501902</v>
      </c>
      <c r="N23" s="178">
        <v>60.052999999999997</v>
      </c>
      <c r="O23" s="182">
        <v>22.820139999999999</v>
      </c>
      <c r="P23" s="183">
        <v>42.361828879940767</v>
      </c>
      <c r="Q23" s="184">
        <v>16.09749497437749</v>
      </c>
      <c r="R23" s="185">
        <v>24.000000220404729</v>
      </c>
      <c r="S23" s="186">
        <v>47.728254326789681</v>
      </c>
      <c r="T23" s="109"/>
      <c r="U23" s="64"/>
    </row>
    <row r="24" spans="1:21" ht="14" customHeight="1" x14ac:dyDescent="0.35">
      <c r="A24" s="104">
        <v>18</v>
      </c>
      <c r="B24" s="177">
        <v>195.20101928710938</v>
      </c>
      <c r="C24" s="178">
        <v>84.09160704449387</v>
      </c>
      <c r="D24" s="179">
        <v>-12.6896961377726</v>
      </c>
      <c r="E24" s="180">
        <v>81.82672119140625</v>
      </c>
      <c r="F24" s="178">
        <v>35.250535623722001</v>
      </c>
      <c r="G24" s="179">
        <v>-6.1444938560114792E-2</v>
      </c>
      <c r="H24" s="180">
        <v>139.92677307128906</v>
      </c>
      <c r="I24" s="178">
        <v>84.069054299646567</v>
      </c>
      <c r="J24" s="179">
        <v>-20.408487146022651</v>
      </c>
      <c r="K24" s="180">
        <v>222.37644958496094</v>
      </c>
      <c r="L24" s="178">
        <v>133.60543807864485</v>
      </c>
      <c r="M24" s="181">
        <v>15.532921839509555</v>
      </c>
      <c r="N24" s="178">
        <v>60.116</v>
      </c>
      <c r="O24" s="182">
        <v>22.844080000000002</v>
      </c>
      <c r="P24" s="183">
        <v>42.489293617154189</v>
      </c>
      <c r="Q24" s="184">
        <v>16.145931574518592</v>
      </c>
      <c r="R24" s="185">
        <v>23.993890372382268</v>
      </c>
      <c r="S24" s="186">
        <v>46.834748333577991</v>
      </c>
      <c r="T24" s="109"/>
    </row>
    <row r="25" spans="1:21" ht="14" customHeight="1" x14ac:dyDescent="0.35">
      <c r="A25" s="104">
        <v>19</v>
      </c>
      <c r="B25" s="177">
        <v>92.286483764648438</v>
      </c>
      <c r="C25" s="178">
        <v>39.756548180931382</v>
      </c>
      <c r="D25" s="179">
        <v>-44.335058863562487</v>
      </c>
      <c r="E25" s="180">
        <v>81.969779968261719</v>
      </c>
      <c r="F25" s="178">
        <v>35.312164617727923</v>
      </c>
      <c r="G25" s="179">
        <v>6.1628994005921811E-2</v>
      </c>
      <c r="H25" s="180">
        <v>106.58271026611328</v>
      </c>
      <c r="I25" s="178">
        <v>64.035691384095102</v>
      </c>
      <c r="J25" s="179">
        <v>-20.033362915551464</v>
      </c>
      <c r="K25" s="180">
        <v>235.35667419433594</v>
      </c>
      <c r="L25" s="178">
        <v>141.40405433738755</v>
      </c>
      <c r="M25" s="181">
        <v>7.7986162587426975</v>
      </c>
      <c r="N25" s="178">
        <v>100.089</v>
      </c>
      <c r="O25" s="182">
        <v>38.033819999999999</v>
      </c>
      <c r="P25" s="183">
        <v>43.580823473634666</v>
      </c>
      <c r="Q25" s="184">
        <v>16.560712919981174</v>
      </c>
      <c r="R25" s="185">
        <v>24.000000203450519</v>
      </c>
      <c r="S25" s="186">
        <v>43.770450139180959</v>
      </c>
      <c r="T25" s="109"/>
    </row>
    <row r="26" spans="1:21" ht="14" customHeight="1" x14ac:dyDescent="0.35">
      <c r="A26" s="104">
        <v>20</v>
      </c>
      <c r="B26" s="177">
        <v>191.86279296875</v>
      </c>
      <c r="C26" s="178">
        <v>82.65351611231398</v>
      </c>
      <c r="D26" s="179">
        <v>42.896967931382598</v>
      </c>
      <c r="E26" s="180">
        <v>82.073722839355469</v>
      </c>
      <c r="F26" s="178">
        <v>35.356942678329318</v>
      </c>
      <c r="G26" s="179">
        <v>4.4778060601394998E-2</v>
      </c>
      <c r="H26" s="180">
        <v>106.62758636474609</v>
      </c>
      <c r="I26" s="178">
        <v>64.062653280592187</v>
      </c>
      <c r="J26" s="179">
        <v>2.6961896497084581E-2</v>
      </c>
      <c r="K26" s="180">
        <v>160.5543212890625</v>
      </c>
      <c r="L26" s="178">
        <v>96.462239914704497</v>
      </c>
      <c r="M26" s="181">
        <v>-44.941814422683052</v>
      </c>
      <c r="N26" s="178">
        <v>43.871000000000002</v>
      </c>
      <c r="O26" s="182">
        <v>16.67098</v>
      </c>
      <c r="P26" s="183">
        <v>41.897893465798028</v>
      </c>
      <c r="Q26" s="184">
        <v>15.921199517003251</v>
      </c>
      <c r="R26" s="185">
        <v>24.000000317891441</v>
      </c>
      <c r="S26" s="186">
        <v>44.432806117731865</v>
      </c>
      <c r="T26" s="109"/>
    </row>
    <row r="27" spans="1:21" ht="14" customHeight="1" x14ac:dyDescent="0.35">
      <c r="A27" s="104">
        <v>21</v>
      </c>
      <c r="B27" s="177">
        <v>290.62734985351563</v>
      </c>
      <c r="C27" s="178">
        <v>125.20078527007156</v>
      </c>
      <c r="D27" s="179">
        <v>42.547269157757583</v>
      </c>
      <c r="E27" s="180">
        <v>116.39998626708984</v>
      </c>
      <c r="F27" s="178">
        <v>50.144522507639365</v>
      </c>
      <c r="G27" s="179">
        <v>14.787579829310047</v>
      </c>
      <c r="H27" s="180">
        <v>106.41022491455078</v>
      </c>
      <c r="I27" s="178">
        <v>63.932060891744563</v>
      </c>
      <c r="J27" s="179">
        <v>-0.13059238884762436</v>
      </c>
      <c r="K27" s="180">
        <v>91.483306884765625</v>
      </c>
      <c r="L27" s="178">
        <v>54.963856631555927</v>
      </c>
      <c r="M27" s="181">
        <v>-41.49838328314857</v>
      </c>
      <c r="N27" s="178">
        <v>40.045000000000002</v>
      </c>
      <c r="O27" s="182">
        <v>15.2171</v>
      </c>
      <c r="P27" s="183">
        <v>55.750873315071438</v>
      </c>
      <c r="Q27" s="184">
        <v>21.185331859727146</v>
      </c>
      <c r="R27" s="185">
        <v>23.691106664869519</v>
      </c>
      <c r="S27" s="186">
        <v>59.279533420970225</v>
      </c>
      <c r="T27" s="109"/>
    </row>
    <row r="28" spans="1:21" ht="14" customHeight="1" x14ac:dyDescent="0.35">
      <c r="A28" s="104">
        <v>22</v>
      </c>
      <c r="B28" s="177">
        <v>243.62673950195313</v>
      </c>
      <c r="C28" s="178">
        <v>104.95316120043655</v>
      </c>
      <c r="D28" s="179">
        <v>-20.247624069635009</v>
      </c>
      <c r="E28" s="180">
        <v>238.97560119628906</v>
      </c>
      <c r="F28" s="178">
        <v>102.94947445669975</v>
      </c>
      <c r="G28" s="179">
        <v>52.804951949060381</v>
      </c>
      <c r="H28" s="180">
        <v>106.24141693115234</v>
      </c>
      <c r="I28" s="178">
        <v>63.830639789756404</v>
      </c>
      <c r="J28" s="179">
        <v>-0.10142110198815857</v>
      </c>
      <c r="K28" s="180">
        <v>91.5941162109375</v>
      </c>
      <c r="L28" s="178">
        <v>55.030431705463371</v>
      </c>
      <c r="M28" s="181">
        <v>6.6575073907443993E-2</v>
      </c>
      <c r="N28" s="178">
        <v>20.018000000000001</v>
      </c>
      <c r="O28" s="182">
        <v>7.60684</v>
      </c>
      <c r="P28" s="183">
        <v>52.540481851344659</v>
      </c>
      <c r="Q28" s="184">
        <v>19.96538310351097</v>
      </c>
      <c r="R28" s="185">
        <v>24.000000305175782</v>
      </c>
      <c r="S28" s="186">
        <v>54.850369740122453</v>
      </c>
      <c r="T28" s="109"/>
    </row>
    <row r="29" spans="1:21" ht="14" customHeight="1" x14ac:dyDescent="0.35">
      <c r="A29" s="104">
        <v>23</v>
      </c>
      <c r="B29" s="177">
        <v>195.77777099609375</v>
      </c>
      <c r="C29" s="178">
        <v>84.340068749516121</v>
      </c>
      <c r="D29" s="179">
        <v>-20.613092450920433</v>
      </c>
      <c r="E29" s="180">
        <v>290.44122314453125</v>
      </c>
      <c r="F29" s="178">
        <v>125.12060282978739</v>
      </c>
      <c r="G29" s="179">
        <v>22.17112837308764</v>
      </c>
      <c r="H29" s="180">
        <v>106.27878570556641</v>
      </c>
      <c r="I29" s="178">
        <v>63.853091229580052</v>
      </c>
      <c r="J29" s="179">
        <v>2.2451439823647945E-2</v>
      </c>
      <c r="K29" s="180">
        <v>169.06600952148438</v>
      </c>
      <c r="L29" s="178">
        <v>101.57612601732028</v>
      </c>
      <c r="M29" s="181">
        <v>46.545694311856906</v>
      </c>
      <c r="N29" s="178">
        <v>20.018000000000001</v>
      </c>
      <c r="O29" s="182">
        <v>7.60684</v>
      </c>
      <c r="P29" s="183">
        <v>68.144181673847754</v>
      </c>
      <c r="Q29" s="184">
        <v>25.894789036062146</v>
      </c>
      <c r="R29" s="185">
        <v>24.000000211927627</v>
      </c>
      <c r="S29" s="186">
        <v>70.291377212175419</v>
      </c>
      <c r="T29" s="109"/>
    </row>
    <row r="30" spans="1:21" ht="14" customHeight="1" x14ac:dyDescent="0.35">
      <c r="A30" s="104">
        <v>24</v>
      </c>
      <c r="B30" s="177">
        <v>104.75331878662109</v>
      </c>
      <c r="C30" s="178">
        <v>45.127197348568643</v>
      </c>
      <c r="D30" s="179">
        <v>-39.212871400947478</v>
      </c>
      <c r="E30" s="180">
        <v>290.17669677734375</v>
      </c>
      <c r="F30" s="178">
        <v>125.00664621519758</v>
      </c>
      <c r="G30" s="179">
        <v>-0.1139566145898101</v>
      </c>
      <c r="H30" s="180">
        <v>106.30851745605469</v>
      </c>
      <c r="I30" s="178">
        <v>63.870954288173905</v>
      </c>
      <c r="J30" s="179">
        <v>1.7863058593853509E-2</v>
      </c>
      <c r="K30" s="180">
        <v>289.91754150390625</v>
      </c>
      <c r="L30" s="178">
        <v>174.18463246268445</v>
      </c>
      <c r="M30" s="181">
        <v>72.608506445364171</v>
      </c>
      <c r="N30" s="178">
        <v>40.043999999999997</v>
      </c>
      <c r="O30" s="182">
        <v>15.216719999999999</v>
      </c>
      <c r="P30" s="183">
        <v>73.343541488420726</v>
      </c>
      <c r="Q30" s="184">
        <v>27.870545765599875</v>
      </c>
      <c r="R30" s="185">
        <v>23.294441464742025</v>
      </c>
      <c r="S30" s="186">
        <v>73.787395677320703</v>
      </c>
      <c r="T30" s="109"/>
    </row>
    <row r="31" spans="1:21" ht="14" customHeight="1" x14ac:dyDescent="0.35">
      <c r="A31" s="104">
        <v>25</v>
      </c>
      <c r="B31" s="177">
        <v>134.17173767089844</v>
      </c>
      <c r="C31" s="178">
        <v>57.800502691551223</v>
      </c>
      <c r="D31" s="179">
        <v>12.67330534298258</v>
      </c>
      <c r="E31" s="180">
        <v>102.14572906494141</v>
      </c>
      <c r="F31" s="178">
        <v>44.003860948945501</v>
      </c>
      <c r="G31" s="179">
        <v>-81.002785266252076</v>
      </c>
      <c r="H31" s="180">
        <v>106.30295562744141</v>
      </c>
      <c r="I31" s="178">
        <v>63.867612699845722</v>
      </c>
      <c r="J31" s="179">
        <v>-3.3415883281833203E-3</v>
      </c>
      <c r="K31" s="180">
        <v>384.19732666015625</v>
      </c>
      <c r="L31" s="178">
        <v>230.82863420509364</v>
      </c>
      <c r="M31" s="181">
        <v>56.644001742409188</v>
      </c>
      <c r="N31" s="178">
        <v>80.078999999999994</v>
      </c>
      <c r="O31" s="182">
        <v>30.430019999999999</v>
      </c>
      <c r="P31" s="183">
        <v>68.390180230811495</v>
      </c>
      <c r="Q31" s="184">
        <v>25.988268487708368</v>
      </c>
      <c r="R31" s="185">
        <v>23.996667972140841</v>
      </c>
      <c r="S31" s="186">
        <v>71.612313525109926</v>
      </c>
      <c r="T31" s="109"/>
    </row>
    <row r="32" spans="1:21" ht="14" customHeight="1" x14ac:dyDescent="0.35">
      <c r="A32" s="104">
        <v>26</v>
      </c>
      <c r="B32" s="177">
        <v>287.05694580078125</v>
      </c>
      <c r="C32" s="178">
        <v>123.66267334991299</v>
      </c>
      <c r="D32" s="179">
        <v>65.862170658361777</v>
      </c>
      <c r="E32" s="180">
        <v>101.88372802734375</v>
      </c>
      <c r="F32" s="178">
        <v>43.890992233508577</v>
      </c>
      <c r="G32" s="179">
        <v>-0.11286871543692456</v>
      </c>
      <c r="H32" s="180">
        <v>106.37843322753906</v>
      </c>
      <c r="I32" s="178">
        <v>63.912960207843959</v>
      </c>
      <c r="J32" s="179">
        <v>4.5347507998236836E-2</v>
      </c>
      <c r="K32" s="180">
        <v>283.00030517578125</v>
      </c>
      <c r="L32" s="178">
        <v>170.02870501786046</v>
      </c>
      <c r="M32" s="181">
        <v>-60.799929187233175</v>
      </c>
      <c r="N32" s="178">
        <v>60.067</v>
      </c>
      <c r="O32" s="182">
        <v>22.82546</v>
      </c>
      <c r="P32" s="183">
        <v>65.061720263689921</v>
      </c>
      <c r="Q32" s="184">
        <v>24.723453700202171</v>
      </c>
      <c r="R32" s="185">
        <v>23.895835528903536</v>
      </c>
      <c r="S32" s="186">
        <v>68.437666191110964</v>
      </c>
      <c r="T32" s="109"/>
    </row>
    <row r="33" spans="1:20" ht="14" customHeight="1" x14ac:dyDescent="0.35">
      <c r="A33" s="104">
        <v>27</v>
      </c>
      <c r="B33" s="177">
        <v>296.4556884765625</v>
      </c>
      <c r="C33" s="178">
        <v>127.71160392768638</v>
      </c>
      <c r="D33" s="179">
        <v>4.0489305777733904</v>
      </c>
      <c r="E33" s="180">
        <v>254.50303649902344</v>
      </c>
      <c r="F33" s="178">
        <v>109.63861467049044</v>
      </c>
      <c r="G33" s="179">
        <v>65.747622436981857</v>
      </c>
      <c r="H33" s="180">
        <v>106.50843048095703</v>
      </c>
      <c r="I33" s="178">
        <v>63.991063532293751</v>
      </c>
      <c r="J33" s="179">
        <v>7.8103324449791955E-2</v>
      </c>
      <c r="K33" s="180">
        <v>249.04527282714844</v>
      </c>
      <c r="L33" s="178">
        <v>149.62826702012902</v>
      </c>
      <c r="M33" s="181">
        <v>-20.400437997731444</v>
      </c>
      <c r="N33" s="178">
        <v>20.015999999999998</v>
      </c>
      <c r="O33" s="182">
        <v>7.6060799999999995</v>
      </c>
      <c r="P33" s="183">
        <v>69.490218341473593</v>
      </c>
      <c r="Q33" s="184">
        <v>26.406282969759964</v>
      </c>
      <c r="R33" s="185">
        <v>24.000000178019203</v>
      </c>
      <c r="S33" s="186">
        <v>70.307846236418627</v>
      </c>
      <c r="T33" s="109"/>
    </row>
    <row r="34" spans="1:20" ht="14" customHeight="1" x14ac:dyDescent="0.35">
      <c r="A34" s="104">
        <v>28</v>
      </c>
      <c r="B34" s="177">
        <v>199.57247924804688</v>
      </c>
      <c r="C34" s="178">
        <v>85.974809778723497</v>
      </c>
      <c r="D34" s="179">
        <v>-41.736794148962886</v>
      </c>
      <c r="E34" s="180">
        <v>295.1719970703125</v>
      </c>
      <c r="F34" s="178">
        <v>127.15859619394092</v>
      </c>
      <c r="G34" s="179">
        <v>17.519981523450483</v>
      </c>
      <c r="H34" s="180">
        <v>106.30607604980469</v>
      </c>
      <c r="I34" s="178">
        <v>63.869487472995559</v>
      </c>
      <c r="J34" s="179">
        <v>-0.12157605929819226</v>
      </c>
      <c r="K34" s="180">
        <v>300.11358642578125</v>
      </c>
      <c r="L34" s="178">
        <v>180.31049269203481</v>
      </c>
      <c r="M34" s="181">
        <v>30.682225671905798</v>
      </c>
      <c r="N34" s="178">
        <v>39.542000000000002</v>
      </c>
      <c r="O34" s="182">
        <v>15.025960000000001</v>
      </c>
      <c r="P34" s="183">
        <v>45.885836987095203</v>
      </c>
      <c r="Q34" s="184">
        <v>17.436618055096176</v>
      </c>
      <c r="R34" s="185">
        <v>24.000000279744466</v>
      </c>
      <c r="S34" s="186">
        <v>49.637545363689227</v>
      </c>
      <c r="T34" s="109"/>
    </row>
    <row r="35" spans="1:20" ht="14" customHeight="1" x14ac:dyDescent="0.35">
      <c r="A35" s="15">
        <v>29</v>
      </c>
      <c r="B35" s="177">
        <v>199.31402587890625</v>
      </c>
      <c r="C35" s="178">
        <v>85.863469380827667</v>
      </c>
      <c r="D35" s="179">
        <v>-0.11134039789583028</v>
      </c>
      <c r="E35" s="180">
        <v>295.006103515625</v>
      </c>
      <c r="F35" s="178">
        <v>127.08713009369747</v>
      </c>
      <c r="G35" s="179">
        <v>-7.1466100243455344E-2</v>
      </c>
      <c r="H35" s="180">
        <v>106.26859283447266</v>
      </c>
      <c r="I35" s="178">
        <v>63.846967276210428</v>
      </c>
      <c r="J35" s="179">
        <v>-2.2520196785130508E-2</v>
      </c>
      <c r="K35" s="180">
        <v>375.74905395507813</v>
      </c>
      <c r="L35" s="178">
        <v>225.75284862673553</v>
      </c>
      <c r="M35" s="181">
        <v>45.442355934700714</v>
      </c>
      <c r="N35" s="178">
        <v>0</v>
      </c>
      <c r="O35" s="182">
        <v>0</v>
      </c>
      <c r="P35" s="183">
        <v>45.237029239776298</v>
      </c>
      <c r="Q35" s="184">
        <v>17.190071111114992</v>
      </c>
      <c r="R35" s="185">
        <v>24.000000288221568</v>
      </c>
      <c r="S35" s="186">
        <v>46.592625138908637</v>
      </c>
      <c r="T35" s="109"/>
    </row>
    <row r="36" spans="1:20" ht="14" customHeight="1" x14ac:dyDescent="0.35">
      <c r="A36" s="15"/>
      <c r="B36" s="107"/>
      <c r="C36" s="70"/>
      <c r="D36" s="71"/>
      <c r="E36" s="106"/>
      <c r="F36" s="70"/>
      <c r="G36" s="71"/>
      <c r="H36" s="72"/>
      <c r="I36" s="70"/>
      <c r="J36" s="71"/>
      <c r="K36" s="72"/>
      <c r="L36" s="70"/>
      <c r="M36" s="73"/>
      <c r="N36" s="111"/>
      <c r="O36" s="12"/>
      <c r="P36" s="13"/>
      <c r="Q36" s="14"/>
      <c r="R36" s="138"/>
      <c r="S36" s="90"/>
      <c r="T36" s="109"/>
    </row>
    <row r="37" spans="1:20" ht="14" customHeight="1" thickBot="1" x14ac:dyDescent="0.4">
      <c r="A37" s="15"/>
      <c r="B37" s="107"/>
      <c r="C37" s="70"/>
      <c r="D37" s="71"/>
      <c r="E37" s="72"/>
      <c r="F37" s="70"/>
      <c r="G37" s="71"/>
      <c r="H37" s="72"/>
      <c r="I37" s="70"/>
      <c r="J37" s="71"/>
      <c r="K37" s="72"/>
      <c r="L37" s="70"/>
      <c r="M37" s="73"/>
      <c r="N37" s="111"/>
      <c r="O37" s="12"/>
      <c r="P37" s="13"/>
      <c r="Q37" s="14"/>
      <c r="R37" s="140"/>
      <c r="S37" s="90"/>
      <c r="T37" s="109"/>
    </row>
    <row r="38" spans="1:20" ht="14.4" customHeight="1" x14ac:dyDescent="0.35">
      <c r="A38" s="11" t="s">
        <v>8</v>
      </c>
      <c r="B38" s="75"/>
      <c r="C38" s="75">
        <f>IFERROR(C6+D38,"")</f>
        <v>85.863469380827667</v>
      </c>
      <c r="D38" s="76">
        <f>IF($B$7="","",SUM(D7:D37))</f>
        <v>42.397466556157113</v>
      </c>
      <c r="E38" s="75"/>
      <c r="F38" s="75">
        <f>IFERROR(F6+G38,"")</f>
        <v>127.08713009369745</v>
      </c>
      <c r="G38" s="76">
        <f>IF($B$7="","",SUM(G7:G37))</f>
        <v>22.276649462920467</v>
      </c>
      <c r="H38" s="75"/>
      <c r="I38" s="75">
        <f>IFERROR(I6+J38,"")</f>
        <v>63.846967276210421</v>
      </c>
      <c r="J38" s="76">
        <f>IF($B$7="","",SUM(J7:J37))</f>
        <v>-229.81062924780508</v>
      </c>
      <c r="K38" s="75"/>
      <c r="L38" s="75">
        <f>IFERROR(L6+M38,"")</f>
        <v>225.7528486267355</v>
      </c>
      <c r="M38" s="76">
        <f>IF($B$7="","",SUM(M7:M37))</f>
        <v>71.04010896030023</v>
      </c>
      <c r="N38" s="76">
        <f>SUM(N7:N37)</f>
        <v>1572.0890000000002</v>
      </c>
      <c r="O38" s="76">
        <f>IF($B$7="","",SUM(O7:O37))</f>
        <v>597.39382000000012</v>
      </c>
      <c r="P38" s="77">
        <f>IF(B7="","",SUM(P7:P37))</f>
        <v>1477.9925957315725</v>
      </c>
      <c r="Q38" s="77">
        <f>IF(B8="","",SUM(Q7:Q37))</f>
        <v>561.63718637799775</v>
      </c>
      <c r="R38" s="48">
        <f>SUM(R7:R37)</f>
        <v>692.6839075724281</v>
      </c>
      <c r="S38" s="88"/>
      <c r="T38" s="83"/>
    </row>
    <row r="39" spans="1:20" ht="14.4" customHeight="1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08" t="s">
        <v>47</v>
      </c>
      <c r="O39" s="78">
        <f>IFERROR(O38*1000/0.505,"")</f>
        <v>1182958.0594059408</v>
      </c>
      <c r="P39" s="68" t="s">
        <v>47</v>
      </c>
      <c r="Q39" s="78">
        <f>IFERROR(Q38*1000/0.505,"")</f>
        <v>1112152.8443128669</v>
      </c>
      <c r="R39" s="10"/>
      <c r="S39" s="89"/>
      <c r="T39" s="83"/>
    </row>
    <row r="40" spans="1:20" ht="14.4" customHeight="1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502.55041537747104</v>
      </c>
      <c r="I40" s="17" t="s">
        <v>3</v>
      </c>
      <c r="J40" s="17"/>
      <c r="K40" s="17"/>
      <c r="L40" s="10"/>
      <c r="M40" s="6"/>
      <c r="N40" s="172" t="s">
        <v>60</v>
      </c>
      <c r="O40" s="173">
        <f>IFERROR(O38*1000,"")</f>
        <v>597393.82000000007</v>
      </c>
      <c r="P40" s="10"/>
      <c r="Q40" s="67"/>
      <c r="R40" s="43"/>
      <c r="S40" s="89"/>
      <c r="T40" s="83"/>
    </row>
    <row r="41" spans="1:20" ht="15" customHeight="1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190.96915784343901</v>
      </c>
      <c r="I41" s="7" t="s">
        <v>19</v>
      </c>
      <c r="J41" s="7">
        <f>IFERROR(H41*1000/0.505,"")</f>
        <v>378156.7482048297</v>
      </c>
      <c r="K41" s="7" t="s">
        <v>47</v>
      </c>
      <c r="L41" s="2"/>
      <c r="M41" s="7"/>
      <c r="N41" s="16"/>
      <c r="O41" s="7"/>
      <c r="P41" s="7"/>
      <c r="Q41" s="150" t="s">
        <v>57</v>
      </c>
      <c r="R41" s="42">
        <f>IF(H40="",0,COUNT(R7:R37)*24-R38)</f>
        <v>3.3160924275719026</v>
      </c>
      <c r="S41" s="148" t="s">
        <v>58</v>
      </c>
      <c r="T41" s="83"/>
    </row>
  </sheetData>
  <mergeCells count="10">
    <mergeCell ref="K4:M4"/>
    <mergeCell ref="N4:O4"/>
    <mergeCell ref="P4:Q4"/>
    <mergeCell ref="A1:Q1"/>
    <mergeCell ref="A2:Q2"/>
    <mergeCell ref="B40:G40"/>
    <mergeCell ref="B3:G3"/>
    <mergeCell ref="B4:D4"/>
    <mergeCell ref="E4:G4"/>
    <mergeCell ref="H4:J4"/>
  </mergeCells>
  <conditionalFormatting sqref="R36:R37">
    <cfRule type="cellIs" dxfId="59" priority="9" operator="lessThan">
      <formula>23.98</formula>
    </cfRule>
  </conditionalFormatting>
  <conditionalFormatting sqref="R36:R37">
    <cfRule type="cellIs" dxfId="58" priority="8" operator="equal">
      <formula>""</formula>
    </cfRule>
  </conditionalFormatting>
  <conditionalFormatting sqref="R36:R37">
    <cfRule type="cellIs" dxfId="57" priority="7" operator="equal">
      <formula>""</formula>
    </cfRule>
  </conditionalFormatting>
  <conditionalFormatting sqref="R36:R37">
    <cfRule type="cellIs" dxfId="56" priority="6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5">
    <cfRule type="cellIs" dxfId="55" priority="4" operator="lessThan">
      <formula>23.98</formula>
    </cfRule>
  </conditionalFormatting>
  <conditionalFormatting sqref="R7:R35">
    <cfRule type="cellIs" dxfId="54" priority="3" operator="equal">
      <formula>""</formula>
    </cfRule>
  </conditionalFormatting>
  <conditionalFormatting sqref="R7:R35">
    <cfRule type="cellIs" dxfId="53" priority="2" operator="equal">
      <formula>""</formula>
    </cfRule>
  </conditionalFormatting>
  <conditionalFormatting sqref="R7:R35">
    <cfRule type="cellIs" dxfId="52" priority="1" operator="lessThan">
      <formula>23.98</formula>
    </cfRule>
  </conditionalFormatting>
  <pageMargins left="0.31496062992125984" right="0.31496062992125984" top="0.35433070866141736" bottom="0.35433070866141736" header="0.31496062992125984" footer="0.31496062992125984"/>
  <pageSetup paperSize="5" scale="8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U41"/>
  <sheetViews>
    <sheetView showGridLines="0" zoomScale="70" zoomScaleNormal="70" workbookViewId="0">
      <pane xSplit="1" ySplit="5" topLeftCell="B6" activePane="bottomRight" state="frozen"/>
      <selection activeCell="M17" sqref="M17"/>
      <selection pane="topRight" activeCell="M17" sqref="M17"/>
      <selection pane="bottomLeft" activeCell="M17" sqref="M17"/>
      <selection pane="bottomRight" activeCell="B8" sqref="B8:S37"/>
    </sheetView>
  </sheetViews>
  <sheetFormatPr defaultColWidth="8.90625" defaultRowHeight="14.5" x14ac:dyDescent="0.35"/>
  <cols>
    <col min="1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19" width="10.6328125" style="82" customWidth="1"/>
    <col min="20" max="16384" width="8.90625" style="1"/>
  </cols>
  <sheetData>
    <row r="1" spans="1:21" s="10" customFormat="1" x14ac:dyDescent="0.35">
      <c r="A1" s="191" t="s">
        <v>37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</row>
    <row r="2" spans="1:21" s="10" customFormat="1" x14ac:dyDescent="0.35">
      <c r="A2" s="202">
        <f>SUMMARY!B2</f>
        <v>2021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134"/>
      <c r="S2" s="83"/>
    </row>
    <row r="3" spans="1:21" s="10" customFormat="1" ht="15" thickBot="1" x14ac:dyDescent="0.4">
      <c r="A3" s="168">
        <f>[1]SUMMARY!$K$6</f>
        <v>1.3484528873296722</v>
      </c>
      <c r="B3" s="203" t="s">
        <v>13</v>
      </c>
      <c r="C3" s="203"/>
      <c r="D3" s="203"/>
      <c r="E3" s="203"/>
      <c r="F3" s="203"/>
      <c r="G3" s="203"/>
      <c r="H3" s="87">
        <f>JAN!$H$3</f>
        <v>0.38</v>
      </c>
      <c r="I3" s="8" t="s">
        <v>12</v>
      </c>
      <c r="J3" s="8"/>
      <c r="K3" s="8"/>
      <c r="L3" s="8"/>
      <c r="M3" s="85"/>
      <c r="N3" s="86"/>
      <c r="S3" s="83"/>
    </row>
    <row r="4" spans="1:21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30" t="s">
        <v>50</v>
      </c>
    </row>
    <row r="5" spans="1:21" x14ac:dyDescent="0.35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36" t="s">
        <v>15</v>
      </c>
      <c r="S5" s="91" t="s">
        <v>3</v>
      </c>
    </row>
    <row r="6" spans="1:21" ht="14" customHeight="1" x14ac:dyDescent="0.35">
      <c r="A6" s="3" t="s">
        <v>1</v>
      </c>
      <c r="B6" s="94"/>
      <c r="C6" s="70">
        <v>85.863469380827667</v>
      </c>
      <c r="D6" s="71"/>
      <c r="E6" s="95"/>
      <c r="F6" s="70">
        <v>127.08713009369747</v>
      </c>
      <c r="G6" s="71"/>
      <c r="H6" s="95"/>
      <c r="I6" s="70">
        <v>63.846967276210428</v>
      </c>
      <c r="J6" s="71"/>
      <c r="K6" s="95"/>
      <c r="L6" s="70">
        <v>225.75284862673553</v>
      </c>
      <c r="M6" s="73"/>
      <c r="N6" s="105"/>
      <c r="O6" s="52"/>
      <c r="P6" s="53"/>
      <c r="Q6" s="54"/>
      <c r="R6" s="139"/>
      <c r="S6" s="92"/>
    </row>
    <row r="7" spans="1:21" ht="14" customHeight="1" x14ac:dyDescent="0.35">
      <c r="A7" s="15">
        <v>1</v>
      </c>
      <c r="B7" s="107">
        <f>LOOKUP(A7+300,'[2]DCS Data'!$A:$A,'[2]DCS Data'!$E:$E)</f>
        <v>108.27414703369141</v>
      </c>
      <c r="C7" s="70">
        <f t="shared" ref="C7" si="0">IF(B7="","",$A$3*PI()/4*(157.5*2.54)^2*B7*2.54/1000000)</f>
        <v>46.613605478405567</v>
      </c>
      <c r="D7" s="71">
        <f>IF(C7="","",C7-C6)</f>
        <v>-39.249863902422099</v>
      </c>
      <c r="E7" s="106">
        <f>LOOKUP(A7+300,'[2]DCS Data'!$A:$A,'[2]DCS Data'!$F:$F)</f>
        <v>246.63801574707031</v>
      </c>
      <c r="F7" s="70">
        <f t="shared" ref="F7" si="1">IF(E7="","",$A$3*PI()/4*(157.5*2.54)^2*E7*2.54/1000000)</f>
        <v>106.18127666647254</v>
      </c>
      <c r="G7" s="71">
        <f>IF(F7="","",F7-F6)</f>
        <v>-20.905853427224926</v>
      </c>
      <c r="H7" s="106">
        <f>LOOKUP(A7+300,'[2]DCS Data'!$A:$A,'[2]DCS Data'!$G:$G)</f>
        <v>106.15116119384766</v>
      </c>
      <c r="I7" s="70">
        <f t="shared" ref="I7" si="2">IF(H7="","",$A$3*PI()/4*(186*2.54)^2*H7*2.54/1000000)</f>
        <v>63.734920217247129</v>
      </c>
      <c r="J7" s="71">
        <f>IF(I7="","",I7-I6)</f>
        <v>-0.1120470589632987</v>
      </c>
      <c r="K7" s="106">
        <f>LOOKUP(A7+300,'[2]DCS Data'!$A:$A,'[2]DCS Data'!$H:$H)</f>
        <v>454.46844482421875</v>
      </c>
      <c r="L7" s="70">
        <f t="shared" ref="L7" si="3">IF(K7="","",$A$3*PI()/4*(186*2.54)^2*K7*2.54/1000000)</f>
        <v>272.87040241823331</v>
      </c>
      <c r="M7" s="73">
        <f>IF(L7="","",L7-L6)</f>
        <v>47.117553791497784</v>
      </c>
      <c r="N7" s="111">
        <f>IF(K7="", "", LOOKUP(A7+300,[3]SBS!$A:$A,[3]SBS!$C:$C))</f>
        <v>60.066000000000003</v>
      </c>
      <c r="O7" s="12">
        <f>IF(N7="","",N7*$H$3)</f>
        <v>22.82508</v>
      </c>
      <c r="P7" s="13">
        <f>IFERROR(D7+G7+J7+M7+N7,0)</f>
        <v>46.915789402887462</v>
      </c>
      <c r="Q7" s="14">
        <f>IF(P7="","",P7*$H$3)</f>
        <v>17.827999973097235</v>
      </c>
      <c r="R7" s="155">
        <f>LOOKUP(A7+300,'[2]DCS Data'!$A:$A,'[2]DCS Data'!$K:$K)</f>
        <v>24.000000305175782</v>
      </c>
      <c r="S7" s="156">
        <f>IFERROR(LOOKUP(A7+300,'[2]DCS Data'!$A:$A,'[2]DCS Data'!$J:$J)*3785.4*0.993*$A$3/1000000,0)</f>
        <v>48.367056211333846</v>
      </c>
      <c r="U7" s="64"/>
    </row>
    <row r="8" spans="1:21" ht="14" customHeight="1" x14ac:dyDescent="0.35">
      <c r="A8" s="15">
        <v>2</v>
      </c>
      <c r="B8" s="177">
        <v>108.11070251464844</v>
      </c>
      <c r="C8" s="178">
        <v>46.543240220059033</v>
      </c>
      <c r="D8" s="179">
        <v>-7.0365258346534176E-2</v>
      </c>
      <c r="E8" s="180">
        <v>105.2943115234375</v>
      </c>
      <c r="F8" s="178">
        <v>45.330742665158958</v>
      </c>
      <c r="G8" s="179">
        <v>-60.850534001313584</v>
      </c>
      <c r="H8" s="180">
        <v>106.11434173583984</v>
      </c>
      <c r="I8" s="178">
        <v>63.712813203134637</v>
      </c>
      <c r="J8" s="179">
        <v>-2.2107014112492607E-2</v>
      </c>
      <c r="K8" s="180">
        <v>501.05245971679688</v>
      </c>
      <c r="L8" s="178">
        <v>300.84021866127597</v>
      </c>
      <c r="M8" s="181">
        <v>27.969816243042658</v>
      </c>
      <c r="N8" s="178">
        <v>80.129000000000005</v>
      </c>
      <c r="O8" s="182">
        <v>30.449020000000001</v>
      </c>
      <c r="P8" s="183">
        <v>47.155809969270052</v>
      </c>
      <c r="Q8" s="184">
        <v>17.91920778832262</v>
      </c>
      <c r="R8" s="185">
        <v>24.000000296698676</v>
      </c>
      <c r="S8" s="186">
        <v>49.978900927900419</v>
      </c>
      <c r="U8" s="64"/>
    </row>
    <row r="9" spans="1:21" ht="14" customHeight="1" x14ac:dyDescent="0.35">
      <c r="A9" s="15">
        <v>3</v>
      </c>
      <c r="B9" s="177">
        <v>107.96456146240234</v>
      </c>
      <c r="C9" s="178">
        <v>46.480324357498787</v>
      </c>
      <c r="D9" s="179">
        <v>-6.2915862560245728E-2</v>
      </c>
      <c r="E9" s="180">
        <v>105.250732421875</v>
      </c>
      <c r="F9" s="178">
        <v>45.311981223919375</v>
      </c>
      <c r="G9" s="179">
        <v>-1.8761441239583121E-2</v>
      </c>
      <c r="H9" s="180">
        <v>106.04747009277344</v>
      </c>
      <c r="I9" s="178">
        <v>63.672662357984194</v>
      </c>
      <c r="J9" s="179">
        <v>-4.0150845150442649E-2</v>
      </c>
      <c r="K9" s="180">
        <v>470.79647827148438</v>
      </c>
      <c r="L9" s="178">
        <v>282.67402488794522</v>
      </c>
      <c r="M9" s="181">
        <v>-18.166193773330747</v>
      </c>
      <c r="N9" s="178">
        <v>75.331000000000003</v>
      </c>
      <c r="O9" s="182">
        <v>28.625780000000002</v>
      </c>
      <c r="P9" s="183">
        <v>57.042978077718985</v>
      </c>
      <c r="Q9" s="184">
        <v>21.676331669533216</v>
      </c>
      <c r="R9" s="185">
        <v>23.996390868292913</v>
      </c>
      <c r="S9" s="186">
        <v>60.273116134988328</v>
      </c>
      <c r="U9" s="64"/>
    </row>
    <row r="10" spans="1:21" ht="14" customHeight="1" x14ac:dyDescent="0.35">
      <c r="A10" s="15">
        <v>4</v>
      </c>
      <c r="B10" s="177">
        <v>161.78282165527344</v>
      </c>
      <c r="C10" s="178">
        <v>69.649873293165385</v>
      </c>
      <c r="D10" s="179">
        <v>23.169548935666597</v>
      </c>
      <c r="E10" s="180">
        <v>104.66260528564453</v>
      </c>
      <c r="F10" s="178">
        <v>45.058783881336197</v>
      </c>
      <c r="G10" s="179">
        <v>-0.25319734258317794</v>
      </c>
      <c r="H10" s="180">
        <v>106.14705657958984</v>
      </c>
      <c r="I10" s="178">
        <v>63.73245573867429</v>
      </c>
      <c r="J10" s="179">
        <v>5.9793380690095432E-2</v>
      </c>
      <c r="K10" s="180">
        <v>334.34487915039063</v>
      </c>
      <c r="L10" s="178">
        <v>200.74621848724854</v>
      </c>
      <c r="M10" s="181">
        <v>-81.927806400696682</v>
      </c>
      <c r="N10" s="178">
        <v>132.315</v>
      </c>
      <c r="O10" s="182">
        <v>50.279699999999998</v>
      </c>
      <c r="P10" s="183">
        <v>73.363338573076831</v>
      </c>
      <c r="Q10" s="184">
        <v>27.878068657769195</v>
      </c>
      <c r="R10" s="185">
        <v>24.00000028398302</v>
      </c>
      <c r="S10" s="186">
        <v>77.715397685967858</v>
      </c>
      <c r="U10" s="64"/>
    </row>
    <row r="11" spans="1:21" ht="14" customHeight="1" x14ac:dyDescent="0.35">
      <c r="A11" s="15">
        <v>5</v>
      </c>
      <c r="B11" s="177">
        <v>297.17453002929688</v>
      </c>
      <c r="C11" s="178">
        <v>127.93798594142535</v>
      </c>
      <c r="D11" s="179">
        <v>58.288112648259968</v>
      </c>
      <c r="E11" s="180">
        <v>138.42755126953125</v>
      </c>
      <c r="F11" s="178">
        <v>59.595087460830769</v>
      </c>
      <c r="G11" s="179">
        <v>14.536303579494572</v>
      </c>
      <c r="H11" s="180">
        <v>106.09735870361328</v>
      </c>
      <c r="I11" s="178">
        <v>63.702616308519133</v>
      </c>
      <c r="J11" s="179">
        <v>-2.9839430155156776E-2</v>
      </c>
      <c r="K11" s="180">
        <v>87.952445983886719</v>
      </c>
      <c r="L11" s="178">
        <v>52.808109347556069</v>
      </c>
      <c r="M11" s="181">
        <v>-147.93810913969247</v>
      </c>
      <c r="N11" s="178">
        <v>146.28899999999999</v>
      </c>
      <c r="O11" s="182">
        <v>55.589819999999996</v>
      </c>
      <c r="P11" s="183">
        <v>71.145467657906892</v>
      </c>
      <c r="Q11" s="184">
        <v>27.035277710004618</v>
      </c>
      <c r="R11" s="185">
        <v>24.000000254313154</v>
      </c>
      <c r="S11" s="186">
        <v>72.649272801643846</v>
      </c>
      <c r="U11" s="64"/>
    </row>
    <row r="12" spans="1:21" ht="14" customHeight="1" x14ac:dyDescent="0.35">
      <c r="A12" s="15">
        <v>6</v>
      </c>
      <c r="B12" s="177">
        <v>107.60008239746094</v>
      </c>
      <c r="C12" s="178">
        <v>46.323410783910163</v>
      </c>
      <c r="D12" s="179">
        <v>-81.614575157515191</v>
      </c>
      <c r="E12" s="180">
        <v>294.87570190429688</v>
      </c>
      <c r="F12" s="178">
        <v>126.94830677777357</v>
      </c>
      <c r="G12" s="179">
        <v>67.353219316942798</v>
      </c>
      <c r="H12" s="180">
        <v>106.07021331787109</v>
      </c>
      <c r="I12" s="178">
        <v>63.686317768069017</v>
      </c>
      <c r="J12" s="179">
        <v>-1.6298540450115695E-2</v>
      </c>
      <c r="K12" s="180">
        <v>87.32452392578125</v>
      </c>
      <c r="L12" s="178">
        <v>52.431094514878751</v>
      </c>
      <c r="M12" s="181">
        <v>-0.37701483267731817</v>
      </c>
      <c r="N12" s="178">
        <v>86.2</v>
      </c>
      <c r="O12" s="182">
        <v>32.756</v>
      </c>
      <c r="P12" s="183">
        <v>71.545330786300184</v>
      </c>
      <c r="Q12" s="184">
        <v>27.187225698794069</v>
      </c>
      <c r="R12" s="185">
        <v>24.000000220404729</v>
      </c>
      <c r="S12" s="186">
        <v>77.116961330522699</v>
      </c>
      <c r="U12" s="64"/>
    </row>
    <row r="13" spans="1:21" ht="14" customHeight="1" x14ac:dyDescent="0.35">
      <c r="A13" s="15">
        <v>7</v>
      </c>
      <c r="B13" s="177">
        <v>278.974609375</v>
      </c>
      <c r="C13" s="178">
        <v>120.10265364503057</v>
      </c>
      <c r="D13" s="179">
        <v>73.779242861120409</v>
      </c>
      <c r="E13" s="180">
        <v>295.4739990234375</v>
      </c>
      <c r="F13" s="178">
        <v>127.20588244689255</v>
      </c>
      <c r="G13" s="179">
        <v>0.25757566911897811</v>
      </c>
      <c r="H13" s="180">
        <v>111.37081909179688</v>
      </c>
      <c r="I13" s="178">
        <v>66.868889511088426</v>
      </c>
      <c r="J13" s="179">
        <v>3.1825717430194089</v>
      </c>
      <c r="K13" s="180">
        <v>87.110458374023438</v>
      </c>
      <c r="L13" s="178">
        <v>52.302566002245435</v>
      </c>
      <c r="M13" s="181">
        <v>-0.12852851263331644</v>
      </c>
      <c r="N13" s="178">
        <v>0</v>
      </c>
      <c r="O13" s="182">
        <v>0</v>
      </c>
      <c r="P13" s="183">
        <v>77.090861760625472</v>
      </c>
      <c r="Q13" s="184">
        <v>29.294527469037678</v>
      </c>
      <c r="R13" s="185">
        <v>24.000000279744466</v>
      </c>
      <c r="S13" s="186">
        <v>79.775749710895852</v>
      </c>
      <c r="U13" s="64"/>
    </row>
    <row r="14" spans="1:21" ht="14" customHeight="1" x14ac:dyDescent="0.35">
      <c r="A14" s="15">
        <v>8</v>
      </c>
      <c r="B14" s="177">
        <v>277.50201416015625</v>
      </c>
      <c r="C14" s="178">
        <v>119.46867984560866</v>
      </c>
      <c r="D14" s="179">
        <v>-0.63397379942190923</v>
      </c>
      <c r="E14" s="180">
        <v>176.45379638671875</v>
      </c>
      <c r="F14" s="178">
        <v>75.965942704476021</v>
      </c>
      <c r="G14" s="179">
        <v>-51.239939742416524</v>
      </c>
      <c r="H14" s="180">
        <v>229.59292602539063</v>
      </c>
      <c r="I14" s="178">
        <v>137.85140603361296</v>
      </c>
      <c r="J14" s="179">
        <v>70.982516522524534</v>
      </c>
      <c r="K14" s="180">
        <v>86.859756469726563</v>
      </c>
      <c r="L14" s="178">
        <v>52.152040415064199</v>
      </c>
      <c r="M14" s="181">
        <v>-0.15052558718123521</v>
      </c>
      <c r="N14" s="178">
        <v>49.576999999999998</v>
      </c>
      <c r="O14" s="182">
        <v>18.839259999999999</v>
      </c>
      <c r="P14" s="183">
        <v>68.535077393504864</v>
      </c>
      <c r="Q14" s="184">
        <v>26.04332940953185</v>
      </c>
      <c r="R14" s="185">
        <v>23.000000262790259</v>
      </c>
      <c r="S14" s="186">
        <v>75.12637827778569</v>
      </c>
      <c r="T14" s="1" t="s">
        <v>64</v>
      </c>
      <c r="U14" s="64"/>
    </row>
    <row r="15" spans="1:21" ht="14" customHeight="1" x14ac:dyDescent="0.35">
      <c r="A15" s="15">
        <v>9</v>
      </c>
      <c r="B15" s="177">
        <v>78.885414123535156</v>
      </c>
      <c r="C15" s="178">
        <v>33.961325696806504</v>
      </c>
      <c r="D15" s="179">
        <v>-85.507354148802165</v>
      </c>
      <c r="E15" s="180">
        <v>89.787254333496094</v>
      </c>
      <c r="F15" s="178">
        <v>38.654727514856482</v>
      </c>
      <c r="G15" s="179">
        <v>-37.311215189619539</v>
      </c>
      <c r="H15" s="180">
        <v>313.42477416992188</v>
      </c>
      <c r="I15" s="178">
        <v>188.18544000050423</v>
      </c>
      <c r="J15" s="179">
        <v>50.334033966891269</v>
      </c>
      <c r="K15" s="180">
        <v>87.083229064941406</v>
      </c>
      <c r="L15" s="178">
        <v>52.286217072828208</v>
      </c>
      <c r="M15" s="181">
        <v>0.13417665776400867</v>
      </c>
      <c r="N15" s="178">
        <v>143.31399999999999</v>
      </c>
      <c r="O15" s="182">
        <v>54.459319999999998</v>
      </c>
      <c r="P15" s="183">
        <v>70.963641286233582</v>
      </c>
      <c r="Q15" s="184">
        <v>26.966183688768762</v>
      </c>
      <c r="R15" s="185">
        <v>24.000000173780656</v>
      </c>
      <c r="S15" s="186">
        <v>73.49861985827971</v>
      </c>
      <c r="U15" s="64"/>
    </row>
    <row r="16" spans="1:21" ht="14" customHeight="1" x14ac:dyDescent="0.35">
      <c r="A16" s="15">
        <v>10</v>
      </c>
      <c r="B16" s="177">
        <v>200.97059631347656</v>
      </c>
      <c r="C16" s="178">
        <v>86.520784009513349</v>
      </c>
      <c r="D16" s="179">
        <v>52.559458312706845</v>
      </c>
      <c r="E16" s="180">
        <v>90.119789123535156</v>
      </c>
      <c r="F16" s="178">
        <v>38.79788861042163</v>
      </c>
      <c r="G16" s="179">
        <v>0.14316109556514789</v>
      </c>
      <c r="H16" s="180">
        <v>107.95335388183594</v>
      </c>
      <c r="I16" s="178">
        <v>64.816986639255305</v>
      </c>
      <c r="J16" s="179">
        <v>-123.36845336124892</v>
      </c>
      <c r="K16" s="180">
        <v>87.065742492675781</v>
      </c>
      <c r="L16" s="178">
        <v>52.275717844410089</v>
      </c>
      <c r="M16" s="181">
        <v>-1.0499228418119344E-2</v>
      </c>
      <c r="N16" s="178">
        <v>121.26</v>
      </c>
      <c r="O16" s="182">
        <v>46.078800000000001</v>
      </c>
      <c r="P16" s="183">
        <v>50.583666818604954</v>
      </c>
      <c r="Q16" s="184">
        <v>19.221793391069884</v>
      </c>
      <c r="R16" s="185">
        <v>22.988052423265245</v>
      </c>
      <c r="S16" s="186">
        <v>54.382917527963897</v>
      </c>
      <c r="T16" s="1" t="s">
        <v>63</v>
      </c>
      <c r="U16" s="64"/>
    </row>
    <row r="17" spans="1:21" ht="14" customHeight="1" x14ac:dyDescent="0.35">
      <c r="A17" s="15">
        <v>11</v>
      </c>
      <c r="B17" s="177">
        <v>123.82610321044922</v>
      </c>
      <c r="C17" s="178">
        <v>53.308950299873104</v>
      </c>
      <c r="D17" s="179">
        <v>-33.211833709640246</v>
      </c>
      <c r="E17" s="180">
        <v>89.791954040527344</v>
      </c>
      <c r="F17" s="178">
        <v>38.656750807539183</v>
      </c>
      <c r="G17" s="179">
        <v>-0.14113780288244726</v>
      </c>
      <c r="H17" s="180">
        <v>107.96256256103516</v>
      </c>
      <c r="I17" s="178">
        <v>64.822515683191028</v>
      </c>
      <c r="J17" s="179">
        <v>5.529043935723621E-3</v>
      </c>
      <c r="K17" s="180">
        <v>87.134834289550781</v>
      </c>
      <c r="L17" s="178">
        <v>52.317201706781155</v>
      </c>
      <c r="M17" s="181">
        <v>4.1483862371066493E-2</v>
      </c>
      <c r="N17" s="178">
        <v>80.119</v>
      </c>
      <c r="O17" s="182">
        <v>30.445219999999999</v>
      </c>
      <c r="P17" s="183">
        <v>46.813041393784097</v>
      </c>
      <c r="Q17" s="184">
        <v>17.788955729637959</v>
      </c>
      <c r="R17" s="185">
        <v>24.00000028398302</v>
      </c>
      <c r="S17" s="186">
        <v>49.557381820600192</v>
      </c>
      <c r="U17" s="64"/>
    </row>
    <row r="18" spans="1:21" ht="14" customHeight="1" x14ac:dyDescent="0.35">
      <c r="A18" s="15">
        <v>12</v>
      </c>
      <c r="B18" s="177">
        <v>142.88676452636719</v>
      </c>
      <c r="C18" s="178">
        <v>61.514844052711815</v>
      </c>
      <c r="D18" s="179">
        <v>8.2058937528387119</v>
      </c>
      <c r="E18" s="180">
        <v>89.621261596679688</v>
      </c>
      <c r="F18" s="178">
        <v>38.583265211451462</v>
      </c>
      <c r="G18" s="179">
        <v>-7.3485596087721206E-2</v>
      </c>
      <c r="H18" s="180">
        <v>74.304847717285156</v>
      </c>
      <c r="I18" s="178">
        <v>44.613864678951316</v>
      </c>
      <c r="J18" s="179">
        <v>-20.208651004239712</v>
      </c>
      <c r="K18" s="180">
        <v>86.968994140625</v>
      </c>
      <c r="L18" s="178">
        <v>52.217628526971104</v>
      </c>
      <c r="M18" s="181">
        <v>-9.957317981005076E-2</v>
      </c>
      <c r="N18" s="178">
        <v>60.06</v>
      </c>
      <c r="O18" s="182">
        <v>22.822800000000001</v>
      </c>
      <c r="P18" s="183">
        <v>47.88418397270123</v>
      </c>
      <c r="Q18" s="184">
        <v>18.195989909626469</v>
      </c>
      <c r="R18" s="185">
        <v>24.000000309414332</v>
      </c>
      <c r="S18" s="186">
        <v>50.394524770253497</v>
      </c>
      <c r="U18" s="64"/>
    </row>
    <row r="19" spans="1:21" ht="14" customHeight="1" x14ac:dyDescent="0.35">
      <c r="A19" s="15">
        <v>13</v>
      </c>
      <c r="B19" s="177">
        <v>131.71893310546875</v>
      </c>
      <c r="C19" s="178">
        <v>56.706929124126724</v>
      </c>
      <c r="D19" s="179">
        <v>-4.8079149285850917</v>
      </c>
      <c r="E19" s="180">
        <v>89.737396240234375</v>
      </c>
      <c r="F19" s="178">
        <v>38.633262875763229</v>
      </c>
      <c r="G19" s="179">
        <v>4.9997664311767664E-2</v>
      </c>
      <c r="H19" s="180">
        <v>126.37677764892578</v>
      </c>
      <c r="I19" s="178">
        <v>75.878716258771334</v>
      </c>
      <c r="J19" s="179">
        <v>31.264851579820018</v>
      </c>
      <c r="K19" s="180">
        <v>86.99005126953125</v>
      </c>
      <c r="L19" s="178">
        <v>52.230271576898687</v>
      </c>
      <c r="M19" s="181">
        <v>1.2643049927582695E-2</v>
      </c>
      <c r="N19" s="178">
        <v>26.038</v>
      </c>
      <c r="O19" s="182">
        <v>9.8944399999999995</v>
      </c>
      <c r="P19" s="183">
        <v>52.557577365474273</v>
      </c>
      <c r="Q19" s="184">
        <v>19.971879398880223</v>
      </c>
      <c r="R19" s="185">
        <v>24.000000139872231</v>
      </c>
      <c r="S19" s="186">
        <v>53.006290865825605</v>
      </c>
      <c r="U19" s="64"/>
    </row>
    <row r="20" spans="1:21" ht="14" customHeight="1" x14ac:dyDescent="0.35">
      <c r="A20" s="15">
        <v>14</v>
      </c>
      <c r="B20" s="177">
        <v>131.77946472167969</v>
      </c>
      <c r="C20" s="178">
        <v>56.732988871114607</v>
      </c>
      <c r="D20" s="179">
        <v>2.6059746987883159E-2</v>
      </c>
      <c r="E20" s="180">
        <v>89.387870788574219</v>
      </c>
      <c r="F20" s="178">
        <v>38.48278705161956</v>
      </c>
      <c r="G20" s="179">
        <v>-0.150475824143669</v>
      </c>
      <c r="H20" s="180">
        <v>210.99034118652344</v>
      </c>
      <c r="I20" s="178">
        <v>126.68210513096314</v>
      </c>
      <c r="J20" s="179">
        <v>50.803388872191803</v>
      </c>
      <c r="K20" s="180">
        <v>87.036407470703125</v>
      </c>
      <c r="L20" s="178">
        <v>52.258104610000117</v>
      </c>
      <c r="M20" s="181">
        <v>2.783303310143026E-2</v>
      </c>
      <c r="N20" s="178">
        <v>0</v>
      </c>
      <c r="O20" s="182">
        <v>0</v>
      </c>
      <c r="P20" s="183">
        <v>50.706805828137448</v>
      </c>
      <c r="Q20" s="184">
        <v>19.268586214692231</v>
      </c>
      <c r="R20" s="185">
        <v>24.000000207689073</v>
      </c>
      <c r="S20" s="186">
        <v>51.892971769692373</v>
      </c>
      <c r="U20" s="64"/>
    </row>
    <row r="21" spans="1:21" ht="14" customHeight="1" x14ac:dyDescent="0.35">
      <c r="A21" s="15">
        <v>15</v>
      </c>
      <c r="B21" s="177">
        <v>106.95004272460938</v>
      </c>
      <c r="C21" s="178">
        <v>46.043559187885258</v>
      </c>
      <c r="D21" s="179">
        <v>-10.689429683229349</v>
      </c>
      <c r="E21" s="180">
        <v>89.871978759765625</v>
      </c>
      <c r="F21" s="178">
        <v>38.691202620767804</v>
      </c>
      <c r="G21" s="179">
        <v>0.20841556914824366</v>
      </c>
      <c r="H21" s="180">
        <v>238.6973876953125</v>
      </c>
      <c r="I21" s="178">
        <v>143.31787603382136</v>
      </c>
      <c r="J21" s="179">
        <v>16.635770902858226</v>
      </c>
      <c r="K21" s="180">
        <v>87.032150268554688</v>
      </c>
      <c r="L21" s="178">
        <v>52.255548515123451</v>
      </c>
      <c r="M21" s="181">
        <v>-2.556094876666748E-3</v>
      </c>
      <c r="N21" s="178">
        <v>44.542000000000002</v>
      </c>
      <c r="O21" s="182">
        <v>16.92596</v>
      </c>
      <c r="P21" s="183">
        <v>50.694200693900456</v>
      </c>
      <c r="Q21" s="184">
        <v>19.263796263682174</v>
      </c>
      <c r="R21" s="185">
        <v>24.00000024159749</v>
      </c>
      <c r="S21" s="186">
        <v>52.724753689307683</v>
      </c>
      <c r="U21" s="64"/>
    </row>
    <row r="22" spans="1:21" ht="14" customHeight="1" x14ac:dyDescent="0.35">
      <c r="A22" s="15">
        <v>16</v>
      </c>
      <c r="B22" s="177">
        <v>213.0452880859375</v>
      </c>
      <c r="C22" s="178">
        <v>91.719115596274364</v>
      </c>
      <c r="D22" s="179">
        <v>45.675556408389106</v>
      </c>
      <c r="E22" s="180">
        <v>89.829505920410156</v>
      </c>
      <c r="F22" s="178">
        <v>38.672917441604518</v>
      </c>
      <c r="G22" s="179">
        <v>-1.8285179163285648E-2</v>
      </c>
      <c r="H22" s="180">
        <v>238.60064697265625</v>
      </c>
      <c r="I22" s="178">
        <v>143.25979129719758</v>
      </c>
      <c r="J22" s="179">
        <v>-5.8084736623783328E-2</v>
      </c>
      <c r="K22" s="180">
        <v>86.831977844238281</v>
      </c>
      <c r="L22" s="178">
        <v>52.135361666953223</v>
      </c>
      <c r="M22" s="181">
        <v>-0.12018684817022773</v>
      </c>
      <c r="N22" s="178">
        <v>0</v>
      </c>
      <c r="O22" s="182">
        <v>0</v>
      </c>
      <c r="P22" s="183">
        <v>45.478999644431809</v>
      </c>
      <c r="Q22" s="184">
        <v>17.282019864884088</v>
      </c>
      <c r="R22" s="185">
        <v>24.000000322129988</v>
      </c>
      <c r="S22" s="186">
        <v>47.157042768598501</v>
      </c>
      <c r="U22" s="64"/>
    </row>
    <row r="23" spans="1:21" ht="14" customHeight="1" x14ac:dyDescent="0.35">
      <c r="A23" s="15">
        <v>17</v>
      </c>
      <c r="B23" s="177">
        <v>296.61212158203125</v>
      </c>
      <c r="C23" s="178">
        <v>127.69586087097427</v>
      </c>
      <c r="D23" s="179">
        <v>35.976745274699908</v>
      </c>
      <c r="E23" s="180">
        <v>117.31601715087891</v>
      </c>
      <c r="F23" s="178">
        <v>50.506262940748947</v>
      </c>
      <c r="G23" s="179">
        <v>11.833345499144428</v>
      </c>
      <c r="H23" s="180">
        <v>103.21560668945313</v>
      </c>
      <c r="I23" s="178">
        <v>61.972364536963063</v>
      </c>
      <c r="J23" s="179">
        <v>-81.287426760234524</v>
      </c>
      <c r="K23" s="180">
        <v>86.689552307128906</v>
      </c>
      <c r="L23" s="178">
        <v>52.049847008964811</v>
      </c>
      <c r="M23" s="181">
        <v>-8.5514657988412068E-2</v>
      </c>
      <c r="N23" s="178">
        <v>78.28</v>
      </c>
      <c r="O23" s="182">
        <v>29.746400000000001</v>
      </c>
      <c r="P23" s="183">
        <v>44.717149355621402</v>
      </c>
      <c r="Q23" s="184">
        <v>16.992516755136133</v>
      </c>
      <c r="R23" s="185">
        <v>23.995276904635958</v>
      </c>
      <c r="S23" s="186">
        <v>47.067182467061123</v>
      </c>
      <c r="T23" s="110"/>
      <c r="U23" s="64"/>
    </row>
    <row r="24" spans="1:21" ht="14" customHeight="1" x14ac:dyDescent="0.35">
      <c r="A24" s="15">
        <v>18</v>
      </c>
      <c r="B24" s="177">
        <v>245.67268371582031</v>
      </c>
      <c r="C24" s="178">
        <v>105.76568709414045</v>
      </c>
      <c r="D24" s="179">
        <v>-21.930173776833826</v>
      </c>
      <c r="E24" s="180">
        <v>220.34716796875</v>
      </c>
      <c r="F24" s="178">
        <v>94.862681788508752</v>
      </c>
      <c r="G24" s="179">
        <v>44.356418847759805</v>
      </c>
      <c r="H24" s="180">
        <v>77.496231079101563</v>
      </c>
      <c r="I24" s="178">
        <v>46.530024254225061</v>
      </c>
      <c r="J24" s="179">
        <v>-15.442340282738002</v>
      </c>
      <c r="K24" s="180">
        <v>86.788108825683594</v>
      </c>
      <c r="L24" s="178">
        <v>52.109021979604101</v>
      </c>
      <c r="M24" s="181">
        <v>5.9174970639290336E-2</v>
      </c>
      <c r="N24" s="178">
        <v>35.139000000000003</v>
      </c>
      <c r="O24" s="182">
        <v>13.352820000000001</v>
      </c>
      <c r="P24" s="183">
        <v>42.182079758827271</v>
      </c>
      <c r="Q24" s="184">
        <v>16.029190308354362</v>
      </c>
      <c r="R24" s="185">
        <v>24.000000207689073</v>
      </c>
      <c r="S24" s="186">
        <v>45.845680204784429</v>
      </c>
      <c r="U24" s="64"/>
    </row>
    <row r="25" spans="1:21" ht="14" customHeight="1" x14ac:dyDescent="0.35">
      <c r="A25" s="15">
        <v>19</v>
      </c>
      <c r="B25" s="177">
        <v>90.661399841308594</v>
      </c>
      <c r="C25" s="178">
        <v>39.03105995383855</v>
      </c>
      <c r="D25" s="179">
        <v>-66.734627140301896</v>
      </c>
      <c r="E25" s="180">
        <v>81.417831420898438</v>
      </c>
      <c r="F25" s="178">
        <v>35.051568419007317</v>
      </c>
      <c r="G25" s="179">
        <v>-59.811113369501435</v>
      </c>
      <c r="H25" s="180">
        <v>77.449295043945313</v>
      </c>
      <c r="I25" s="178">
        <v>46.501843079169099</v>
      </c>
      <c r="J25" s="179">
        <v>-2.8181175055962626E-2</v>
      </c>
      <c r="K25" s="180">
        <v>119.75958251953125</v>
      </c>
      <c r="L25" s="178">
        <v>71.905642399845334</v>
      </c>
      <c r="M25" s="181">
        <v>19.796620420241233</v>
      </c>
      <c r="N25" s="178">
        <v>152.31800000000001</v>
      </c>
      <c r="O25" s="182">
        <v>57.880840000000006</v>
      </c>
      <c r="P25" s="183">
        <v>45.540698735381966</v>
      </c>
      <c r="Q25" s="184">
        <v>17.305465519445146</v>
      </c>
      <c r="R25" s="185">
        <v>24.000000152587887</v>
      </c>
      <c r="S25" s="186">
        <v>47.980387506989089</v>
      </c>
      <c r="U25" s="64"/>
    </row>
    <row r="26" spans="1:21" ht="14" customHeight="1" x14ac:dyDescent="0.35">
      <c r="A26" s="15">
        <v>20</v>
      </c>
      <c r="B26" s="177">
        <v>90.071327209472656</v>
      </c>
      <c r="C26" s="178">
        <v>38.777025046914318</v>
      </c>
      <c r="D26" s="179">
        <v>-0.25403490692423247</v>
      </c>
      <c r="E26" s="180">
        <v>81.626846313476563</v>
      </c>
      <c r="F26" s="178">
        <v>35.141552390330737</v>
      </c>
      <c r="G26" s="179">
        <v>8.9983971323420064E-2</v>
      </c>
      <c r="H26" s="180">
        <v>77.469833374023438</v>
      </c>
      <c r="I26" s="178">
        <v>46.514174633663679</v>
      </c>
      <c r="J26" s="179">
        <v>1.2331554494579677E-2</v>
      </c>
      <c r="K26" s="180">
        <v>197.97114562988281</v>
      </c>
      <c r="L26" s="178">
        <v>118.86516388639272</v>
      </c>
      <c r="M26" s="181">
        <v>46.959521486547388</v>
      </c>
      <c r="N26" s="178">
        <v>0</v>
      </c>
      <c r="O26" s="182">
        <v>0</v>
      </c>
      <c r="P26" s="183">
        <v>46.807802105441155</v>
      </c>
      <c r="Q26" s="184">
        <v>17.78696480006764</v>
      </c>
      <c r="R26" s="185">
        <v>24.000000173780656</v>
      </c>
      <c r="S26" s="186">
        <v>47.909625430354282</v>
      </c>
      <c r="U26" s="64"/>
    </row>
    <row r="27" spans="1:21" ht="14" customHeight="1" x14ac:dyDescent="0.35">
      <c r="A27" s="15">
        <v>21</v>
      </c>
      <c r="B27" s="177">
        <v>90.847564697265625</v>
      </c>
      <c r="C27" s="178">
        <v>39.111206649862162</v>
      </c>
      <c r="D27" s="179">
        <v>0.33418160294784371</v>
      </c>
      <c r="E27" s="180">
        <v>81.874664306640625</v>
      </c>
      <c r="F27" s="178">
        <v>35.248241664550612</v>
      </c>
      <c r="G27" s="179">
        <v>0.10668927421987462</v>
      </c>
      <c r="H27" s="180">
        <v>77.591484069824219</v>
      </c>
      <c r="I27" s="178">
        <v>46.58721573188658</v>
      </c>
      <c r="J27" s="179">
        <v>7.3041098222901724E-2</v>
      </c>
      <c r="K27" s="180">
        <v>207.33877563476563</v>
      </c>
      <c r="L27" s="178">
        <v>124.48964452580471</v>
      </c>
      <c r="M27" s="181">
        <v>5.6244806394119848</v>
      </c>
      <c r="N27" s="178">
        <v>40.031999999999996</v>
      </c>
      <c r="O27" s="182">
        <v>15.212159999999999</v>
      </c>
      <c r="P27" s="183">
        <v>46.170392614802601</v>
      </c>
      <c r="Q27" s="184">
        <v>17.544749193624988</v>
      </c>
      <c r="R27" s="185">
        <v>24.00000024159749</v>
      </c>
      <c r="S27" s="186">
        <v>47.333508465062891</v>
      </c>
      <c r="U27" s="64"/>
    </row>
    <row r="28" spans="1:21" ht="14" customHeight="1" x14ac:dyDescent="0.35">
      <c r="A28" s="15">
        <v>22</v>
      </c>
      <c r="B28" s="177">
        <v>56.678501129150391</v>
      </c>
      <c r="C28" s="178">
        <v>24.400924533900778</v>
      </c>
      <c r="D28" s="179">
        <v>-14.710282115961384</v>
      </c>
      <c r="E28" s="180">
        <v>81.79449462890625</v>
      </c>
      <c r="F28" s="178">
        <v>35.213727444567162</v>
      </c>
      <c r="G28" s="179">
        <v>-3.4514219983449834E-2</v>
      </c>
      <c r="H28" s="180">
        <v>79.71600341796875</v>
      </c>
      <c r="I28" s="178">
        <v>47.862812434090507</v>
      </c>
      <c r="J28" s="179">
        <v>1.2755967022039272</v>
      </c>
      <c r="K28" s="180">
        <v>239.67762756347656</v>
      </c>
      <c r="L28" s="178">
        <v>143.90642833121086</v>
      </c>
      <c r="M28" s="181">
        <v>19.416783805406155</v>
      </c>
      <c r="N28" s="178">
        <v>40.043999999999997</v>
      </c>
      <c r="O28" s="182">
        <v>15.216719999999999</v>
      </c>
      <c r="P28" s="183">
        <v>45.991584171665245</v>
      </c>
      <c r="Q28" s="184">
        <v>17.476801985232793</v>
      </c>
      <c r="R28" s="185">
        <v>24.000000173780656</v>
      </c>
      <c r="S28" s="186">
        <v>49.109578765068235</v>
      </c>
      <c r="U28" s="64"/>
    </row>
    <row r="29" spans="1:21" ht="14" customHeight="1" x14ac:dyDescent="0.35">
      <c r="A29" s="15">
        <v>23</v>
      </c>
      <c r="B29" s="177">
        <v>190.75772094726563</v>
      </c>
      <c r="C29" s="178">
        <v>82.123991643441428</v>
      </c>
      <c r="D29" s="179">
        <v>57.723067109540651</v>
      </c>
      <c r="E29" s="180">
        <v>81.678421020507813</v>
      </c>
      <c r="F29" s="178">
        <v>35.163756056783733</v>
      </c>
      <c r="G29" s="179">
        <v>-4.9971387783429577E-2</v>
      </c>
      <c r="H29" s="180">
        <v>79.558143615722656</v>
      </c>
      <c r="I29" s="178">
        <v>47.7680307869704</v>
      </c>
      <c r="J29" s="179">
        <v>-9.4781647120107948E-2</v>
      </c>
      <c r="K29" s="180">
        <v>137.43962097167969</v>
      </c>
      <c r="L29" s="178">
        <v>82.521031129581147</v>
      </c>
      <c r="M29" s="181">
        <v>-61.385397201629715</v>
      </c>
      <c r="N29" s="178">
        <v>60.055</v>
      </c>
      <c r="O29" s="182">
        <v>22.820900000000002</v>
      </c>
      <c r="P29" s="183">
        <v>56.247916873007398</v>
      </c>
      <c r="Q29" s="184">
        <v>21.37420841174281</v>
      </c>
      <c r="R29" s="185">
        <v>24.00000024159749</v>
      </c>
      <c r="S29" s="186">
        <v>58.952028794234614</v>
      </c>
      <c r="U29" s="64"/>
    </row>
    <row r="30" spans="1:21" ht="14" customHeight="1" x14ac:dyDescent="0.35">
      <c r="A30" s="15">
        <v>24</v>
      </c>
      <c r="B30" s="177">
        <v>89.051025390625</v>
      </c>
      <c r="C30" s="178">
        <v>38.337770176239921</v>
      </c>
      <c r="D30" s="179">
        <v>-43.786221467201507</v>
      </c>
      <c r="E30" s="180">
        <v>132.68589782714844</v>
      </c>
      <c r="F30" s="178">
        <v>57.123221593592106</v>
      </c>
      <c r="G30" s="179">
        <v>21.959465536808374</v>
      </c>
      <c r="H30" s="180">
        <v>79.656379699707031</v>
      </c>
      <c r="I30" s="178">
        <v>47.827013363371663</v>
      </c>
      <c r="J30" s="179">
        <v>5.8982576401263032E-2</v>
      </c>
      <c r="K30" s="180">
        <v>137.59703063964844</v>
      </c>
      <c r="L30" s="178">
        <v>82.615542508605003</v>
      </c>
      <c r="M30" s="181">
        <v>9.4511379023856534E-2</v>
      </c>
      <c r="N30" s="178">
        <v>86.224999999999994</v>
      </c>
      <c r="O30" s="182">
        <v>32.765499999999996</v>
      </c>
      <c r="P30" s="183">
        <v>64.55173802503198</v>
      </c>
      <c r="Q30" s="184">
        <v>24.529660449512154</v>
      </c>
      <c r="R30" s="185">
        <v>23.993885904947916</v>
      </c>
      <c r="S30" s="186">
        <v>65.724057972559109</v>
      </c>
      <c r="U30" s="64"/>
    </row>
    <row r="31" spans="1:21" ht="14" customHeight="1" x14ac:dyDescent="0.35">
      <c r="A31" s="15">
        <v>25</v>
      </c>
      <c r="B31" s="177">
        <v>88.992546081542969</v>
      </c>
      <c r="C31" s="178">
        <v>38.312593977517693</v>
      </c>
      <c r="D31" s="179">
        <v>-2.5176198722228094E-2</v>
      </c>
      <c r="E31" s="180">
        <v>270.98126220703125</v>
      </c>
      <c r="F31" s="178">
        <v>116.6614006631559</v>
      </c>
      <c r="G31" s="179">
        <v>59.538179069563796</v>
      </c>
      <c r="H31" s="180">
        <v>79.582466125488281</v>
      </c>
      <c r="I31" s="178">
        <v>47.782634425799785</v>
      </c>
      <c r="J31" s="179">
        <v>-4.4378937571877941E-2</v>
      </c>
      <c r="K31" s="180">
        <v>106.22460174560547</v>
      </c>
      <c r="L31" s="178">
        <v>63.779015144277153</v>
      </c>
      <c r="M31" s="181">
        <v>-18.83652736432785</v>
      </c>
      <c r="N31" s="178">
        <v>20.021000000000001</v>
      </c>
      <c r="O31" s="182">
        <v>7.6079800000000004</v>
      </c>
      <c r="P31" s="183">
        <v>60.653096568941841</v>
      </c>
      <c r="Q31" s="184">
        <v>23.048176696197899</v>
      </c>
      <c r="R31" s="185">
        <v>24.000000296698676</v>
      </c>
      <c r="S31" s="186">
        <v>61.592892946370505</v>
      </c>
      <c r="U31" s="64"/>
    </row>
    <row r="32" spans="1:21" ht="14" customHeight="1" x14ac:dyDescent="0.35">
      <c r="A32" s="15">
        <v>26</v>
      </c>
      <c r="B32" s="177">
        <v>80.993965148925781</v>
      </c>
      <c r="C32" s="178">
        <v>34.869087783337299</v>
      </c>
      <c r="D32" s="179">
        <v>-3.4435061941803937</v>
      </c>
      <c r="E32" s="180">
        <v>70.986099243164063</v>
      </c>
      <c r="F32" s="178">
        <v>30.560554991416051</v>
      </c>
      <c r="G32" s="179">
        <v>-86.100845671739847</v>
      </c>
      <c r="H32" s="180">
        <v>79.612953186035156</v>
      </c>
      <c r="I32" s="178">
        <v>47.800939363303634</v>
      </c>
      <c r="J32" s="179">
        <v>1.8304937503849317E-2</v>
      </c>
      <c r="K32" s="180">
        <v>83.751014709472656</v>
      </c>
      <c r="L32" s="178">
        <v>50.285500229940993</v>
      </c>
      <c r="M32" s="181">
        <v>-13.49351491433616</v>
      </c>
      <c r="N32" s="178">
        <v>153.28800000000001</v>
      </c>
      <c r="O32" s="182">
        <v>58.249440000000007</v>
      </c>
      <c r="P32" s="183">
        <v>50.268438157247445</v>
      </c>
      <c r="Q32" s="184">
        <v>19.10200649975403</v>
      </c>
      <c r="R32" s="185">
        <v>24.000000186496312</v>
      </c>
      <c r="S32" s="186">
        <v>55.129705769773906</v>
      </c>
      <c r="U32" s="64"/>
    </row>
    <row r="33" spans="1:21" ht="14" customHeight="1" x14ac:dyDescent="0.35">
      <c r="A33" s="15">
        <v>27</v>
      </c>
      <c r="B33" s="177">
        <v>188.61308288574219</v>
      </c>
      <c r="C33" s="178">
        <v>81.200693559525604</v>
      </c>
      <c r="D33" s="179">
        <v>46.331605776188304</v>
      </c>
      <c r="E33" s="180">
        <v>70.978477478027344</v>
      </c>
      <c r="F33" s="178">
        <v>30.557273709938752</v>
      </c>
      <c r="G33" s="179">
        <v>-3.281281477299558E-3</v>
      </c>
      <c r="H33" s="180">
        <v>79.557907104492188</v>
      </c>
      <c r="I33" s="178">
        <v>47.767888781699469</v>
      </c>
      <c r="J33" s="179">
        <v>-3.3050581604165075E-2</v>
      </c>
      <c r="K33" s="180">
        <v>83.743728637695313</v>
      </c>
      <c r="L33" s="178">
        <v>50.281125551433455</v>
      </c>
      <c r="M33" s="181">
        <v>-4.3746785075384764E-3</v>
      </c>
      <c r="N33" s="178">
        <v>0</v>
      </c>
      <c r="O33" s="182">
        <v>0</v>
      </c>
      <c r="P33" s="183">
        <v>46.290899234599301</v>
      </c>
      <c r="Q33" s="184">
        <v>17.590541709147736</v>
      </c>
      <c r="R33" s="185">
        <v>24.000000228881834</v>
      </c>
      <c r="S33" s="186">
        <v>47.717924101279245</v>
      </c>
      <c r="U33" s="64"/>
    </row>
    <row r="34" spans="1:21" ht="14" customHeight="1" x14ac:dyDescent="0.35">
      <c r="A34" s="15">
        <v>28</v>
      </c>
      <c r="B34" s="177">
        <v>281.69479370117188</v>
      </c>
      <c r="C34" s="178">
        <v>121.27373282212409</v>
      </c>
      <c r="D34" s="179">
        <v>40.073039262598485</v>
      </c>
      <c r="E34" s="180">
        <v>83.391220092773438</v>
      </c>
      <c r="F34" s="178">
        <v>35.901141133514251</v>
      </c>
      <c r="G34" s="179">
        <v>5.3438674235754995</v>
      </c>
      <c r="H34" s="180">
        <v>79.394828796386719</v>
      </c>
      <c r="I34" s="178">
        <v>47.669973856988619</v>
      </c>
      <c r="J34" s="179">
        <v>-9.7914924710849505E-2</v>
      </c>
      <c r="K34" s="180">
        <v>83.745475769042969</v>
      </c>
      <c r="L34" s="178">
        <v>50.282174558112217</v>
      </c>
      <c r="M34" s="181">
        <v>1.0490066787625096E-3</v>
      </c>
      <c r="N34" s="178">
        <v>0</v>
      </c>
      <c r="O34" s="182">
        <v>0</v>
      </c>
      <c r="P34" s="183">
        <v>45.320040768141901</v>
      </c>
      <c r="Q34" s="184">
        <v>17.221615491893921</v>
      </c>
      <c r="R34" s="185">
        <v>24.00000028398302</v>
      </c>
      <c r="S34" s="186">
        <v>46.815714933328266</v>
      </c>
      <c r="U34" s="64"/>
    </row>
    <row r="35" spans="1:21" ht="14" customHeight="1" x14ac:dyDescent="0.35">
      <c r="A35" s="15">
        <v>29</v>
      </c>
      <c r="B35" s="177">
        <v>189.91091918945313</v>
      </c>
      <c r="C35" s="178">
        <v>81.759431089158696</v>
      </c>
      <c r="D35" s="179">
        <v>-39.514301732965393</v>
      </c>
      <c r="E35" s="180">
        <v>188.75337219238281</v>
      </c>
      <c r="F35" s="178">
        <v>81.261090159930603</v>
      </c>
      <c r="G35" s="179">
        <v>45.359949026416352</v>
      </c>
      <c r="H35" s="180">
        <v>79.572959899902344</v>
      </c>
      <c r="I35" s="178">
        <v>47.776926730071622</v>
      </c>
      <c r="J35" s="179">
        <v>0.10695287308300294</v>
      </c>
      <c r="K35" s="180">
        <v>83.646263122558594</v>
      </c>
      <c r="L35" s="178">
        <v>50.222605637366499</v>
      </c>
      <c r="M35" s="181">
        <v>-5.9568920745718401E-2</v>
      </c>
      <c r="N35" s="178">
        <v>38.542999999999999</v>
      </c>
      <c r="O35" s="182">
        <v>14.64634</v>
      </c>
      <c r="P35" s="183">
        <v>44.436031245788243</v>
      </c>
      <c r="Q35" s="184">
        <v>16.885691873399534</v>
      </c>
      <c r="R35" s="185">
        <v>24.000000347561308</v>
      </c>
      <c r="S35" s="186">
        <v>47.462384150734017</v>
      </c>
      <c r="U35" s="64"/>
    </row>
    <row r="36" spans="1:21" ht="14" customHeight="1" x14ac:dyDescent="0.35">
      <c r="A36" s="15">
        <v>30</v>
      </c>
      <c r="B36" s="177">
        <v>137.96160888671875</v>
      </c>
      <c r="C36" s="178">
        <v>59.394492443431723</v>
      </c>
      <c r="D36" s="179">
        <v>-22.364938645726973</v>
      </c>
      <c r="E36" s="180">
        <v>294.88992309570313</v>
      </c>
      <c r="F36" s="178">
        <v>126.95442920887837</v>
      </c>
      <c r="G36" s="179">
        <v>45.693339048947763</v>
      </c>
      <c r="H36" s="180">
        <v>85.805755615234375</v>
      </c>
      <c r="I36" s="178">
        <v>51.519200796406658</v>
      </c>
      <c r="J36" s="179">
        <v>3.7422740663350353</v>
      </c>
      <c r="K36" s="180">
        <v>83.66064453125</v>
      </c>
      <c r="L36" s="178">
        <v>50.231240474001808</v>
      </c>
      <c r="M36" s="181">
        <v>8.6348366353092842E-3</v>
      </c>
      <c r="N36" s="178">
        <v>20.021999999999998</v>
      </c>
      <c r="O36" s="182">
        <v>7.6083599999999993</v>
      </c>
      <c r="P36" s="183">
        <v>47.101309306191133</v>
      </c>
      <c r="Q36" s="184">
        <v>17.898497536352632</v>
      </c>
      <c r="R36" s="185">
        <v>24.000000305175782</v>
      </c>
      <c r="S36" s="186">
        <v>50.494798417430694</v>
      </c>
      <c r="U36" s="64"/>
    </row>
    <row r="37" spans="1:21" ht="14" customHeight="1" thickBot="1" x14ac:dyDescent="0.4">
      <c r="A37" s="15">
        <v>31</v>
      </c>
      <c r="B37" s="177">
        <v>82.468040466308594</v>
      </c>
      <c r="C37" s="178">
        <v>35.503698788571612</v>
      </c>
      <c r="D37" s="179">
        <v>-23.890793654860111</v>
      </c>
      <c r="E37" s="180">
        <v>78.578163146972656</v>
      </c>
      <c r="F37" s="178">
        <v>33.829049653108996</v>
      </c>
      <c r="G37" s="179">
        <v>-93.125379555769371</v>
      </c>
      <c r="H37" s="180">
        <v>166.57020568847656</v>
      </c>
      <c r="I37" s="178">
        <v>100.01151801569556</v>
      </c>
      <c r="J37" s="179">
        <v>48.4923172192889</v>
      </c>
      <c r="K37" s="180">
        <v>83.609916687011719</v>
      </c>
      <c r="L37" s="178">
        <v>50.200782633795853</v>
      </c>
      <c r="M37" s="181">
        <v>-3.0457840205954767E-2</v>
      </c>
      <c r="N37" s="178">
        <v>122.27200000000001</v>
      </c>
      <c r="O37" s="182">
        <v>46.463360000000002</v>
      </c>
      <c r="P37" s="183">
        <v>53.717686168453469</v>
      </c>
      <c r="Q37" s="184">
        <v>20.412720744012319</v>
      </c>
      <c r="R37" s="185">
        <v>23.996108864678277</v>
      </c>
      <c r="S37" s="186">
        <v>52.999513964887598</v>
      </c>
      <c r="U37" s="64"/>
    </row>
    <row r="38" spans="1:21" ht="14.4" customHeight="1" x14ac:dyDescent="0.35">
      <c r="A38" s="11" t="s">
        <v>8</v>
      </c>
      <c r="B38" s="75"/>
      <c r="C38" s="75">
        <f>IFERROR(C6+D38,"")</f>
        <v>35.503698788571604</v>
      </c>
      <c r="D38" s="76">
        <f>IF($B$7="","",SUM(D7:D37))</f>
        <v>-50.359770592256062</v>
      </c>
      <c r="E38" s="75"/>
      <c r="F38" s="75">
        <f>IFERROR(F6+G38,"")</f>
        <v>33.82904965310901</v>
      </c>
      <c r="G38" s="76">
        <f>IF($B$7="","",SUM(G7:G37))</f>
        <v>-93.258080440588458</v>
      </c>
      <c r="H38" s="75"/>
      <c r="I38" s="75">
        <f>IFERROR(I6+J38,"")</f>
        <v>100.01151801569556</v>
      </c>
      <c r="J38" s="76">
        <f>IF($B$7="","",SUM(J7:J37))</f>
        <v>36.164550739485129</v>
      </c>
      <c r="K38" s="75"/>
      <c r="L38" s="75">
        <f>IFERROR(L6+M38,"")</f>
        <v>50.200782633795853</v>
      </c>
      <c r="M38" s="76">
        <f>IF($B$7="","",SUM(M7:M37))</f>
        <v>-175.55206599293967</v>
      </c>
      <c r="N38" s="76">
        <f>SUM(N7:N37)</f>
        <v>1951.4789999999996</v>
      </c>
      <c r="O38" s="76">
        <f>IF($B$7="","",SUM(O7:O37))</f>
        <v>741.56201999999996</v>
      </c>
      <c r="P38" s="77">
        <f>IF(B7="","",SUM(P7:P37))</f>
        <v>1668.4736337137006</v>
      </c>
      <c r="Q38" s="77">
        <f>IF(B8="","",SUM(Q7:Q37))</f>
        <v>634.01998081120621</v>
      </c>
      <c r="R38" s="48">
        <f>SUM(R7:R37)</f>
        <v>741.96972138722742</v>
      </c>
      <c r="S38" s="88"/>
    </row>
    <row r="39" spans="1:21" ht="14.4" customHeight="1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08" t="s">
        <v>47</v>
      </c>
      <c r="O39" s="78">
        <f>IFERROR(O38*1000/0.505,"")</f>
        <v>1468439.6435643565</v>
      </c>
      <c r="P39" s="68" t="s">
        <v>47</v>
      </c>
      <c r="Q39" s="78">
        <f>IFERROR(Q38*1000/0.505,"")</f>
        <v>1255485.1105172399</v>
      </c>
      <c r="R39" s="10"/>
      <c r="S39" s="89"/>
    </row>
    <row r="40" spans="1:21" ht="14.4" customHeight="1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219.54504909117205</v>
      </c>
      <c r="I40" s="17" t="s">
        <v>3</v>
      </c>
      <c r="J40" s="17"/>
      <c r="K40" s="17"/>
      <c r="L40" s="10"/>
      <c r="M40" s="6"/>
      <c r="N40" s="172" t="s">
        <v>60</v>
      </c>
      <c r="O40" s="173">
        <f>IFERROR(O38*1000,"")</f>
        <v>741562.02</v>
      </c>
      <c r="P40" s="10"/>
      <c r="Q40" s="67"/>
      <c r="R40" s="43"/>
      <c r="S40" s="89"/>
    </row>
    <row r="41" spans="1:21" ht="15" customHeight="1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83.427118654645383</v>
      </c>
      <c r="I41" s="7" t="s">
        <v>19</v>
      </c>
      <c r="J41" s="7">
        <f>IFERROR(H41*1000/0.505,"")</f>
        <v>165202.21515771362</v>
      </c>
      <c r="K41" s="7" t="s">
        <v>47</v>
      </c>
      <c r="L41" s="2"/>
      <c r="M41" s="7"/>
      <c r="N41" s="16"/>
      <c r="O41" s="7"/>
      <c r="P41" s="7"/>
      <c r="Q41" s="150" t="s">
        <v>57</v>
      </c>
      <c r="R41" s="42">
        <f>IF(H40="",0,COUNT(R7:R37)*24-R38)</f>
        <v>2.0302786127725767</v>
      </c>
      <c r="S41" s="148" t="s">
        <v>58</v>
      </c>
    </row>
  </sheetData>
  <mergeCells count="10">
    <mergeCell ref="A1:Q1"/>
    <mergeCell ref="A2:Q2"/>
    <mergeCell ref="B40:G40"/>
    <mergeCell ref="B4:D4"/>
    <mergeCell ref="E4:G4"/>
    <mergeCell ref="B3:G3"/>
    <mergeCell ref="H4:J4"/>
    <mergeCell ref="K4:M4"/>
    <mergeCell ref="P4:Q4"/>
    <mergeCell ref="N4:O4"/>
  </mergeCells>
  <phoneticPr fontId="0" type="noConversion"/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51" priority="4" operator="lessThan">
      <formula>23.98</formula>
    </cfRule>
  </conditionalFormatting>
  <conditionalFormatting sqref="R7:R37">
    <cfRule type="cellIs" dxfId="50" priority="3" operator="equal">
      <formula>""</formula>
    </cfRule>
  </conditionalFormatting>
  <conditionalFormatting sqref="R7:R37">
    <cfRule type="cellIs" dxfId="49" priority="2" operator="equal">
      <formula>""</formula>
    </cfRule>
  </conditionalFormatting>
  <conditionalFormatting sqref="R7:R37">
    <cfRule type="cellIs" dxfId="48" priority="1" operator="lessThan">
      <formula>23.98</formula>
    </cfRule>
  </conditionalFormatting>
  <pageMargins left="0.70866141732283472" right="0.70866141732283472" top="0.74803149606299213" bottom="0.74803149606299213" header="0.31496062992125984" footer="0.31496062992125984"/>
  <pageSetup paperSize="5" scale="75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T41"/>
  <sheetViews>
    <sheetView showGridLines="0" zoomScale="70" zoomScaleNormal="70" workbookViewId="0">
      <pane xSplit="1" ySplit="5" topLeftCell="B6" activePane="bottomRight" state="frozen"/>
      <selection activeCell="M17" sqref="M17"/>
      <selection pane="topRight" activeCell="M17" sqref="M17"/>
      <selection pane="bottomLeft" activeCell="M17" sqref="M17"/>
      <selection pane="bottomRight" activeCell="B8" sqref="B8:S36"/>
    </sheetView>
  </sheetViews>
  <sheetFormatPr defaultColWidth="8.90625" defaultRowHeight="14.5" x14ac:dyDescent="0.35"/>
  <cols>
    <col min="1" max="7" width="9.6328125" style="1" customWidth="1"/>
    <col min="8" max="8" width="11.1796875" style="1" customWidth="1"/>
    <col min="9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19" width="10.6328125" style="82" customWidth="1"/>
    <col min="20" max="16384" width="8.90625" style="1"/>
  </cols>
  <sheetData>
    <row r="1" spans="1:20" s="10" customFormat="1" x14ac:dyDescent="0.35">
      <c r="A1" s="191" t="s">
        <v>38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</row>
    <row r="2" spans="1:20" s="10" customFormat="1" x14ac:dyDescent="0.35">
      <c r="A2" s="202">
        <f>SUMMARY!B2</f>
        <v>2021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134"/>
      <c r="S2" s="83"/>
    </row>
    <row r="3" spans="1:20" s="10" customFormat="1" ht="15" thickBot="1" x14ac:dyDescent="0.4">
      <c r="A3" s="168">
        <f>[1]SUMMARY!$K$7</f>
        <v>1.3486631266512132</v>
      </c>
      <c r="B3" s="203" t="s">
        <v>13</v>
      </c>
      <c r="C3" s="203"/>
      <c r="D3" s="203"/>
      <c r="E3" s="203"/>
      <c r="F3" s="203"/>
      <c r="G3" s="203"/>
      <c r="H3" s="87">
        <f>JAN!$H$3</f>
        <v>0.38</v>
      </c>
      <c r="I3" s="8" t="s">
        <v>12</v>
      </c>
      <c r="J3" s="8"/>
      <c r="K3" s="8"/>
      <c r="L3" s="8"/>
      <c r="M3" s="85"/>
      <c r="N3" s="86"/>
      <c r="S3" s="83"/>
    </row>
    <row r="4" spans="1:20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30" t="s">
        <v>50</v>
      </c>
    </row>
    <row r="5" spans="1:20" x14ac:dyDescent="0.35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36" t="s">
        <v>15</v>
      </c>
      <c r="S5" s="91" t="s">
        <v>3</v>
      </c>
    </row>
    <row r="6" spans="1:20" ht="14" customHeight="1" x14ac:dyDescent="0.35">
      <c r="A6" s="3" t="s">
        <v>1</v>
      </c>
      <c r="B6" s="94"/>
      <c r="C6" s="70">
        <v>35.503698788571612</v>
      </c>
      <c r="D6" s="71"/>
      <c r="E6" s="95"/>
      <c r="F6" s="70">
        <v>33.829049653108996</v>
      </c>
      <c r="G6" s="71"/>
      <c r="H6" s="95"/>
      <c r="I6" s="70">
        <v>100.01151801569556</v>
      </c>
      <c r="J6" s="71"/>
      <c r="K6" s="95"/>
      <c r="L6" s="70">
        <v>50.200782633795853</v>
      </c>
      <c r="M6" s="73"/>
      <c r="N6" s="105"/>
      <c r="O6" s="52"/>
      <c r="P6" s="53"/>
      <c r="Q6" s="54"/>
      <c r="R6" s="139"/>
      <c r="S6" s="92"/>
    </row>
    <row r="7" spans="1:20" ht="14" customHeight="1" x14ac:dyDescent="0.35">
      <c r="A7" s="15">
        <v>1</v>
      </c>
      <c r="B7" s="107">
        <f>LOOKUP(A7+400,'[2]DCS Data'!$A:$A,'[2]DCS Data'!$E:$E)</f>
        <v>82.53497314453125</v>
      </c>
      <c r="C7" s="70">
        <f t="shared" ref="C7" si="0">IF(B7="","",$A$3*PI()/4*(157.5*2.54)^2*B7*2.54/1000000)</f>
        <v>35.538054214313412</v>
      </c>
      <c r="D7" s="71">
        <f>IF(C7="","",C7-C6)</f>
        <v>3.4355425741800616E-2</v>
      </c>
      <c r="E7" s="106">
        <f>LOOKUP(A7+400,'[2]DCS Data'!$A:$A,'[2]DCS Data'!$F:$F)</f>
        <v>81.079879760742188</v>
      </c>
      <c r="F7" s="70">
        <f t="shared" ref="F7" si="1">IF(E7="","",$A$3*PI()/4*(157.5*2.54)^2*E7*2.54/1000000)</f>
        <v>34.911517540345749</v>
      </c>
      <c r="G7" s="71">
        <f>IF(F7="","",F7-F6)</f>
        <v>1.0824678872367528</v>
      </c>
      <c r="H7" s="106">
        <f>LOOKUP(A7+400,'[2]DCS Data'!$A:$A,'[2]DCS Data'!$G:$G)</f>
        <v>251.67626953125</v>
      </c>
      <c r="I7" s="70">
        <f t="shared" ref="I7" si="2">IF(H7="","",$A$3*PI()/4*(186*2.54)^2*H7*2.54/1000000)</f>
        <v>151.13417213417443</v>
      </c>
      <c r="J7" s="71">
        <f>IF(I7="","",I7-I6)</f>
        <v>51.122654118478877</v>
      </c>
      <c r="K7" s="106">
        <f>LOOKUP(A7+400,'[2]DCS Data'!$A:$A,'[2]DCS Data'!$H:$H)</f>
        <v>83.567787170410156</v>
      </c>
      <c r="L7" s="70">
        <f t="shared" ref="L7" si="3">IF(K7="","",$A$3*PI()/4*(186*2.54)^2*K7*2.54/1000000)</f>
        <v>50.183310308152009</v>
      </c>
      <c r="M7" s="73">
        <f>IF(L7="","",L7-L6)</f>
        <v>-1.7472325643844044E-2</v>
      </c>
      <c r="N7" s="111">
        <f>IF(K7="", "", LOOKUP(A7+400,[3]SBS!$A:$A,[3]SBS!$C:$C))</f>
        <v>0</v>
      </c>
      <c r="O7" s="12">
        <f>IF(N7="","",N7*$H$3)</f>
        <v>0</v>
      </c>
      <c r="P7" s="13">
        <f>IFERROR(D7+G7+J7+M7+N7,0)</f>
        <v>52.222005105813587</v>
      </c>
      <c r="Q7" s="14">
        <f>IF(P7="","",P7*$H$3)</f>
        <v>19.844361940209165</v>
      </c>
      <c r="R7" s="155">
        <f>LOOKUP(A7+400,'[2]DCS Data'!$A:$A,'[2]DCS Data'!$K:$K)</f>
        <v>24.000000288221568</v>
      </c>
      <c r="S7" s="156">
        <f>IFERROR(LOOKUP(A7+400,'[2]DCS Data'!$A:$A,'[2]DCS Data'!$J:$J)*3785.4*0.993*$A$3/1000000,0)</f>
        <v>53.40754254047485</v>
      </c>
    </row>
    <row r="8" spans="1:20" ht="14" customHeight="1" x14ac:dyDescent="0.35">
      <c r="A8" s="15">
        <v>2</v>
      </c>
      <c r="B8" s="177">
        <v>82.456268310546875</v>
      </c>
      <c r="C8" s="178">
        <v>35.504165348169749</v>
      </c>
      <c r="D8" s="179">
        <v>-3.388886614366271E-2</v>
      </c>
      <c r="E8" s="180">
        <v>81.258781433105469</v>
      </c>
      <c r="F8" s="178">
        <v>34.988549337767481</v>
      </c>
      <c r="G8" s="179">
        <v>7.7031797421732051E-2</v>
      </c>
      <c r="H8" s="180">
        <v>122.99823760986328</v>
      </c>
      <c r="I8" s="178">
        <v>73.861698799619987</v>
      </c>
      <c r="J8" s="179">
        <v>-77.272473334554448</v>
      </c>
      <c r="K8" s="180">
        <v>83.581298828125</v>
      </c>
      <c r="L8" s="178">
        <v>50.191424196706926</v>
      </c>
      <c r="M8" s="181">
        <v>8.1138885549165707E-3</v>
      </c>
      <c r="N8" s="178">
        <v>126.262</v>
      </c>
      <c r="O8" s="182">
        <v>47.979559999999999</v>
      </c>
      <c r="P8" s="183">
        <v>49.040783485278538</v>
      </c>
      <c r="Q8" s="184">
        <v>18.635497724405845</v>
      </c>
      <c r="R8" s="185">
        <v>24.000000292460125</v>
      </c>
      <c r="S8" s="186">
        <v>52.079193813341995</v>
      </c>
    </row>
    <row r="9" spans="1:20" ht="14" customHeight="1" x14ac:dyDescent="0.35">
      <c r="A9" s="15">
        <v>3</v>
      </c>
      <c r="B9" s="177">
        <v>82.165084838867188</v>
      </c>
      <c r="C9" s="178">
        <v>35.378787055688285</v>
      </c>
      <c r="D9" s="179">
        <v>-0.12537829248146437</v>
      </c>
      <c r="E9" s="180">
        <v>81.124786376953125</v>
      </c>
      <c r="F9" s="178">
        <v>34.930853510307124</v>
      </c>
      <c r="G9" s="179">
        <v>-5.7695827460356952E-2</v>
      </c>
      <c r="H9" s="180">
        <v>205.18313598632813</v>
      </c>
      <c r="I9" s="178">
        <v>123.21457025306465</v>
      </c>
      <c r="J9" s="179">
        <v>49.352871453444664</v>
      </c>
      <c r="K9" s="180">
        <v>83.472389221191406</v>
      </c>
      <c r="L9" s="178">
        <v>50.126022864622563</v>
      </c>
      <c r="M9" s="181">
        <v>-6.5401332084363162E-2</v>
      </c>
      <c r="N9" s="178">
        <v>0</v>
      </c>
      <c r="O9" s="182">
        <v>0</v>
      </c>
      <c r="P9" s="183">
        <v>49.104396001418479</v>
      </c>
      <c r="Q9" s="184">
        <v>18.659670480539024</v>
      </c>
      <c r="R9" s="185">
        <v>24.000000237358943</v>
      </c>
      <c r="S9" s="186">
        <v>50.120977794073227</v>
      </c>
    </row>
    <row r="10" spans="1:20" ht="14" customHeight="1" x14ac:dyDescent="0.35">
      <c r="A10" s="15">
        <v>4</v>
      </c>
      <c r="B10" s="177">
        <v>82.489173889160156</v>
      </c>
      <c r="C10" s="178">
        <v>35.518333890209071</v>
      </c>
      <c r="D10" s="179">
        <v>0.13954683452078598</v>
      </c>
      <c r="E10" s="180">
        <v>80.888908386230469</v>
      </c>
      <c r="F10" s="178">
        <v>34.829288749298655</v>
      </c>
      <c r="G10" s="179">
        <v>-0.10156476100846845</v>
      </c>
      <c r="H10" s="180">
        <v>255.92045593261719</v>
      </c>
      <c r="I10" s="178">
        <v>153.68284944629625</v>
      </c>
      <c r="J10" s="179">
        <v>30.468279193231595</v>
      </c>
      <c r="K10" s="180">
        <v>83.418197631835938</v>
      </c>
      <c r="L10" s="178">
        <v>50.093480261344439</v>
      </c>
      <c r="M10" s="181">
        <v>-3.254260327812375E-2</v>
      </c>
      <c r="N10" s="178">
        <v>17.713000000000001</v>
      </c>
      <c r="O10" s="182">
        <v>6.7309400000000004</v>
      </c>
      <c r="P10" s="183">
        <v>48.18671866346579</v>
      </c>
      <c r="Q10" s="184">
        <v>18.310953092117</v>
      </c>
      <c r="R10" s="185">
        <v>24.000000220404729</v>
      </c>
      <c r="S10" s="186">
        <v>49.734549543637684</v>
      </c>
    </row>
    <row r="11" spans="1:20" ht="14" customHeight="1" x14ac:dyDescent="0.35">
      <c r="A11" s="15">
        <v>5</v>
      </c>
      <c r="B11" s="177">
        <v>145.27362060546875</v>
      </c>
      <c r="C11" s="178">
        <v>62.552171622398205</v>
      </c>
      <c r="D11" s="179">
        <v>27.033837732189134</v>
      </c>
      <c r="E11" s="180">
        <v>80.761344909667969</v>
      </c>
      <c r="F11" s="178">
        <v>34.774362242714517</v>
      </c>
      <c r="G11" s="179">
        <v>-5.4926506584138224E-2</v>
      </c>
      <c r="H11" s="180">
        <v>187.94868469238281</v>
      </c>
      <c r="I11" s="178">
        <v>112.86510610474232</v>
      </c>
      <c r="J11" s="179">
        <v>-40.817743341553921</v>
      </c>
      <c r="K11" s="180">
        <v>83.391693115234375</v>
      </c>
      <c r="L11" s="178">
        <v>50.077564028233326</v>
      </c>
      <c r="M11" s="181">
        <v>-1.5916233111113343E-2</v>
      </c>
      <c r="N11" s="178">
        <v>59.1</v>
      </c>
      <c r="O11" s="182">
        <v>22.458000000000002</v>
      </c>
      <c r="P11" s="183">
        <v>45.245251650939963</v>
      </c>
      <c r="Q11" s="184">
        <v>17.193195627357188</v>
      </c>
      <c r="R11" s="185">
        <v>24.00000034332275</v>
      </c>
      <c r="S11" s="186">
        <v>50.117791028789483</v>
      </c>
    </row>
    <row r="12" spans="1:20" ht="14" customHeight="1" x14ac:dyDescent="0.35">
      <c r="A12" s="15">
        <v>6</v>
      </c>
      <c r="B12" s="177">
        <v>40.644439697265625</v>
      </c>
      <c r="C12" s="178">
        <v>17.50075448552472</v>
      </c>
      <c r="D12" s="179">
        <v>-45.051417136873482</v>
      </c>
      <c r="E12" s="180">
        <v>105.587158203125</v>
      </c>
      <c r="F12" s="178">
        <v>45.463904689070262</v>
      </c>
      <c r="G12" s="179">
        <v>10.689542446355745</v>
      </c>
      <c r="H12" s="180">
        <v>122.19968414306641</v>
      </c>
      <c r="I12" s="178">
        <v>73.382159281118689</v>
      </c>
      <c r="J12" s="179">
        <v>-39.482946823623635</v>
      </c>
      <c r="K12" s="180">
        <v>83.193901062011719</v>
      </c>
      <c r="L12" s="178">
        <v>49.958787878721104</v>
      </c>
      <c r="M12" s="181">
        <v>-0.11877614951222171</v>
      </c>
      <c r="N12" s="178">
        <v>126.27</v>
      </c>
      <c r="O12" s="182">
        <v>47.982599999999998</v>
      </c>
      <c r="P12" s="183">
        <v>52.306402336346409</v>
      </c>
      <c r="Q12" s="184">
        <v>19.876432887811635</v>
      </c>
      <c r="R12" s="185">
        <v>24.000000250074599</v>
      </c>
      <c r="S12" s="186">
        <v>53.607922523059905</v>
      </c>
      <c r="T12" s="110"/>
    </row>
    <row r="13" spans="1:20" ht="14" customHeight="1" x14ac:dyDescent="0.35">
      <c r="A13" s="15">
        <v>7</v>
      </c>
      <c r="B13" s="177">
        <v>40.735202789306641</v>
      </c>
      <c r="C13" s="178">
        <v>17.539835417676528</v>
      </c>
      <c r="D13" s="179">
        <v>3.9080932151808412E-2</v>
      </c>
      <c r="E13" s="180">
        <v>210.57066345214844</v>
      </c>
      <c r="F13" s="178">
        <v>90.667887425153111</v>
      </c>
      <c r="G13" s="179">
        <v>45.20398273608285</v>
      </c>
      <c r="H13" s="180">
        <v>121.96470642089844</v>
      </c>
      <c r="I13" s="178">
        <v>73.241052757345216</v>
      </c>
      <c r="J13" s="179">
        <v>-0.14110652377347321</v>
      </c>
      <c r="K13" s="180">
        <v>83.182395935058594</v>
      </c>
      <c r="L13" s="178">
        <v>49.951878932396525</v>
      </c>
      <c r="M13" s="181">
        <v>-6.9089463245788352E-3</v>
      </c>
      <c r="N13" s="178">
        <v>0</v>
      </c>
      <c r="O13" s="182">
        <v>0</v>
      </c>
      <c r="P13" s="183">
        <v>45.095048198136602</v>
      </c>
      <c r="Q13" s="184">
        <v>17.13611831529191</v>
      </c>
      <c r="R13" s="185">
        <v>23.990835206773543</v>
      </c>
      <c r="S13" s="186">
        <v>47.47790679972077</v>
      </c>
    </row>
    <row r="14" spans="1:20" ht="14" customHeight="1" x14ac:dyDescent="0.35">
      <c r="A14" s="15">
        <v>8</v>
      </c>
      <c r="B14" s="177">
        <v>115.29248809814453</v>
      </c>
      <c r="C14" s="178">
        <v>49.642842742070101</v>
      </c>
      <c r="D14" s="179">
        <v>32.103007324393573</v>
      </c>
      <c r="E14" s="180">
        <v>121.31597900390625</v>
      </c>
      <c r="F14" s="178">
        <v>52.236448073394634</v>
      </c>
      <c r="G14" s="179">
        <v>-38.431439351758478</v>
      </c>
      <c r="H14" s="180">
        <v>88.260856628417969</v>
      </c>
      <c r="I14" s="178">
        <v>53.001546483637441</v>
      </c>
      <c r="J14" s="179">
        <v>-20.239506273707775</v>
      </c>
      <c r="K14" s="180">
        <v>83.191749572753906</v>
      </c>
      <c r="L14" s="178">
        <v>49.957495887432295</v>
      </c>
      <c r="M14" s="181">
        <v>5.616955035769422E-3</v>
      </c>
      <c r="N14" s="178">
        <v>74.582999999999998</v>
      </c>
      <c r="O14" s="182">
        <v>28.341539999999998</v>
      </c>
      <c r="P14" s="183">
        <v>48.020678653963088</v>
      </c>
      <c r="Q14" s="184">
        <v>18.247857888505973</v>
      </c>
      <c r="R14" s="185">
        <v>24.000000288221568</v>
      </c>
      <c r="S14" s="186">
        <v>49.765715150710896</v>
      </c>
    </row>
    <row r="15" spans="1:20" ht="14" customHeight="1" x14ac:dyDescent="0.35">
      <c r="A15" s="15">
        <v>9</v>
      </c>
      <c r="B15" s="177">
        <v>103.01990509033203</v>
      </c>
      <c r="C15" s="178">
        <v>44.358492318673846</v>
      </c>
      <c r="D15" s="179">
        <v>-5.2843504233962548</v>
      </c>
      <c r="E15" s="180">
        <v>85.115585327148438</v>
      </c>
      <c r="F15" s="178">
        <v>36.6492187565417</v>
      </c>
      <c r="G15" s="179">
        <v>-15.587229316852934</v>
      </c>
      <c r="H15" s="180">
        <v>88.360214233398438</v>
      </c>
      <c r="I15" s="178">
        <v>53.061211740921834</v>
      </c>
      <c r="J15" s="179">
        <v>5.9665257284393647E-2</v>
      </c>
      <c r="K15" s="180">
        <v>83.409393310546875</v>
      </c>
      <c r="L15" s="178">
        <v>50.08819317642498</v>
      </c>
      <c r="M15" s="181">
        <v>0.1306972889926854</v>
      </c>
      <c r="N15" s="178">
        <v>67.974000000000004</v>
      </c>
      <c r="O15" s="182">
        <v>25.830120000000001</v>
      </c>
      <c r="P15" s="183">
        <v>47.292782806027894</v>
      </c>
      <c r="Q15" s="184">
        <v>17.971257466290599</v>
      </c>
      <c r="R15" s="185">
        <v>24.000000292460125</v>
      </c>
      <c r="S15" s="186">
        <v>50.167112575922594</v>
      </c>
    </row>
    <row r="16" spans="1:20" ht="14" customHeight="1" x14ac:dyDescent="0.35">
      <c r="A16" s="15">
        <v>10</v>
      </c>
      <c r="B16" s="177">
        <v>65.293785095214844</v>
      </c>
      <c r="C16" s="178">
        <v>28.114313074386985</v>
      </c>
      <c r="D16" s="179">
        <v>-16.244179244286862</v>
      </c>
      <c r="E16" s="180">
        <v>60.349662780761719</v>
      </c>
      <c r="F16" s="178">
        <v>25.985464173624074</v>
      </c>
      <c r="G16" s="179">
        <v>-10.663754582917626</v>
      </c>
      <c r="H16" s="180">
        <v>66.852546691894531</v>
      </c>
      <c r="I16" s="178">
        <v>40.145637561137526</v>
      </c>
      <c r="J16" s="179">
        <v>-12.915574179784308</v>
      </c>
      <c r="K16" s="180">
        <v>83.279243469238281</v>
      </c>
      <c r="L16" s="178">
        <v>50.010036866510639</v>
      </c>
      <c r="M16" s="181">
        <v>-7.8156309914341193E-2</v>
      </c>
      <c r="N16" s="178">
        <v>86.230999999999995</v>
      </c>
      <c r="O16" s="182">
        <v>32.767779999999995</v>
      </c>
      <c r="P16" s="183">
        <v>46.329335683096858</v>
      </c>
      <c r="Q16" s="184">
        <v>17.605147559576807</v>
      </c>
      <c r="R16" s="185">
        <v>24.000000279744466</v>
      </c>
      <c r="S16" s="186">
        <v>48.474392825447268</v>
      </c>
    </row>
    <row r="17" spans="1:19" ht="14" customHeight="1" x14ac:dyDescent="0.35">
      <c r="A17" s="15">
        <v>11</v>
      </c>
      <c r="B17" s="177">
        <v>88.00921630859375</v>
      </c>
      <c r="C17" s="178">
        <v>37.895163484902397</v>
      </c>
      <c r="D17" s="179">
        <v>9.7808504105154128</v>
      </c>
      <c r="E17" s="180">
        <v>174.72230529785156</v>
      </c>
      <c r="F17" s="178">
        <v>75.232238184066034</v>
      </c>
      <c r="G17" s="179">
        <v>49.24677401044196</v>
      </c>
      <c r="H17" s="180">
        <v>66.906295776367188</v>
      </c>
      <c r="I17" s="178">
        <v>40.177914435710854</v>
      </c>
      <c r="J17" s="179">
        <v>3.2276874573327063E-2</v>
      </c>
      <c r="K17" s="180">
        <v>67.194297790527344</v>
      </c>
      <c r="L17" s="178">
        <v>40.350862588765338</v>
      </c>
      <c r="M17" s="181">
        <v>-9.6591742777453007</v>
      </c>
      <c r="N17" s="178">
        <v>0</v>
      </c>
      <c r="O17" s="182">
        <v>0</v>
      </c>
      <c r="P17" s="183">
        <v>49.4007270177854</v>
      </c>
      <c r="Q17" s="184">
        <v>18.772276266758453</v>
      </c>
      <c r="R17" s="185">
        <v>24.000000245836045</v>
      </c>
      <c r="S17" s="186">
        <v>51.578733501402901</v>
      </c>
    </row>
    <row r="18" spans="1:19" ht="14" customHeight="1" x14ac:dyDescent="0.35">
      <c r="A18" s="15">
        <v>12</v>
      </c>
      <c r="B18" s="177">
        <v>88.077217102050781</v>
      </c>
      <c r="C18" s="178">
        <v>37.92444338640864</v>
      </c>
      <c r="D18" s="179">
        <v>2.9279901506242823E-2</v>
      </c>
      <c r="E18" s="180">
        <v>158.81196594238281</v>
      </c>
      <c r="F18" s="178">
        <v>68.381536220516196</v>
      </c>
      <c r="G18" s="179">
        <v>-6.8507019635498381</v>
      </c>
      <c r="H18" s="180">
        <v>66.785476684570313</v>
      </c>
      <c r="I18" s="178">
        <v>40.105361336244101</v>
      </c>
      <c r="J18" s="179">
        <v>-7.2553099466752258E-2</v>
      </c>
      <c r="K18" s="180">
        <v>126.24864196777344</v>
      </c>
      <c r="L18" s="178">
        <v>75.813599837604301</v>
      </c>
      <c r="M18" s="181">
        <v>35.462737248838963</v>
      </c>
      <c r="N18" s="178">
        <v>20.026</v>
      </c>
      <c r="O18" s="182">
        <v>7.6098800000000004</v>
      </c>
      <c r="P18" s="183">
        <v>48.594762087328618</v>
      </c>
      <c r="Q18" s="184">
        <v>18.466009593184875</v>
      </c>
      <c r="R18" s="185">
        <v>24.000000258551701</v>
      </c>
      <c r="S18" s="186">
        <v>50.338503275845341</v>
      </c>
    </row>
    <row r="19" spans="1:19" ht="14" customHeight="1" x14ac:dyDescent="0.35">
      <c r="A19" s="15">
        <v>13</v>
      </c>
      <c r="B19" s="177">
        <v>87.491767883300781</v>
      </c>
      <c r="C19" s="178">
        <v>37.672359629875139</v>
      </c>
      <c r="D19" s="179">
        <v>-0.25208375653350146</v>
      </c>
      <c r="E19" s="180">
        <v>77.170738220214844</v>
      </c>
      <c r="F19" s="178">
        <v>33.228312485496943</v>
      </c>
      <c r="G19" s="179">
        <v>-35.153223735019253</v>
      </c>
      <c r="H19" s="180">
        <v>67.011215209960938</v>
      </c>
      <c r="I19" s="178">
        <v>40.240919627922715</v>
      </c>
      <c r="J19" s="179">
        <v>0.13555829167861333</v>
      </c>
      <c r="K19" s="180">
        <v>208.16291809082031</v>
      </c>
      <c r="L19" s="178">
        <v>125.00395986195161</v>
      </c>
      <c r="M19" s="181">
        <v>49.190360024347314</v>
      </c>
      <c r="N19" s="178">
        <v>35.046999999999997</v>
      </c>
      <c r="O19" s="182">
        <v>13.31786</v>
      </c>
      <c r="P19" s="183">
        <v>48.967610824473169</v>
      </c>
      <c r="Q19" s="184">
        <v>18.607692113299805</v>
      </c>
      <c r="R19" s="185">
        <v>24.000000199211968</v>
      </c>
      <c r="S19" s="186">
        <v>50.272383368100435</v>
      </c>
    </row>
    <row r="20" spans="1:19" ht="14" customHeight="1" x14ac:dyDescent="0.35">
      <c r="A20" s="15">
        <v>14</v>
      </c>
      <c r="B20" s="177">
        <v>87.819602966308594</v>
      </c>
      <c r="C20" s="178">
        <v>37.813519437765109</v>
      </c>
      <c r="D20" s="179">
        <v>0.14115980788997007</v>
      </c>
      <c r="E20" s="180">
        <v>80.908485412597656</v>
      </c>
      <c r="F20" s="178">
        <v>34.837718259818679</v>
      </c>
      <c r="G20" s="179">
        <v>1.6094057743217363</v>
      </c>
      <c r="H20" s="180">
        <v>66.89874267578125</v>
      </c>
      <c r="I20" s="178">
        <v>40.173378721611833</v>
      </c>
      <c r="J20" s="179">
        <v>-6.754090631088161E-2</v>
      </c>
      <c r="K20" s="180">
        <v>222.34022521972656</v>
      </c>
      <c r="L20" s="178">
        <v>133.51757769334245</v>
      </c>
      <c r="M20" s="181">
        <v>8.5136178313908317</v>
      </c>
      <c r="N20" s="178">
        <v>40.030999999999999</v>
      </c>
      <c r="O20" s="182">
        <v>15.211779999999999</v>
      </c>
      <c r="P20" s="183">
        <v>50.227642507291655</v>
      </c>
      <c r="Q20" s="184">
        <v>19.086504152770829</v>
      </c>
      <c r="R20" s="185">
        <v>23.99527694278293</v>
      </c>
      <c r="S20" s="186">
        <v>52.61338593226133</v>
      </c>
    </row>
    <row r="21" spans="1:19" ht="14" customHeight="1" x14ac:dyDescent="0.35">
      <c r="A21" s="15">
        <v>15</v>
      </c>
      <c r="B21" s="177">
        <v>87.743064880371094</v>
      </c>
      <c r="C21" s="178">
        <v>37.780563533814622</v>
      </c>
      <c r="D21" s="179">
        <v>-3.2955903950487198E-2</v>
      </c>
      <c r="E21" s="180">
        <v>80.88720703125</v>
      </c>
      <c r="F21" s="178">
        <v>34.828556176872326</v>
      </c>
      <c r="G21" s="179">
        <v>-9.1620829463536779E-3</v>
      </c>
      <c r="H21" s="180">
        <v>66.756431579589844</v>
      </c>
      <c r="I21" s="178">
        <v>40.087919453845139</v>
      </c>
      <c r="J21" s="179">
        <v>-8.5459267766694325E-2</v>
      </c>
      <c r="K21" s="180">
        <v>179.42835998535156</v>
      </c>
      <c r="L21" s="178">
        <v>107.74856403540103</v>
      </c>
      <c r="M21" s="181">
        <v>-25.769013657941414</v>
      </c>
      <c r="N21" s="178">
        <v>72.084000000000003</v>
      </c>
      <c r="O21" s="182">
        <v>27.391920000000002</v>
      </c>
      <c r="P21" s="183">
        <v>46.187409087395054</v>
      </c>
      <c r="Q21" s="184">
        <v>17.551215453210119</v>
      </c>
      <c r="R21" s="185">
        <v>24.000000305175782</v>
      </c>
      <c r="S21" s="186">
        <v>49.244408314539804</v>
      </c>
    </row>
    <row r="22" spans="1:19" ht="14" customHeight="1" x14ac:dyDescent="0.35">
      <c r="A22" s="15">
        <v>16</v>
      </c>
      <c r="B22" s="177">
        <v>87.80517578125</v>
      </c>
      <c r="C22" s="178">
        <v>37.807307354992943</v>
      </c>
      <c r="D22" s="179">
        <v>2.6743821178321525E-2</v>
      </c>
      <c r="E22" s="180">
        <v>80.9388427734375</v>
      </c>
      <c r="F22" s="178">
        <v>34.850789585757575</v>
      </c>
      <c r="G22" s="179">
        <v>2.2233408885249162E-2</v>
      </c>
      <c r="H22" s="180">
        <v>66.799285888671875</v>
      </c>
      <c r="I22" s="178">
        <v>40.113653904445343</v>
      </c>
      <c r="J22" s="179">
        <v>2.5734450600204184E-2</v>
      </c>
      <c r="K22" s="180">
        <v>84.043525695800781</v>
      </c>
      <c r="L22" s="178">
        <v>50.468996154978811</v>
      </c>
      <c r="M22" s="181">
        <v>-57.279567880422221</v>
      </c>
      <c r="N22" s="178">
        <v>100.10299999999999</v>
      </c>
      <c r="O22" s="182">
        <v>38.039139999999996</v>
      </c>
      <c r="P22" s="183">
        <v>42.898143800241549</v>
      </c>
      <c r="Q22" s="184">
        <v>16.30129464409179</v>
      </c>
      <c r="R22" s="185">
        <v>24.000000250074599</v>
      </c>
      <c r="S22" s="186">
        <v>45.758211707542969</v>
      </c>
    </row>
    <row r="23" spans="1:19" ht="14" customHeight="1" x14ac:dyDescent="0.35">
      <c r="A23" s="15">
        <v>17</v>
      </c>
      <c r="B23" s="177">
        <v>87.861289978027344</v>
      </c>
      <c r="C23" s="178">
        <v>37.831469104749303</v>
      </c>
      <c r="D23" s="179">
        <v>2.4161749756359541E-2</v>
      </c>
      <c r="E23" s="180">
        <v>80.757598876953125</v>
      </c>
      <c r="F23" s="178">
        <v>34.772749269345333</v>
      </c>
      <c r="G23" s="179">
        <v>-7.804031641224185E-2</v>
      </c>
      <c r="H23" s="180">
        <v>66.686058044433594</v>
      </c>
      <c r="I23" s="178">
        <v>40.045659426724569</v>
      </c>
      <c r="J23" s="179">
        <v>-6.7994477720773716E-2</v>
      </c>
      <c r="K23" s="180">
        <v>155.99394226074219</v>
      </c>
      <c r="L23" s="178">
        <v>93.675956678132906</v>
      </c>
      <c r="M23" s="181">
        <v>43.206960523154095</v>
      </c>
      <c r="N23" s="178">
        <v>0</v>
      </c>
      <c r="O23" s="182">
        <v>0</v>
      </c>
      <c r="P23" s="183">
        <v>43.085087478777439</v>
      </c>
      <c r="Q23" s="184">
        <v>16.372333241935426</v>
      </c>
      <c r="R23" s="185">
        <v>24.000000262790252</v>
      </c>
      <c r="S23" s="186">
        <v>44.587843875513812</v>
      </c>
    </row>
    <row r="24" spans="1:19" ht="14" customHeight="1" x14ac:dyDescent="0.35">
      <c r="A24" s="15">
        <v>18</v>
      </c>
      <c r="B24" s="177">
        <v>87.721656799316406</v>
      </c>
      <c r="C24" s="178">
        <v>37.771345604539796</v>
      </c>
      <c r="D24" s="179">
        <v>-6.0123500209506631E-2</v>
      </c>
      <c r="E24" s="180">
        <v>80.777984619140625</v>
      </c>
      <c r="F24" s="178">
        <v>34.781526998148735</v>
      </c>
      <c r="G24" s="179">
        <v>8.7777288034018852E-3</v>
      </c>
      <c r="H24" s="180">
        <v>66.6842041015625</v>
      </c>
      <c r="I24" s="178">
        <v>40.044546115082078</v>
      </c>
      <c r="J24" s="179">
        <v>-1.1133116424915102E-3</v>
      </c>
      <c r="K24" s="180">
        <v>81.5604248046875</v>
      </c>
      <c r="L24" s="178">
        <v>48.977868691102294</v>
      </c>
      <c r="M24" s="181">
        <v>-44.698087987030611</v>
      </c>
      <c r="N24" s="178">
        <v>86.228999999999999</v>
      </c>
      <c r="O24" s="182">
        <v>32.767020000000002</v>
      </c>
      <c r="P24" s="183">
        <v>41.478452929920792</v>
      </c>
      <c r="Q24" s="184">
        <v>15.761812113369901</v>
      </c>
      <c r="R24" s="185">
        <v>24.000000317891441</v>
      </c>
      <c r="S24" s="186">
        <v>43.117300227304405</v>
      </c>
    </row>
    <row r="25" spans="1:19" ht="14" customHeight="1" x14ac:dyDescent="0.35">
      <c r="A25" s="15">
        <v>19</v>
      </c>
      <c r="B25" s="177">
        <v>87.420150756835938</v>
      </c>
      <c r="C25" s="178">
        <v>37.64152260132817</v>
      </c>
      <c r="D25" s="179">
        <v>-0.12982300321162654</v>
      </c>
      <c r="E25" s="180">
        <v>80.807731628417969</v>
      </c>
      <c r="F25" s="178">
        <v>34.794335517836018</v>
      </c>
      <c r="G25" s="179">
        <v>1.2808519687283138E-2</v>
      </c>
      <c r="H25" s="180">
        <v>66.7259521484375</v>
      </c>
      <c r="I25" s="178">
        <v>40.069616243920301</v>
      </c>
      <c r="J25" s="179">
        <v>2.5070128838223127E-2</v>
      </c>
      <c r="K25" s="180">
        <v>155.87530517578125</v>
      </c>
      <c r="L25" s="178">
        <v>93.604713896072539</v>
      </c>
      <c r="M25" s="181">
        <v>44.626845204970245</v>
      </c>
      <c r="N25" s="178">
        <v>0</v>
      </c>
      <c r="O25" s="182">
        <v>0</v>
      </c>
      <c r="P25" s="183">
        <v>44.534900850284124</v>
      </c>
      <c r="Q25" s="184">
        <v>16.923262323107966</v>
      </c>
      <c r="R25" s="185">
        <v>24.000000224643284</v>
      </c>
      <c r="S25" s="186">
        <v>46.450000460020384</v>
      </c>
    </row>
    <row r="26" spans="1:19" ht="14" customHeight="1" x14ac:dyDescent="0.35">
      <c r="A26" s="15">
        <v>20</v>
      </c>
      <c r="B26" s="177">
        <v>87.650802612304688</v>
      </c>
      <c r="C26" s="178">
        <v>37.740837083807335</v>
      </c>
      <c r="D26" s="179">
        <v>9.9314482479165633E-2</v>
      </c>
      <c r="E26" s="180">
        <v>80.914199829101563</v>
      </c>
      <c r="F26" s="178">
        <v>34.840178783349273</v>
      </c>
      <c r="G26" s="179">
        <v>4.584326551325546E-2</v>
      </c>
      <c r="H26" s="180">
        <v>66.696075439453125</v>
      </c>
      <c r="I26" s="178">
        <v>40.051674974817509</v>
      </c>
      <c r="J26" s="179">
        <v>-1.7941269102792035E-2</v>
      </c>
      <c r="K26" s="180">
        <v>217.14984130859375</v>
      </c>
      <c r="L26" s="178">
        <v>130.40069910590697</v>
      </c>
      <c r="M26" s="181">
        <v>36.795985209834427</v>
      </c>
      <c r="N26" s="178">
        <v>15.718</v>
      </c>
      <c r="O26" s="182">
        <v>5.9728399999999997</v>
      </c>
      <c r="P26" s="183">
        <v>52.641201688724053</v>
      </c>
      <c r="Q26" s="184">
        <v>20.003656641715139</v>
      </c>
      <c r="R26" s="185">
        <v>24.000000271267361</v>
      </c>
      <c r="S26" s="186">
        <v>54.100248148184299</v>
      </c>
    </row>
    <row r="27" spans="1:19" ht="14" customHeight="1" x14ac:dyDescent="0.35">
      <c r="A27" s="15">
        <v>21</v>
      </c>
      <c r="B27" s="177">
        <v>87.793777465820313</v>
      </c>
      <c r="C27" s="178">
        <v>37.80239944824433</v>
      </c>
      <c r="D27" s="179">
        <v>6.1562364436994699E-2</v>
      </c>
      <c r="E27" s="180">
        <v>81.053871154785156</v>
      </c>
      <c r="F27" s="178">
        <v>34.900318708949499</v>
      </c>
      <c r="G27" s="179">
        <v>6.0139925600225297E-2</v>
      </c>
      <c r="H27" s="180">
        <v>66.68060302734375</v>
      </c>
      <c r="I27" s="178">
        <v>40.042383633208608</v>
      </c>
      <c r="J27" s="179">
        <v>-9.2913416089004386E-3</v>
      </c>
      <c r="K27" s="180">
        <v>196.43502807617188</v>
      </c>
      <c r="L27" s="178">
        <v>117.96124204216743</v>
      </c>
      <c r="M27" s="181">
        <v>-12.439457063739539</v>
      </c>
      <c r="N27" s="178">
        <v>60.06</v>
      </c>
      <c r="O27" s="182">
        <v>22.822800000000001</v>
      </c>
      <c r="P27" s="183">
        <v>47.732953884688783</v>
      </c>
      <c r="Q27" s="184">
        <v>18.138522476181738</v>
      </c>
      <c r="R27" s="185">
        <v>23.358613912794326</v>
      </c>
      <c r="S27" s="186">
        <v>50.168614120872903</v>
      </c>
    </row>
    <row r="28" spans="1:19" ht="14" customHeight="1" x14ac:dyDescent="0.35">
      <c r="A28" s="15">
        <v>22</v>
      </c>
      <c r="B28" s="177">
        <v>150.06375122070313</v>
      </c>
      <c r="C28" s="178">
        <v>64.614714505882759</v>
      </c>
      <c r="D28" s="179">
        <v>26.812315057638429</v>
      </c>
      <c r="E28" s="180">
        <v>80.891143798828125</v>
      </c>
      <c r="F28" s="178">
        <v>34.830251277195131</v>
      </c>
      <c r="G28" s="179">
        <v>-7.0067431754367249E-2</v>
      </c>
      <c r="H28" s="180">
        <v>66.690185546875</v>
      </c>
      <c r="I28" s="178">
        <v>40.048138034126147</v>
      </c>
      <c r="J28" s="179">
        <v>5.75440091753876E-3</v>
      </c>
      <c r="K28" s="180">
        <v>165.55653381347656</v>
      </c>
      <c r="L28" s="178">
        <v>99.418390640903922</v>
      </c>
      <c r="M28" s="181">
        <v>-18.542851401263505</v>
      </c>
      <c r="N28" s="178">
        <v>37.234000000000002</v>
      </c>
      <c r="O28" s="182">
        <v>14.14892</v>
      </c>
      <c r="P28" s="183">
        <v>45.439150625538097</v>
      </c>
      <c r="Q28" s="184">
        <v>17.266877237704477</v>
      </c>
      <c r="R28" s="185">
        <v>24.00000028398302</v>
      </c>
      <c r="S28" s="186">
        <v>49.878939169133695</v>
      </c>
    </row>
    <row r="29" spans="1:19" ht="14" customHeight="1" x14ac:dyDescent="0.35">
      <c r="A29" s="15">
        <v>23</v>
      </c>
      <c r="B29" s="177">
        <v>54.995082855224609</v>
      </c>
      <c r="C29" s="178">
        <v>23.67987971120009</v>
      </c>
      <c r="D29" s="179">
        <v>-40.934834794682672</v>
      </c>
      <c r="E29" s="180">
        <v>90.777214050292969</v>
      </c>
      <c r="F29" s="178">
        <v>39.087012831449634</v>
      </c>
      <c r="G29" s="179">
        <v>4.2567615542545028</v>
      </c>
      <c r="H29" s="180">
        <v>66.56597900390625</v>
      </c>
      <c r="I29" s="178">
        <v>39.973550735608924</v>
      </c>
      <c r="J29" s="179">
        <v>-7.4587298517222678E-2</v>
      </c>
      <c r="K29" s="180">
        <v>165.41917419433594</v>
      </c>
      <c r="L29" s="178">
        <v>99.335904785713254</v>
      </c>
      <c r="M29" s="181">
        <v>-8.2485855190668644E-2</v>
      </c>
      <c r="N29" s="178">
        <v>86.224000000000004</v>
      </c>
      <c r="O29" s="182">
        <v>32.765120000000003</v>
      </c>
      <c r="P29" s="183">
        <v>49.388853605863943</v>
      </c>
      <c r="Q29" s="184">
        <v>18.767764370228299</v>
      </c>
      <c r="R29" s="185">
        <v>24.000000220404729</v>
      </c>
      <c r="S29" s="186">
        <v>49.361032605160226</v>
      </c>
    </row>
    <row r="30" spans="1:19" ht="14" customHeight="1" x14ac:dyDescent="0.35">
      <c r="A30" s="15">
        <v>24</v>
      </c>
      <c r="B30" s="177">
        <v>157.155517578125</v>
      </c>
      <c r="C30" s="178">
        <v>67.668299764146113</v>
      </c>
      <c r="D30" s="179">
        <v>43.988420052946026</v>
      </c>
      <c r="E30" s="180">
        <v>111.91661834716797</v>
      </c>
      <c r="F30" s="178">
        <v>48.189254794321243</v>
      </c>
      <c r="G30" s="179">
        <v>9.1022419628716094</v>
      </c>
      <c r="H30" s="180">
        <v>66.562843322753906</v>
      </c>
      <c r="I30" s="178">
        <v>39.971667727028425</v>
      </c>
      <c r="J30" s="179">
        <v>-1.8830085804992791E-3</v>
      </c>
      <c r="K30" s="180">
        <v>98.801956176757813</v>
      </c>
      <c r="L30" s="178">
        <v>59.331584498701268</v>
      </c>
      <c r="M30" s="181">
        <v>-40.004320287011986</v>
      </c>
      <c r="N30" s="178">
        <v>40.042999999999999</v>
      </c>
      <c r="O30" s="182">
        <v>15.216340000000001</v>
      </c>
      <c r="P30" s="183">
        <v>53.12745872022515</v>
      </c>
      <c r="Q30" s="184">
        <v>20.188434313685558</v>
      </c>
      <c r="R30" s="185">
        <v>24.000000377231174</v>
      </c>
      <c r="S30" s="186">
        <v>54.763229059300592</v>
      </c>
    </row>
    <row r="31" spans="1:19" ht="14" customHeight="1" x14ac:dyDescent="0.35">
      <c r="A31" s="15">
        <v>25</v>
      </c>
      <c r="B31" s="177">
        <v>287.82858276367188</v>
      </c>
      <c r="C31" s="178">
        <v>123.9337384986128</v>
      </c>
      <c r="D31" s="179">
        <v>56.265438734466684</v>
      </c>
      <c r="E31" s="180">
        <v>113.68796539306641</v>
      </c>
      <c r="F31" s="178">
        <v>48.951964527554779</v>
      </c>
      <c r="G31" s="179">
        <v>0.7627097332335353</v>
      </c>
      <c r="H31" s="180">
        <v>66.620651245117188</v>
      </c>
      <c r="I31" s="178">
        <v>40.00638197523881</v>
      </c>
      <c r="J31" s="179">
        <v>3.4714248210384824E-2</v>
      </c>
      <c r="K31" s="180">
        <v>98.743988037109375</v>
      </c>
      <c r="L31" s="178">
        <v>59.296774038373634</v>
      </c>
      <c r="M31" s="181">
        <v>-3.4810460327634019E-2</v>
      </c>
      <c r="N31" s="178">
        <v>0</v>
      </c>
      <c r="O31" s="182">
        <v>0</v>
      </c>
      <c r="P31" s="183">
        <v>57.028052255582971</v>
      </c>
      <c r="Q31" s="184">
        <v>21.670659857121528</v>
      </c>
      <c r="R31" s="185">
        <v>24.000000254313154</v>
      </c>
      <c r="S31" s="186">
        <v>57.431606230599165</v>
      </c>
    </row>
    <row r="32" spans="1:19" ht="14" customHeight="1" x14ac:dyDescent="0.35">
      <c r="A32" s="15">
        <v>26</v>
      </c>
      <c r="B32" s="177">
        <v>285.9693603515625</v>
      </c>
      <c r="C32" s="178">
        <v>123.1331912353053</v>
      </c>
      <c r="D32" s="179">
        <v>-0.80054726330749304</v>
      </c>
      <c r="E32" s="180">
        <v>191.47886657714844</v>
      </c>
      <c r="F32" s="178">
        <v>82.447307875144915</v>
      </c>
      <c r="G32" s="179">
        <v>33.495343347590136</v>
      </c>
      <c r="H32" s="180">
        <v>66.513748168945313</v>
      </c>
      <c r="I32" s="178">
        <v>39.942185585384792</v>
      </c>
      <c r="J32" s="179">
        <v>-6.4196389854018321E-2</v>
      </c>
      <c r="K32" s="180">
        <v>98.857582092285156</v>
      </c>
      <c r="L32" s="178">
        <v>59.364988429505267</v>
      </c>
      <c r="M32" s="181">
        <v>6.8214391131633079E-2</v>
      </c>
      <c r="N32" s="178">
        <v>20.021000000000001</v>
      </c>
      <c r="O32" s="182">
        <v>7.6079800000000004</v>
      </c>
      <c r="P32" s="183">
        <v>52.719814085560259</v>
      </c>
      <c r="Q32" s="184">
        <v>20.0335293525129</v>
      </c>
      <c r="R32" s="185">
        <v>24.00000028398302</v>
      </c>
      <c r="S32" s="186">
        <v>56.154005377734244</v>
      </c>
    </row>
    <row r="33" spans="1:19" ht="14" customHeight="1" x14ac:dyDescent="0.35">
      <c r="A33" s="15">
        <v>27</v>
      </c>
      <c r="B33" s="177">
        <v>196.20526123046875</v>
      </c>
      <c r="C33" s="178">
        <v>84.482407215806262</v>
      </c>
      <c r="D33" s="179">
        <v>-38.650784019499042</v>
      </c>
      <c r="E33" s="180">
        <v>295.38568115234375</v>
      </c>
      <c r="F33" s="178">
        <v>127.187687243095</v>
      </c>
      <c r="G33" s="179">
        <v>44.740379367950084</v>
      </c>
      <c r="H33" s="180">
        <v>75.939002990722656</v>
      </c>
      <c r="I33" s="178">
        <v>45.602147437553299</v>
      </c>
      <c r="J33" s="179">
        <v>5.6599618521685073</v>
      </c>
      <c r="K33" s="180">
        <v>99.234954833984375</v>
      </c>
      <c r="L33" s="178">
        <v>59.591604617868761</v>
      </c>
      <c r="M33" s="181">
        <v>0.22661618836349362</v>
      </c>
      <c r="N33" s="178">
        <v>37.039000000000001</v>
      </c>
      <c r="O33" s="182">
        <v>14.074820000000001</v>
      </c>
      <c r="P33" s="183">
        <v>49.015173388983044</v>
      </c>
      <c r="Q33" s="184">
        <v>18.625765887813557</v>
      </c>
      <c r="R33" s="185">
        <v>24.000000139872231</v>
      </c>
      <c r="S33" s="186">
        <v>51.787609007669609</v>
      </c>
    </row>
    <row r="34" spans="1:19" ht="14" customHeight="1" x14ac:dyDescent="0.35">
      <c r="A34" s="15">
        <v>28</v>
      </c>
      <c r="B34" s="177">
        <v>87.301162719726563</v>
      </c>
      <c r="C34" s="178">
        <v>37.590288522579002</v>
      </c>
      <c r="D34" s="179">
        <v>-46.89211869322726</v>
      </c>
      <c r="E34" s="180">
        <v>93.496536254882813</v>
      </c>
      <c r="F34" s="178">
        <v>40.257903379431887</v>
      </c>
      <c r="G34" s="179">
        <v>-86.929783863663118</v>
      </c>
      <c r="H34" s="180">
        <v>153.42892456054688</v>
      </c>
      <c r="I34" s="178">
        <v>92.135637333164283</v>
      </c>
      <c r="J34" s="179">
        <v>46.533489895610984</v>
      </c>
      <c r="K34" s="180">
        <v>98.952537536621094</v>
      </c>
      <c r="L34" s="178">
        <v>59.422010144329917</v>
      </c>
      <c r="M34" s="181">
        <v>-0.16959447353884372</v>
      </c>
      <c r="N34" s="178">
        <v>136.72300000000001</v>
      </c>
      <c r="O34" s="182">
        <v>51.954740000000008</v>
      </c>
      <c r="P34" s="183">
        <v>49.264992865181767</v>
      </c>
      <c r="Q34" s="184">
        <v>18.72069728876907</v>
      </c>
      <c r="R34" s="185">
        <v>23.995835842556424</v>
      </c>
      <c r="S34" s="186">
        <v>50.752731814506497</v>
      </c>
    </row>
    <row r="35" spans="1:19" ht="14" customHeight="1" x14ac:dyDescent="0.35">
      <c r="A35" s="15">
        <v>29</v>
      </c>
      <c r="B35" s="177">
        <v>87.159294128417969</v>
      </c>
      <c r="C35" s="178">
        <v>37.529202494473026</v>
      </c>
      <c r="D35" s="179">
        <v>-6.1086028105975743E-2</v>
      </c>
      <c r="E35" s="180">
        <v>93.453117370605469</v>
      </c>
      <c r="F35" s="178">
        <v>40.239207999708782</v>
      </c>
      <c r="G35" s="179">
        <v>-1.8695379723105532E-2</v>
      </c>
      <c r="H35" s="180">
        <v>166.29142761230469</v>
      </c>
      <c r="I35" s="178">
        <v>99.859701878150446</v>
      </c>
      <c r="J35" s="179">
        <v>7.7240645449861631</v>
      </c>
      <c r="K35" s="180">
        <v>98.710235595703125</v>
      </c>
      <c r="L35" s="178">
        <v>59.276505352339221</v>
      </c>
      <c r="M35" s="181">
        <v>-0.14550479199069599</v>
      </c>
      <c r="N35" s="178">
        <v>40.036000000000001</v>
      </c>
      <c r="O35" s="182">
        <v>15.21368</v>
      </c>
      <c r="P35" s="183">
        <v>47.534778345166387</v>
      </c>
      <c r="Q35" s="184">
        <v>18.063215771163229</v>
      </c>
      <c r="R35" s="185">
        <v>24.00000026702881</v>
      </c>
      <c r="S35" s="186">
        <v>49.825496717322466</v>
      </c>
    </row>
    <row r="36" spans="1:19" ht="14" customHeight="1" x14ac:dyDescent="0.35">
      <c r="A36" s="15">
        <v>30</v>
      </c>
      <c r="B36" s="177">
        <v>86.933235168457031</v>
      </c>
      <c r="C36" s="178">
        <v>37.431865629037141</v>
      </c>
      <c r="D36" s="179">
        <v>-9.7336865435885045E-2</v>
      </c>
      <c r="E36" s="180">
        <v>93.768692016601563</v>
      </c>
      <c r="F36" s="178">
        <v>40.375088687019755</v>
      </c>
      <c r="G36" s="179">
        <v>0.1358806873109728</v>
      </c>
      <c r="H36" s="180">
        <v>217.30618286132813</v>
      </c>
      <c r="I36" s="178">
        <v>130.49458380622727</v>
      </c>
      <c r="J36" s="179">
        <v>30.634881928076823</v>
      </c>
      <c r="K36" s="180">
        <v>62.357681274414063</v>
      </c>
      <c r="L36" s="178">
        <v>37.446424937751551</v>
      </c>
      <c r="M36" s="181">
        <v>-21.83008041458767</v>
      </c>
      <c r="N36" s="178">
        <v>40.036999999999999</v>
      </c>
      <c r="O36" s="182">
        <v>15.21406</v>
      </c>
      <c r="P36" s="183">
        <v>48.88034533536424</v>
      </c>
      <c r="Q36" s="184">
        <v>18.57453122743841</v>
      </c>
      <c r="R36" s="185">
        <v>24.000000305175782</v>
      </c>
      <c r="S36" s="186">
        <v>50.996690348968521</v>
      </c>
    </row>
    <row r="37" spans="1:19" ht="14" customHeight="1" thickBot="1" x14ac:dyDescent="0.4">
      <c r="A37" s="15"/>
      <c r="B37" s="96"/>
      <c r="C37" s="97"/>
      <c r="D37" s="98"/>
      <c r="E37" s="99"/>
      <c r="F37" s="97"/>
      <c r="G37" s="98"/>
      <c r="H37" s="99"/>
      <c r="I37" s="97"/>
      <c r="J37" s="98"/>
      <c r="K37" s="99"/>
      <c r="L37" s="97"/>
      <c r="M37" s="100"/>
      <c r="N37" s="20"/>
      <c r="O37" s="50"/>
      <c r="P37" s="49"/>
      <c r="Q37" s="51"/>
      <c r="R37" s="143"/>
      <c r="S37" s="131"/>
    </row>
    <row r="38" spans="1:19" ht="14.4" customHeight="1" x14ac:dyDescent="0.35">
      <c r="A38" s="11" t="s">
        <v>8</v>
      </c>
      <c r="B38" s="75"/>
      <c r="C38" s="75">
        <f>IFERROR(C6+D38,"")</f>
        <v>37.431865629037141</v>
      </c>
      <c r="D38" s="76">
        <f>IF($B$7="","",SUM(D7:D37))</f>
        <v>1.9281668404655292</v>
      </c>
      <c r="E38" s="75"/>
      <c r="F38" s="75">
        <f>IFERROR(F6+G38,"")</f>
        <v>40.375088687019748</v>
      </c>
      <c r="G38" s="76">
        <f>IF($B$7="","",SUM(G7:G37))</f>
        <v>6.5460390339107519</v>
      </c>
      <c r="H38" s="75"/>
      <c r="I38" s="75">
        <f>IFERROR(I6+J38,"")</f>
        <v>130.49458380622727</v>
      </c>
      <c r="J38" s="76">
        <f>IF($B$7="","",SUM(J7:J37))</f>
        <v>30.483065790531711</v>
      </c>
      <c r="K38" s="75"/>
      <c r="L38" s="75">
        <f>IFERROR(L6+M38,"")</f>
        <v>37.446424937751551</v>
      </c>
      <c r="M38" s="76">
        <f>IF($B$7="","",SUM(M7:M37))</f>
        <v>-12.754357696044302</v>
      </c>
      <c r="N38" s="76">
        <f>SUM(N7:N37)</f>
        <v>1424.7879999999996</v>
      </c>
      <c r="O38" s="76">
        <f>IF($B$7="","",SUM(O7:O37))</f>
        <v>541.41944000000001</v>
      </c>
      <c r="P38" s="77">
        <f>IF(B7="","",SUM(P7:P37))</f>
        <v>1450.9909139688634</v>
      </c>
      <c r="Q38" s="77">
        <f>IF(B8="","",SUM(Q7:Q37))</f>
        <v>551.37654730816814</v>
      </c>
      <c r="R38" s="48">
        <f>SUM(R7:R37)</f>
        <v>719.3405688646103</v>
      </c>
      <c r="S38" s="88"/>
    </row>
    <row r="39" spans="1:19" ht="14.4" customHeight="1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08" t="s">
        <v>47</v>
      </c>
      <c r="O39" s="78">
        <f>IFERROR(O38*1000/0.505,"")</f>
        <v>1072117.7029702971</v>
      </c>
      <c r="P39" s="68" t="s">
        <v>47</v>
      </c>
      <c r="Q39" s="174">
        <f>IFERROR(Q38*1000/0.505,"")</f>
        <v>1091834.7471448875</v>
      </c>
      <c r="R39" s="10"/>
      <c r="S39" s="89"/>
    </row>
    <row r="40" spans="1:19" ht="14.4" customHeight="1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245.74796306003572</v>
      </c>
      <c r="I40" s="17" t="s">
        <v>3</v>
      </c>
      <c r="J40" s="17"/>
      <c r="K40" s="17"/>
      <c r="L40" s="10"/>
      <c r="M40" s="6"/>
      <c r="N40" s="172" t="s">
        <v>60</v>
      </c>
      <c r="O40" s="173">
        <f>IFERROR(O38*1000,"")</f>
        <v>541419.44000000006</v>
      </c>
      <c r="P40" s="10"/>
      <c r="Q40" s="67"/>
      <c r="R40" s="43"/>
      <c r="S40" s="89"/>
    </row>
    <row r="41" spans="1:19" ht="15" customHeight="1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93.384225962813574</v>
      </c>
      <c r="I41" s="7" t="s">
        <v>19</v>
      </c>
      <c r="J41" s="7">
        <f>IFERROR(H41*1000/0.505,"")</f>
        <v>184919.25933230412</v>
      </c>
      <c r="K41" s="7" t="s">
        <v>47</v>
      </c>
      <c r="L41" s="2"/>
      <c r="M41" s="7"/>
      <c r="N41" s="16"/>
      <c r="O41" s="7"/>
      <c r="P41" s="7"/>
      <c r="Q41" s="150" t="s">
        <v>57</v>
      </c>
      <c r="R41" s="42">
        <f>IF(H40="",0,COUNT(R7:R37)*24-R38)</f>
        <v>0.65943113538969556</v>
      </c>
      <c r="S41" s="148" t="s">
        <v>58</v>
      </c>
    </row>
  </sheetData>
  <mergeCells count="10">
    <mergeCell ref="A1:Q1"/>
    <mergeCell ref="A2:Q2"/>
    <mergeCell ref="B40:G40"/>
    <mergeCell ref="B4:D4"/>
    <mergeCell ref="E4:G4"/>
    <mergeCell ref="B3:G3"/>
    <mergeCell ref="H4:J4"/>
    <mergeCell ref="K4:M4"/>
    <mergeCell ref="P4:Q4"/>
    <mergeCell ref="N4:O4"/>
  </mergeCells>
  <phoneticPr fontId="0" type="noConversion"/>
  <conditionalFormatting sqref="R37">
    <cfRule type="cellIs" dxfId="47" priority="8" operator="equal">
      <formula>""</formula>
    </cfRule>
  </conditionalFormatting>
  <conditionalFormatting sqref="R37">
    <cfRule type="cellIs" dxfId="46" priority="9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6">
    <cfRule type="cellIs" dxfId="45" priority="4" operator="lessThan">
      <formula>23.98</formula>
    </cfRule>
  </conditionalFormatting>
  <conditionalFormatting sqref="R7:R36">
    <cfRule type="cellIs" dxfId="44" priority="3" operator="equal">
      <formula>""</formula>
    </cfRule>
  </conditionalFormatting>
  <conditionalFormatting sqref="R7:R36">
    <cfRule type="cellIs" dxfId="43" priority="2" operator="equal">
      <formula>""</formula>
    </cfRule>
  </conditionalFormatting>
  <conditionalFormatting sqref="R7:R36">
    <cfRule type="cellIs" dxfId="42" priority="1" operator="lessThan">
      <formula>23.98</formula>
    </cfRule>
  </conditionalFormatting>
  <pageMargins left="0.70866141732283472" right="0.70866141732283472" top="0.74803149606299213" bottom="0.74803149606299213" header="0.31496062992125984" footer="0.31496062992125984"/>
  <pageSetup paperSize="5" scale="8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S41"/>
  <sheetViews>
    <sheetView showGridLines="0" zoomScale="70" zoomScaleNormal="70" workbookViewId="0">
      <pane xSplit="1" ySplit="5" topLeftCell="B6" activePane="bottomRight" state="frozen"/>
      <selection activeCell="M17" sqref="M17"/>
      <selection pane="topRight" activeCell="M17" sqref="M17"/>
      <selection pane="bottomLeft" activeCell="M17" sqref="M17"/>
      <selection pane="bottomRight" activeCell="B8" sqref="B8:S37"/>
    </sheetView>
  </sheetViews>
  <sheetFormatPr defaultColWidth="8.90625" defaultRowHeight="14.5" x14ac:dyDescent="0.35"/>
  <cols>
    <col min="1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19" width="10.6328125" style="82" customWidth="1"/>
    <col min="20" max="21" width="8.90625" style="1"/>
    <col min="22" max="22" width="6" style="1" customWidth="1"/>
    <col min="23" max="16384" width="8.90625" style="1"/>
  </cols>
  <sheetData>
    <row r="1" spans="1:19" s="10" customFormat="1" x14ac:dyDescent="0.35">
      <c r="A1" s="191" t="s">
        <v>39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</row>
    <row r="2" spans="1:19" s="10" customFormat="1" x14ac:dyDescent="0.35">
      <c r="A2" s="202">
        <f>SUMMARY!B2</f>
        <v>2021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134"/>
      <c r="S2" s="83"/>
    </row>
    <row r="3" spans="1:19" s="10" customFormat="1" ht="15" thickBot="1" x14ac:dyDescent="0.4">
      <c r="A3" s="168">
        <f>[1]SUMMARY!$K$8</f>
        <v>1.3457777388480543</v>
      </c>
      <c r="B3" s="203" t="s">
        <v>13</v>
      </c>
      <c r="C3" s="203"/>
      <c r="D3" s="203"/>
      <c r="E3" s="203"/>
      <c r="F3" s="203"/>
      <c r="G3" s="203"/>
      <c r="H3" s="87">
        <f>JAN!$H$3</f>
        <v>0.38</v>
      </c>
      <c r="I3" s="8" t="s">
        <v>12</v>
      </c>
      <c r="J3" s="8"/>
      <c r="K3" s="8"/>
      <c r="L3" s="8"/>
      <c r="M3" s="85"/>
      <c r="N3" s="86"/>
      <c r="S3" s="83"/>
    </row>
    <row r="4" spans="1:19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30" t="s">
        <v>50</v>
      </c>
    </row>
    <row r="5" spans="1:19" x14ac:dyDescent="0.35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36" t="s">
        <v>15</v>
      </c>
      <c r="S5" s="91" t="s">
        <v>3</v>
      </c>
    </row>
    <row r="6" spans="1:19" ht="14" customHeight="1" x14ac:dyDescent="0.35">
      <c r="A6" s="3" t="s">
        <v>1</v>
      </c>
      <c r="B6" s="94"/>
      <c r="C6" s="70">
        <v>37.431865629037141</v>
      </c>
      <c r="D6" s="71"/>
      <c r="E6" s="95"/>
      <c r="F6" s="70">
        <v>40.375088687019755</v>
      </c>
      <c r="G6" s="71"/>
      <c r="H6" s="95"/>
      <c r="I6" s="70">
        <v>130.49458380622727</v>
      </c>
      <c r="J6" s="71"/>
      <c r="K6" s="95"/>
      <c r="L6" s="70">
        <v>37.446424937751551</v>
      </c>
      <c r="M6" s="73"/>
      <c r="N6" s="105"/>
      <c r="O6" s="52"/>
      <c r="P6" s="53"/>
      <c r="Q6" s="54"/>
      <c r="R6" s="139"/>
      <c r="S6" s="92"/>
    </row>
    <row r="7" spans="1:19" ht="14" customHeight="1" x14ac:dyDescent="0.35">
      <c r="A7" s="15">
        <v>1</v>
      </c>
      <c r="B7" s="107">
        <f>LOOKUP(A7+500,'[2]DCS Data'!$A:$A,'[2]DCS Data'!$E:$E)</f>
        <v>86.948448181152344</v>
      </c>
      <c r="C7" s="70">
        <f t="shared" ref="C7" si="0">IF(B7="","",$A$3*PI()/4*(157.5*2.54)^2*B7*2.54/1000000)</f>
        <v>37.358318719946332</v>
      </c>
      <c r="D7" s="71">
        <f>IF(C7="","",C7-C6)</f>
        <v>-7.3546909090808299E-2</v>
      </c>
      <c r="E7" s="106">
        <f>LOOKUP(A7+500,'[2]DCS Data'!$A:$A,'[2]DCS Data'!$F:$F)</f>
        <v>93.704299926757813</v>
      </c>
      <c r="F7" s="70">
        <f t="shared" ref="F7" si="1">IF(E7="","",$A$3*PI()/4*(157.5*2.54)^2*E7*2.54/1000000)</f>
        <v>40.261041747402786</v>
      </c>
      <c r="G7" s="71">
        <f>IF(F7="","",F7-F6)</f>
        <v>-0.11404693961696921</v>
      </c>
      <c r="H7" s="106">
        <f>LOOKUP(A7+500,'[2]DCS Data'!$A:$A,'[2]DCS Data'!$G:$G)</f>
        <v>133.25250244140625</v>
      </c>
      <c r="I7" s="70">
        <f t="shared" ref="I7" si="2">IF(H7="","",$A$3*PI()/4*(186*2.54)^2*H7*2.54/1000000)</f>
        <v>79.848292503557659</v>
      </c>
      <c r="J7" s="71">
        <f>IF(I7="","",I7-I6)</f>
        <v>-50.64629130266961</v>
      </c>
      <c r="K7" s="106">
        <f>LOOKUP(A7+500,'[2]DCS Data'!$A:$A,'[2]DCS Data'!$H:$H)</f>
        <v>66.854728698730469</v>
      </c>
      <c r="L7" s="70">
        <f t="shared" ref="L7" si="3">IF(K7="","",$A$3*PI()/4*(186*2.54)^2*K7*2.54/1000000)</f>
        <v>40.061055774390042</v>
      </c>
      <c r="M7" s="73">
        <f>IF(L7="","",L7-L6)</f>
        <v>2.6146308366384901</v>
      </c>
      <c r="N7" s="111">
        <f>IF(K7="", "", LOOKUP(A7+500,[3]SBS!$A:$A,[3]SBS!$C:$C))</f>
        <v>98.241</v>
      </c>
      <c r="O7" s="12">
        <f>IF(N7="","",N7*$H$3)</f>
        <v>37.331580000000002</v>
      </c>
      <c r="P7" s="13">
        <f>IFERROR(D7+G7+J7+M7+N7,0)</f>
        <v>50.021745685261102</v>
      </c>
      <c r="Q7" s="14">
        <f>IF(P7="","",P7*$H$3)</f>
        <v>19.008263360399219</v>
      </c>
      <c r="R7" s="155">
        <f>LOOKUP(A7+500,'[2]DCS Data'!$A:$A,'[2]DCS Data'!$K:$K)</f>
        <v>24.000000233120385</v>
      </c>
      <c r="S7" s="156">
        <f>IFERROR(LOOKUP(A7+500,'[2]DCS Data'!$A:$A,'[2]DCS Data'!$J:$J)*3785.4*0.993*$A$3/1000000,0)</f>
        <v>53.05407973236359</v>
      </c>
    </row>
    <row r="8" spans="1:19" ht="14" customHeight="1" x14ac:dyDescent="0.35">
      <c r="A8" s="15">
        <v>2</v>
      </c>
      <c r="B8" s="177">
        <v>87.413970947265625</v>
      </c>
      <c r="C8" s="178">
        <v>37.558335491167107</v>
      </c>
      <c r="D8" s="179">
        <v>0.2000167712207741</v>
      </c>
      <c r="E8" s="180">
        <v>93.697601318359375</v>
      </c>
      <c r="F8" s="178">
        <v>40.258163619583783</v>
      </c>
      <c r="G8" s="179">
        <v>-2.8781278190024295E-3</v>
      </c>
      <c r="H8" s="180">
        <v>218.03477478027344</v>
      </c>
      <c r="I8" s="178">
        <v>130.6519889204931</v>
      </c>
      <c r="J8" s="179">
        <v>50.803696416935438</v>
      </c>
      <c r="K8" s="180">
        <v>66.624984741210938</v>
      </c>
      <c r="L8" s="178">
        <v>39.923387345018433</v>
      </c>
      <c r="M8" s="181">
        <v>-0.13766842937160817</v>
      </c>
      <c r="N8" s="178">
        <v>0</v>
      </c>
      <c r="O8" s="182">
        <v>0</v>
      </c>
      <c r="P8" s="183">
        <v>50.863166630965601</v>
      </c>
      <c r="Q8" s="184">
        <v>19.328003319766928</v>
      </c>
      <c r="R8" s="185">
        <v>24.000000254313154</v>
      </c>
      <c r="S8" s="186">
        <v>51.56810092924259</v>
      </c>
    </row>
    <row r="9" spans="1:19" ht="14" customHeight="1" x14ac:dyDescent="0.35">
      <c r="A9" s="15">
        <v>3</v>
      </c>
      <c r="B9" s="177">
        <v>87.431236267089844</v>
      </c>
      <c r="C9" s="178">
        <v>37.565753718108333</v>
      </c>
      <c r="D9" s="179">
        <v>7.4182269412261803E-3</v>
      </c>
      <c r="E9" s="180">
        <v>93.742820739746094</v>
      </c>
      <c r="F9" s="178">
        <v>40.277592621386979</v>
      </c>
      <c r="G9" s="179">
        <v>1.94290018031964E-2</v>
      </c>
      <c r="H9" s="180">
        <v>297.04251098632813</v>
      </c>
      <c r="I9" s="178">
        <v>177.99543624823843</v>
      </c>
      <c r="J9" s="179">
        <v>47.343447327745338</v>
      </c>
      <c r="K9" s="180">
        <v>66.801094055175781</v>
      </c>
      <c r="L9" s="178">
        <v>40.028916530260183</v>
      </c>
      <c r="M9" s="181">
        <v>0.1055291852417497</v>
      </c>
      <c r="N9" s="178">
        <v>0</v>
      </c>
      <c r="O9" s="182">
        <v>0</v>
      </c>
      <c r="P9" s="183">
        <v>47.47582374173151</v>
      </c>
      <c r="Q9" s="184">
        <v>18.040813021857975</v>
      </c>
      <c r="R9" s="185">
        <v>24.000000220404729</v>
      </c>
      <c r="S9" s="186">
        <v>48.745183372952049</v>
      </c>
    </row>
    <row r="10" spans="1:19" ht="14" customHeight="1" x14ac:dyDescent="0.35">
      <c r="A10" s="15">
        <v>4</v>
      </c>
      <c r="B10" s="177">
        <v>99.632369995117188</v>
      </c>
      <c r="C10" s="178">
        <v>42.808099637918993</v>
      </c>
      <c r="D10" s="179">
        <v>5.2423459198106599</v>
      </c>
      <c r="E10" s="180">
        <v>93.613655090332031</v>
      </c>
      <c r="F10" s="178">
        <v>40.222095236448894</v>
      </c>
      <c r="G10" s="179">
        <v>-5.5497384938085759E-2</v>
      </c>
      <c r="H10" s="180">
        <v>105.02841186523438</v>
      </c>
      <c r="I10" s="178">
        <v>62.935698753477432</v>
      </c>
      <c r="J10" s="179">
        <v>-115.05973749476101</v>
      </c>
      <c r="K10" s="180">
        <v>66.857589721679688</v>
      </c>
      <c r="L10" s="178">
        <v>40.062770172192124</v>
      </c>
      <c r="M10" s="181">
        <v>3.385364193194107E-2</v>
      </c>
      <c r="N10" s="178">
        <v>155.30500000000001</v>
      </c>
      <c r="O10" s="182">
        <v>59.015900000000002</v>
      </c>
      <c r="P10" s="183">
        <v>45.46596468204352</v>
      </c>
      <c r="Q10" s="184">
        <v>17.277066579176537</v>
      </c>
      <c r="R10" s="185">
        <v>24.000000207689073</v>
      </c>
      <c r="S10" s="186">
        <v>49.163116580064738</v>
      </c>
    </row>
    <row r="11" spans="1:19" ht="14" customHeight="1" x14ac:dyDescent="0.35">
      <c r="A11" s="15">
        <v>5</v>
      </c>
      <c r="B11" s="177">
        <v>210.8934326171875</v>
      </c>
      <c r="C11" s="178">
        <v>90.612589833020749</v>
      </c>
      <c r="D11" s="179">
        <v>47.804490195101756</v>
      </c>
      <c r="E11" s="180">
        <v>93.610908508300781</v>
      </c>
      <c r="F11" s="178">
        <v>40.220915138482091</v>
      </c>
      <c r="G11" s="179">
        <v>-1.180097966802407E-3</v>
      </c>
      <c r="H11" s="180">
        <v>104.98951721191406</v>
      </c>
      <c r="I11" s="178">
        <v>62.912392086823949</v>
      </c>
      <c r="J11" s="179">
        <v>-2.3306666653482466E-2</v>
      </c>
      <c r="K11" s="180">
        <v>66.828880310058594</v>
      </c>
      <c r="L11" s="178">
        <v>40.045566761714085</v>
      </c>
      <c r="M11" s="181">
        <v>-1.7203410478039416E-2</v>
      </c>
      <c r="N11" s="178">
        <v>0</v>
      </c>
      <c r="O11" s="182">
        <v>0</v>
      </c>
      <c r="P11" s="183">
        <v>47.762800020003432</v>
      </c>
      <c r="Q11" s="184">
        <v>18.149864007601305</v>
      </c>
      <c r="R11" s="185">
        <v>23.992776641845701</v>
      </c>
      <c r="S11" s="186">
        <v>49.740319338552943</v>
      </c>
    </row>
    <row r="12" spans="1:19" ht="14" customHeight="1" x14ac:dyDescent="0.35">
      <c r="A12" s="15">
        <v>6</v>
      </c>
      <c r="B12" s="177">
        <v>162.04066467285156</v>
      </c>
      <c r="C12" s="178">
        <v>69.622482322261362</v>
      </c>
      <c r="D12" s="179">
        <v>-20.990107510759387</v>
      </c>
      <c r="E12" s="180">
        <v>93.748550415039063</v>
      </c>
      <c r="F12" s="178">
        <v>40.280054436867701</v>
      </c>
      <c r="G12" s="179">
        <v>5.9139298385609607E-2</v>
      </c>
      <c r="H12" s="180">
        <v>121.84250640869141</v>
      </c>
      <c r="I12" s="178">
        <v>73.011132345268976</v>
      </c>
      <c r="J12" s="179">
        <v>10.098740258445027</v>
      </c>
      <c r="K12" s="180">
        <v>76.524650573730469</v>
      </c>
      <c r="L12" s="178">
        <v>45.85551918944725</v>
      </c>
      <c r="M12" s="181">
        <v>5.8099524277331653</v>
      </c>
      <c r="N12" s="178">
        <v>50.070999999999998</v>
      </c>
      <c r="O12" s="182">
        <v>19.026979999999998</v>
      </c>
      <c r="P12" s="183">
        <v>45.048724473804413</v>
      </c>
      <c r="Q12" s="184">
        <v>17.118515300045676</v>
      </c>
      <c r="R12" s="185">
        <v>24.000000182257761</v>
      </c>
      <c r="S12" s="186">
        <v>47.89931767646253</v>
      </c>
    </row>
    <row r="13" spans="1:19" ht="14" customHeight="1" x14ac:dyDescent="0.35">
      <c r="A13" s="15">
        <v>7</v>
      </c>
      <c r="B13" s="177">
        <v>162.08645629882813</v>
      </c>
      <c r="C13" s="178">
        <v>69.642157177807647</v>
      </c>
      <c r="D13" s="179">
        <v>1.9674855546284675E-2</v>
      </c>
      <c r="E13" s="180">
        <v>93.914985656738281</v>
      </c>
      <c r="F13" s="178">
        <v>40.351565095605118</v>
      </c>
      <c r="G13" s="179">
        <v>7.1510658737416577E-2</v>
      </c>
      <c r="H13" s="180">
        <v>97.202896118164063</v>
      </c>
      <c r="I13" s="178">
        <v>58.24645045483458</v>
      </c>
      <c r="J13" s="179">
        <v>-14.764681890434396</v>
      </c>
      <c r="K13" s="180">
        <v>76.627349853515625</v>
      </c>
      <c r="L13" s="178">
        <v>45.917059212951095</v>
      </c>
      <c r="M13" s="181">
        <v>6.1540023503845021E-2</v>
      </c>
      <c r="N13" s="178">
        <v>59.552999999999997</v>
      </c>
      <c r="O13" s="182">
        <v>22.630140000000001</v>
      </c>
      <c r="P13" s="183">
        <v>44.941043647353148</v>
      </c>
      <c r="Q13" s="184">
        <v>17.077596585994197</v>
      </c>
      <c r="R13" s="185">
        <v>24.000000275505911</v>
      </c>
      <c r="S13" s="186">
        <v>47.471612658287782</v>
      </c>
    </row>
    <row r="14" spans="1:19" ht="14" customHeight="1" x14ac:dyDescent="0.35">
      <c r="A14" s="15">
        <v>8</v>
      </c>
      <c r="B14" s="177">
        <v>161.86540222167969</v>
      </c>
      <c r="C14" s="178">
        <v>69.54717895978068</v>
      </c>
      <c r="D14" s="179">
        <v>-9.4978218026966488E-2</v>
      </c>
      <c r="E14" s="180">
        <v>93.730255126953125</v>
      </c>
      <c r="F14" s="178">
        <v>40.272193673188923</v>
      </c>
      <c r="G14" s="179">
        <v>-7.9371422416194548E-2</v>
      </c>
      <c r="H14" s="180">
        <v>174.28213500976563</v>
      </c>
      <c r="I14" s="178">
        <v>104.43429308596653</v>
      </c>
      <c r="J14" s="179">
        <v>46.18784263113195</v>
      </c>
      <c r="K14" s="180">
        <v>76.639389038085938</v>
      </c>
      <c r="L14" s="178">
        <v>45.924273398902287</v>
      </c>
      <c r="M14" s="181">
        <v>7.2141859511916095E-3</v>
      </c>
      <c r="N14" s="178">
        <v>0</v>
      </c>
      <c r="O14" s="182">
        <v>0</v>
      </c>
      <c r="P14" s="183">
        <v>46.020707176639981</v>
      </c>
      <c r="Q14" s="184">
        <v>17.487868727123193</v>
      </c>
      <c r="R14" s="185">
        <v>24.000000207689073</v>
      </c>
      <c r="S14" s="186">
        <v>46.789685335740472</v>
      </c>
    </row>
    <row r="15" spans="1:19" ht="14" customHeight="1" x14ac:dyDescent="0.35">
      <c r="A15" s="15">
        <v>9</v>
      </c>
      <c r="B15" s="177">
        <v>161.79588317871094</v>
      </c>
      <c r="C15" s="178">
        <v>69.517309369021319</v>
      </c>
      <c r="D15" s="179">
        <v>-2.9869590759361131E-2</v>
      </c>
      <c r="E15" s="180">
        <v>93.666610717773438</v>
      </c>
      <c r="F15" s="178">
        <v>40.244848180858533</v>
      </c>
      <c r="G15" s="179">
        <v>-2.7345492330390186E-2</v>
      </c>
      <c r="H15" s="180">
        <v>251.16993713378906</v>
      </c>
      <c r="I15" s="178">
        <v>150.50742193136497</v>
      </c>
      <c r="J15" s="179">
        <v>46.073128845398443</v>
      </c>
      <c r="K15" s="180">
        <v>76.573570251464844</v>
      </c>
      <c r="L15" s="178">
        <v>45.88483310599927</v>
      </c>
      <c r="M15" s="181">
        <v>-3.9440292903016427E-2</v>
      </c>
      <c r="N15" s="178">
        <v>0</v>
      </c>
      <c r="O15" s="182">
        <v>0</v>
      </c>
      <c r="P15" s="183">
        <v>45.976473469405676</v>
      </c>
      <c r="Q15" s="184">
        <v>17.471059918374156</v>
      </c>
      <c r="R15" s="185">
        <v>24.000000245836045</v>
      </c>
      <c r="S15" s="186">
        <v>47.195102279303917</v>
      </c>
    </row>
    <row r="16" spans="1:19" ht="14" customHeight="1" x14ac:dyDescent="0.35">
      <c r="A16" s="15">
        <v>10</v>
      </c>
      <c r="B16" s="177">
        <v>119.79352569580078</v>
      </c>
      <c r="C16" s="178">
        <v>51.470553036274957</v>
      </c>
      <c r="D16" s="179">
        <v>-18.046756332746362</v>
      </c>
      <c r="E16" s="180">
        <v>93.423545837402344</v>
      </c>
      <c r="F16" s="178">
        <v>40.14041278884774</v>
      </c>
      <c r="G16" s="179">
        <v>-0.10443539201079233</v>
      </c>
      <c r="H16" s="180">
        <v>327.15594482421875</v>
      </c>
      <c r="I16" s="178">
        <v>196.04017258954454</v>
      </c>
      <c r="J16" s="179">
        <v>45.532750658179566</v>
      </c>
      <c r="K16" s="180">
        <v>76.562309265136719</v>
      </c>
      <c r="L16" s="178">
        <v>45.878085236250236</v>
      </c>
      <c r="M16" s="181">
        <v>-6.7478697490344075E-3</v>
      </c>
      <c r="N16" s="178">
        <v>20.015000000000001</v>
      </c>
      <c r="O16" s="182">
        <v>7.6057000000000006</v>
      </c>
      <c r="P16" s="183">
        <v>47.389811063673378</v>
      </c>
      <c r="Q16" s="184">
        <v>18.008128204195884</v>
      </c>
      <c r="R16" s="185">
        <v>24.00000024159749</v>
      </c>
      <c r="S16" s="186">
        <v>47.081580668335484</v>
      </c>
    </row>
    <row r="17" spans="1:19" ht="14" customHeight="1" x14ac:dyDescent="0.35">
      <c r="A17" s="15">
        <v>11</v>
      </c>
      <c r="B17" s="177">
        <v>50.062385559082031</v>
      </c>
      <c r="C17" s="178">
        <v>21.509832489482374</v>
      </c>
      <c r="D17" s="179">
        <v>-29.960720546792583</v>
      </c>
      <c r="E17" s="180">
        <v>93.516868591308594</v>
      </c>
      <c r="F17" s="178">
        <v>40.180509895319254</v>
      </c>
      <c r="G17" s="179">
        <v>4.0097106471513655E-2</v>
      </c>
      <c r="H17" s="180">
        <v>273.8154296875</v>
      </c>
      <c r="I17" s="178">
        <v>164.07717769719724</v>
      </c>
      <c r="J17" s="179">
        <v>-31.962994892347297</v>
      </c>
      <c r="K17" s="180">
        <v>76.579360961914063</v>
      </c>
      <c r="L17" s="178">
        <v>45.8883030471507</v>
      </c>
      <c r="M17" s="181">
        <v>1.0217810900464031E-2</v>
      </c>
      <c r="N17" s="178">
        <v>106.244</v>
      </c>
      <c r="O17" s="182">
        <v>40.372720000000001</v>
      </c>
      <c r="P17" s="183">
        <v>44.370599478232101</v>
      </c>
      <c r="Q17" s="184">
        <v>16.860827801728199</v>
      </c>
      <c r="R17" s="185">
        <v>24.000000203450519</v>
      </c>
      <c r="S17" s="186">
        <v>46.954480065161341</v>
      </c>
    </row>
    <row r="18" spans="1:19" ht="14" customHeight="1" x14ac:dyDescent="0.35">
      <c r="A18" s="15">
        <v>12</v>
      </c>
      <c r="B18" s="177">
        <v>123.73204803466797</v>
      </c>
      <c r="C18" s="178">
        <v>53.162780740149294</v>
      </c>
      <c r="D18" s="179">
        <v>31.65294825066692</v>
      </c>
      <c r="E18" s="180">
        <v>93.419456481933594</v>
      </c>
      <c r="F18" s="178">
        <v>40.138655754097186</v>
      </c>
      <c r="G18" s="179">
        <v>-4.1854141222067653E-2</v>
      </c>
      <c r="H18" s="180">
        <v>149.36698913574219</v>
      </c>
      <c r="I18" s="178">
        <v>89.50450325787213</v>
      </c>
      <c r="J18" s="179">
        <v>-74.572674439325112</v>
      </c>
      <c r="K18" s="180">
        <v>76.372810363769531</v>
      </c>
      <c r="L18" s="178">
        <v>45.764532669294709</v>
      </c>
      <c r="M18" s="181">
        <v>-0.12377037785599043</v>
      </c>
      <c r="N18" s="178">
        <v>86.230999999999995</v>
      </c>
      <c r="O18" s="182">
        <v>32.767779999999995</v>
      </c>
      <c r="P18" s="183">
        <v>43.145649292263741</v>
      </c>
      <c r="Q18" s="184">
        <v>16.395346731060222</v>
      </c>
      <c r="R18" s="185">
        <v>23.732780401441783</v>
      </c>
      <c r="S18" s="186">
        <v>46.300394058659087</v>
      </c>
    </row>
    <row r="19" spans="1:19" ht="14" customHeight="1" x14ac:dyDescent="0.35">
      <c r="A19" s="15">
        <v>13</v>
      </c>
      <c r="B19" s="177">
        <v>235.69026184082031</v>
      </c>
      <c r="C19" s="178">
        <v>101.26680930167092</v>
      </c>
      <c r="D19" s="179">
        <v>48.104028561521623</v>
      </c>
      <c r="E19" s="180">
        <v>93.490203857421875</v>
      </c>
      <c r="F19" s="178">
        <v>40.169053110891696</v>
      </c>
      <c r="G19" s="179">
        <v>3.0397356794509278E-2</v>
      </c>
      <c r="H19" s="180">
        <v>82.246147155761719</v>
      </c>
      <c r="I19" s="178">
        <v>49.28398562925031</v>
      </c>
      <c r="J19" s="179">
        <v>-40.22051762862182</v>
      </c>
      <c r="K19" s="180">
        <v>76.301856994628906</v>
      </c>
      <c r="L19" s="178">
        <v>45.722015603802859</v>
      </c>
      <c r="M19" s="181">
        <v>-4.2517065491850303E-2</v>
      </c>
      <c r="N19" s="178">
        <v>40.036999999999999</v>
      </c>
      <c r="O19" s="182">
        <v>15.21406</v>
      </c>
      <c r="P19" s="183">
        <v>47.908391224202461</v>
      </c>
      <c r="Q19" s="184">
        <v>18.205188665196935</v>
      </c>
      <c r="R19" s="185">
        <v>23.981943244934083</v>
      </c>
      <c r="S19" s="186">
        <v>49.488380071209534</v>
      </c>
    </row>
    <row r="20" spans="1:19" ht="14" customHeight="1" x14ac:dyDescent="0.35">
      <c r="A20" s="15">
        <v>14</v>
      </c>
      <c r="B20" s="177">
        <v>84.609451293945313</v>
      </c>
      <c r="C20" s="178">
        <v>36.353344013380102</v>
      </c>
      <c r="D20" s="179">
        <v>-64.913465288290809</v>
      </c>
      <c r="E20" s="180">
        <v>93.369728088378906</v>
      </c>
      <c r="F20" s="178">
        <v>40.117289424798514</v>
      </c>
      <c r="G20" s="179">
        <v>-5.1763686093181605E-2</v>
      </c>
      <c r="H20" s="180">
        <v>93.894493103027344</v>
      </c>
      <c r="I20" s="178">
        <v>56.263971125499289</v>
      </c>
      <c r="J20" s="179">
        <v>6.9799854962489789</v>
      </c>
      <c r="K20" s="180">
        <v>76.171607971191406</v>
      </c>
      <c r="L20" s="178">
        <v>45.643967072396755</v>
      </c>
      <c r="M20" s="181">
        <v>-7.8048531406103905E-2</v>
      </c>
      <c r="N20" s="178">
        <v>106.274</v>
      </c>
      <c r="O20" s="182">
        <v>40.384120000000003</v>
      </c>
      <c r="P20" s="183">
        <v>48.210707990458886</v>
      </c>
      <c r="Q20" s="184">
        <v>18.320069036374377</v>
      </c>
      <c r="R20" s="185">
        <v>24.000000288221568</v>
      </c>
      <c r="S20" s="186">
        <v>50.144896580741332</v>
      </c>
    </row>
    <row r="21" spans="1:19" ht="14" customHeight="1" x14ac:dyDescent="0.35">
      <c r="A21" s="15">
        <v>15</v>
      </c>
      <c r="B21" s="177">
        <v>84.352607727050781</v>
      </c>
      <c r="C21" s="178">
        <v>36.242988463235925</v>
      </c>
      <c r="D21" s="179">
        <v>-0.11035555014417753</v>
      </c>
      <c r="E21" s="180">
        <v>93.501480102539063</v>
      </c>
      <c r="F21" s="178">
        <v>40.173898068655333</v>
      </c>
      <c r="G21" s="179">
        <v>5.6608643856819185E-2</v>
      </c>
      <c r="H21" s="180">
        <v>137.85896301269531</v>
      </c>
      <c r="I21" s="178">
        <v>82.608600973292624</v>
      </c>
      <c r="J21" s="179">
        <v>26.344629847793335</v>
      </c>
      <c r="K21" s="180">
        <v>76.279792785644531</v>
      </c>
      <c r="L21" s="178">
        <v>45.708794167953144</v>
      </c>
      <c r="M21" s="181">
        <v>6.482709555638877E-2</v>
      </c>
      <c r="N21" s="178">
        <v>20.013999999999999</v>
      </c>
      <c r="O21" s="182">
        <v>7.6053199999999999</v>
      </c>
      <c r="P21" s="183">
        <v>46.369710037062362</v>
      </c>
      <c r="Q21" s="184">
        <v>17.620489814083697</v>
      </c>
      <c r="R21" s="185">
        <v>24.000000199211968</v>
      </c>
      <c r="S21" s="186">
        <v>47.756984571421043</v>
      </c>
    </row>
    <row r="22" spans="1:19" ht="14" customHeight="1" x14ac:dyDescent="0.35">
      <c r="A22" s="15">
        <v>16</v>
      </c>
      <c r="B22" s="177">
        <v>84.623283386230469</v>
      </c>
      <c r="C22" s="178">
        <v>36.359287117862841</v>
      </c>
      <c r="D22" s="179">
        <v>0.11629865462691669</v>
      </c>
      <c r="E22" s="180">
        <v>93.372718811035156</v>
      </c>
      <c r="F22" s="178">
        <v>40.11857442036235</v>
      </c>
      <c r="G22" s="179">
        <v>-5.5323648292983307E-2</v>
      </c>
      <c r="H22" s="180">
        <v>216.54499816894531</v>
      </c>
      <c r="I22" s="178">
        <v>129.75927684044345</v>
      </c>
      <c r="J22" s="179">
        <v>47.150675867150824</v>
      </c>
      <c r="K22" s="180">
        <v>76.297462463378906</v>
      </c>
      <c r="L22" s="178">
        <v>45.719382288778846</v>
      </c>
      <c r="M22" s="181">
        <v>1.0588120825701708E-2</v>
      </c>
      <c r="N22" s="178">
        <v>0</v>
      </c>
      <c r="O22" s="182">
        <v>0</v>
      </c>
      <c r="P22" s="183">
        <v>47.222238994310459</v>
      </c>
      <c r="Q22" s="184">
        <v>17.944450817837975</v>
      </c>
      <c r="R22" s="185">
        <v>24.000000322129988</v>
      </c>
      <c r="S22" s="186">
        <v>48.189507114763536</v>
      </c>
    </row>
    <row r="23" spans="1:19" ht="14" customHeight="1" x14ac:dyDescent="0.35">
      <c r="A23" s="15">
        <v>17</v>
      </c>
      <c r="B23" s="177">
        <v>84.614822387695313</v>
      </c>
      <c r="C23" s="178">
        <v>36.355651760515151</v>
      </c>
      <c r="D23" s="179">
        <v>-3.6353573476901602E-3</v>
      </c>
      <c r="E23" s="180">
        <v>93.285903930664063</v>
      </c>
      <c r="F23" s="178">
        <v>40.081273490462138</v>
      </c>
      <c r="G23" s="179">
        <v>-3.7300929900212054E-2</v>
      </c>
      <c r="H23" s="180">
        <v>231.81852722167969</v>
      </c>
      <c r="I23" s="178">
        <v>138.91156436240266</v>
      </c>
      <c r="J23" s="179">
        <v>9.1522875219592095</v>
      </c>
      <c r="K23" s="180">
        <v>76.225288391113281</v>
      </c>
      <c r="L23" s="178">
        <v>45.676133746891445</v>
      </c>
      <c r="M23" s="181">
        <v>-4.3248541887400904E-2</v>
      </c>
      <c r="N23" s="178">
        <v>37.838000000000001</v>
      </c>
      <c r="O23" s="182">
        <v>14.378440000000001</v>
      </c>
      <c r="P23" s="183">
        <v>46.906102692823907</v>
      </c>
      <c r="Q23" s="184">
        <v>17.824319023273084</v>
      </c>
      <c r="R23" s="185">
        <v>24.000000258551701</v>
      </c>
      <c r="S23" s="186">
        <v>48.767259078711056</v>
      </c>
    </row>
    <row r="24" spans="1:19" ht="14" customHeight="1" x14ac:dyDescent="0.35">
      <c r="A24" s="15">
        <v>18</v>
      </c>
      <c r="B24" s="177">
        <v>84.666252136230469</v>
      </c>
      <c r="C24" s="178">
        <v>36.377749094943255</v>
      </c>
      <c r="D24" s="179">
        <v>2.2097334428103466E-2</v>
      </c>
      <c r="E24" s="180">
        <v>93.600898742675781</v>
      </c>
      <c r="F24" s="178">
        <v>40.216614337003136</v>
      </c>
      <c r="G24" s="179">
        <v>0.13534084654099843</v>
      </c>
      <c r="H24" s="180">
        <v>65.045654296875</v>
      </c>
      <c r="I24" s="178">
        <v>38.977012327899629</v>
      </c>
      <c r="J24" s="179">
        <v>-99.934552034503028</v>
      </c>
      <c r="K24" s="180">
        <v>57.510341644287109</v>
      </c>
      <c r="L24" s="178">
        <v>34.461661112982156</v>
      </c>
      <c r="M24" s="181">
        <v>-11.214472633909288</v>
      </c>
      <c r="N24" s="178">
        <v>156.81100000000001</v>
      </c>
      <c r="O24" s="182">
        <v>59.588180000000001</v>
      </c>
      <c r="P24" s="183">
        <v>45.819413512556793</v>
      </c>
      <c r="Q24" s="184">
        <v>17.41137713477158</v>
      </c>
      <c r="R24" s="185">
        <v>23.451109046936036</v>
      </c>
      <c r="S24" s="186">
        <v>48.6525287251431</v>
      </c>
    </row>
    <row r="25" spans="1:19" ht="14" customHeight="1" x14ac:dyDescent="0.35">
      <c r="A25" s="15">
        <v>19</v>
      </c>
      <c r="B25" s="177">
        <v>84.911796569824219</v>
      </c>
      <c r="C25" s="178">
        <v>36.483249853174058</v>
      </c>
      <c r="D25" s="179">
        <v>0.10550075823080363</v>
      </c>
      <c r="E25" s="180">
        <v>93.243515014648438</v>
      </c>
      <c r="F25" s="178">
        <v>40.063060645174723</v>
      </c>
      <c r="G25" s="179">
        <v>-0.15355369182841372</v>
      </c>
      <c r="H25" s="180">
        <v>79.2008056640625</v>
      </c>
      <c r="I25" s="178">
        <v>47.459139463157896</v>
      </c>
      <c r="J25" s="179">
        <v>8.482127135258267</v>
      </c>
      <c r="K25" s="180">
        <v>66.582878112792969</v>
      </c>
      <c r="L25" s="178">
        <v>39.898155981099137</v>
      </c>
      <c r="M25" s="181">
        <v>5.4364948681169807</v>
      </c>
      <c r="N25" s="178">
        <v>31.039000000000001</v>
      </c>
      <c r="O25" s="182">
        <v>11.794820000000001</v>
      </c>
      <c r="P25" s="183">
        <v>44.909569069777639</v>
      </c>
      <c r="Q25" s="184">
        <v>17.065636246515503</v>
      </c>
      <c r="R25" s="185">
        <v>23.994167497422957</v>
      </c>
      <c r="S25" s="186">
        <v>46.850506134623146</v>
      </c>
    </row>
    <row r="26" spans="1:19" ht="14" customHeight="1" x14ac:dyDescent="0.35">
      <c r="A26" s="15">
        <v>20</v>
      </c>
      <c r="B26" s="177">
        <v>84.713768005371094</v>
      </c>
      <c r="C26" s="178">
        <v>36.398164789768678</v>
      </c>
      <c r="D26" s="179">
        <v>-8.5085063405379913E-2</v>
      </c>
      <c r="E26" s="180">
        <v>93.412269592285156</v>
      </c>
      <c r="F26" s="178">
        <v>40.135567831084096</v>
      </c>
      <c r="G26" s="179">
        <v>7.2507185909373106E-2</v>
      </c>
      <c r="H26" s="180">
        <v>86.995170593261719</v>
      </c>
      <c r="I26" s="178">
        <v>52.129721398531593</v>
      </c>
      <c r="J26" s="179">
        <v>4.670581935373697</v>
      </c>
      <c r="K26" s="180">
        <v>66.363037109375</v>
      </c>
      <c r="L26" s="178">
        <v>39.766421653986498</v>
      </c>
      <c r="M26" s="181">
        <v>-0.13173432711263899</v>
      </c>
      <c r="N26" s="178">
        <v>39.048999999999999</v>
      </c>
      <c r="O26" s="182">
        <v>14.838620000000001</v>
      </c>
      <c r="P26" s="183">
        <v>43.575269730765051</v>
      </c>
      <c r="Q26" s="184">
        <v>16.558602497690721</v>
      </c>
      <c r="R26" s="185">
        <v>24.000000182257761</v>
      </c>
      <c r="S26" s="186">
        <v>45.455992558409037</v>
      </c>
    </row>
    <row r="27" spans="1:19" ht="14" customHeight="1" x14ac:dyDescent="0.35">
      <c r="A27" s="15">
        <v>21</v>
      </c>
      <c r="B27" s="177">
        <v>84.839523315429688</v>
      </c>
      <c r="C27" s="178">
        <v>36.452196886398013</v>
      </c>
      <c r="D27" s="179">
        <v>5.4032096629335058E-2</v>
      </c>
      <c r="E27" s="180">
        <v>93.661155700683594</v>
      </c>
      <c r="F27" s="178">
        <v>40.242504375174491</v>
      </c>
      <c r="G27" s="179">
        <v>0.1069365440903951</v>
      </c>
      <c r="H27" s="180">
        <v>34.546188354492188</v>
      </c>
      <c r="I27" s="178">
        <v>20.700955719953068</v>
      </c>
      <c r="J27" s="179">
        <v>-31.428765678578525</v>
      </c>
      <c r="K27" s="180">
        <v>21.19520378112793</v>
      </c>
      <c r="L27" s="178">
        <v>12.700705804247061</v>
      </c>
      <c r="M27" s="181">
        <v>-27.065715849739437</v>
      </c>
      <c r="N27" s="178">
        <v>106.238</v>
      </c>
      <c r="O27" s="182">
        <v>40.370440000000002</v>
      </c>
      <c r="P27" s="183">
        <v>47.904487112401767</v>
      </c>
      <c r="Q27" s="184">
        <v>18.203705102712672</v>
      </c>
      <c r="R27" s="185">
        <v>24.000000233120385</v>
      </c>
      <c r="S27" s="186">
        <v>48.303972351822829</v>
      </c>
    </row>
    <row r="28" spans="1:19" ht="14" customHeight="1" x14ac:dyDescent="0.35">
      <c r="A28" s="15">
        <v>22</v>
      </c>
      <c r="B28" s="177">
        <v>84.783012390136719</v>
      </c>
      <c r="C28" s="178">
        <v>36.427916370731353</v>
      </c>
      <c r="D28" s="179">
        <v>-2.4280515666660563E-2</v>
      </c>
      <c r="E28" s="180">
        <v>46.61944580078125</v>
      </c>
      <c r="F28" s="178">
        <v>20.030537073465315</v>
      </c>
      <c r="G28" s="179">
        <v>-20.211967301709176</v>
      </c>
      <c r="H28" s="180">
        <v>123.16871643066406</v>
      </c>
      <c r="I28" s="178">
        <v>73.805831160041222</v>
      </c>
      <c r="J28" s="179">
        <v>53.104875440088151</v>
      </c>
      <c r="K28" s="180">
        <v>21.187902450561523</v>
      </c>
      <c r="L28" s="178">
        <v>12.696330661056127</v>
      </c>
      <c r="M28" s="181">
        <v>-4.3751431909342386E-3</v>
      </c>
      <c r="N28" s="178">
        <v>20.015999999999998</v>
      </c>
      <c r="O28" s="182">
        <v>7.6060799999999995</v>
      </c>
      <c r="P28" s="183">
        <v>52.880252479521374</v>
      </c>
      <c r="Q28" s="184">
        <v>20.094495942218124</v>
      </c>
      <c r="R28" s="185">
        <v>24.000000305175782</v>
      </c>
      <c r="S28" s="186">
        <v>54.983131403699062</v>
      </c>
    </row>
    <row r="29" spans="1:19" ht="14" customHeight="1" x14ac:dyDescent="0.35">
      <c r="A29" s="15">
        <v>23</v>
      </c>
      <c r="B29" s="177">
        <v>85.055953979492188</v>
      </c>
      <c r="C29" s="178">
        <v>36.545188606180879</v>
      </c>
      <c r="D29" s="179">
        <v>0.11727223544952636</v>
      </c>
      <c r="E29" s="180">
        <v>46.504932403564453</v>
      </c>
      <c r="F29" s="178">
        <v>19.981335183375037</v>
      </c>
      <c r="G29" s="179">
        <v>-4.9201890090277089E-2</v>
      </c>
      <c r="H29" s="180">
        <v>212.68963623046875</v>
      </c>
      <c r="I29" s="178">
        <v>127.44904579689572</v>
      </c>
      <c r="J29" s="179">
        <v>53.643214636854495</v>
      </c>
      <c r="K29" s="180">
        <v>21.387979507446289</v>
      </c>
      <c r="L29" s="178">
        <v>12.816221928151922</v>
      </c>
      <c r="M29" s="181">
        <v>0.11989126709579523</v>
      </c>
      <c r="N29" s="178">
        <v>0</v>
      </c>
      <c r="O29" s="182">
        <v>0</v>
      </c>
      <c r="P29" s="183">
        <v>53.831176249309536</v>
      </c>
      <c r="Q29" s="184">
        <v>20.455846974737625</v>
      </c>
      <c r="R29" s="185">
        <v>24.000000199211968</v>
      </c>
      <c r="S29" s="186">
        <v>54.553196050222788</v>
      </c>
    </row>
    <row r="30" spans="1:19" ht="14" customHeight="1" x14ac:dyDescent="0.35">
      <c r="A30" s="15">
        <v>24</v>
      </c>
      <c r="B30" s="177">
        <v>84.767074584960938</v>
      </c>
      <c r="C30" s="178">
        <v>36.42106852447408</v>
      </c>
      <c r="D30" s="179">
        <v>-0.12412008170679911</v>
      </c>
      <c r="E30" s="180">
        <v>122.83543395996094</v>
      </c>
      <c r="F30" s="178">
        <v>52.777541036941393</v>
      </c>
      <c r="G30" s="179">
        <v>32.796205853566356</v>
      </c>
      <c r="H30" s="180">
        <v>240.68336486816406</v>
      </c>
      <c r="I30" s="178">
        <v>144.22360080767905</v>
      </c>
      <c r="J30" s="179">
        <v>16.774555010783331</v>
      </c>
      <c r="K30" s="180">
        <v>21.246843338012695</v>
      </c>
      <c r="L30" s="178">
        <v>12.731649541642927</v>
      </c>
      <c r="M30" s="181">
        <v>-8.4572386508995123E-2</v>
      </c>
      <c r="N30" s="178">
        <v>0</v>
      </c>
      <c r="O30" s="182">
        <v>0</v>
      </c>
      <c r="P30" s="183">
        <v>49.362068396133893</v>
      </c>
      <c r="Q30" s="184">
        <v>18.757585990530881</v>
      </c>
      <c r="R30" s="185">
        <v>24.00000028398302</v>
      </c>
      <c r="S30" s="186">
        <v>49.725425012210415</v>
      </c>
    </row>
    <row r="31" spans="1:19" ht="14" customHeight="1" x14ac:dyDescent="0.35">
      <c r="A31" s="15">
        <v>25</v>
      </c>
      <c r="B31" s="177">
        <v>85.071884155273438</v>
      </c>
      <c r="C31" s="178">
        <v>36.552033174388242</v>
      </c>
      <c r="D31" s="179">
        <v>0.13096464991416212</v>
      </c>
      <c r="E31" s="180">
        <v>229.67955017089844</v>
      </c>
      <c r="F31" s="178">
        <v>98.684243574554046</v>
      </c>
      <c r="G31" s="179">
        <v>45.906702537612652</v>
      </c>
      <c r="H31" s="180">
        <v>157.96780395507813</v>
      </c>
      <c r="I31" s="178">
        <v>94.658330502244155</v>
      </c>
      <c r="J31" s="179">
        <v>-49.565270305434893</v>
      </c>
      <c r="K31" s="180">
        <v>21.250175476074219</v>
      </c>
      <c r="L31" s="178">
        <v>12.733646243616429</v>
      </c>
      <c r="M31" s="181">
        <v>1.9967019735016578E-3</v>
      </c>
      <c r="N31" s="178">
        <v>46.265000000000001</v>
      </c>
      <c r="O31" s="182">
        <v>17.5807</v>
      </c>
      <c r="P31" s="183">
        <v>42.739393584065425</v>
      </c>
      <c r="Q31" s="184">
        <v>16.240969561944862</v>
      </c>
      <c r="R31" s="185">
        <v>24.000000237358943</v>
      </c>
      <c r="S31" s="186">
        <v>46.937630890174084</v>
      </c>
    </row>
    <row r="32" spans="1:19" ht="14" customHeight="1" x14ac:dyDescent="0.35">
      <c r="A32" s="15">
        <v>26</v>
      </c>
      <c r="B32" s="177">
        <v>87.702507019042969</v>
      </c>
      <c r="C32" s="178">
        <v>37.68230806062806</v>
      </c>
      <c r="D32" s="179">
        <v>1.1302748862398175</v>
      </c>
      <c r="E32" s="180">
        <v>280.77252197265625</v>
      </c>
      <c r="F32" s="178">
        <v>120.63687832362429</v>
      </c>
      <c r="G32" s="179">
        <v>21.952634749070242</v>
      </c>
      <c r="H32" s="180">
        <v>112.53663635253906</v>
      </c>
      <c r="I32" s="178">
        <v>67.434818050004708</v>
      </c>
      <c r="J32" s="179">
        <v>-27.223512452239447</v>
      </c>
      <c r="K32" s="180">
        <v>60.750423431396484</v>
      </c>
      <c r="L32" s="178">
        <v>36.403200622803531</v>
      </c>
      <c r="M32" s="181">
        <v>23.669554379187105</v>
      </c>
      <c r="N32" s="178">
        <v>27.039000000000001</v>
      </c>
      <c r="O32" s="182">
        <v>10.27482</v>
      </c>
      <c r="P32" s="183">
        <v>46.567951562257718</v>
      </c>
      <c r="Q32" s="184">
        <v>17.695821593657932</v>
      </c>
      <c r="R32" s="185">
        <v>23.996109076605901</v>
      </c>
      <c r="S32" s="186">
        <v>49.630653611312908</v>
      </c>
    </row>
    <row r="33" spans="1:19" ht="14" customHeight="1" x14ac:dyDescent="0.35">
      <c r="A33" s="15">
        <v>27</v>
      </c>
      <c r="B33" s="177">
        <v>87.709907531738281</v>
      </c>
      <c r="C33" s="178">
        <v>37.685487769038566</v>
      </c>
      <c r="D33" s="179">
        <v>3.179708410506521E-3</v>
      </c>
      <c r="E33" s="180">
        <v>237.09027099609375</v>
      </c>
      <c r="F33" s="178">
        <v>101.86833801584164</v>
      </c>
      <c r="G33" s="179">
        <v>-18.768540307782644</v>
      </c>
      <c r="H33" s="180">
        <v>112.62870025634766</v>
      </c>
      <c r="I33" s="178">
        <v>67.489985085412243</v>
      </c>
      <c r="J33" s="179">
        <v>5.5167035407535536E-2</v>
      </c>
      <c r="K33" s="180">
        <v>139.33015441894531</v>
      </c>
      <c r="L33" s="178">
        <v>83.490176325219878</v>
      </c>
      <c r="M33" s="181">
        <v>47.086975702416346</v>
      </c>
      <c r="N33" s="178">
        <v>19.027000000000001</v>
      </c>
      <c r="O33" s="182">
        <v>7.2302600000000004</v>
      </c>
      <c r="P33" s="183">
        <v>47.403782138451746</v>
      </c>
      <c r="Q33" s="184">
        <v>18.013437212611663</v>
      </c>
      <c r="R33" s="185">
        <v>24.00000024159749</v>
      </c>
      <c r="S33" s="186">
        <v>48.631068604966728</v>
      </c>
    </row>
    <row r="34" spans="1:19" ht="14" customHeight="1" x14ac:dyDescent="0.35">
      <c r="A34" s="15">
        <v>28</v>
      </c>
      <c r="B34" s="177">
        <v>87.697494506835938</v>
      </c>
      <c r="C34" s="178">
        <v>37.680154381838662</v>
      </c>
      <c r="D34" s="179">
        <v>-5.3333871999043936E-3</v>
      </c>
      <c r="E34" s="180">
        <v>188.59461975097656</v>
      </c>
      <c r="F34" s="178">
        <v>81.031669465163901</v>
      </c>
      <c r="G34" s="179">
        <v>-20.836668550677743</v>
      </c>
      <c r="H34" s="180">
        <v>112.62408447265625</v>
      </c>
      <c r="I34" s="178">
        <v>67.48721919029154</v>
      </c>
      <c r="J34" s="179">
        <v>-2.7658951207030213E-3</v>
      </c>
      <c r="K34" s="180">
        <v>218.30976867675781</v>
      </c>
      <c r="L34" s="178">
        <v>130.81677226550258</v>
      </c>
      <c r="M34" s="181">
        <v>47.326595940282701</v>
      </c>
      <c r="N34" s="178">
        <v>20.029</v>
      </c>
      <c r="O34" s="182">
        <v>7.6110199999999999</v>
      </c>
      <c r="P34" s="183">
        <v>46.510828107284354</v>
      </c>
      <c r="Q34" s="184">
        <v>17.674114680768053</v>
      </c>
      <c r="R34" s="185">
        <v>24.000000258551701</v>
      </c>
      <c r="S34" s="186">
        <v>48.346670066117596</v>
      </c>
    </row>
    <row r="35" spans="1:19" ht="14" customHeight="1" x14ac:dyDescent="0.35">
      <c r="A35" s="15">
        <v>29</v>
      </c>
      <c r="B35" s="177">
        <v>87.807929992675781</v>
      </c>
      <c r="C35" s="178">
        <v>37.72760415425325</v>
      </c>
      <c r="D35" s="179">
        <v>4.7449772414587699E-2</v>
      </c>
      <c r="E35" s="180">
        <v>188.27822875976563</v>
      </c>
      <c r="F35" s="178">
        <v>80.895728735489783</v>
      </c>
      <c r="G35" s="179">
        <v>-0.13594072967411819</v>
      </c>
      <c r="H35" s="180">
        <v>112.59758758544922</v>
      </c>
      <c r="I35" s="178">
        <v>67.471341580780447</v>
      </c>
      <c r="J35" s="179">
        <v>-1.5877609511093738E-2</v>
      </c>
      <c r="K35" s="180">
        <v>297.99136352539063</v>
      </c>
      <c r="L35" s="178">
        <v>178.56401285050615</v>
      </c>
      <c r="M35" s="181">
        <v>47.747240585003567</v>
      </c>
      <c r="N35" s="178">
        <v>0</v>
      </c>
      <c r="O35" s="182">
        <v>0</v>
      </c>
      <c r="P35" s="183">
        <v>47.642872018232943</v>
      </c>
      <c r="Q35" s="184">
        <v>18.104291366928518</v>
      </c>
      <c r="R35" s="185">
        <v>22.62724300808377</v>
      </c>
      <c r="S35" s="186">
        <v>48.900651988473761</v>
      </c>
    </row>
    <row r="36" spans="1:19" ht="14" customHeight="1" x14ac:dyDescent="0.35">
      <c r="A36" s="15">
        <v>30</v>
      </c>
      <c r="B36" s="177">
        <v>87.550773620605469</v>
      </c>
      <c r="C36" s="178">
        <v>37.617114204062858</v>
      </c>
      <c r="D36" s="179">
        <v>-0.11048995019039154</v>
      </c>
      <c r="E36" s="180">
        <v>188.02214050292969</v>
      </c>
      <c r="F36" s="178">
        <v>80.785697712286478</v>
      </c>
      <c r="G36" s="179">
        <v>-0.11003102320330527</v>
      </c>
      <c r="H36" s="180">
        <v>112.53798675537109</v>
      </c>
      <c r="I36" s="178">
        <v>67.435627245767293</v>
      </c>
      <c r="J36" s="179">
        <v>-3.5714335013153686E-2</v>
      </c>
      <c r="K36" s="180">
        <v>375.77752685546875</v>
      </c>
      <c r="L36" s="178">
        <v>225.17546260576108</v>
      </c>
      <c r="M36" s="181">
        <v>46.611449755254938</v>
      </c>
      <c r="N36" s="178">
        <v>0</v>
      </c>
      <c r="O36" s="182">
        <v>0</v>
      </c>
      <c r="P36" s="183">
        <v>46.355214446848088</v>
      </c>
      <c r="Q36" s="184">
        <v>17.614981489802272</v>
      </c>
      <c r="R36" s="185">
        <v>24.000000156826445</v>
      </c>
      <c r="S36" s="186">
        <v>47.911220046931959</v>
      </c>
    </row>
    <row r="37" spans="1:19" ht="14" customHeight="1" thickBot="1" x14ac:dyDescent="0.4">
      <c r="A37" s="15">
        <v>31</v>
      </c>
      <c r="B37" s="177">
        <v>87.339210510253906</v>
      </c>
      <c r="C37" s="178">
        <v>37.526213880121134</v>
      </c>
      <c r="D37" s="179">
        <v>-9.0900323941724537E-2</v>
      </c>
      <c r="E37" s="180">
        <v>144.0692138671875</v>
      </c>
      <c r="F37" s="178">
        <v>61.900858749876903</v>
      </c>
      <c r="G37" s="179">
        <v>-18.884838962409574</v>
      </c>
      <c r="H37" s="180">
        <v>112.47462463378906</v>
      </c>
      <c r="I37" s="178">
        <v>67.397659049110317</v>
      </c>
      <c r="J37" s="179">
        <v>-3.7968196656976261E-2</v>
      </c>
      <c r="K37" s="180">
        <v>452.3460693359375</v>
      </c>
      <c r="L37" s="178">
        <v>271.05728294335614</v>
      </c>
      <c r="M37" s="181">
        <v>45.881820337595059</v>
      </c>
      <c r="N37" s="178">
        <v>20.018000000000001</v>
      </c>
      <c r="O37" s="182">
        <v>7.60684</v>
      </c>
      <c r="P37" s="183">
        <v>46.886112854586784</v>
      </c>
      <c r="Q37" s="184">
        <v>17.81672288474298</v>
      </c>
      <c r="R37" s="185">
        <v>24.000000190734863</v>
      </c>
      <c r="S37" s="186">
        <v>47.170067900113473</v>
      </c>
    </row>
    <row r="38" spans="1:19" ht="14.4" customHeight="1" x14ac:dyDescent="0.35">
      <c r="A38" s="11" t="s">
        <v>8</v>
      </c>
      <c r="B38" s="75"/>
      <c r="C38" s="75">
        <f>IFERROR(C6+D38,"")</f>
        <v>37.526213880121141</v>
      </c>
      <c r="D38" s="76">
        <f>IF($B$7="","",SUM(D7:D37))</f>
        <v>9.4348251083999912E-2</v>
      </c>
      <c r="E38" s="75"/>
      <c r="F38" s="75">
        <f>IFERROR(F6+G38,"")</f>
        <v>61.900858749876903</v>
      </c>
      <c r="G38" s="76">
        <f>IF($B$7="","",SUM(G7:G37))</f>
        <v>21.525770062857148</v>
      </c>
      <c r="H38" s="75"/>
      <c r="I38" s="75">
        <f>IFERROR(I6+J38,"")</f>
        <v>67.397659049110331</v>
      </c>
      <c r="J38" s="76">
        <f>IF($B$7="","",SUM(J7:J37))</f>
        <v>-63.096924757116938</v>
      </c>
      <c r="K38" s="75"/>
      <c r="L38" s="75">
        <f>IFERROR(L6+M38,"")</f>
        <v>271.05728294335614</v>
      </c>
      <c r="M38" s="76">
        <f>IF($B$7="","",SUM(M7:M37))</f>
        <v>233.6108580056046</v>
      </c>
      <c r="N38" s="76">
        <f>SUM(N7:N37)</f>
        <v>1265.3540000000003</v>
      </c>
      <c r="O38" s="76">
        <f>IF($B$7="","",SUM(O7:O37))</f>
        <v>480.83451999999994</v>
      </c>
      <c r="P38" s="77">
        <f>IF(B7="","",SUM(P7:P37))</f>
        <v>1457.4880515624293</v>
      </c>
      <c r="Q38" s="77">
        <f>IF(B8="","",SUM(Q7:Q37))</f>
        <v>553.84545959372281</v>
      </c>
      <c r="R38" s="48">
        <f>SUM(R7:R37)</f>
        <v>741.77613454606796</v>
      </c>
      <c r="S38" s="88"/>
    </row>
    <row r="39" spans="1:19" ht="14.4" customHeight="1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08" t="s">
        <v>47</v>
      </c>
      <c r="O39" s="78">
        <f>IFERROR(O38*1000/0.505,"")</f>
        <v>952147.56435643556</v>
      </c>
      <c r="P39" s="68" t="s">
        <v>47</v>
      </c>
      <c r="Q39" s="174">
        <f>IFERROR(Q38*1000/0.505,"")</f>
        <v>1096723.6823638077</v>
      </c>
      <c r="R39" s="10"/>
      <c r="S39" s="89"/>
    </row>
    <row r="40" spans="1:19" ht="14.4" customHeight="1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437.88201462246451</v>
      </c>
      <c r="I40" s="17" t="s">
        <v>3</v>
      </c>
      <c r="J40" s="17"/>
      <c r="K40" s="17"/>
      <c r="L40" s="10"/>
      <c r="M40" s="6"/>
      <c r="N40" s="172" t="s">
        <v>60</v>
      </c>
      <c r="O40" s="173">
        <f>IFERROR(O38*1000,"")</f>
        <v>480834.51999999996</v>
      </c>
      <c r="P40" s="10"/>
      <c r="Q40" s="67"/>
      <c r="R40" s="43"/>
      <c r="S40" s="89"/>
    </row>
    <row r="41" spans="1:19" ht="15" customHeight="1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166.39516555653651</v>
      </c>
      <c r="I41" s="7" t="s">
        <v>19</v>
      </c>
      <c r="J41" s="7">
        <f>IFERROR(H41*1000/0.505,"")</f>
        <v>329495.37733967626</v>
      </c>
      <c r="K41" s="7" t="s">
        <v>47</v>
      </c>
      <c r="L41" s="2"/>
      <c r="M41" s="7"/>
      <c r="N41" s="16"/>
      <c r="O41" s="7"/>
      <c r="P41" s="7"/>
      <c r="Q41" s="150" t="s">
        <v>57</v>
      </c>
      <c r="R41" s="42">
        <f>IF(H40="",0,COUNT(R7:R37)*24-R38)</f>
        <v>2.2238654539320351</v>
      </c>
      <c r="S41" s="148" t="s">
        <v>58</v>
      </c>
    </row>
  </sheetData>
  <mergeCells count="10">
    <mergeCell ref="A1:Q1"/>
    <mergeCell ref="A2:Q2"/>
    <mergeCell ref="B40:G40"/>
    <mergeCell ref="B4:D4"/>
    <mergeCell ref="E4:G4"/>
    <mergeCell ref="B3:G3"/>
    <mergeCell ref="H4:J4"/>
    <mergeCell ref="K4:M4"/>
    <mergeCell ref="P4:Q4"/>
    <mergeCell ref="N4:O4"/>
  </mergeCells>
  <phoneticPr fontId="0" type="noConversion"/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41" priority="4" operator="lessThan">
      <formula>23.98</formula>
    </cfRule>
  </conditionalFormatting>
  <conditionalFormatting sqref="R7:R37">
    <cfRule type="cellIs" dxfId="40" priority="3" operator="equal">
      <formula>""</formula>
    </cfRule>
  </conditionalFormatting>
  <conditionalFormatting sqref="R7:R37">
    <cfRule type="cellIs" dxfId="39" priority="2" operator="equal">
      <formula>""</formula>
    </cfRule>
  </conditionalFormatting>
  <conditionalFormatting sqref="R7:R37">
    <cfRule type="cellIs" dxfId="38" priority="1" operator="lessThan">
      <formula>23.98</formula>
    </cfRule>
  </conditionalFormatting>
  <pageMargins left="0.31496062992125984" right="0.31496062992125984" top="0.35433070866141736" bottom="0.35433070866141736" header="0.31496062992125984" footer="0.31496062992125984"/>
  <pageSetup paperSize="5" scale="77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41"/>
  <sheetViews>
    <sheetView showGridLines="0" zoomScale="70" zoomScaleNormal="70" workbookViewId="0">
      <pane xSplit="1" ySplit="5" topLeftCell="B6" activePane="bottomRight" state="frozen"/>
      <selection activeCell="M17" sqref="M17"/>
      <selection pane="topRight" activeCell="M17" sqref="M17"/>
      <selection pane="bottomLeft" activeCell="M17" sqref="M17"/>
      <selection pane="bottomRight" activeCell="B8" sqref="B8:S36"/>
    </sheetView>
  </sheetViews>
  <sheetFormatPr defaultColWidth="8.90625" defaultRowHeight="14.5" x14ac:dyDescent="0.35"/>
  <cols>
    <col min="1" max="7" width="9.6328125" style="1" customWidth="1"/>
    <col min="8" max="8" width="10.54296875" style="1" bestFit="1" customWidth="1"/>
    <col min="9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19" width="10.6328125" style="82" customWidth="1"/>
    <col min="20" max="16384" width="8.90625" style="1"/>
  </cols>
  <sheetData>
    <row r="1" spans="1:20" s="10" customFormat="1" x14ac:dyDescent="0.35">
      <c r="A1" s="191" t="s">
        <v>40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</row>
    <row r="2" spans="1:20" s="10" customFormat="1" x14ac:dyDescent="0.35">
      <c r="A2" s="202">
        <f>SUMMARY!B2</f>
        <v>2021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134"/>
      <c r="S2" s="83"/>
    </row>
    <row r="3" spans="1:20" s="10" customFormat="1" ht="15" thickBot="1" x14ac:dyDescent="0.4">
      <c r="A3" s="160">
        <f>[1]SUMMARY!$K$9</f>
        <v>1.3410960733381063</v>
      </c>
      <c r="B3" s="203" t="s">
        <v>13</v>
      </c>
      <c r="C3" s="203"/>
      <c r="D3" s="203"/>
      <c r="E3" s="203"/>
      <c r="F3" s="203"/>
      <c r="G3" s="203"/>
      <c r="H3" s="87">
        <f>JAN!$H$3</f>
        <v>0.38</v>
      </c>
      <c r="I3" s="8" t="s">
        <v>12</v>
      </c>
      <c r="J3" s="8"/>
      <c r="K3" s="8"/>
      <c r="L3" s="8"/>
      <c r="M3" s="85"/>
      <c r="N3" s="86"/>
      <c r="S3" s="83"/>
    </row>
    <row r="4" spans="1:20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30" t="s">
        <v>50</v>
      </c>
    </row>
    <row r="5" spans="1:20" ht="15" thickBot="1" x14ac:dyDescent="0.4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41" t="s">
        <v>15</v>
      </c>
      <c r="S5" s="91" t="s">
        <v>3</v>
      </c>
    </row>
    <row r="6" spans="1:20" ht="14" customHeight="1" x14ac:dyDescent="0.35">
      <c r="A6" s="3" t="s">
        <v>1</v>
      </c>
      <c r="B6" s="94"/>
      <c r="C6" s="70">
        <f>+MAY!C38</f>
        <v>37.526213880121141</v>
      </c>
      <c r="D6" s="71"/>
      <c r="E6" s="95"/>
      <c r="F6" s="70">
        <f>+MAY!F38</f>
        <v>61.900858749876903</v>
      </c>
      <c r="G6" s="71"/>
      <c r="H6" s="95"/>
      <c r="I6" s="70">
        <f>+MAY!I38</f>
        <v>67.397659049110331</v>
      </c>
      <c r="J6" s="71"/>
      <c r="K6" s="95"/>
      <c r="L6" s="70">
        <f>+MAY!L38</f>
        <v>271.05728294335614</v>
      </c>
      <c r="M6" s="73"/>
      <c r="N6" s="105"/>
      <c r="O6" s="52"/>
      <c r="P6" s="53"/>
      <c r="Q6" s="54"/>
      <c r="R6" s="142"/>
      <c r="S6" s="92"/>
    </row>
    <row r="7" spans="1:20" ht="14" customHeight="1" x14ac:dyDescent="0.35">
      <c r="A7" s="15">
        <v>1</v>
      </c>
      <c r="B7" s="107">
        <f>LOOKUP(A7+600,'[2]DCS Data'!$A:$A,'[2]DCS Data'!$E:$E)</f>
        <v>151.30302429199219</v>
      </c>
      <c r="C7" s="70">
        <f t="shared" ref="C7" si="0">IF(B7="","",$A$3*PI()/4*(157.5*2.54)^2*B7*2.54/1000000)</f>
        <v>64.782789923475619</v>
      </c>
      <c r="D7" s="71">
        <f>IF(C7="","",C7-C6)</f>
        <v>27.256576043354478</v>
      </c>
      <c r="E7" s="106">
        <f>LOOKUP(A7+600,'[2]DCS Data'!$A:$A,'[2]DCS Data'!$F:$F)</f>
        <v>94.693923950195313</v>
      </c>
      <c r="F7" s="70">
        <f t="shared" ref="F7" si="1">IF(E7="","",$A$3*PI()/4*(157.5*2.54)^2*E7*2.54/1000000)</f>
        <v>40.544705639567006</v>
      </c>
      <c r="G7" s="71">
        <f>IF(F7="","",F7-F6)</f>
        <v>-21.356153110309897</v>
      </c>
      <c r="H7" s="106">
        <f>LOOKUP(A7+600,'[2]DCS Data'!$A:$A,'[2]DCS Data'!$G:$G)</f>
        <v>112.41399383544922</v>
      </c>
      <c r="I7" s="70">
        <f t="shared" ref="I7" si="2">IF(H7="","",$A$3*PI()/4*(186*2.54)^2*H7*2.54/1000000)</f>
        <v>67.126992250476079</v>
      </c>
      <c r="J7" s="71">
        <f>IF(I7="","",I7-I6)</f>
        <v>-0.27066679863425236</v>
      </c>
      <c r="K7" s="106">
        <f>LOOKUP(A7+600,'[2]DCS Data'!$A:$A,'[2]DCS Data'!$H:$H)</f>
        <v>415.05978393554688</v>
      </c>
      <c r="L7" s="70">
        <f t="shared" ref="L7" si="3">IF(K7="","",$A$3*PI()/4*(186*2.54)^2*K7*2.54/1000000)</f>
        <v>247.84916849862572</v>
      </c>
      <c r="M7" s="73">
        <f>IF(L7="","",L7-L6)</f>
        <v>-23.208114444730427</v>
      </c>
      <c r="N7" s="111">
        <f>IF(K7="", "", LOOKUP(A7+600,[3]SBS!$A:$A,[3]SBS!$C:$C))</f>
        <v>60.097000000000001</v>
      </c>
      <c r="O7" s="12">
        <f>IF(N7="","",N7*$H$3)</f>
        <v>22.836860000000001</v>
      </c>
      <c r="P7" s="13">
        <f>IFERROR(D7+G7+J7+M7+N7,0)</f>
        <v>42.518641689679903</v>
      </c>
      <c r="Q7" s="14">
        <f>IF(P7="","",P7*$H$3)</f>
        <v>16.157083842078364</v>
      </c>
      <c r="R7" s="155">
        <f>LOOKUP(A7+600,'[2]DCS Data'!$A:$A,'[2]DCS Data'!$K:$K)</f>
        <v>24.000000224643284</v>
      </c>
      <c r="S7" s="156">
        <f>IFERROR(LOOKUP(A7+600,'[2]DCS Data'!$A:$A,'[2]DCS Data'!$J:$J)*3785.4*0.993*$A$3/1000000,0)</f>
        <v>47.815458550280688</v>
      </c>
    </row>
    <row r="8" spans="1:20" ht="14" customHeight="1" x14ac:dyDescent="0.35">
      <c r="A8" s="15">
        <v>2</v>
      </c>
      <c r="B8" s="177">
        <v>261.56814575195313</v>
      </c>
      <c r="C8" s="178">
        <v>111.99455077791636</v>
      </c>
      <c r="D8" s="179">
        <v>47.21176085444074</v>
      </c>
      <c r="E8" s="180">
        <v>94.581146240234375</v>
      </c>
      <c r="F8" s="178">
        <v>40.496418074089462</v>
      </c>
      <c r="G8" s="179">
        <v>-4.8287565477544092E-2</v>
      </c>
      <c r="H8" s="180">
        <v>112.24530792236328</v>
      </c>
      <c r="I8" s="178">
        <v>67.026262994320845</v>
      </c>
      <c r="J8" s="179">
        <v>-0.10072925615523332</v>
      </c>
      <c r="K8" s="180">
        <v>167.74319458007813</v>
      </c>
      <c r="L8" s="178">
        <v>100.16632038827346</v>
      </c>
      <c r="M8" s="181">
        <v>-147.68284811035227</v>
      </c>
      <c r="N8" s="178">
        <v>146.30600000000001</v>
      </c>
      <c r="O8" s="182">
        <v>55.596280000000007</v>
      </c>
      <c r="P8" s="183">
        <v>45.6858959224557</v>
      </c>
      <c r="Q8" s="184">
        <v>17.360640450533165</v>
      </c>
      <c r="R8" s="185">
        <v>23.995558514065213</v>
      </c>
      <c r="S8" s="186">
        <v>48.489047393796952</v>
      </c>
      <c r="T8" s="110"/>
    </row>
    <row r="9" spans="1:20" ht="14" customHeight="1" x14ac:dyDescent="0.35">
      <c r="A9" s="15">
        <v>3</v>
      </c>
      <c r="B9" s="177">
        <v>266.57162475585938</v>
      </c>
      <c r="C9" s="178">
        <v>114.13686968207149</v>
      </c>
      <c r="D9" s="179">
        <v>2.1423189041551325</v>
      </c>
      <c r="E9" s="180">
        <v>196.78285217285156</v>
      </c>
      <c r="F9" s="178">
        <v>84.255699663043032</v>
      </c>
      <c r="G9" s="179">
        <v>43.75928158895357</v>
      </c>
      <c r="H9" s="180">
        <v>112.30342102050781</v>
      </c>
      <c r="I9" s="178">
        <v>67.060964701427778</v>
      </c>
      <c r="J9" s="179">
        <v>3.47017071069331E-2</v>
      </c>
      <c r="K9" s="180">
        <v>134.34866333007813</v>
      </c>
      <c r="L9" s="178">
        <v>80.225080299353777</v>
      </c>
      <c r="M9" s="181">
        <v>-19.941240088919685</v>
      </c>
      <c r="N9" s="178">
        <v>20.021000000000001</v>
      </c>
      <c r="O9" s="182">
        <v>7.6079800000000004</v>
      </c>
      <c r="P9" s="183">
        <v>46.016062111295952</v>
      </c>
      <c r="Q9" s="184">
        <v>17.486103602292463</v>
      </c>
      <c r="R9" s="185">
        <v>24.000000237358943</v>
      </c>
      <c r="S9" s="186">
        <v>47.765186045823782</v>
      </c>
    </row>
    <row r="10" spans="1:20" ht="14" customHeight="1" x14ac:dyDescent="0.35">
      <c r="A10" s="15">
        <v>4</v>
      </c>
      <c r="B10" s="177">
        <v>66.562347412109375</v>
      </c>
      <c r="C10" s="178">
        <v>28.49972490232836</v>
      </c>
      <c r="D10" s="179">
        <v>-85.637144779743124</v>
      </c>
      <c r="E10" s="180">
        <v>208.04859924316406</v>
      </c>
      <c r="F10" s="178">
        <v>89.079307976242461</v>
      </c>
      <c r="G10" s="179">
        <v>4.8236083131994292</v>
      </c>
      <c r="H10" s="180">
        <v>112.290283203125</v>
      </c>
      <c r="I10" s="178">
        <v>67.053119573472131</v>
      </c>
      <c r="J10" s="179">
        <v>-7.8451279556475129E-3</v>
      </c>
      <c r="K10" s="180">
        <v>101.60701751708984</v>
      </c>
      <c r="L10" s="178">
        <v>60.673704800912795</v>
      </c>
      <c r="M10" s="181">
        <v>-19.551375498440983</v>
      </c>
      <c r="N10" s="178">
        <v>146.28700000000001</v>
      </c>
      <c r="O10" s="182">
        <v>55.589060000000003</v>
      </c>
      <c r="P10" s="183">
        <v>45.914242907059673</v>
      </c>
      <c r="Q10" s="184">
        <v>17.447412304682675</v>
      </c>
      <c r="R10" s="185">
        <v>24.000000271267361</v>
      </c>
      <c r="S10" s="186">
        <v>46.271001412621636</v>
      </c>
    </row>
    <row r="11" spans="1:20" ht="14" customHeight="1" x14ac:dyDescent="0.35">
      <c r="A11" s="15">
        <v>5</v>
      </c>
      <c r="B11" s="177">
        <v>66.519126892089844</v>
      </c>
      <c r="C11" s="178">
        <v>28.48121935108832</v>
      </c>
      <c r="D11" s="179">
        <v>-1.8505551240039608E-2</v>
      </c>
      <c r="E11" s="180">
        <v>295.83334350585938</v>
      </c>
      <c r="F11" s="178">
        <v>126.66573873443589</v>
      </c>
      <c r="G11" s="179">
        <v>37.58643075819343</v>
      </c>
      <c r="H11" s="180">
        <v>127.49774169921875</v>
      </c>
      <c r="I11" s="178">
        <v>76.134114864067413</v>
      </c>
      <c r="J11" s="179">
        <v>9.0809952905952827</v>
      </c>
      <c r="K11" s="180">
        <v>80.160758972167969</v>
      </c>
      <c r="L11" s="178">
        <v>47.86726690089489</v>
      </c>
      <c r="M11" s="181">
        <v>-12.806437900017904</v>
      </c>
      <c r="N11" s="178">
        <v>12.015000000000001</v>
      </c>
      <c r="O11" s="182">
        <v>4.5657000000000005</v>
      </c>
      <c r="P11" s="183">
        <v>45.857482597530769</v>
      </c>
      <c r="Q11" s="184">
        <v>17.425843387061693</v>
      </c>
      <c r="R11" s="185">
        <v>24.000000169542101</v>
      </c>
      <c r="S11" s="186">
        <v>47.582717551314417</v>
      </c>
    </row>
    <row r="12" spans="1:20" ht="14" customHeight="1" x14ac:dyDescent="0.35">
      <c r="A12" s="15">
        <v>6</v>
      </c>
      <c r="B12" s="177">
        <v>74.611167907714844</v>
      </c>
      <c r="C12" s="178">
        <v>31.945955073460311</v>
      </c>
      <c r="D12" s="179">
        <v>3.4647357223719908</v>
      </c>
      <c r="E12" s="180">
        <v>95.13104248046875</v>
      </c>
      <c r="F12" s="178">
        <v>40.731864872178996</v>
      </c>
      <c r="G12" s="179">
        <v>-85.933873862256888</v>
      </c>
      <c r="H12" s="180">
        <v>195.56289672851563</v>
      </c>
      <c r="I12" s="178">
        <v>116.77860206970078</v>
      </c>
      <c r="J12" s="179">
        <v>40.644487205633368</v>
      </c>
      <c r="K12" s="180">
        <v>80.367782592773438</v>
      </c>
      <c r="L12" s="178">
        <v>47.990889169812675</v>
      </c>
      <c r="M12" s="181">
        <v>0.12362226891778505</v>
      </c>
      <c r="N12" s="178">
        <v>86.227999999999994</v>
      </c>
      <c r="O12" s="182">
        <v>32.766639999999995</v>
      </c>
      <c r="P12" s="183">
        <v>44.526971334666243</v>
      </c>
      <c r="Q12" s="184">
        <v>16.920249107173174</v>
      </c>
      <c r="R12" s="185">
        <v>24.000000182257761</v>
      </c>
      <c r="S12" s="186">
        <v>47.047679135611489</v>
      </c>
    </row>
    <row r="13" spans="1:20" ht="14" customHeight="1" x14ac:dyDescent="0.35">
      <c r="A13" s="15">
        <v>7</v>
      </c>
      <c r="B13" s="177">
        <v>182.43962097167969</v>
      </c>
      <c r="C13" s="178">
        <v>78.11441770204172</v>
      </c>
      <c r="D13" s="179">
        <v>46.168462628581409</v>
      </c>
      <c r="E13" s="180">
        <v>94.516937255859375</v>
      </c>
      <c r="F13" s="178">
        <v>40.468925978902142</v>
      </c>
      <c r="G13" s="179">
        <v>-0.26293889327685349</v>
      </c>
      <c r="H13" s="180">
        <v>78.1585693359375</v>
      </c>
      <c r="I13" s="178">
        <v>46.671677600936725</v>
      </c>
      <c r="J13" s="179">
        <v>-70.106924468764049</v>
      </c>
      <c r="K13" s="180">
        <v>80.351760864257813</v>
      </c>
      <c r="L13" s="178">
        <v>47.98132194059847</v>
      </c>
      <c r="M13" s="181">
        <v>-9.5672292142054971E-3</v>
      </c>
      <c r="N13" s="178">
        <v>70.602000000000004</v>
      </c>
      <c r="O13" s="182">
        <v>26.828760000000003</v>
      </c>
      <c r="P13" s="183">
        <v>46.391032037326305</v>
      </c>
      <c r="Q13" s="184">
        <v>17.628592174183996</v>
      </c>
      <c r="R13" s="185">
        <v>24.000000203450519</v>
      </c>
      <c r="S13" s="186">
        <v>47.796005186465706</v>
      </c>
    </row>
    <row r="14" spans="1:20" ht="14" customHeight="1" x14ac:dyDescent="0.35">
      <c r="A14" s="15">
        <v>8</v>
      </c>
      <c r="B14" s="177">
        <v>271.81134033203125</v>
      </c>
      <c r="C14" s="178">
        <v>116.38033702198949</v>
      </c>
      <c r="D14" s="179">
        <v>38.26591931994777</v>
      </c>
      <c r="E14" s="180">
        <v>94.60595703125</v>
      </c>
      <c r="F14" s="178">
        <v>40.507041207828671</v>
      </c>
      <c r="G14" s="179">
        <v>3.8115228926528744E-2</v>
      </c>
      <c r="H14" s="180">
        <v>78.102729797363281</v>
      </c>
      <c r="I14" s="178">
        <v>46.638333529213511</v>
      </c>
      <c r="J14" s="179">
        <v>-3.3344071723213631E-2</v>
      </c>
      <c r="K14" s="180">
        <v>90.932929992675781</v>
      </c>
      <c r="L14" s="178">
        <v>54.299770683946164</v>
      </c>
      <c r="M14" s="181">
        <v>6.3184487433476946</v>
      </c>
      <c r="N14" s="178">
        <v>0</v>
      </c>
      <c r="O14" s="182">
        <v>0</v>
      </c>
      <c r="P14" s="183">
        <v>44.58913922049878</v>
      </c>
      <c r="Q14" s="184">
        <v>16.943872903789536</v>
      </c>
      <c r="R14" s="185">
        <v>24.000000233120385</v>
      </c>
      <c r="S14" s="186">
        <v>46.346090245837267</v>
      </c>
    </row>
    <row r="15" spans="1:20" ht="14" customHeight="1" x14ac:dyDescent="0.35">
      <c r="A15" s="15">
        <v>9</v>
      </c>
      <c r="B15" s="177">
        <v>179.04571533203125</v>
      </c>
      <c r="C15" s="178">
        <v>76.661263165955674</v>
      </c>
      <c r="D15" s="179">
        <v>-39.719073856033816</v>
      </c>
      <c r="E15" s="180">
        <v>94.541053771972656</v>
      </c>
      <c r="F15" s="178">
        <v>40.479251847828841</v>
      </c>
      <c r="G15" s="179">
        <v>-2.7789359999829344E-2</v>
      </c>
      <c r="H15" s="180">
        <v>78.171524047851563</v>
      </c>
      <c r="I15" s="178">
        <v>46.679413389129913</v>
      </c>
      <c r="J15" s="179">
        <v>4.1079859916401062E-2</v>
      </c>
      <c r="K15" s="180">
        <v>165.30296325683594</v>
      </c>
      <c r="L15" s="178">
        <v>98.709158485775589</v>
      </c>
      <c r="M15" s="181">
        <v>44.409387801829425</v>
      </c>
      <c r="N15" s="178">
        <v>39.049999999999997</v>
      </c>
      <c r="O15" s="182">
        <v>14.838999999999999</v>
      </c>
      <c r="P15" s="183">
        <v>43.753604445712178</v>
      </c>
      <c r="Q15" s="184">
        <v>16.626369689370627</v>
      </c>
      <c r="R15" s="185">
        <v>23.996668010287813</v>
      </c>
      <c r="S15" s="186">
        <v>45.465524553976039</v>
      </c>
    </row>
    <row r="16" spans="1:20" ht="14" customHeight="1" x14ac:dyDescent="0.35">
      <c r="A16" s="15">
        <v>10</v>
      </c>
      <c r="B16" s="177">
        <v>178.40118408203125</v>
      </c>
      <c r="C16" s="178">
        <v>76.385296887269249</v>
      </c>
      <c r="D16" s="179">
        <v>-0.27596627868642543</v>
      </c>
      <c r="E16" s="180">
        <v>94.154502868652344</v>
      </c>
      <c r="F16" s="178">
        <v>40.31374394683538</v>
      </c>
      <c r="G16" s="179">
        <v>-0.16550790099346102</v>
      </c>
      <c r="H16" s="180">
        <v>78.101150512695313</v>
      </c>
      <c r="I16" s="178">
        <v>46.637390473762395</v>
      </c>
      <c r="J16" s="179">
        <v>-4.202291536751801E-2</v>
      </c>
      <c r="K16" s="180">
        <v>242.23991394042969</v>
      </c>
      <c r="L16" s="178">
        <v>144.65135763824662</v>
      </c>
      <c r="M16" s="181">
        <v>45.942199152471034</v>
      </c>
      <c r="N16" s="178">
        <v>0</v>
      </c>
      <c r="O16" s="182">
        <v>0</v>
      </c>
      <c r="P16" s="183">
        <v>45.458702057423629</v>
      </c>
      <c r="Q16" s="184">
        <v>17.274306781820979</v>
      </c>
      <c r="R16" s="185">
        <v>24.000000220404729</v>
      </c>
      <c r="S16" s="186">
        <v>47.118751351066408</v>
      </c>
    </row>
    <row r="17" spans="1:19" ht="14" customHeight="1" x14ac:dyDescent="0.35">
      <c r="A17" s="15">
        <v>11</v>
      </c>
      <c r="B17" s="177">
        <v>88.607185363769531</v>
      </c>
      <c r="C17" s="178">
        <v>37.938571961745978</v>
      </c>
      <c r="D17" s="179">
        <v>-38.44672492552327</v>
      </c>
      <c r="E17" s="180">
        <v>94.339668273925781</v>
      </c>
      <c r="F17" s="178">
        <v>40.393025452324494</v>
      </c>
      <c r="G17" s="179">
        <v>7.9281505489113613E-2</v>
      </c>
      <c r="H17" s="180">
        <v>78.111701965332031</v>
      </c>
      <c r="I17" s="178">
        <v>46.643691177573459</v>
      </c>
      <c r="J17" s="179">
        <v>6.3007038110640678E-3</v>
      </c>
      <c r="K17" s="180">
        <v>173.99739074707031</v>
      </c>
      <c r="L17" s="178">
        <v>103.90095664938859</v>
      </c>
      <c r="M17" s="181">
        <v>-40.750400988858033</v>
      </c>
      <c r="N17" s="178">
        <v>125.761</v>
      </c>
      <c r="O17" s="182">
        <v>47.789180000000002</v>
      </c>
      <c r="P17" s="183">
        <v>46.649456294918878</v>
      </c>
      <c r="Q17" s="184">
        <v>17.726793392069172</v>
      </c>
      <c r="R17" s="185">
        <v>24.000000203450519</v>
      </c>
      <c r="S17" s="186">
        <v>46.941119658742473</v>
      </c>
    </row>
    <row r="18" spans="1:19" ht="14" customHeight="1" x14ac:dyDescent="0.35">
      <c r="A18" s="15">
        <v>12</v>
      </c>
      <c r="B18" s="177">
        <v>88.854362487792969</v>
      </c>
      <c r="C18" s="178">
        <v>38.044404768290519</v>
      </c>
      <c r="D18" s="179">
        <v>0.10583280654454086</v>
      </c>
      <c r="E18" s="180">
        <v>94.39208984375</v>
      </c>
      <c r="F18" s="178">
        <v>40.415470578991801</v>
      </c>
      <c r="G18" s="179">
        <v>2.2445126667307136E-2</v>
      </c>
      <c r="H18" s="180">
        <v>78.228096008300781</v>
      </c>
      <c r="I18" s="178">
        <v>46.713194819902917</v>
      </c>
      <c r="J18" s="179">
        <v>6.950364232945816E-2</v>
      </c>
      <c r="K18" s="180">
        <v>250.035888671875</v>
      </c>
      <c r="L18" s="178">
        <v>149.3066529224678</v>
      </c>
      <c r="M18" s="181">
        <v>45.405696273079215</v>
      </c>
      <c r="N18" s="178">
        <v>0</v>
      </c>
      <c r="O18" s="182">
        <v>0</v>
      </c>
      <c r="P18" s="183">
        <v>45.603477848620521</v>
      </c>
      <c r="Q18" s="184">
        <v>17.329321582475799</v>
      </c>
      <c r="R18" s="185">
        <v>24.000000271267361</v>
      </c>
      <c r="S18" s="186">
        <v>46.498607424562515</v>
      </c>
    </row>
    <row r="19" spans="1:19" ht="14" customHeight="1" x14ac:dyDescent="0.35">
      <c r="A19" s="15">
        <v>13</v>
      </c>
      <c r="B19" s="177">
        <v>88.497116088867188</v>
      </c>
      <c r="C19" s="178">
        <v>37.891444055701832</v>
      </c>
      <c r="D19" s="179">
        <v>-0.15296071258868693</v>
      </c>
      <c r="E19" s="180">
        <v>122.81618499755859</v>
      </c>
      <c r="F19" s="178">
        <v>52.585697801684006</v>
      </c>
      <c r="G19" s="179">
        <v>12.170227222692205</v>
      </c>
      <c r="H19" s="180">
        <v>78.009025573730469</v>
      </c>
      <c r="I19" s="178">
        <v>46.582378905780736</v>
      </c>
      <c r="J19" s="179">
        <v>-0.13081591412218074</v>
      </c>
      <c r="K19" s="180">
        <v>270.65625</v>
      </c>
      <c r="L19" s="178">
        <v>161.61991382396394</v>
      </c>
      <c r="M19" s="181">
        <v>12.313260901496136</v>
      </c>
      <c r="N19" s="178">
        <v>20.023</v>
      </c>
      <c r="O19" s="182">
        <v>7.6087400000000001</v>
      </c>
      <c r="P19" s="183">
        <v>44.222711497477476</v>
      </c>
      <c r="Q19" s="184">
        <v>16.80463036904144</v>
      </c>
      <c r="R19" s="185">
        <v>24.000000152587887</v>
      </c>
      <c r="S19" s="186">
        <v>46.067169339712798</v>
      </c>
    </row>
    <row r="20" spans="1:19" ht="14" customHeight="1" x14ac:dyDescent="0.35">
      <c r="A20" s="15">
        <v>14</v>
      </c>
      <c r="B20" s="177">
        <v>88.374908447265625</v>
      </c>
      <c r="C20" s="178">
        <v>37.839118915408278</v>
      </c>
      <c r="D20" s="179">
        <v>-5.2325140293554284E-2</v>
      </c>
      <c r="E20" s="180">
        <v>231.67695617675781</v>
      </c>
      <c r="F20" s="178">
        <v>99.196163806644506</v>
      </c>
      <c r="G20" s="179">
        <v>46.6104660049605</v>
      </c>
      <c r="H20" s="180">
        <v>78.024734497070313</v>
      </c>
      <c r="I20" s="178">
        <v>46.591759346234092</v>
      </c>
      <c r="J20" s="179">
        <v>9.3804404533557317E-3</v>
      </c>
      <c r="K20" s="180">
        <v>238.12705993652344</v>
      </c>
      <c r="L20" s="178">
        <v>142.1954043407267</v>
      </c>
      <c r="M20" s="181">
        <v>-19.424509483237244</v>
      </c>
      <c r="N20" s="178">
        <v>19.015000000000001</v>
      </c>
      <c r="O20" s="182">
        <v>7.2257000000000007</v>
      </c>
      <c r="P20" s="183">
        <v>46.158011821883058</v>
      </c>
      <c r="Q20" s="184">
        <v>17.540044492315563</v>
      </c>
      <c r="R20" s="185">
        <v>24.000000186496312</v>
      </c>
      <c r="S20" s="186">
        <v>47.601737939120348</v>
      </c>
    </row>
    <row r="21" spans="1:19" ht="14" customHeight="1" x14ac:dyDescent="0.35">
      <c r="A21" s="15">
        <v>15</v>
      </c>
      <c r="B21" s="177">
        <v>151.48539733886719</v>
      </c>
      <c r="C21" s="178">
        <v>64.860875836422125</v>
      </c>
      <c r="D21" s="179">
        <v>27.021756921013846</v>
      </c>
      <c r="E21" s="180">
        <v>286.67617797851563</v>
      </c>
      <c r="F21" s="178">
        <v>122.74495305663234</v>
      </c>
      <c r="G21" s="179">
        <v>23.548789249987834</v>
      </c>
      <c r="H21" s="180">
        <v>77.980072021484375</v>
      </c>
      <c r="I21" s="178">
        <v>46.565089555843642</v>
      </c>
      <c r="J21" s="179">
        <v>-2.6669790390450032E-2</v>
      </c>
      <c r="K21" s="180">
        <v>77.696304321289063</v>
      </c>
      <c r="L21" s="178">
        <v>46.395640258989822</v>
      </c>
      <c r="M21" s="181">
        <v>-95.799764081736868</v>
      </c>
      <c r="N21" s="178">
        <v>95.257000000000005</v>
      </c>
      <c r="O21" s="182">
        <v>36.197659999999999</v>
      </c>
      <c r="P21" s="183">
        <v>50.001112298874368</v>
      </c>
      <c r="Q21" s="184">
        <v>19.00042267357226</v>
      </c>
      <c r="R21" s="185">
        <v>24.000000190734863</v>
      </c>
      <c r="S21" s="186">
        <v>53.414181503432538</v>
      </c>
    </row>
    <row r="22" spans="1:19" ht="14" customHeight="1" x14ac:dyDescent="0.35">
      <c r="A22" s="15">
        <v>16</v>
      </c>
      <c r="B22" s="177">
        <v>297.53326416015625</v>
      </c>
      <c r="C22" s="178">
        <v>127.3935867278862</v>
      </c>
      <c r="D22" s="179">
        <v>62.532710891464077</v>
      </c>
      <c r="E22" s="180">
        <v>203.42948913574219</v>
      </c>
      <c r="F22" s="178">
        <v>87.10156271224146</v>
      </c>
      <c r="G22" s="179">
        <v>-35.64339034439088</v>
      </c>
      <c r="H22" s="180">
        <v>78.091476440429688</v>
      </c>
      <c r="I22" s="178">
        <v>46.631613689646393</v>
      </c>
      <c r="J22" s="179">
        <v>6.6524133802751351E-2</v>
      </c>
      <c r="K22" s="180">
        <v>88.734657287597656</v>
      </c>
      <c r="L22" s="178">
        <v>52.987092165876476</v>
      </c>
      <c r="M22" s="181">
        <v>6.5914519068866539</v>
      </c>
      <c r="N22" s="178">
        <v>35.249000000000002</v>
      </c>
      <c r="O22" s="182">
        <v>13.394620000000002</v>
      </c>
      <c r="P22" s="183">
        <v>68.796296587762612</v>
      </c>
      <c r="Q22" s="184">
        <v>26.142592703349791</v>
      </c>
      <c r="R22" s="185">
        <v>23.993890177408854</v>
      </c>
      <c r="S22" s="186">
        <v>70.664579804508236</v>
      </c>
    </row>
    <row r="23" spans="1:19" ht="14" customHeight="1" x14ac:dyDescent="0.35">
      <c r="A23" s="15">
        <v>17</v>
      </c>
      <c r="B23" s="177">
        <v>297.2957763671875</v>
      </c>
      <c r="C23" s="178">
        <v>127.29190256213155</v>
      </c>
      <c r="D23" s="179">
        <v>-0.10168416575464789</v>
      </c>
      <c r="E23" s="180">
        <v>158.26795959472656</v>
      </c>
      <c r="F23" s="178">
        <v>67.764937455945798</v>
      </c>
      <c r="G23" s="179">
        <v>-19.336625256295662</v>
      </c>
      <c r="H23" s="180">
        <v>78.120307922363281</v>
      </c>
      <c r="I23" s="178">
        <v>46.648830146408521</v>
      </c>
      <c r="J23" s="179">
        <v>1.7216456762128018E-2</v>
      </c>
      <c r="K23" s="180">
        <v>199.13491821289063</v>
      </c>
      <c r="L23" s="178">
        <v>118.91160215553673</v>
      </c>
      <c r="M23" s="181">
        <v>65.924509989660251</v>
      </c>
      <c r="N23" s="178">
        <v>20.018000000000001</v>
      </c>
      <c r="O23" s="182">
        <v>7.60684</v>
      </c>
      <c r="P23" s="183">
        <v>66.52141702437207</v>
      </c>
      <c r="Q23" s="184">
        <v>25.278138469261386</v>
      </c>
      <c r="R23" s="185">
        <v>24.000000161064996</v>
      </c>
      <c r="S23" s="186">
        <v>67.00413674899751</v>
      </c>
    </row>
    <row r="24" spans="1:19" ht="14" customHeight="1" x14ac:dyDescent="0.35">
      <c r="A24" s="15">
        <v>18</v>
      </c>
      <c r="B24" s="177">
        <v>297.13531494140625</v>
      </c>
      <c r="C24" s="178">
        <v>127.2231984573336</v>
      </c>
      <c r="D24" s="179">
        <v>-6.8704104797959076E-2</v>
      </c>
      <c r="E24" s="180">
        <v>110.16979217529297</v>
      </c>
      <c r="F24" s="178">
        <v>47.170944109031318</v>
      </c>
      <c r="G24" s="179">
        <v>-20.59399334691448</v>
      </c>
      <c r="H24" s="180">
        <v>78.158676147460938</v>
      </c>
      <c r="I24" s="178">
        <v>46.671741382464816</v>
      </c>
      <c r="J24" s="179">
        <v>2.2911236056295081E-2</v>
      </c>
      <c r="K24" s="180">
        <v>301.84274291992188</v>
      </c>
      <c r="L24" s="178">
        <v>180.24264394081669</v>
      </c>
      <c r="M24" s="181">
        <v>61.331041785279965</v>
      </c>
      <c r="N24" s="178">
        <v>20.024000000000001</v>
      </c>
      <c r="O24" s="182">
        <v>7.6091200000000008</v>
      </c>
      <c r="P24" s="183">
        <v>60.715255569623821</v>
      </c>
      <c r="Q24" s="184">
        <v>23.071797116457052</v>
      </c>
      <c r="R24" s="185">
        <v>24.000000190734863</v>
      </c>
      <c r="S24" s="186">
        <v>62.944791906110261</v>
      </c>
    </row>
    <row r="25" spans="1:19" ht="14" customHeight="1" x14ac:dyDescent="0.35">
      <c r="A25" s="15">
        <v>19</v>
      </c>
      <c r="B25" s="177">
        <v>297.17257690429688</v>
      </c>
      <c r="C25" s="178">
        <v>127.23915275782015</v>
      </c>
      <c r="D25" s="179">
        <v>1.5954300486555439E-2</v>
      </c>
      <c r="E25" s="180">
        <v>110.28497314453125</v>
      </c>
      <c r="F25" s="178">
        <v>47.220260668090617</v>
      </c>
      <c r="G25" s="179">
        <v>4.9316559059299436E-2</v>
      </c>
      <c r="H25" s="180">
        <v>78.013374328613281</v>
      </c>
      <c r="I25" s="178">
        <v>46.584975725138882</v>
      </c>
      <c r="J25" s="179">
        <v>-8.6765657325933887E-2</v>
      </c>
      <c r="K25" s="180">
        <v>392.27059936523438</v>
      </c>
      <c r="L25" s="178">
        <v>234.24081455752034</v>
      </c>
      <c r="M25" s="181">
        <v>53.998170616703646</v>
      </c>
      <c r="N25" s="178">
        <v>0</v>
      </c>
      <c r="O25" s="182">
        <v>0</v>
      </c>
      <c r="P25" s="183">
        <v>53.976675818923567</v>
      </c>
      <c r="Q25" s="184">
        <v>20.511136811190955</v>
      </c>
      <c r="R25" s="185">
        <v>24.000000203450519</v>
      </c>
      <c r="S25" s="186">
        <v>55.409484606645442</v>
      </c>
    </row>
    <row r="26" spans="1:19" ht="14" customHeight="1" x14ac:dyDescent="0.35">
      <c r="A26" s="15">
        <v>20</v>
      </c>
      <c r="B26" s="177">
        <v>296.94534301757813</v>
      </c>
      <c r="C26" s="178">
        <v>127.14185896468096</v>
      </c>
      <c r="D26" s="179">
        <v>-9.7293793139186846E-2</v>
      </c>
      <c r="E26" s="180">
        <v>110.35259246826172</v>
      </c>
      <c r="F26" s="178">
        <v>47.249212954170147</v>
      </c>
      <c r="G26" s="179">
        <v>2.8952286079530154E-2</v>
      </c>
      <c r="H26" s="180">
        <v>78.046684265136719</v>
      </c>
      <c r="I26" s="178">
        <v>46.604866450257539</v>
      </c>
      <c r="J26" s="179">
        <v>1.989072511865686E-2</v>
      </c>
      <c r="K26" s="180">
        <v>181.55616760253906</v>
      </c>
      <c r="L26" s="178">
        <v>108.41461138300527</v>
      </c>
      <c r="M26" s="181">
        <v>-125.82620317451507</v>
      </c>
      <c r="N26" s="178">
        <v>172.453</v>
      </c>
      <c r="O26" s="182">
        <v>65.532139999999998</v>
      </c>
      <c r="P26" s="183">
        <v>46.578346043543931</v>
      </c>
      <c r="Q26" s="184">
        <v>17.699771496546695</v>
      </c>
      <c r="R26" s="185">
        <v>24.00000024159749</v>
      </c>
      <c r="S26" s="186">
        <v>49.239984847098135</v>
      </c>
    </row>
    <row r="27" spans="1:19" ht="14" customHeight="1" x14ac:dyDescent="0.35">
      <c r="A27" s="15">
        <v>21</v>
      </c>
      <c r="B27" s="177">
        <v>296.68328857421875</v>
      </c>
      <c r="C27" s="178">
        <v>127.02965619786846</v>
      </c>
      <c r="D27" s="179">
        <v>-0.11220276681250141</v>
      </c>
      <c r="E27" s="180">
        <v>110.32239532470703</v>
      </c>
      <c r="F27" s="178">
        <v>47.236283568149297</v>
      </c>
      <c r="G27" s="179">
        <v>-1.2929386020850586E-2</v>
      </c>
      <c r="H27" s="180">
        <v>78.057632446289063</v>
      </c>
      <c r="I27" s="178">
        <v>46.611404056887253</v>
      </c>
      <c r="J27" s="179">
        <v>6.5376066297133661E-3</v>
      </c>
      <c r="K27" s="180">
        <v>259.38589477539063</v>
      </c>
      <c r="L27" s="178">
        <v>154.88992388223218</v>
      </c>
      <c r="M27" s="181">
        <v>46.475312499226916</v>
      </c>
      <c r="N27" s="178">
        <v>0</v>
      </c>
      <c r="O27" s="182">
        <v>0</v>
      </c>
      <c r="P27" s="183">
        <v>46.356717953023278</v>
      </c>
      <c r="Q27" s="184">
        <v>17.615552822148846</v>
      </c>
      <c r="R27" s="185">
        <v>24.000000228881834</v>
      </c>
      <c r="S27" s="186">
        <v>47.114335356884624</v>
      </c>
    </row>
    <row r="28" spans="1:19" ht="14" customHeight="1" x14ac:dyDescent="0.35">
      <c r="A28" s="15">
        <v>22</v>
      </c>
      <c r="B28" s="177">
        <v>200.22785949707031</v>
      </c>
      <c r="C28" s="178">
        <v>85.730734195988006</v>
      </c>
      <c r="D28" s="179">
        <v>-41.298922001880456</v>
      </c>
      <c r="E28" s="180">
        <v>86.903045654296875</v>
      </c>
      <c r="F28" s="178">
        <v>37.208917512896583</v>
      </c>
      <c r="G28" s="179">
        <v>-10.027366055252713</v>
      </c>
      <c r="H28" s="180">
        <v>77.957359313964844</v>
      </c>
      <c r="I28" s="178">
        <v>46.551526869476653</v>
      </c>
      <c r="J28" s="179">
        <v>-5.987718741059922E-2</v>
      </c>
      <c r="K28" s="180">
        <v>342.56396484375</v>
      </c>
      <c r="L28" s="178">
        <v>204.5589506144502</v>
      </c>
      <c r="M28" s="181">
        <v>49.669026732218015</v>
      </c>
      <c r="N28" s="178">
        <v>50.055999999999997</v>
      </c>
      <c r="O28" s="182">
        <v>19.021280000000001</v>
      </c>
      <c r="P28" s="183">
        <v>48.338861487674244</v>
      </c>
      <c r="Q28" s="184">
        <v>18.368767365316213</v>
      </c>
      <c r="R28" s="185">
        <v>23.830553610059948</v>
      </c>
      <c r="S28" s="186">
        <v>51.171228316594259</v>
      </c>
    </row>
    <row r="29" spans="1:19" ht="14" customHeight="1" x14ac:dyDescent="0.35">
      <c r="A29" s="15">
        <v>23</v>
      </c>
      <c r="B29" s="177">
        <v>107.88323974609375</v>
      </c>
      <c r="C29" s="178">
        <v>46.191920415599</v>
      </c>
      <c r="D29" s="179">
        <v>-39.538813780389006</v>
      </c>
      <c r="E29" s="180">
        <v>105.98461151123047</v>
      </c>
      <c r="F29" s="178">
        <v>45.378992619492578</v>
      </c>
      <c r="G29" s="179">
        <v>8.1700751065959949</v>
      </c>
      <c r="H29" s="180">
        <v>78.004646301269531</v>
      </c>
      <c r="I29" s="178">
        <v>46.579763863128854</v>
      </c>
      <c r="J29" s="179">
        <v>2.8236993652200226E-2</v>
      </c>
      <c r="K29" s="180">
        <v>409.91140747070313</v>
      </c>
      <c r="L29" s="178">
        <v>244.77486239787484</v>
      </c>
      <c r="M29" s="181">
        <v>40.215911783424644</v>
      </c>
      <c r="N29" s="178">
        <v>40.04</v>
      </c>
      <c r="O29" s="182">
        <v>15.215199999999999</v>
      </c>
      <c r="P29" s="183">
        <v>48.915410103283833</v>
      </c>
      <c r="Q29" s="184">
        <v>18.587855839247858</v>
      </c>
      <c r="R29" s="185">
        <v>23.996113315158418</v>
      </c>
      <c r="S29" s="186">
        <v>49.993841907547051</v>
      </c>
    </row>
    <row r="30" spans="1:19" ht="14" customHeight="1" x14ac:dyDescent="0.35">
      <c r="A30" s="15">
        <v>24</v>
      </c>
      <c r="B30" s="177">
        <v>108.07832336425781</v>
      </c>
      <c r="C30" s="178">
        <v>46.275448561266764</v>
      </c>
      <c r="D30" s="179">
        <v>8.3528145667763454E-2</v>
      </c>
      <c r="E30" s="180">
        <v>225.83038330078125</v>
      </c>
      <c r="F30" s="178">
        <v>96.692860887426335</v>
      </c>
      <c r="G30" s="179">
        <v>51.313868267933756</v>
      </c>
      <c r="H30" s="180">
        <v>78.132942199707031</v>
      </c>
      <c r="I30" s="178">
        <v>46.656374590017428</v>
      </c>
      <c r="J30" s="179">
        <v>7.6610726888574732E-2</v>
      </c>
      <c r="K30" s="180">
        <v>375.9483642578125</v>
      </c>
      <c r="L30" s="178">
        <v>224.49414056984776</v>
      </c>
      <c r="M30" s="181">
        <v>-20.280721828027083</v>
      </c>
      <c r="N30" s="178">
        <v>20.018999999999998</v>
      </c>
      <c r="O30" s="182">
        <v>7.6072199999999999</v>
      </c>
      <c r="P30" s="183">
        <v>51.21228531246301</v>
      </c>
      <c r="Q30" s="184">
        <v>19.460668418735946</v>
      </c>
      <c r="R30" s="185">
        <v>24.000000237358943</v>
      </c>
      <c r="S30" s="186">
        <v>52.520072261339855</v>
      </c>
    </row>
    <row r="31" spans="1:19" ht="14" customHeight="1" x14ac:dyDescent="0.35">
      <c r="A31" s="15">
        <v>25</v>
      </c>
      <c r="B31" s="177">
        <v>159.83261108398438</v>
      </c>
      <c r="C31" s="178">
        <v>68.434867810651909</v>
      </c>
      <c r="D31" s="179">
        <v>22.159419249385145</v>
      </c>
      <c r="E31" s="180">
        <v>289.72024536132813</v>
      </c>
      <c r="F31" s="178">
        <v>124.04831879367852</v>
      </c>
      <c r="G31" s="179">
        <v>27.355457906252184</v>
      </c>
      <c r="H31" s="180">
        <v>78.111846923828125</v>
      </c>
      <c r="I31" s="178">
        <v>46.643777738218731</v>
      </c>
      <c r="J31" s="179">
        <v>-1.2596851798697628E-2</v>
      </c>
      <c r="K31" s="180">
        <v>375.74105834960938</v>
      </c>
      <c r="L31" s="178">
        <v>224.37034973546287</v>
      </c>
      <c r="M31" s="181">
        <v>-0.12379083438489147</v>
      </c>
      <c r="N31" s="178">
        <v>0</v>
      </c>
      <c r="O31" s="182">
        <v>0</v>
      </c>
      <c r="P31" s="183">
        <v>49.37848946945374</v>
      </c>
      <c r="Q31" s="184">
        <v>18.76382599839242</v>
      </c>
      <c r="R31" s="185">
        <v>24.000000199211968</v>
      </c>
      <c r="S31" s="186">
        <v>52.164784369752944</v>
      </c>
    </row>
    <row r="32" spans="1:19" ht="14" customHeight="1" x14ac:dyDescent="0.35">
      <c r="A32" s="15">
        <v>26</v>
      </c>
      <c r="B32" s="177">
        <v>273.20388793945313</v>
      </c>
      <c r="C32" s="178">
        <v>116.97657836965718</v>
      </c>
      <c r="D32" s="179">
        <v>48.541710559005267</v>
      </c>
      <c r="E32" s="180">
        <v>289.93914794921875</v>
      </c>
      <c r="F32" s="178">
        <v>124.14204540906762</v>
      </c>
      <c r="G32" s="179">
        <v>9.3726615389101653E-2</v>
      </c>
      <c r="H32" s="180">
        <v>78.116584777832031</v>
      </c>
      <c r="I32" s="178">
        <v>46.646606904572067</v>
      </c>
      <c r="J32" s="179">
        <v>2.8291663533366318E-3</v>
      </c>
      <c r="K32" s="180">
        <v>375.75656127929688</v>
      </c>
      <c r="L32" s="178">
        <v>224.37960716868346</v>
      </c>
      <c r="M32" s="181">
        <v>9.2574332205970222E-3</v>
      </c>
      <c r="N32" s="178">
        <v>0</v>
      </c>
      <c r="O32" s="182">
        <v>0</v>
      </c>
      <c r="P32" s="183">
        <v>48.647523773968302</v>
      </c>
      <c r="Q32" s="184">
        <v>18.486059034107956</v>
      </c>
      <c r="R32" s="185">
        <v>24.000000199211968</v>
      </c>
      <c r="S32" s="186">
        <v>50.176908808331767</v>
      </c>
    </row>
    <row r="33" spans="1:21" ht="14" customHeight="1" x14ac:dyDescent="0.35">
      <c r="A33" s="15">
        <v>27</v>
      </c>
      <c r="B33" s="177">
        <v>87.972084045410156</v>
      </c>
      <c r="C33" s="178">
        <v>37.666643257875542</v>
      </c>
      <c r="D33" s="179">
        <v>-79.309935111781641</v>
      </c>
      <c r="E33" s="180">
        <v>89.2847900390625</v>
      </c>
      <c r="F33" s="178">
        <v>38.228699152105072</v>
      </c>
      <c r="G33" s="179">
        <v>-85.913346256962541</v>
      </c>
      <c r="H33" s="180">
        <v>78.128860473632813</v>
      </c>
      <c r="I33" s="178">
        <v>46.653937224479527</v>
      </c>
      <c r="J33" s="179">
        <v>7.3303199074601366E-3</v>
      </c>
      <c r="K33" s="180">
        <v>444.94546508789063</v>
      </c>
      <c r="L33" s="178">
        <v>265.69513071975405</v>
      </c>
      <c r="M33" s="181">
        <v>41.315523551070584</v>
      </c>
      <c r="N33" s="178">
        <v>172.422</v>
      </c>
      <c r="O33" s="182">
        <v>65.520359999999997</v>
      </c>
      <c r="P33" s="183">
        <v>48.521572502233852</v>
      </c>
      <c r="Q33" s="184">
        <v>18.438197550848862</v>
      </c>
      <c r="R33" s="185">
        <v>23.994722213745117</v>
      </c>
      <c r="S33" s="186">
        <v>49.29543824087331</v>
      </c>
    </row>
    <row r="34" spans="1:21" ht="14" customHeight="1" x14ac:dyDescent="0.35">
      <c r="A34" s="15">
        <v>28</v>
      </c>
      <c r="B34" s="177">
        <v>88.638542175292969</v>
      </c>
      <c r="C34" s="178">
        <v>37.951997878003091</v>
      </c>
      <c r="D34" s="179">
        <v>0.2853546201275492</v>
      </c>
      <c r="E34" s="180">
        <v>133.63272094726563</v>
      </c>
      <c r="F34" s="178">
        <v>57.216969247899769</v>
      </c>
      <c r="G34" s="179">
        <v>18.988270095794697</v>
      </c>
      <c r="H34" s="180">
        <v>78.139297485351563</v>
      </c>
      <c r="I34" s="178">
        <v>46.660169590939063</v>
      </c>
      <c r="J34" s="179">
        <v>6.2323664595353989E-3</v>
      </c>
      <c r="K34" s="180">
        <v>458.5919189453125</v>
      </c>
      <c r="L34" s="178">
        <v>273.84398631218625</v>
      </c>
      <c r="M34" s="181">
        <v>8.1488555924321986</v>
      </c>
      <c r="N34" s="178">
        <v>20.027000000000001</v>
      </c>
      <c r="O34" s="182">
        <v>7.6102600000000002</v>
      </c>
      <c r="P34" s="183">
        <v>47.455712674813981</v>
      </c>
      <c r="Q34" s="184">
        <v>18.033170816429312</v>
      </c>
      <c r="R34" s="185">
        <v>24.000000203450519</v>
      </c>
      <c r="S34" s="186">
        <v>48.524213518936591</v>
      </c>
    </row>
    <row r="35" spans="1:21" ht="14" customHeight="1" x14ac:dyDescent="0.35">
      <c r="A35" s="15">
        <v>29</v>
      </c>
      <c r="B35" s="177">
        <v>88.455619812011719</v>
      </c>
      <c r="C35" s="178">
        <v>37.873676766523623</v>
      </c>
      <c r="D35" s="179">
        <v>-7.8321111479468186E-2</v>
      </c>
      <c r="E35" s="180">
        <v>244.05612182617188</v>
      </c>
      <c r="F35" s="178">
        <v>104.49649994629917</v>
      </c>
      <c r="G35" s="179">
        <v>47.279530698399398</v>
      </c>
      <c r="H35" s="180">
        <v>78.096855163574219</v>
      </c>
      <c r="I35" s="178">
        <v>46.634825545168297</v>
      </c>
      <c r="J35" s="179">
        <v>-2.5344045770765433E-2</v>
      </c>
      <c r="K35" s="180">
        <v>424.46029663085938</v>
      </c>
      <c r="L35" s="178">
        <v>253.46259900953203</v>
      </c>
      <c r="M35" s="181">
        <v>-20.381387302654218</v>
      </c>
      <c r="N35" s="178">
        <v>20.015999999999998</v>
      </c>
      <c r="O35" s="182">
        <v>7.6060799999999995</v>
      </c>
      <c r="P35" s="183">
        <v>46.810478238494944</v>
      </c>
      <c r="Q35" s="184">
        <v>17.787981730628079</v>
      </c>
      <c r="R35" s="185">
        <v>24.000000169542101</v>
      </c>
      <c r="S35" s="186">
        <v>49.010545898006484</v>
      </c>
    </row>
    <row r="36" spans="1:21" ht="14" customHeight="1" x14ac:dyDescent="0.35">
      <c r="A36" s="15">
        <v>30</v>
      </c>
      <c r="B36" s="177">
        <v>161.49298095703125</v>
      </c>
      <c r="C36" s="178">
        <v>69.145781509728295</v>
      </c>
      <c r="D36" s="179">
        <v>31.272104743204672</v>
      </c>
      <c r="E36" s="180">
        <v>290.59115600585938</v>
      </c>
      <c r="F36" s="178">
        <v>124.42121300111951</v>
      </c>
      <c r="G36" s="179">
        <v>19.924713054820344</v>
      </c>
      <c r="H36" s="180">
        <v>78.004623413085938</v>
      </c>
      <c r="I36" s="178">
        <v>46.579750195658541</v>
      </c>
      <c r="J36" s="179">
        <v>-5.5075349509756677E-2</v>
      </c>
      <c r="K36" s="180">
        <v>266.8311767578125</v>
      </c>
      <c r="L36" s="178">
        <v>159.33580618642483</v>
      </c>
      <c r="M36" s="181">
        <v>-94.126792823107195</v>
      </c>
      <c r="N36" s="178">
        <v>92.477000000000004</v>
      </c>
      <c r="O36" s="182">
        <v>35.141260000000003</v>
      </c>
      <c r="P36" s="183">
        <v>49.491949625408068</v>
      </c>
      <c r="Q36" s="184">
        <v>18.806940857655068</v>
      </c>
      <c r="R36" s="185">
        <v>23.994999720255535</v>
      </c>
      <c r="S36" s="186">
        <v>53.53554417341973</v>
      </c>
    </row>
    <row r="37" spans="1:21" ht="14" customHeight="1" thickBot="1" x14ac:dyDescent="0.4">
      <c r="A37" s="15"/>
      <c r="B37" s="107"/>
      <c r="C37" s="70"/>
      <c r="D37" s="71"/>
      <c r="E37" s="106"/>
      <c r="F37" s="70"/>
      <c r="G37" s="71"/>
      <c r="H37" s="106"/>
      <c r="I37" s="70"/>
      <c r="J37" s="71"/>
      <c r="K37" s="106"/>
      <c r="L37" s="70"/>
      <c r="M37" s="73"/>
      <c r="N37" s="111"/>
      <c r="O37" s="12"/>
      <c r="P37" s="13"/>
      <c r="Q37" s="14"/>
      <c r="R37" s="155"/>
      <c r="S37" s="157"/>
    </row>
    <row r="38" spans="1:21" ht="14.4" customHeight="1" x14ac:dyDescent="0.35">
      <c r="A38" s="11" t="s">
        <v>8</v>
      </c>
      <c r="B38" s="75"/>
      <c r="C38" s="75">
        <f>IFERROR(C6+D38,"")</f>
        <v>69.14578150972828</v>
      </c>
      <c r="D38" s="76">
        <f>IF($B$7="","",SUM(D7:D37))</f>
        <v>31.61956762960714</v>
      </c>
      <c r="E38" s="75"/>
      <c r="F38" s="75">
        <f>IFERROR(F6+G38,"")</f>
        <v>124.42121300111953</v>
      </c>
      <c r="G38" s="76">
        <f>IF($B$7="","",SUM(G7:G37))</f>
        <v>62.520354251242622</v>
      </c>
      <c r="H38" s="75"/>
      <c r="I38" s="75">
        <f>IFERROR(I6+J38,"")</f>
        <v>46.579750195658548</v>
      </c>
      <c r="J38" s="76">
        <f>IF($B$7="","",SUM(J7:J37))</f>
        <v>-20.817908853451783</v>
      </c>
      <c r="K38" s="75"/>
      <c r="L38" s="75">
        <f>IFERROR(L6+M38,"")</f>
        <v>159.3358061864248</v>
      </c>
      <c r="M38" s="76">
        <f>IF($B$7="","",SUM(M7:M37))</f>
        <v>-111.72147675693135</v>
      </c>
      <c r="N38" s="76">
        <f>SUM(N7:N37)</f>
        <v>1503.4630000000004</v>
      </c>
      <c r="O38" s="76">
        <f>IF($B$7="","",SUM(O7:O37))</f>
        <v>571.31593999999996</v>
      </c>
      <c r="P38" s="77">
        <f>IF(B7="","",SUM(P7:P37))</f>
        <v>1465.0635362704668</v>
      </c>
      <c r="Q38" s="77">
        <f>IF(B8="","",SUM(Q7:Q37))</f>
        <v>556.72414378277733</v>
      </c>
      <c r="R38" s="48">
        <f>SUM(R7:R37)</f>
        <v>719.8025103420681</v>
      </c>
      <c r="S38" s="88"/>
    </row>
    <row r="39" spans="1:21" ht="14.4" customHeight="1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08" t="s">
        <v>47</v>
      </c>
      <c r="O39" s="78">
        <f>IFERROR(O38*1000/0.505,"")</f>
        <v>1131318.6930693069</v>
      </c>
      <c r="P39" s="68" t="s">
        <v>47</v>
      </c>
      <c r="Q39" s="78">
        <f>IFERROR(Q38*1000/0.505,"")</f>
        <v>1102424.0470946087</v>
      </c>
      <c r="R39" s="10"/>
      <c r="S39" s="89"/>
      <c r="U39" s="64"/>
    </row>
    <row r="40" spans="1:21" ht="14.4" customHeight="1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399.48255089293116</v>
      </c>
      <c r="I40" s="17" t="s">
        <v>3</v>
      </c>
      <c r="J40" s="17"/>
      <c r="K40" s="17"/>
      <c r="L40" s="10"/>
      <c r="M40" s="6"/>
      <c r="N40" s="172" t="s">
        <v>60</v>
      </c>
      <c r="O40" s="173">
        <f>IFERROR(O38*1000,"")</f>
        <v>571315.93999999994</v>
      </c>
      <c r="P40" s="10"/>
      <c r="Q40" s="67"/>
      <c r="R40" s="43"/>
      <c r="S40" s="89"/>
      <c r="U40" s="64"/>
    </row>
    <row r="41" spans="1:21" ht="15" customHeight="1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151.80336933931383</v>
      </c>
      <c r="I41" s="7" t="s">
        <v>19</v>
      </c>
      <c r="J41" s="7">
        <f>IFERROR(H41*1000/0.505,"")</f>
        <v>300600.73136497784</v>
      </c>
      <c r="K41" s="7" t="s">
        <v>47</v>
      </c>
      <c r="L41" s="2"/>
      <c r="M41" s="7"/>
      <c r="N41" s="16"/>
      <c r="O41" s="7"/>
      <c r="P41" s="7"/>
      <c r="Q41" s="150" t="s">
        <v>57</v>
      </c>
      <c r="R41" s="42">
        <f>IF(H40="",0,COUNT(R7:R37)*24-R38)</f>
        <v>0.19748965793189655</v>
      </c>
      <c r="S41" s="148" t="s">
        <v>58</v>
      </c>
    </row>
  </sheetData>
  <mergeCells count="10">
    <mergeCell ref="A1:Q1"/>
    <mergeCell ref="A2:Q2"/>
    <mergeCell ref="B40:G40"/>
    <mergeCell ref="B4:D4"/>
    <mergeCell ref="E4:G4"/>
    <mergeCell ref="B3:G3"/>
    <mergeCell ref="H4:J4"/>
    <mergeCell ref="K4:M4"/>
    <mergeCell ref="P4:Q4"/>
    <mergeCell ref="N4:O4"/>
  </mergeCells>
  <phoneticPr fontId="0" type="noConversion"/>
  <conditionalFormatting sqref="H40">
    <cfRule type="iconSet" priority="9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37">
    <cfRule type="cellIs" dxfId="37" priority="5" operator="equal">
      <formula>""</formula>
    </cfRule>
  </conditionalFormatting>
  <conditionalFormatting sqref="R37">
    <cfRule type="cellIs" dxfId="36" priority="6" operator="lessThan">
      <formula>23.98</formula>
    </cfRule>
  </conditionalFormatting>
  <conditionalFormatting sqref="R7:R36">
    <cfRule type="cellIs" dxfId="35" priority="4" operator="lessThan">
      <formula>23.98</formula>
    </cfRule>
  </conditionalFormatting>
  <conditionalFormatting sqref="R7:R36">
    <cfRule type="cellIs" dxfId="34" priority="3" operator="equal">
      <formula>""</formula>
    </cfRule>
  </conditionalFormatting>
  <conditionalFormatting sqref="R7:R36">
    <cfRule type="cellIs" dxfId="33" priority="2" operator="equal">
      <formula>""</formula>
    </cfRule>
  </conditionalFormatting>
  <conditionalFormatting sqref="R7:R36">
    <cfRule type="cellIs" dxfId="32" priority="1" operator="lessThan">
      <formula>23.98</formula>
    </cfRule>
  </conditionalFormatting>
  <pageMargins left="0.31496062992125984" right="0.31496062992125984" top="0.35433070866141736" bottom="0.35433070866141736" header="0.31496062992125984" footer="0.31496062992125984"/>
  <pageSetup paperSize="5" scale="75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V41"/>
  <sheetViews>
    <sheetView showGridLines="0" zoomScale="70" zoomScaleNormal="70" workbookViewId="0">
      <pane xSplit="1" ySplit="5" topLeftCell="B6" activePane="bottomRight" state="frozen"/>
      <selection activeCell="M17" sqref="M17"/>
      <selection pane="topRight" activeCell="M17" sqref="M17"/>
      <selection pane="bottomLeft" activeCell="M17" sqref="M17"/>
      <selection pane="bottomRight" activeCell="B8" sqref="B8:S37"/>
    </sheetView>
  </sheetViews>
  <sheetFormatPr defaultColWidth="8.90625" defaultRowHeight="14.5" x14ac:dyDescent="0.35"/>
  <cols>
    <col min="1" max="7" width="9.6328125" style="1" customWidth="1"/>
    <col min="8" max="8" width="10.08984375" style="1" bestFit="1" customWidth="1"/>
    <col min="9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19" width="10.6328125" style="82" customWidth="1"/>
    <col min="20" max="16384" width="8.90625" style="1"/>
  </cols>
  <sheetData>
    <row r="1" spans="1:19" s="10" customFormat="1" x14ac:dyDescent="0.35">
      <c r="A1" s="191" t="s">
        <v>65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</row>
    <row r="2" spans="1:19" s="10" customFormat="1" x14ac:dyDescent="0.35">
      <c r="A2" s="202">
        <f>SUMMARY!B2</f>
        <v>2021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134"/>
      <c r="S2" s="83"/>
    </row>
    <row r="3" spans="1:19" s="10" customFormat="1" ht="15" thickBot="1" x14ac:dyDescent="0.4">
      <c r="A3" s="168">
        <f>AVERAGE('[1]DCS Data'!$X$188:$X$204)</f>
        <v>1.3426041456777231</v>
      </c>
      <c r="B3" s="203" t="s">
        <v>13</v>
      </c>
      <c r="C3" s="203"/>
      <c r="D3" s="203"/>
      <c r="E3" s="203"/>
      <c r="F3" s="203"/>
      <c r="G3" s="203"/>
      <c r="H3" s="87">
        <f>JAN!$H$3</f>
        <v>0.38</v>
      </c>
      <c r="I3" s="8" t="s">
        <v>12</v>
      </c>
      <c r="J3" s="8"/>
      <c r="K3" s="8"/>
      <c r="L3" s="8"/>
      <c r="M3" s="85"/>
      <c r="N3" s="86"/>
      <c r="S3" s="83"/>
    </row>
    <row r="4" spans="1:19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30" t="s">
        <v>50</v>
      </c>
    </row>
    <row r="5" spans="1:19" x14ac:dyDescent="0.35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36" t="s">
        <v>15</v>
      </c>
      <c r="S5" s="91" t="s">
        <v>3</v>
      </c>
    </row>
    <row r="6" spans="1:19" ht="14" customHeight="1" x14ac:dyDescent="0.35">
      <c r="A6" s="3" t="s">
        <v>1</v>
      </c>
      <c r="B6" s="94"/>
      <c r="C6" s="70">
        <f>+JUN!C38</f>
        <v>69.14578150972828</v>
      </c>
      <c r="D6" s="71"/>
      <c r="E6" s="95"/>
      <c r="F6" s="70">
        <f>+JUN!F38</f>
        <v>124.42121300111953</v>
      </c>
      <c r="G6" s="71"/>
      <c r="H6" s="95"/>
      <c r="I6" s="70">
        <f>+JUN!I38</f>
        <v>46.579750195658548</v>
      </c>
      <c r="J6" s="71"/>
      <c r="K6" s="95"/>
      <c r="L6" s="70">
        <f>+JUN!L38</f>
        <v>159.3358061864248</v>
      </c>
      <c r="M6" s="73"/>
      <c r="N6" s="105"/>
      <c r="O6" s="52"/>
      <c r="P6" s="53"/>
      <c r="Q6" s="54"/>
      <c r="R6" s="139"/>
      <c r="S6" s="92"/>
    </row>
    <row r="7" spans="1:19" ht="14" customHeight="1" x14ac:dyDescent="0.35">
      <c r="A7" s="15">
        <v>1</v>
      </c>
      <c r="B7" s="107">
        <f>LOOKUP(A7+700,'[2]DCS Data'!$A:$A,'[2]DCS Data'!$E:$E)</f>
        <v>167.65438842773438</v>
      </c>
      <c r="C7" s="70">
        <f t="shared" ref="C7" si="0">IF(B7="","",$A$3*PI()/4*(157.5*2.54)^2*B7*2.54/1000000)</f>
        <v>71.864607359278807</v>
      </c>
      <c r="D7" s="71">
        <f t="shared" ref="D7" si="1">IF(C7="","",C7-C6)</f>
        <v>2.7188258495505266</v>
      </c>
      <c r="E7" s="106">
        <f>LOOKUP(A7+700,'[2]DCS Data'!$A:$A,'[2]DCS Data'!$F:$F)</f>
        <v>290.73281860351563</v>
      </c>
      <c r="F7" s="70">
        <f t="shared" ref="F7" si="2">IF(E7="","",$A$3*PI()/4*(157.5*2.54)^2*E7*2.54/1000000)</f>
        <v>124.62184886024596</v>
      </c>
      <c r="G7" s="71">
        <f t="shared" ref="G7" si="3">IF(F7="","",F7-F6)</f>
        <v>0.20063585912643589</v>
      </c>
      <c r="H7" s="106">
        <f>LOOKUP(A7+700,'[2]DCS Data'!$A:$A,'[2]DCS Data'!$G:$G)</f>
        <v>156.42948913574219</v>
      </c>
      <c r="I7" s="70">
        <f t="shared" ref="I7" si="4">IF(H7="","",$A$3*PI()/4*(186*2.54)^2*H7*2.54/1000000)</f>
        <v>93.515484985301285</v>
      </c>
      <c r="J7" s="71">
        <f t="shared" ref="J7" si="5">IF(I7="","",I7-I6)</f>
        <v>46.935734789642737</v>
      </c>
      <c r="K7" s="106">
        <f>LOOKUP(A7+700,'[2]DCS Data'!$A:$A,'[2]DCS Data'!$H:$H)</f>
        <v>173.66529846191406</v>
      </c>
      <c r="L7" s="70">
        <f t="shared" ref="L7" si="6">IF(K7="","",$A$3*PI()/4*(186*2.54)^2*K7*2.54/1000000)</f>
        <v>103.81926515588334</v>
      </c>
      <c r="M7" s="73">
        <f t="shared" ref="M7" si="7">IF(L7="","",L7-L6)</f>
        <v>-55.516541030541461</v>
      </c>
      <c r="N7" s="111">
        <f>IF(K7="", "", LOOKUP(A7+700,[3]SBS!$A:$A,[3]SBS!$C:$C))</f>
        <v>55.365000000000002</v>
      </c>
      <c r="O7" s="12">
        <f t="shared" ref="O7" si="8">IF(N7="","",N7*$H$3)</f>
        <v>21.038700000000002</v>
      </c>
      <c r="P7" s="13">
        <f t="shared" ref="P7" si="9">IFERROR(D7+G7+J7+M7+N7,0)</f>
        <v>49.703655467778241</v>
      </c>
      <c r="Q7" s="14">
        <f t="shared" ref="Q7" si="10">IF(P7="","",P7*$H$3)</f>
        <v>18.887389077755731</v>
      </c>
      <c r="R7" s="155">
        <f>LOOKUP(A7+700,'[2]DCS Data'!$A:$A,'[2]DCS Data'!$K:$K)</f>
        <v>24.000000178019203</v>
      </c>
      <c r="S7" s="156">
        <f>IFERROR(LOOKUP(A7+700,'[2]DCS Data'!$A:$A,'[2]DCS Data'!$J:$J)*3785.4*0.993*$A$3/1000000,0)</f>
        <v>50.383384280527913</v>
      </c>
    </row>
    <row r="8" spans="1:19" ht="14" customHeight="1" x14ac:dyDescent="0.35">
      <c r="A8" s="15">
        <v>2</v>
      </c>
      <c r="B8" s="177">
        <v>74.90753173828125</v>
      </c>
      <c r="C8" s="178">
        <v>32.108914100656953</v>
      </c>
      <c r="D8" s="179">
        <v>-39.755693258621854</v>
      </c>
      <c r="E8" s="180">
        <v>242.85078430175781</v>
      </c>
      <c r="F8" s="178">
        <v>104.09734230286132</v>
      </c>
      <c r="G8" s="179">
        <v>-20.52450655738464</v>
      </c>
      <c r="H8" s="180">
        <v>234.98092651367188</v>
      </c>
      <c r="I8" s="178">
        <v>140.47450660759461</v>
      </c>
      <c r="J8" s="179">
        <v>46.959021622293321</v>
      </c>
      <c r="K8" s="180">
        <v>173.51048278808594</v>
      </c>
      <c r="L8" s="178">
        <v>103.72671442966573</v>
      </c>
      <c r="M8" s="181">
        <v>-9.2550726217609736E-2</v>
      </c>
      <c r="N8" s="178">
        <v>60.064</v>
      </c>
      <c r="O8" s="182">
        <v>22.82432</v>
      </c>
      <c r="P8" s="183">
        <v>46.650271080069217</v>
      </c>
      <c r="Q8" s="184">
        <v>17.727103010426301</v>
      </c>
      <c r="R8" s="185">
        <v>24.000000220404729</v>
      </c>
      <c r="S8" s="186">
        <v>48.08214289716625</v>
      </c>
    </row>
    <row r="9" spans="1:19" ht="14" customHeight="1" x14ac:dyDescent="0.35">
      <c r="A9" s="15">
        <v>3</v>
      </c>
      <c r="B9" s="177">
        <v>74.897010803222656</v>
      </c>
      <c r="C9" s="178">
        <v>32.10440432984732</v>
      </c>
      <c r="D9" s="179">
        <v>-4.5097708096335509E-3</v>
      </c>
      <c r="E9" s="180">
        <v>49.900646209716797</v>
      </c>
      <c r="F9" s="178">
        <v>21.38977917885715</v>
      </c>
      <c r="G9" s="179">
        <v>-82.707563124004167</v>
      </c>
      <c r="H9" s="180">
        <v>312.60302734375</v>
      </c>
      <c r="I9" s="178">
        <v>186.87795933768572</v>
      </c>
      <c r="J9" s="179">
        <v>46.403452730091118</v>
      </c>
      <c r="K9" s="180">
        <v>173.48793029785156</v>
      </c>
      <c r="L9" s="178">
        <v>103.71323227183511</v>
      </c>
      <c r="M9" s="181">
        <v>-1.3482157830623009E-2</v>
      </c>
      <c r="N9" s="178">
        <v>86.221999999999994</v>
      </c>
      <c r="O9" s="182">
        <v>32.764359999999996</v>
      </c>
      <c r="P9" s="183">
        <v>49.899897677446688</v>
      </c>
      <c r="Q9" s="184">
        <v>18.961961117429741</v>
      </c>
      <c r="R9" s="185">
        <v>24.000000199211968</v>
      </c>
      <c r="S9" s="186">
        <v>51.475522805450247</v>
      </c>
    </row>
    <row r="10" spans="1:19" ht="14" customHeight="1" x14ac:dyDescent="0.35">
      <c r="A10" s="15">
        <v>4</v>
      </c>
      <c r="B10" s="177">
        <v>74.912086486816406</v>
      </c>
      <c r="C10" s="178">
        <v>32.110866481493318</v>
      </c>
      <c r="D10" s="179">
        <v>6.4621516459979489E-3</v>
      </c>
      <c r="E10" s="180">
        <v>163.25627136230469</v>
      </c>
      <c r="F10" s="178">
        <v>69.979366185508496</v>
      </c>
      <c r="G10" s="179">
        <v>48.589587006651342</v>
      </c>
      <c r="H10" s="180">
        <v>312.55096435546875</v>
      </c>
      <c r="I10" s="178">
        <v>186.84683543882366</v>
      </c>
      <c r="J10" s="179">
        <v>-3.1123898862063015E-2</v>
      </c>
      <c r="K10" s="180">
        <v>173.25343322753906</v>
      </c>
      <c r="L10" s="178">
        <v>103.57304702045401</v>
      </c>
      <c r="M10" s="181">
        <v>-0.14018525138109794</v>
      </c>
      <c r="N10" s="178">
        <v>0</v>
      </c>
      <c r="O10" s="182">
        <v>0</v>
      </c>
      <c r="P10" s="183">
        <v>48.424740008054179</v>
      </c>
      <c r="Q10" s="184">
        <v>18.401401203060587</v>
      </c>
      <c r="R10" s="185">
        <v>24.000000237358943</v>
      </c>
      <c r="S10" s="186">
        <v>50.227892401599291</v>
      </c>
    </row>
    <row r="11" spans="1:19" ht="14" customHeight="1" x14ac:dyDescent="0.35">
      <c r="A11" s="15">
        <v>5</v>
      </c>
      <c r="B11" s="177">
        <v>74.715118408203125</v>
      </c>
      <c r="C11" s="178">
        <v>32.026436638859309</v>
      </c>
      <c r="D11" s="179">
        <v>-8.4429842634008878E-2</v>
      </c>
      <c r="E11" s="180">
        <v>283.51654052734375</v>
      </c>
      <c r="F11" s="178">
        <v>121.52861047022911</v>
      </c>
      <c r="G11" s="179">
        <v>51.549244284720615</v>
      </c>
      <c r="H11" s="180">
        <v>262.61764526367188</v>
      </c>
      <c r="I11" s="178">
        <v>156.99607918056353</v>
      </c>
      <c r="J11" s="179">
        <v>-29.850756258260134</v>
      </c>
      <c r="K11" s="180">
        <v>173.33839416503906</v>
      </c>
      <c r="L11" s="178">
        <v>103.62383772059</v>
      </c>
      <c r="M11" s="181">
        <v>5.0790700135991074E-2</v>
      </c>
      <c r="N11" s="178">
        <v>30.238</v>
      </c>
      <c r="O11" s="182">
        <v>11.49044</v>
      </c>
      <c r="P11" s="183">
        <v>51.902848883962463</v>
      </c>
      <c r="Q11" s="184">
        <v>19.723082575905735</v>
      </c>
      <c r="R11" s="185">
        <v>24.000000152587887</v>
      </c>
      <c r="S11" s="186">
        <v>52.773554848919517</v>
      </c>
    </row>
    <row r="12" spans="1:19" ht="14" customHeight="1" x14ac:dyDescent="0.35">
      <c r="A12" s="15">
        <v>6</v>
      </c>
      <c r="B12" s="177">
        <v>190.99539184570313</v>
      </c>
      <c r="C12" s="178">
        <v>81.869666348396365</v>
      </c>
      <c r="D12" s="179">
        <v>49.843229709537056</v>
      </c>
      <c r="E12" s="180">
        <v>292.46359252929688</v>
      </c>
      <c r="F12" s="178">
        <v>125.36374049678705</v>
      </c>
      <c r="G12" s="179">
        <v>3.835130026557934</v>
      </c>
      <c r="H12" s="180">
        <v>230.35899353027344</v>
      </c>
      <c r="I12" s="178">
        <v>137.71145785700386</v>
      </c>
      <c r="J12" s="179">
        <v>-19.284621323559662</v>
      </c>
      <c r="K12" s="180">
        <v>173.23193359375</v>
      </c>
      <c r="L12" s="178">
        <v>103.56019427323932</v>
      </c>
      <c r="M12" s="181">
        <v>-6.3643447350685278E-2</v>
      </c>
      <c r="N12" s="178">
        <v>20.044</v>
      </c>
      <c r="O12" s="182">
        <v>7.6167199999999999</v>
      </c>
      <c r="P12" s="183">
        <v>54.374094965184639</v>
      </c>
      <c r="Q12" s="184">
        <v>20.662156086770164</v>
      </c>
      <c r="R12" s="185">
        <v>23.980833808051212</v>
      </c>
      <c r="S12" s="186">
        <v>56.232275997329467</v>
      </c>
    </row>
    <row r="13" spans="1:19" ht="14" customHeight="1" x14ac:dyDescent="0.35">
      <c r="A13" s="15">
        <v>7</v>
      </c>
      <c r="B13" s="177">
        <v>285.99417114257813</v>
      </c>
      <c r="C13" s="178">
        <v>122.59064023881996</v>
      </c>
      <c r="D13" s="179">
        <v>40.720973890423593</v>
      </c>
      <c r="E13" s="180">
        <v>244.53810119628906</v>
      </c>
      <c r="F13" s="178">
        <v>104.82060619862527</v>
      </c>
      <c r="G13" s="179">
        <v>-20.543134298161775</v>
      </c>
      <c r="H13" s="180">
        <v>183.77035522460938</v>
      </c>
      <c r="I13" s="178">
        <v>109.86019317519971</v>
      </c>
      <c r="J13" s="179">
        <v>-27.851264681804153</v>
      </c>
      <c r="K13" s="180">
        <v>173.12406921386719</v>
      </c>
      <c r="L13" s="178">
        <v>103.49571161173405</v>
      </c>
      <c r="M13" s="181">
        <v>-6.4482661505266492E-2</v>
      </c>
      <c r="N13" s="178">
        <v>60.069000000000003</v>
      </c>
      <c r="O13" s="182">
        <v>22.826220000000003</v>
      </c>
      <c r="P13" s="183">
        <v>52.331092248952402</v>
      </c>
      <c r="Q13" s="184">
        <v>19.885815054601913</v>
      </c>
      <c r="R13" s="185">
        <v>23.99499969906277</v>
      </c>
      <c r="S13" s="186">
        <v>55.89995828981646</v>
      </c>
    </row>
    <row r="14" spans="1:19" ht="14" customHeight="1" x14ac:dyDescent="0.35">
      <c r="A14" s="15">
        <v>8</v>
      </c>
      <c r="B14" s="177">
        <v>285.99331665039063</v>
      </c>
      <c r="C14" s="178">
        <v>122.59027396301816</v>
      </c>
      <c r="D14" s="179">
        <v>-3.6627580179526831E-4</v>
      </c>
      <c r="E14" s="180">
        <v>174.41287231445313</v>
      </c>
      <c r="F14" s="178">
        <v>74.761613488482581</v>
      </c>
      <c r="G14" s="179">
        <v>-30.058992710142689</v>
      </c>
      <c r="H14" s="180">
        <v>249.36454772949219</v>
      </c>
      <c r="I14" s="178">
        <v>149.07321341967847</v>
      </c>
      <c r="J14" s="179">
        <v>39.213020244478756</v>
      </c>
      <c r="K14" s="180">
        <v>173.12236022949219</v>
      </c>
      <c r="L14" s="178">
        <v>103.49468995971982</v>
      </c>
      <c r="M14" s="181">
        <v>-1.0216520142307672E-3</v>
      </c>
      <c r="N14" s="178">
        <v>40.034999999999997</v>
      </c>
      <c r="O14" s="182">
        <v>15.213299999999998</v>
      </c>
      <c r="P14" s="183">
        <v>49.187639606520037</v>
      </c>
      <c r="Q14" s="184">
        <v>18.691303050477615</v>
      </c>
      <c r="R14" s="185">
        <v>24.00000026702881</v>
      </c>
      <c r="S14" s="186">
        <v>50.124152782908858</v>
      </c>
    </row>
    <row r="15" spans="1:19" ht="14" customHeight="1" x14ac:dyDescent="0.35">
      <c r="A15" s="15">
        <v>9</v>
      </c>
      <c r="B15" s="177">
        <v>84.001472473144531</v>
      </c>
      <c r="C15" s="178">
        <v>36.007007591607824</v>
      </c>
      <c r="D15" s="179">
        <v>-86.583266371410332</v>
      </c>
      <c r="E15" s="180">
        <v>284.67193603515625</v>
      </c>
      <c r="F15" s="178">
        <v>122.02386767937402</v>
      </c>
      <c r="G15" s="179">
        <v>47.26225419089144</v>
      </c>
      <c r="H15" s="180">
        <v>249.78125</v>
      </c>
      <c r="I15" s="178">
        <v>149.32232319518377</v>
      </c>
      <c r="J15" s="179">
        <v>0.24910977550530333</v>
      </c>
      <c r="K15" s="180">
        <v>114.18634796142578</v>
      </c>
      <c r="L15" s="178">
        <v>68.262012279839794</v>
      </c>
      <c r="M15" s="181">
        <v>-35.232677679880027</v>
      </c>
      <c r="N15" s="178">
        <v>123.758</v>
      </c>
      <c r="O15" s="182">
        <v>47.028039999999997</v>
      </c>
      <c r="P15" s="183">
        <v>49.45341991510638</v>
      </c>
      <c r="Q15" s="184">
        <v>18.792299567740425</v>
      </c>
      <c r="R15" s="185">
        <v>24.000000245836045</v>
      </c>
      <c r="S15" s="186">
        <v>51.356617207400745</v>
      </c>
    </row>
    <row r="16" spans="1:19" ht="14" customHeight="1" x14ac:dyDescent="0.35">
      <c r="A16" s="15">
        <v>10</v>
      </c>
      <c r="B16" s="177">
        <v>83.992774963378906</v>
      </c>
      <c r="C16" s="178">
        <v>36.003279427196674</v>
      </c>
      <c r="D16" s="179">
        <v>-3.7281644111502033E-3</v>
      </c>
      <c r="E16" s="180">
        <v>83.123283386230469</v>
      </c>
      <c r="F16" s="178">
        <v>35.630574176949636</v>
      </c>
      <c r="G16" s="179">
        <v>-86.393293502424385</v>
      </c>
      <c r="H16" s="180">
        <v>249.81390380859375</v>
      </c>
      <c r="I16" s="178">
        <v>149.34184404616997</v>
      </c>
      <c r="J16" s="179">
        <v>1.9520850986197047E-2</v>
      </c>
      <c r="K16" s="180">
        <v>200.52955627441406</v>
      </c>
      <c r="L16" s="178">
        <v>119.87905101842053</v>
      </c>
      <c r="M16" s="181">
        <v>51.617038738580732</v>
      </c>
      <c r="N16" s="178">
        <v>86.231999999999999</v>
      </c>
      <c r="O16" s="182">
        <v>32.768160000000002</v>
      </c>
      <c r="P16" s="183">
        <v>51.471537922731386</v>
      </c>
      <c r="Q16" s="184">
        <v>19.559184410637926</v>
      </c>
      <c r="R16" s="185">
        <v>24.000000237358943</v>
      </c>
      <c r="S16" s="186">
        <v>52.792177800765359</v>
      </c>
    </row>
    <row r="17" spans="1:22" ht="14" customHeight="1" x14ac:dyDescent="0.35">
      <c r="A17" s="15">
        <v>11</v>
      </c>
      <c r="B17" s="177">
        <v>83.550216674804688</v>
      </c>
      <c r="C17" s="178">
        <v>35.813577994742431</v>
      </c>
      <c r="D17" s="179">
        <v>-0.18970143245424254</v>
      </c>
      <c r="E17" s="180">
        <v>83.064399719238281</v>
      </c>
      <c r="F17" s="178">
        <v>35.605333849822195</v>
      </c>
      <c r="G17" s="179">
        <v>-2.5240327127441731E-2</v>
      </c>
      <c r="H17" s="180">
        <v>249.01132202148438</v>
      </c>
      <c r="I17" s="178">
        <v>148.86205071898743</v>
      </c>
      <c r="J17" s="179">
        <v>-0.47979332718253431</v>
      </c>
      <c r="K17" s="180">
        <v>285.80352783203125</v>
      </c>
      <c r="L17" s="178">
        <v>170.85688678897344</v>
      </c>
      <c r="M17" s="181">
        <v>50.977835770552915</v>
      </c>
      <c r="N17" s="178">
        <v>0</v>
      </c>
      <c r="O17" s="182">
        <v>0</v>
      </c>
      <c r="P17" s="183">
        <v>50.283100683788696</v>
      </c>
      <c r="Q17" s="184">
        <v>19.107578259839705</v>
      </c>
      <c r="R17" s="185">
        <v>24.000000186496312</v>
      </c>
      <c r="S17" s="186">
        <v>52.231154239047882</v>
      </c>
    </row>
    <row r="18" spans="1:22" ht="14" customHeight="1" x14ac:dyDescent="0.35">
      <c r="A18" s="15">
        <v>12</v>
      </c>
      <c r="B18" s="177">
        <v>100.44373321533203</v>
      </c>
      <c r="C18" s="178">
        <v>43.054938894912254</v>
      </c>
      <c r="D18" s="179">
        <v>7.2413609001698234</v>
      </c>
      <c r="E18" s="180">
        <v>82.425270080566406</v>
      </c>
      <c r="F18" s="178">
        <v>35.331372631356203</v>
      </c>
      <c r="G18" s="179">
        <v>-0.27396121846599186</v>
      </c>
      <c r="H18" s="180">
        <v>214.99180603027344</v>
      </c>
      <c r="I18" s="178">
        <v>128.52476294505195</v>
      </c>
      <c r="J18" s="179">
        <v>-20.337287773935486</v>
      </c>
      <c r="K18" s="180">
        <v>347.45037841796875</v>
      </c>
      <c r="L18" s="178">
        <v>207.71013717169259</v>
      </c>
      <c r="M18" s="181">
        <v>36.853250382719153</v>
      </c>
      <c r="N18" s="178">
        <v>40.017000000000003</v>
      </c>
      <c r="O18" s="182">
        <v>15.206460000000002</v>
      </c>
      <c r="P18" s="183">
        <v>63.500362290487502</v>
      </c>
      <c r="Q18" s="184">
        <v>24.130137670385253</v>
      </c>
      <c r="R18" s="185">
        <v>24.000000182257761</v>
      </c>
      <c r="S18" s="186">
        <v>65.779138046442398</v>
      </c>
    </row>
    <row r="19" spans="1:22" ht="14" customHeight="1" x14ac:dyDescent="0.35">
      <c r="A19" s="15">
        <v>13</v>
      </c>
      <c r="B19" s="177">
        <v>246.78436279296875</v>
      </c>
      <c r="C19" s="178">
        <v>105.78346025324009</v>
      </c>
      <c r="D19" s="179">
        <v>62.728521358327839</v>
      </c>
      <c r="E19" s="180">
        <v>82.483299255371094</v>
      </c>
      <c r="F19" s="178">
        <v>35.356246682681849</v>
      </c>
      <c r="G19" s="179">
        <v>2.4874051325646462E-2</v>
      </c>
      <c r="H19" s="180">
        <v>110.61604309082031</v>
      </c>
      <c r="I19" s="178">
        <v>66.12763983277307</v>
      </c>
      <c r="J19" s="179">
        <v>-62.397123112278877</v>
      </c>
      <c r="K19" s="180">
        <v>347.46249389648438</v>
      </c>
      <c r="L19" s="178">
        <v>207.71737995472205</v>
      </c>
      <c r="M19" s="181">
        <v>7.2427830294543583E-3</v>
      </c>
      <c r="N19" s="178">
        <v>60.073999999999998</v>
      </c>
      <c r="O19" s="182">
        <v>22.828119999999998</v>
      </c>
      <c r="P19" s="183">
        <v>60.437515080404062</v>
      </c>
      <c r="Q19" s="184">
        <v>22.966255730553545</v>
      </c>
      <c r="R19" s="185">
        <v>24.000000220404729</v>
      </c>
      <c r="S19" s="186">
        <v>64.115507768677574</v>
      </c>
    </row>
    <row r="20" spans="1:22" ht="14" customHeight="1" x14ac:dyDescent="0.35">
      <c r="A20" s="15">
        <v>14</v>
      </c>
      <c r="B20" s="177">
        <v>201.92453002929688</v>
      </c>
      <c r="C20" s="178">
        <v>86.554412341059802</v>
      </c>
      <c r="D20" s="179">
        <v>-19.229047912180292</v>
      </c>
      <c r="E20" s="180">
        <v>182.23883056640625</v>
      </c>
      <c r="F20" s="178">
        <v>78.116189663082039</v>
      </c>
      <c r="G20" s="179">
        <v>42.75994298040019</v>
      </c>
      <c r="H20" s="180">
        <v>110.46308898925781</v>
      </c>
      <c r="I20" s="178">
        <v>66.036201977499516</v>
      </c>
      <c r="J20" s="179">
        <v>-9.1437855273554192E-2</v>
      </c>
      <c r="K20" s="180">
        <v>346.97421264648438</v>
      </c>
      <c r="L20" s="178">
        <v>207.42547937922788</v>
      </c>
      <c r="M20" s="181">
        <v>-0.29190057549416792</v>
      </c>
      <c r="N20" s="178">
        <v>40.042999999999999</v>
      </c>
      <c r="O20" s="182">
        <v>15.216340000000001</v>
      </c>
      <c r="P20" s="183">
        <v>63.190556637452175</v>
      </c>
      <c r="Q20" s="184">
        <v>24.012411522231826</v>
      </c>
      <c r="R20" s="185">
        <v>23.994444914923772</v>
      </c>
      <c r="S20" s="186">
        <v>67.254024052224167</v>
      </c>
    </row>
    <row r="21" spans="1:22" ht="14" customHeight="1" x14ac:dyDescent="0.35">
      <c r="A21" s="15">
        <v>15</v>
      </c>
      <c r="B21" s="177">
        <v>119.56609344482422</v>
      </c>
      <c r="C21" s="178">
        <v>51.251687709915615</v>
      </c>
      <c r="D21" s="179">
        <v>-35.302724631144187</v>
      </c>
      <c r="E21" s="180">
        <v>270.37539672851563</v>
      </c>
      <c r="F21" s="178">
        <v>115.89569415821934</v>
      </c>
      <c r="G21" s="179">
        <v>37.779504495137303</v>
      </c>
      <c r="H21" s="180">
        <v>110.36409759521484</v>
      </c>
      <c r="I21" s="178">
        <v>65.977023696764576</v>
      </c>
      <c r="J21" s="179">
        <v>-5.9178280734940358E-2</v>
      </c>
      <c r="K21" s="180">
        <v>248.64622497558594</v>
      </c>
      <c r="L21" s="178">
        <v>148.64379118555465</v>
      </c>
      <c r="M21" s="181">
        <v>-58.781688193673233</v>
      </c>
      <c r="N21" s="178">
        <v>121.956</v>
      </c>
      <c r="O21" s="182">
        <v>46.34328</v>
      </c>
      <c r="P21" s="183">
        <v>65.591913389584946</v>
      </c>
      <c r="Q21" s="184">
        <v>24.924927088042281</v>
      </c>
      <c r="R21" s="185">
        <v>24.000000245836045</v>
      </c>
      <c r="S21" s="186">
        <v>66.55573703405959</v>
      </c>
    </row>
    <row r="22" spans="1:22" s="63" customFormat="1" ht="14" customHeight="1" x14ac:dyDescent="0.35">
      <c r="A22" s="15">
        <v>16</v>
      </c>
      <c r="B22" s="177">
        <v>70.995185852050781</v>
      </c>
      <c r="C22" s="178">
        <v>30.431897449888918</v>
      </c>
      <c r="D22" s="179">
        <v>-20.819790260026696</v>
      </c>
      <c r="E22" s="180">
        <v>81.827674865722656</v>
      </c>
      <c r="F22" s="178">
        <v>35.075215033113309</v>
      </c>
      <c r="G22" s="179">
        <v>-80.820479125106033</v>
      </c>
      <c r="H22" s="180">
        <v>110.35778045654297</v>
      </c>
      <c r="I22" s="178">
        <v>65.973247233069131</v>
      </c>
      <c r="J22" s="179">
        <v>-3.7764636954449315E-3</v>
      </c>
      <c r="K22" s="180">
        <v>344.17803955078125</v>
      </c>
      <c r="L22" s="178">
        <v>205.75389248987466</v>
      </c>
      <c r="M22" s="181">
        <v>57.110101304320011</v>
      </c>
      <c r="N22" s="178">
        <v>100.11199999999999</v>
      </c>
      <c r="O22" s="182">
        <v>38.042560000000002</v>
      </c>
      <c r="P22" s="183">
        <v>55.578055455491835</v>
      </c>
      <c r="Q22" s="184">
        <v>21.119661073086899</v>
      </c>
      <c r="R22" s="185">
        <v>24.000000224643284</v>
      </c>
      <c r="S22" s="186">
        <v>58.546738823235621</v>
      </c>
    </row>
    <row r="23" spans="1:22" ht="14" customHeight="1" x14ac:dyDescent="0.35">
      <c r="A23" s="15">
        <v>17</v>
      </c>
      <c r="B23" s="177">
        <v>70.807098388671875</v>
      </c>
      <c r="C23" s="178">
        <v>30.351274259337877</v>
      </c>
      <c r="D23" s="179">
        <v>-8.0623190551040835E-2</v>
      </c>
      <c r="E23" s="180">
        <v>81.622840881347656</v>
      </c>
      <c r="F23" s="178">
        <v>34.98741349091096</v>
      </c>
      <c r="G23" s="179">
        <v>-8.7801542202349481E-2</v>
      </c>
      <c r="H23" s="180">
        <v>110.33390808105469</v>
      </c>
      <c r="I23" s="178">
        <v>65.958976031495354</v>
      </c>
      <c r="J23" s="179">
        <v>-1.4271201573777148E-2</v>
      </c>
      <c r="K23" s="180">
        <v>259.72503662109375</v>
      </c>
      <c r="L23" s="178">
        <v>155.26684192755025</v>
      </c>
      <c r="M23" s="181">
        <v>-50.487050562324413</v>
      </c>
      <c r="N23" s="178">
        <v>96.251999999999995</v>
      </c>
      <c r="O23" s="182">
        <v>36.575759999999995</v>
      </c>
      <c r="P23" s="183">
        <v>45.582253503348412</v>
      </c>
      <c r="Q23" s="184">
        <v>17.321256331272398</v>
      </c>
      <c r="R23" s="185">
        <v>24.000000173780656</v>
      </c>
      <c r="S23" s="186">
        <v>48.006504752767938</v>
      </c>
      <c r="V23" s="169"/>
    </row>
    <row r="24" spans="1:22" ht="14" customHeight="1" x14ac:dyDescent="0.35">
      <c r="A24" s="15">
        <v>18</v>
      </c>
      <c r="B24" s="177">
        <v>71.093978881835938</v>
      </c>
      <c r="C24" s="178">
        <v>30.474244819152105</v>
      </c>
      <c r="D24" s="179">
        <v>0.12297055981422744</v>
      </c>
      <c r="E24" s="180">
        <v>81.462295532226563</v>
      </c>
      <c r="F24" s="178">
        <v>34.918596154328576</v>
      </c>
      <c r="G24" s="179">
        <v>-6.8817336582384314E-2</v>
      </c>
      <c r="H24" s="180">
        <v>110.27655029296875</v>
      </c>
      <c r="I24" s="178">
        <v>65.924686835767773</v>
      </c>
      <c r="J24" s="179">
        <v>-3.4289195727581046E-2</v>
      </c>
      <c r="K24" s="180">
        <v>336.51580810546875</v>
      </c>
      <c r="L24" s="178">
        <v>201.17331568407658</v>
      </c>
      <c r="M24" s="181">
        <v>45.906473756526339</v>
      </c>
      <c r="N24" s="178">
        <v>0</v>
      </c>
      <c r="O24" s="182">
        <v>0</v>
      </c>
      <c r="P24" s="183">
        <v>45.926337784030601</v>
      </c>
      <c r="Q24" s="184">
        <v>17.452008357931629</v>
      </c>
      <c r="R24" s="185">
        <v>24.000000250074599</v>
      </c>
      <c r="S24" s="186">
        <v>47.156717772941875</v>
      </c>
    </row>
    <row r="25" spans="1:22" ht="14" customHeight="1" x14ac:dyDescent="0.35">
      <c r="A25" s="15">
        <v>19</v>
      </c>
      <c r="B25" s="177">
        <v>71.149703979492188</v>
      </c>
      <c r="C25" s="178">
        <v>30.498131233940768</v>
      </c>
      <c r="D25" s="179">
        <v>2.3886414788663046E-2</v>
      </c>
      <c r="E25" s="180">
        <v>81.400650024414063</v>
      </c>
      <c r="F25" s="178">
        <v>34.892171971484601</v>
      </c>
      <c r="G25" s="179">
        <v>-2.6424182843975075E-2</v>
      </c>
      <c r="H25" s="180">
        <v>110.24208068847656</v>
      </c>
      <c r="I25" s="178">
        <v>65.90408047951648</v>
      </c>
      <c r="J25" s="179">
        <v>-2.0606356251292368E-2</v>
      </c>
      <c r="K25" s="180">
        <v>378.41729736328125</v>
      </c>
      <c r="L25" s="178">
        <v>226.22254464467548</v>
      </c>
      <c r="M25" s="181">
        <v>25.049228960598896</v>
      </c>
      <c r="N25" s="178">
        <v>20.013999999999999</v>
      </c>
      <c r="O25" s="182">
        <v>7.6053199999999999</v>
      </c>
      <c r="P25" s="183">
        <v>45.040084836292294</v>
      </c>
      <c r="Q25" s="184">
        <v>17.115232237791073</v>
      </c>
      <c r="R25" s="185">
        <v>24.000000279744466</v>
      </c>
      <c r="S25" s="186">
        <v>46.653064733114135</v>
      </c>
    </row>
    <row r="26" spans="1:22" ht="14" customHeight="1" x14ac:dyDescent="0.35">
      <c r="A26" s="15">
        <v>20</v>
      </c>
      <c r="B26" s="177">
        <v>94.888313293457031</v>
      </c>
      <c r="C26" s="178">
        <v>40.673622932082274</v>
      </c>
      <c r="D26" s="179">
        <v>10.175491698141506</v>
      </c>
      <c r="E26" s="180">
        <v>81.403221130371094</v>
      </c>
      <c r="F26" s="178">
        <v>34.893274069209653</v>
      </c>
      <c r="G26" s="179">
        <v>1.1020977250524311E-3</v>
      </c>
      <c r="H26" s="180">
        <v>110.16032409667969</v>
      </c>
      <c r="I26" s="178">
        <v>65.855205376907179</v>
      </c>
      <c r="J26" s="179">
        <v>-4.887510260930128E-2</v>
      </c>
      <c r="K26" s="180">
        <v>404.93450927734375</v>
      </c>
      <c r="L26" s="178">
        <v>242.07486217318024</v>
      </c>
      <c r="M26" s="181">
        <v>15.852317528504756</v>
      </c>
      <c r="N26" s="178">
        <v>20.018999999999998</v>
      </c>
      <c r="O26" s="182">
        <v>7.6072199999999999</v>
      </c>
      <c r="P26" s="183">
        <v>45.999036221762012</v>
      </c>
      <c r="Q26" s="184">
        <v>17.479633764269565</v>
      </c>
      <c r="R26" s="185">
        <v>24.000000207689073</v>
      </c>
      <c r="S26" s="186">
        <v>47.536996519386506</v>
      </c>
    </row>
    <row r="27" spans="1:22" ht="14" customHeight="1" x14ac:dyDescent="0.35">
      <c r="A27" s="15">
        <v>21</v>
      </c>
      <c r="B27" s="177">
        <v>201.41075134277344</v>
      </c>
      <c r="C27" s="178">
        <v>86.334182474589639</v>
      </c>
      <c r="D27" s="179">
        <v>45.660559542507364</v>
      </c>
      <c r="E27" s="180">
        <v>81.3883056640625</v>
      </c>
      <c r="F27" s="178">
        <v>34.886880594276491</v>
      </c>
      <c r="G27" s="179">
        <v>-6.3934749331622243E-3</v>
      </c>
      <c r="H27" s="180">
        <v>110.3642578125</v>
      </c>
      <c r="I27" s="178">
        <v>65.977119476640922</v>
      </c>
      <c r="J27" s="179">
        <v>0.12191409973374334</v>
      </c>
      <c r="K27" s="180">
        <v>260.4173583984375</v>
      </c>
      <c r="L27" s="178">
        <v>155.68072045602901</v>
      </c>
      <c r="M27" s="181">
        <v>-86.394141717151228</v>
      </c>
      <c r="N27" s="178">
        <v>86.230999999999995</v>
      </c>
      <c r="O27" s="182">
        <v>32.767779999999995</v>
      </c>
      <c r="P27" s="183">
        <v>45.612938450156712</v>
      </c>
      <c r="Q27" s="184">
        <v>17.332916611059552</v>
      </c>
      <c r="R27" s="185">
        <v>23.995554377237955</v>
      </c>
      <c r="S27" s="186">
        <v>47.751698258294986</v>
      </c>
    </row>
    <row r="28" spans="1:22" ht="14" customHeight="1" x14ac:dyDescent="0.35">
      <c r="A28" s="15">
        <v>22</v>
      </c>
      <c r="B28" s="177">
        <v>88.158714294433594</v>
      </c>
      <c r="C28" s="178">
        <v>37.788998233107129</v>
      </c>
      <c r="D28" s="179">
        <v>-48.545184241482509</v>
      </c>
      <c r="E28" s="180">
        <v>103.62779998779297</v>
      </c>
      <c r="F28" s="178">
        <v>44.419780641999978</v>
      </c>
      <c r="G28" s="179">
        <v>9.5329000477234871</v>
      </c>
      <c r="H28" s="180">
        <v>110.23370361328125</v>
      </c>
      <c r="I28" s="178">
        <v>65.899072560268166</v>
      </c>
      <c r="J28" s="179">
        <v>-7.8046916372755959E-2</v>
      </c>
      <c r="K28" s="180">
        <v>179.43850708007813</v>
      </c>
      <c r="L28" s="178">
        <v>107.27056073213141</v>
      </c>
      <c r="M28" s="181">
        <v>-48.410159723897593</v>
      </c>
      <c r="N28" s="178">
        <v>133.982</v>
      </c>
      <c r="O28" s="182">
        <v>50.913159999999998</v>
      </c>
      <c r="P28" s="183">
        <v>46.481509165970635</v>
      </c>
      <c r="Q28" s="184">
        <v>17.662973483068843</v>
      </c>
      <c r="R28" s="185">
        <v>24.000000216166178</v>
      </c>
      <c r="S28" s="186">
        <v>48.435054396064814</v>
      </c>
    </row>
    <row r="29" spans="1:22" ht="14" customHeight="1" x14ac:dyDescent="0.35">
      <c r="A29" s="15">
        <v>23</v>
      </c>
      <c r="B29" s="177">
        <v>88.204933166503906</v>
      </c>
      <c r="C29" s="178">
        <v>37.80880982960079</v>
      </c>
      <c r="D29" s="179">
        <v>1.9811596493660488E-2</v>
      </c>
      <c r="E29" s="180">
        <v>214.27183532714844</v>
      </c>
      <c r="F29" s="178">
        <v>91.847051892560245</v>
      </c>
      <c r="G29" s="179">
        <v>47.427271250560267</v>
      </c>
      <c r="H29" s="180">
        <v>110.21018218994141</v>
      </c>
      <c r="I29" s="178">
        <v>65.885011162233027</v>
      </c>
      <c r="J29" s="179">
        <v>-1.406139803513895E-2</v>
      </c>
      <c r="K29" s="180">
        <v>76.95855712890625</v>
      </c>
      <c r="L29" s="178">
        <v>46.006778091780525</v>
      </c>
      <c r="M29" s="181">
        <v>-61.26378264035089</v>
      </c>
      <c r="N29" s="178">
        <v>60.075000000000003</v>
      </c>
      <c r="O29" s="182">
        <v>22.828500000000002</v>
      </c>
      <c r="P29" s="183">
        <v>46.244238808667902</v>
      </c>
      <c r="Q29" s="184">
        <v>17.572810747293804</v>
      </c>
      <c r="R29" s="185">
        <v>24.000000173780656</v>
      </c>
      <c r="S29" s="186">
        <v>49.022678076247388</v>
      </c>
    </row>
    <row r="30" spans="1:22" ht="14" customHeight="1" x14ac:dyDescent="0.35">
      <c r="A30" s="15">
        <v>24</v>
      </c>
      <c r="B30" s="177">
        <v>87.946495056152344</v>
      </c>
      <c r="C30" s="178">
        <v>37.698031021474968</v>
      </c>
      <c r="D30" s="179">
        <v>-0.11077880812582208</v>
      </c>
      <c r="E30" s="180">
        <v>235.21534729003906</v>
      </c>
      <c r="F30" s="178">
        <v>100.8244325507841</v>
      </c>
      <c r="G30" s="179">
        <v>8.9773806582238507</v>
      </c>
      <c r="H30" s="180">
        <v>155.74258422851563</v>
      </c>
      <c r="I30" s="178">
        <v>93.104844728831921</v>
      </c>
      <c r="J30" s="179">
        <v>27.219833566598894</v>
      </c>
      <c r="K30" s="180">
        <v>76.815330505371094</v>
      </c>
      <c r="L30" s="178">
        <v>45.921155443284405</v>
      </c>
      <c r="M30" s="181">
        <v>-8.562264849611978E-2</v>
      </c>
      <c r="N30" s="178">
        <v>20.018999999999998</v>
      </c>
      <c r="O30" s="182">
        <v>7.6072199999999999</v>
      </c>
      <c r="P30" s="183">
        <v>56.019812768200801</v>
      </c>
      <c r="Q30" s="184">
        <v>21.287528851916303</v>
      </c>
      <c r="R30" s="185">
        <v>24.000000288221568</v>
      </c>
      <c r="S30" s="186">
        <v>56.763303260397549</v>
      </c>
    </row>
    <row r="31" spans="1:22" ht="14" customHeight="1" x14ac:dyDescent="0.35">
      <c r="A31" s="15">
        <v>25</v>
      </c>
      <c r="B31" s="177">
        <v>87.967338562011719</v>
      </c>
      <c r="C31" s="178">
        <v>37.706965534783095</v>
      </c>
      <c r="D31" s="179">
        <v>8.9345133081266681E-3</v>
      </c>
      <c r="E31" s="180">
        <v>235.20094299316406</v>
      </c>
      <c r="F31" s="178">
        <v>100.8182581872681</v>
      </c>
      <c r="G31" s="179">
        <v>-6.1743635159956511E-3</v>
      </c>
      <c r="H31" s="180">
        <v>255.55191040039063</v>
      </c>
      <c r="I31" s="178">
        <v>152.77209541530351</v>
      </c>
      <c r="J31" s="179">
        <v>59.66725068647159</v>
      </c>
      <c r="K31" s="180">
        <v>76.88812255859375</v>
      </c>
      <c r="L31" s="178">
        <v>45.964671433765503</v>
      </c>
      <c r="M31" s="181">
        <v>4.3515990481097333E-2</v>
      </c>
      <c r="N31" s="178">
        <v>0</v>
      </c>
      <c r="O31" s="182">
        <v>0</v>
      </c>
      <c r="P31" s="183">
        <v>59.713526826744818</v>
      </c>
      <c r="Q31" s="184">
        <v>22.69114019416303</v>
      </c>
      <c r="R31" s="185">
        <v>24.00000019497341</v>
      </c>
      <c r="S31" s="186">
        <v>60.637530828629458</v>
      </c>
    </row>
    <row r="32" spans="1:22" ht="14" customHeight="1" x14ac:dyDescent="0.35">
      <c r="A32" s="15">
        <v>26</v>
      </c>
      <c r="B32" s="177">
        <v>87.499336242675781</v>
      </c>
      <c r="C32" s="178">
        <v>37.506357586266397</v>
      </c>
      <c r="D32" s="179">
        <v>-0.20060794851669783</v>
      </c>
      <c r="E32" s="180">
        <v>185.88166809082031</v>
      </c>
      <c r="F32" s="178">
        <v>79.677682271899158</v>
      </c>
      <c r="G32" s="179">
        <v>-21.140575915368942</v>
      </c>
      <c r="H32" s="180">
        <v>355.84689331054688</v>
      </c>
      <c r="I32" s="178">
        <v>212.72967771167598</v>
      </c>
      <c r="J32" s="179">
        <v>59.957582296372465</v>
      </c>
      <c r="K32" s="180">
        <v>76.809410095214844</v>
      </c>
      <c r="L32" s="178">
        <v>45.917616148806538</v>
      </c>
      <c r="M32" s="181">
        <v>-4.705528495896516E-2</v>
      </c>
      <c r="N32" s="178">
        <v>20.018000000000001</v>
      </c>
      <c r="O32" s="182">
        <v>7.60684</v>
      </c>
      <c r="P32" s="183">
        <v>58.587343147527861</v>
      </c>
      <c r="Q32" s="184">
        <v>22.263190396060587</v>
      </c>
      <c r="R32" s="185">
        <v>24.000000178019203</v>
      </c>
      <c r="S32" s="186">
        <v>62.351040260305069</v>
      </c>
    </row>
    <row r="33" spans="1:19" ht="14" customHeight="1" x14ac:dyDescent="0.35">
      <c r="A33" s="15">
        <v>27</v>
      </c>
      <c r="B33" s="177">
        <v>87.258529663085938</v>
      </c>
      <c r="C33" s="178">
        <v>37.403136486872306</v>
      </c>
      <c r="D33" s="179">
        <v>-0.10322109939409074</v>
      </c>
      <c r="E33" s="180">
        <v>92.705329895019531</v>
      </c>
      <c r="F33" s="178">
        <v>39.737892908718429</v>
      </c>
      <c r="G33" s="179">
        <v>-39.939789363180729</v>
      </c>
      <c r="H33" s="180">
        <v>464.71636962890625</v>
      </c>
      <c r="I33" s="178">
        <v>277.81319830779944</v>
      </c>
      <c r="J33" s="179">
        <v>65.083520596123464</v>
      </c>
      <c r="K33" s="180">
        <v>76.80352783203125</v>
      </c>
      <c r="L33" s="178">
        <v>45.914099659061137</v>
      </c>
      <c r="M33" s="181">
        <v>-3.5164897454009747E-3</v>
      </c>
      <c r="N33" s="178">
        <v>40.040999999999997</v>
      </c>
      <c r="O33" s="182">
        <v>15.215579999999999</v>
      </c>
      <c r="P33" s="183">
        <v>65.077993643803239</v>
      </c>
      <c r="Q33" s="184">
        <v>24.729637584645232</v>
      </c>
      <c r="R33" s="185">
        <v>24.000000211927627</v>
      </c>
      <c r="S33" s="186">
        <v>66.766446111934513</v>
      </c>
    </row>
    <row r="34" spans="1:19" ht="14" customHeight="1" x14ac:dyDescent="0.35">
      <c r="A34" s="15">
        <v>28</v>
      </c>
      <c r="B34" s="177">
        <v>87.500564575195313</v>
      </c>
      <c r="C34" s="178">
        <v>37.506884107731494</v>
      </c>
      <c r="D34" s="179">
        <v>0.10374762085918832</v>
      </c>
      <c r="E34" s="180">
        <v>92.908432006835938</v>
      </c>
      <c r="F34" s="178">
        <v>39.824952088358202</v>
      </c>
      <c r="G34" s="179">
        <v>8.7059179639773276E-2</v>
      </c>
      <c r="H34" s="180">
        <v>468.78189086914063</v>
      </c>
      <c r="I34" s="178">
        <v>280.24361723072167</v>
      </c>
      <c r="J34" s="179">
        <v>2.4304189229222288</v>
      </c>
      <c r="K34" s="180">
        <v>76.778053283691406</v>
      </c>
      <c r="L34" s="178">
        <v>45.898870658724022</v>
      </c>
      <c r="M34" s="181">
        <v>-1.522900033711494E-2</v>
      </c>
      <c r="N34" s="178">
        <v>55.25</v>
      </c>
      <c r="O34" s="182">
        <v>20.995000000000001</v>
      </c>
      <c r="P34" s="183">
        <v>57.855996723084075</v>
      </c>
      <c r="Q34" s="184">
        <v>21.985278754771947</v>
      </c>
      <c r="R34" s="185">
        <v>23.993886023627386</v>
      </c>
      <c r="S34" s="186">
        <v>60.081620109001207</v>
      </c>
    </row>
    <row r="35" spans="1:19" ht="14" customHeight="1" x14ac:dyDescent="0.35">
      <c r="A35" s="15">
        <v>29</v>
      </c>
      <c r="B35" s="177">
        <v>114.88924407958984</v>
      </c>
      <c r="C35" s="178">
        <v>49.24696867772677</v>
      </c>
      <c r="D35" s="179">
        <v>11.740084569995275</v>
      </c>
      <c r="E35" s="180">
        <v>92.694221496582031</v>
      </c>
      <c r="F35" s="178">
        <v>39.733131323295055</v>
      </c>
      <c r="G35" s="179">
        <v>-9.1820765063147292E-2</v>
      </c>
      <c r="H35" s="180">
        <v>491.57379150390625</v>
      </c>
      <c r="I35" s="178">
        <v>293.86889756227976</v>
      </c>
      <c r="J35" s="179">
        <v>13.625280331558088</v>
      </c>
      <c r="K35" s="180">
        <v>76.785255432128906</v>
      </c>
      <c r="L35" s="178">
        <v>45.90317619221257</v>
      </c>
      <c r="M35" s="181">
        <v>4.3055334885480079E-3</v>
      </c>
      <c r="N35" s="178">
        <v>20.027999999999999</v>
      </c>
      <c r="O35" s="182">
        <v>7.6106399999999992</v>
      </c>
      <c r="P35" s="183">
        <v>45.305849669978763</v>
      </c>
      <c r="Q35" s="184">
        <v>17.216222874591931</v>
      </c>
      <c r="R35" s="185">
        <v>24.000000216166178</v>
      </c>
      <c r="S35" s="186">
        <v>47.112325824049492</v>
      </c>
    </row>
    <row r="36" spans="1:19" ht="14" customHeight="1" x14ac:dyDescent="0.35">
      <c r="A36" s="15">
        <v>30</v>
      </c>
      <c r="B36" s="177">
        <v>220.5867919921875</v>
      </c>
      <c r="C36" s="178">
        <v>94.553941258713081</v>
      </c>
      <c r="D36" s="179">
        <v>45.306972580986312</v>
      </c>
      <c r="E36" s="180">
        <v>93.291648864746094</v>
      </c>
      <c r="F36" s="178">
        <v>39.989216974505453</v>
      </c>
      <c r="G36" s="179">
        <v>0.25608565121039817</v>
      </c>
      <c r="H36" s="180">
        <v>457.33673095703125</v>
      </c>
      <c r="I36" s="178">
        <v>273.40155896006866</v>
      </c>
      <c r="J36" s="179">
        <v>-20.4673386022111</v>
      </c>
      <c r="K36" s="180">
        <v>76.821258544921875</v>
      </c>
      <c r="L36" s="178">
        <v>45.924699298708759</v>
      </c>
      <c r="M36" s="181">
        <v>2.1523106496189826E-2</v>
      </c>
      <c r="N36" s="178">
        <v>20.024000000000001</v>
      </c>
      <c r="O36" s="182">
        <v>7.6091200000000008</v>
      </c>
      <c r="P36" s="183">
        <v>45.1412427364818</v>
      </c>
      <c r="Q36" s="184">
        <v>17.153672239863084</v>
      </c>
      <c r="R36" s="185">
        <v>24.000000203450519</v>
      </c>
      <c r="S36" s="186">
        <v>46.856224154272802</v>
      </c>
    </row>
    <row r="37" spans="1:19" ht="14" customHeight="1" thickBot="1" x14ac:dyDescent="0.4">
      <c r="A37" s="15">
        <v>31</v>
      </c>
      <c r="B37" s="177">
        <v>262.90380859375</v>
      </c>
      <c r="C37" s="178">
        <v>112.69301779113684</v>
      </c>
      <c r="D37" s="179">
        <v>18.139076532423758</v>
      </c>
      <c r="E37" s="180">
        <v>151.88450622558594</v>
      </c>
      <c r="F37" s="178">
        <v>65.104889327513888</v>
      </c>
      <c r="G37" s="179">
        <v>25.115672353008435</v>
      </c>
      <c r="H37" s="180">
        <v>280.11611938476563</v>
      </c>
      <c r="I37" s="178">
        <v>167.45688361697549</v>
      </c>
      <c r="J37" s="179">
        <v>-105.94467534309317</v>
      </c>
      <c r="K37" s="180">
        <v>76.732093811035156</v>
      </c>
      <c r="L37" s="178">
        <v>45.871395517055639</v>
      </c>
      <c r="M37" s="181">
        <v>-5.3303781653120552E-2</v>
      </c>
      <c r="N37" s="178">
        <v>106.244</v>
      </c>
      <c r="O37" s="182">
        <v>40.372720000000001</v>
      </c>
      <c r="P37" s="183">
        <v>43.500769760685905</v>
      </c>
      <c r="Q37" s="184">
        <v>16.530292509060644</v>
      </c>
      <c r="R37" s="185">
        <v>23.546667747497558</v>
      </c>
      <c r="S37" s="186">
        <v>44.637218182147038</v>
      </c>
    </row>
    <row r="38" spans="1:19" ht="14.4" customHeight="1" x14ac:dyDescent="0.35">
      <c r="A38" s="11" t="s">
        <v>8</v>
      </c>
      <c r="B38" s="75"/>
      <c r="C38" s="75">
        <f>IFERROR(C6+D38,"")</f>
        <v>112.69301779113684</v>
      </c>
      <c r="D38" s="76">
        <f>IF($B$7="","",SUM(D7:D37))</f>
        <v>43.547236281408566</v>
      </c>
      <c r="E38" s="75"/>
      <c r="F38" s="75">
        <f>IFERROR(F6+G38,"")</f>
        <v>65.10488932751386</v>
      </c>
      <c r="G38" s="76">
        <f>IF($B$7="","",SUM(G7:G37))</f>
        <v>-59.316323673605666</v>
      </c>
      <c r="H38" s="75"/>
      <c r="I38" s="75">
        <f>IFERROR(I6+J38,"")</f>
        <v>167.45688361697552</v>
      </c>
      <c r="J38" s="76">
        <f>IF($B$7="","",SUM(J7:J37))</f>
        <v>120.87713342131696</v>
      </c>
      <c r="K38" s="75"/>
      <c r="L38" s="75">
        <f>IFERROR(L6+M38,"")</f>
        <v>45.871395517055618</v>
      </c>
      <c r="M38" s="76">
        <f>IF($B$7="","",SUM(M7:M37))</f>
        <v>-113.46441066936919</v>
      </c>
      <c r="N38" s="76">
        <f>SUM(N7:N37)</f>
        <v>1622.4259999999997</v>
      </c>
      <c r="O38" s="76">
        <f>IF($B$7="","",SUM(O7:O37))</f>
        <v>616.52188000000001</v>
      </c>
      <c r="P38" s="77">
        <f>IF(B7="","",SUM(P7:P37))</f>
        <v>1614.0696353597507</v>
      </c>
      <c r="Q38" s="77">
        <f>IF(B8="","",SUM(Q7:Q37))</f>
        <v>613.34646143670534</v>
      </c>
      <c r="R38" s="48">
        <f>SUM(R7:R37)</f>
        <v>743.50639196183931</v>
      </c>
      <c r="S38" s="88"/>
    </row>
    <row r="39" spans="1:19" ht="14.4" customHeight="1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08" t="s">
        <v>47</v>
      </c>
      <c r="O39" s="175">
        <f>IFERROR(O38*1000/0.505,"")</f>
        <v>1220835.4059405942</v>
      </c>
      <c r="P39" s="68" t="s">
        <v>47</v>
      </c>
      <c r="Q39" s="175">
        <f>IFERROR(Q38*1000/0.505,"")</f>
        <v>1214547.4483895155</v>
      </c>
      <c r="R39" s="10"/>
      <c r="S39" s="89"/>
    </row>
    <row r="40" spans="1:19" ht="14.4" customHeight="1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391.1261862526818</v>
      </c>
      <c r="I40" s="17" t="s">
        <v>3</v>
      </c>
      <c r="J40" s="17"/>
      <c r="K40" s="17"/>
      <c r="L40" s="10"/>
      <c r="M40" s="6"/>
      <c r="N40" s="172" t="s">
        <v>60</v>
      </c>
      <c r="O40" s="176">
        <f>IFERROR(O38*1000,"")</f>
        <v>616521.88</v>
      </c>
      <c r="P40" s="10"/>
      <c r="Q40" s="67"/>
      <c r="R40" s="43"/>
      <c r="S40" s="89"/>
    </row>
    <row r="41" spans="1:19" ht="15" customHeight="1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148.62795077601908</v>
      </c>
      <c r="I41" s="7" t="s">
        <v>19</v>
      </c>
      <c r="J41" s="7">
        <f>IFERROR(H41*1000/0.505,"")</f>
        <v>294312.77381389914</v>
      </c>
      <c r="K41" s="7" t="s">
        <v>47</v>
      </c>
      <c r="L41" s="2"/>
      <c r="M41" s="7"/>
      <c r="N41" s="16"/>
      <c r="O41" s="7"/>
      <c r="P41" s="7"/>
      <c r="Q41" s="150" t="s">
        <v>57</v>
      </c>
      <c r="R41" s="42">
        <f>IF(H40="",0,COUNT(R7:R37)*24-R38)</f>
        <v>0.4936080381606871</v>
      </c>
      <c r="S41" s="148" t="s">
        <v>58</v>
      </c>
    </row>
  </sheetData>
  <mergeCells count="10">
    <mergeCell ref="A1:Q1"/>
    <mergeCell ref="A2:Q2"/>
    <mergeCell ref="B40:G40"/>
    <mergeCell ref="P4:Q4"/>
    <mergeCell ref="N4:O4"/>
    <mergeCell ref="B3:G3"/>
    <mergeCell ref="H4:J4"/>
    <mergeCell ref="K4:M4"/>
    <mergeCell ref="B4:D4"/>
    <mergeCell ref="E4:G4"/>
  </mergeCells>
  <phoneticPr fontId="0" type="noConversion"/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31" priority="4" operator="lessThan">
      <formula>23.98</formula>
    </cfRule>
  </conditionalFormatting>
  <conditionalFormatting sqref="R7:R37">
    <cfRule type="cellIs" dxfId="30" priority="3" operator="equal">
      <formula>""</formula>
    </cfRule>
  </conditionalFormatting>
  <conditionalFormatting sqref="R7:R37">
    <cfRule type="cellIs" dxfId="29" priority="2" operator="equal">
      <formula>""</formula>
    </cfRule>
  </conditionalFormatting>
  <conditionalFormatting sqref="R7:R37">
    <cfRule type="cellIs" dxfId="28" priority="1" operator="lessThan">
      <formula>23.98</formula>
    </cfRule>
  </conditionalFormatting>
  <pageMargins left="0.51181102362204722" right="0.51181102362204722" top="0.55118110236220474" bottom="0.55118110236220474" header="0.31496062992125984" footer="0.31496062992125984"/>
  <pageSetup paperSize="5" scale="7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S41"/>
  <sheetViews>
    <sheetView showGridLines="0" zoomScale="70" zoomScaleNormal="70" workbookViewId="0">
      <pane xSplit="1" ySplit="5" topLeftCell="B6" activePane="bottomRight" state="frozen"/>
      <selection activeCell="M17" sqref="M17"/>
      <selection pane="topRight" activeCell="M17" sqref="M17"/>
      <selection pane="bottomLeft" activeCell="M17" sqref="M17"/>
      <selection pane="bottomRight" activeCell="B8" sqref="B8:S37"/>
    </sheetView>
  </sheetViews>
  <sheetFormatPr defaultColWidth="8.90625" defaultRowHeight="14.5" x14ac:dyDescent="0.35"/>
  <cols>
    <col min="1" max="7" width="9.6328125" style="1" customWidth="1"/>
    <col min="8" max="8" width="10.08984375" style="1" bestFit="1" customWidth="1"/>
    <col min="9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19" width="10.6328125" style="82" customWidth="1"/>
    <col min="20" max="16384" width="8.90625" style="1"/>
  </cols>
  <sheetData>
    <row r="1" spans="1:19" s="10" customFormat="1" x14ac:dyDescent="0.35">
      <c r="A1" s="191" t="s">
        <v>41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</row>
    <row r="2" spans="1:19" s="10" customFormat="1" x14ac:dyDescent="0.35">
      <c r="A2" s="202">
        <f>SUMMARY!B2</f>
        <v>2021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134"/>
      <c r="S2" s="83"/>
    </row>
    <row r="3" spans="1:19" s="10" customFormat="1" ht="15" thickBot="1" x14ac:dyDescent="0.4">
      <c r="A3" s="113">
        <f>[1]SUMMARY!$K$11</f>
        <v>1.342509150372015</v>
      </c>
      <c r="B3" s="203" t="s">
        <v>13</v>
      </c>
      <c r="C3" s="203"/>
      <c r="D3" s="203"/>
      <c r="E3" s="203"/>
      <c r="F3" s="203"/>
      <c r="G3" s="203"/>
      <c r="H3" s="87">
        <f>JAN!$H$3</f>
        <v>0.38</v>
      </c>
      <c r="I3" s="8" t="s">
        <v>12</v>
      </c>
      <c r="J3" s="8"/>
      <c r="K3" s="8"/>
      <c r="L3" s="8"/>
      <c r="M3" s="85"/>
      <c r="N3" s="86"/>
      <c r="S3" s="83"/>
    </row>
    <row r="4" spans="1:19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30" t="s">
        <v>50</v>
      </c>
    </row>
    <row r="5" spans="1:19" x14ac:dyDescent="0.35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36" t="s">
        <v>15</v>
      </c>
      <c r="S5" s="91" t="s">
        <v>3</v>
      </c>
    </row>
    <row r="6" spans="1:19" ht="14" customHeight="1" x14ac:dyDescent="0.35">
      <c r="A6" s="3" t="s">
        <v>1</v>
      </c>
      <c r="B6" s="94"/>
      <c r="C6" s="70">
        <f>+JUL!C38</f>
        <v>112.69301779113684</v>
      </c>
      <c r="D6" s="71"/>
      <c r="E6" s="95"/>
      <c r="F6" s="70">
        <f>+JUL!F38</f>
        <v>65.10488932751386</v>
      </c>
      <c r="G6" s="71"/>
      <c r="H6" s="95"/>
      <c r="I6" s="70">
        <f>+JUL!I38</f>
        <v>167.45688361697552</v>
      </c>
      <c r="J6" s="71"/>
      <c r="K6" s="95"/>
      <c r="L6" s="70">
        <f>+JUL!L38</f>
        <v>45.871395517055618</v>
      </c>
      <c r="M6" s="73"/>
      <c r="N6" s="105"/>
      <c r="O6" s="101"/>
      <c r="P6" s="102"/>
      <c r="Q6" s="103"/>
      <c r="R6" s="139"/>
      <c r="S6" s="92"/>
    </row>
    <row r="7" spans="1:19" ht="14" customHeight="1" x14ac:dyDescent="0.35">
      <c r="A7" s="15">
        <v>1</v>
      </c>
      <c r="B7" s="107">
        <f>LOOKUP(A7+800,'[2]DCS Data'!$A:$A,'[2]DCS Data'!$E:$E)</f>
        <v>263.26943969726563</v>
      </c>
      <c r="C7" s="70">
        <f t="shared" ref="C7" si="0">IF(B7="","",$A$3*PI()/4*(157.5*2.54)^2*B7*2.54/1000000)</f>
        <v>112.84175996147823</v>
      </c>
      <c r="D7" s="71">
        <f>IF(C7="","",C7-C6)</f>
        <v>0.14874217034139292</v>
      </c>
      <c r="E7" s="106">
        <f>LOOKUP(A7+800,'[2]DCS Data'!$A:$A,'[2]DCS Data'!$F:$F)</f>
        <v>260.491455078125</v>
      </c>
      <c r="F7" s="70">
        <f t="shared" ref="F7" si="1">IF(E7="","",$A$3*PI()/4*(157.5*2.54)^2*E7*2.54/1000000)</f>
        <v>111.65106850131406</v>
      </c>
      <c r="G7" s="71">
        <f>IF(F7="","",F7-F6)</f>
        <v>46.546179173800198</v>
      </c>
      <c r="H7" s="106">
        <f>LOOKUP(A7+800,'[2]DCS Data'!$A:$A,'[2]DCS Data'!$G:$G)</f>
        <v>175.86422729492188</v>
      </c>
      <c r="I7" s="70">
        <f t="shared" ref="I7" si="2">IF(H7="","",$A$3*PI()/4*(186*2.54)^2*H7*2.54/1000000)</f>
        <v>105.1263733400193</v>
      </c>
      <c r="J7" s="71">
        <f>IF(I7="","",I7-I6)</f>
        <v>-62.330510276956218</v>
      </c>
      <c r="K7" s="106">
        <f>LOOKUP(A7+800,'[2]DCS Data'!$A:$A,'[2]DCS Data'!$H:$H)</f>
        <v>76.61517333984375</v>
      </c>
      <c r="L7" s="70">
        <f t="shared" ref="L7" si="3">IF(K7="","",$A$3*PI()/4*(186*2.54)^2*K7*2.54/1000000)</f>
        <v>45.798258349196843</v>
      </c>
      <c r="M7" s="73">
        <f>IF(L7="","",L7-L6)</f>
        <v>-7.3137167858774887E-2</v>
      </c>
      <c r="N7" s="111">
        <f>IF(K7="", "", LOOKUP(A7+800,[3]SBS!$A:$A,[3]SBS!$C:$C))</f>
        <v>60.063000000000002</v>
      </c>
      <c r="O7" s="12">
        <f>IF(N7="","",N7*$H$3)</f>
        <v>22.82394</v>
      </c>
      <c r="P7" s="13">
        <f>IFERROR(D7+G7+J7+M7+N7,0)</f>
        <v>44.3542738993266</v>
      </c>
      <c r="Q7" s="14">
        <f>IF(P7="","",P7*$H$3)</f>
        <v>16.85462408174411</v>
      </c>
      <c r="R7" s="155">
        <f>LOOKUP(A7+800,'[2]DCS Data'!$A:$A,'[2]DCS Data'!$K:$K)</f>
        <v>24.000000250074599</v>
      </c>
      <c r="S7" s="156">
        <f>IFERROR(LOOKUP(A7+800,'[2]DCS Data'!$A:$A,'[2]DCS Data'!$J:$J)*3785.4*0.993*$A$3/1000000,0)</f>
        <v>48.094523765256973</v>
      </c>
    </row>
    <row r="8" spans="1:19" s="65" customFormat="1" ht="14" customHeight="1" x14ac:dyDescent="0.35">
      <c r="A8" s="15">
        <v>2</v>
      </c>
      <c r="B8" s="177">
        <v>167.61703491210938</v>
      </c>
      <c r="C8" s="178">
        <v>71.843512261645202</v>
      </c>
      <c r="D8" s="179">
        <v>-40.99824769983303</v>
      </c>
      <c r="E8" s="180">
        <v>289.3209228515625</v>
      </c>
      <c r="F8" s="178">
        <v>124.00786876665526</v>
      </c>
      <c r="G8" s="179">
        <v>12.356800265341207</v>
      </c>
      <c r="H8" s="180">
        <v>175.98883056640625</v>
      </c>
      <c r="I8" s="178">
        <v>105.20085744766835</v>
      </c>
      <c r="J8" s="179">
        <v>7.4484107649055886E-2</v>
      </c>
      <c r="K8" s="180">
        <v>134.8331298828125</v>
      </c>
      <c r="L8" s="178">
        <v>80.599210929311894</v>
      </c>
      <c r="M8" s="181">
        <v>34.800952580115052</v>
      </c>
      <c r="N8" s="178">
        <v>39.738</v>
      </c>
      <c r="O8" s="182">
        <v>15.100440000000001</v>
      </c>
      <c r="P8" s="183">
        <v>45.971989253272284</v>
      </c>
      <c r="Q8" s="184">
        <v>17.469355916243469</v>
      </c>
      <c r="R8" s="185">
        <v>24.000000169542101</v>
      </c>
      <c r="S8" s="186">
        <v>49.386631112987438</v>
      </c>
    </row>
    <row r="9" spans="1:19" s="65" customFormat="1" ht="14" customHeight="1" x14ac:dyDescent="0.35">
      <c r="A9" s="15">
        <v>3</v>
      </c>
      <c r="B9" s="177">
        <v>81.929756164550781</v>
      </c>
      <c r="C9" s="178">
        <v>35.116487084310464</v>
      </c>
      <c r="D9" s="179">
        <v>-36.727025177334738</v>
      </c>
      <c r="E9" s="180">
        <v>289.48974609375</v>
      </c>
      <c r="F9" s="178">
        <v>124.08022927987224</v>
      </c>
      <c r="G9" s="179">
        <v>7.2360513216978006E-2</v>
      </c>
      <c r="H9" s="180">
        <v>175.63302612304688</v>
      </c>
      <c r="I9" s="178">
        <v>104.98816819685268</v>
      </c>
      <c r="J9" s="179">
        <v>-0.21268925081567147</v>
      </c>
      <c r="K9" s="180">
        <v>232.49461364746094</v>
      </c>
      <c r="L9" s="178">
        <v>138.97832395930513</v>
      </c>
      <c r="M9" s="181">
        <v>58.379113029993235</v>
      </c>
      <c r="N9" s="178">
        <v>37.741999999999997</v>
      </c>
      <c r="O9" s="182">
        <v>14.341959999999998</v>
      </c>
      <c r="P9" s="183">
        <v>59.2537591150598</v>
      </c>
      <c r="Q9" s="184">
        <v>22.516428463722725</v>
      </c>
      <c r="R9" s="185">
        <v>24.000000220404729</v>
      </c>
      <c r="S9" s="186">
        <v>60.11148459425651</v>
      </c>
    </row>
    <row r="10" spans="1:19" s="65" customFormat="1" ht="14" customHeight="1" x14ac:dyDescent="0.35">
      <c r="A10" s="15">
        <v>4</v>
      </c>
      <c r="B10" s="177">
        <v>81.922515869140625</v>
      </c>
      <c r="C10" s="178">
        <v>35.113383770543166</v>
      </c>
      <c r="D10" s="179">
        <v>-3.1033137672977773E-3</v>
      </c>
      <c r="E10" s="180">
        <v>141.17364501953125</v>
      </c>
      <c r="F10" s="178">
        <v>60.509425562264902</v>
      </c>
      <c r="G10" s="179">
        <v>-63.57080371760734</v>
      </c>
      <c r="H10" s="180">
        <v>176.19384765625</v>
      </c>
      <c r="I10" s="178">
        <v>105.32341053000646</v>
      </c>
      <c r="J10" s="179">
        <v>0.33524233315377217</v>
      </c>
      <c r="K10" s="180">
        <v>182.49069213867188</v>
      </c>
      <c r="L10" s="178">
        <v>109.08747576433643</v>
      </c>
      <c r="M10" s="181">
        <v>-29.890848194968697</v>
      </c>
      <c r="N10" s="178">
        <v>149.81200000000001</v>
      </c>
      <c r="O10" s="182">
        <v>56.928560000000004</v>
      </c>
      <c r="P10" s="183">
        <v>56.682487106810441</v>
      </c>
      <c r="Q10" s="184">
        <v>21.539345100587969</v>
      </c>
      <c r="R10" s="185">
        <v>23.995276891920302</v>
      </c>
      <c r="S10" s="186">
        <v>58.403088695229883</v>
      </c>
    </row>
    <row r="11" spans="1:19" s="65" customFormat="1" ht="14" customHeight="1" x14ac:dyDescent="0.35">
      <c r="A11" s="15">
        <v>5</v>
      </c>
      <c r="B11" s="177">
        <v>82.429306030273438</v>
      </c>
      <c r="C11" s="178">
        <v>35.330602653901394</v>
      </c>
      <c r="D11" s="179">
        <v>0.21721888335822825</v>
      </c>
      <c r="E11" s="180">
        <v>91.700363159179688</v>
      </c>
      <c r="F11" s="178">
        <v>39.30433543630172</v>
      </c>
      <c r="G11" s="179">
        <v>-21.205090125963181</v>
      </c>
      <c r="H11" s="180">
        <v>175.52732849121094</v>
      </c>
      <c r="I11" s="178">
        <v>104.92498531494171</v>
      </c>
      <c r="J11" s="179">
        <v>-0.39842521506474782</v>
      </c>
      <c r="K11" s="180">
        <v>265.88449096679688</v>
      </c>
      <c r="L11" s="178">
        <v>158.93779361860922</v>
      </c>
      <c r="M11" s="181">
        <v>49.850317854272788</v>
      </c>
      <c r="N11" s="178">
        <v>20.047999999999998</v>
      </c>
      <c r="O11" s="182">
        <v>7.6182399999999992</v>
      </c>
      <c r="P11" s="183">
        <v>48.512021396603089</v>
      </c>
      <c r="Q11" s="184">
        <v>18.434568130709174</v>
      </c>
      <c r="R11" s="185">
        <v>24.000000148349336</v>
      </c>
      <c r="S11" s="186">
        <v>51.33035643454965</v>
      </c>
    </row>
    <row r="12" spans="1:19" s="65" customFormat="1" ht="14" customHeight="1" x14ac:dyDescent="0.35">
      <c r="A12" s="15">
        <v>6</v>
      </c>
      <c r="B12" s="177">
        <v>152.92117309570313</v>
      </c>
      <c r="C12" s="178">
        <v>65.544615916437564</v>
      </c>
      <c r="D12" s="179">
        <v>30.21401326253617</v>
      </c>
      <c r="E12" s="180">
        <v>91.607795715332031</v>
      </c>
      <c r="F12" s="178">
        <v>39.26465945533365</v>
      </c>
      <c r="G12" s="179">
        <v>-3.9675980968070235E-2</v>
      </c>
      <c r="H12" s="180">
        <v>70.957633972167969</v>
      </c>
      <c r="I12" s="178">
        <v>42.41635058489215</v>
      </c>
      <c r="J12" s="179">
        <v>-62.508634730049558</v>
      </c>
      <c r="K12" s="180">
        <v>150.03767395019531</v>
      </c>
      <c r="L12" s="178">
        <v>89.68803246327839</v>
      </c>
      <c r="M12" s="181">
        <v>-69.24976115533083</v>
      </c>
      <c r="N12" s="178">
        <v>148.505</v>
      </c>
      <c r="O12" s="182">
        <v>56.431899999999999</v>
      </c>
      <c r="P12" s="183">
        <v>46.920941396187715</v>
      </c>
      <c r="Q12" s="184">
        <v>17.829957730551332</v>
      </c>
      <c r="R12" s="185">
        <v>24.00000019497341</v>
      </c>
      <c r="S12" s="186">
        <v>49.666152181194143</v>
      </c>
    </row>
    <row r="13" spans="1:19" s="65" customFormat="1" ht="14" customHeight="1" x14ac:dyDescent="0.35">
      <c r="A13" s="15">
        <v>7</v>
      </c>
      <c r="B13" s="177">
        <v>259.97720336914063</v>
      </c>
      <c r="C13" s="178">
        <v>111.43065147162871</v>
      </c>
      <c r="D13" s="179">
        <v>45.886035555191143</v>
      </c>
      <c r="E13" s="180">
        <v>91.85760498046875</v>
      </c>
      <c r="F13" s="178">
        <v>39.371731955526322</v>
      </c>
      <c r="G13" s="179">
        <v>0.10707250019267178</v>
      </c>
      <c r="H13" s="180">
        <v>70.972152709960938</v>
      </c>
      <c r="I13" s="178">
        <v>42.425029451954124</v>
      </c>
      <c r="J13" s="179">
        <v>8.6788670619739605E-3</v>
      </c>
      <c r="K13" s="180">
        <v>150.42449951171875</v>
      </c>
      <c r="L13" s="178">
        <v>89.919265210402003</v>
      </c>
      <c r="M13" s="181">
        <v>0.23123274712361308</v>
      </c>
      <c r="N13" s="178">
        <v>0</v>
      </c>
      <c r="O13" s="182">
        <v>0</v>
      </c>
      <c r="P13" s="183">
        <v>46.233019669569401</v>
      </c>
      <c r="Q13" s="184">
        <v>17.568547474436372</v>
      </c>
      <c r="R13" s="185">
        <v>24.000000169542101</v>
      </c>
      <c r="S13" s="186">
        <v>47.257241365094536</v>
      </c>
    </row>
    <row r="14" spans="1:19" s="65" customFormat="1" ht="14" customHeight="1" x14ac:dyDescent="0.35">
      <c r="A14" s="15">
        <v>8</v>
      </c>
      <c r="B14" s="177">
        <v>287.98089599609375</v>
      </c>
      <c r="C14" s="178">
        <v>123.43351046308379</v>
      </c>
      <c r="D14" s="179">
        <v>12.002858991455085</v>
      </c>
      <c r="E14" s="180">
        <v>178.43382263183594</v>
      </c>
      <c r="F14" s="178">
        <v>76.479771467526461</v>
      </c>
      <c r="G14" s="179">
        <v>37.10803951200014</v>
      </c>
      <c r="H14" s="180">
        <v>70.707977294921875</v>
      </c>
      <c r="I14" s="178">
        <v>42.267113292790739</v>
      </c>
      <c r="J14" s="179">
        <v>-0.15791615916338486</v>
      </c>
      <c r="K14" s="180">
        <v>117.67169952392578</v>
      </c>
      <c r="L14" s="178">
        <v>70.340621318978094</v>
      </c>
      <c r="M14" s="181">
        <v>-19.578643891423908</v>
      </c>
      <c r="N14" s="178">
        <v>20.027000000000001</v>
      </c>
      <c r="O14" s="182">
        <v>7.6102600000000002</v>
      </c>
      <c r="P14" s="183">
        <v>49.401338452867932</v>
      </c>
      <c r="Q14" s="184">
        <v>18.772508612089815</v>
      </c>
      <c r="R14" s="185">
        <v>24.000000228881834</v>
      </c>
      <c r="S14" s="186">
        <v>50.483042279699561</v>
      </c>
    </row>
    <row r="15" spans="1:19" s="65" customFormat="1" ht="14" customHeight="1" x14ac:dyDescent="0.35">
      <c r="A15" s="15">
        <v>9</v>
      </c>
      <c r="B15" s="177">
        <v>289.22915649414063</v>
      </c>
      <c r="C15" s="178">
        <v>123.96853614495544</v>
      </c>
      <c r="D15" s="179">
        <v>0.53502568187164457</v>
      </c>
      <c r="E15" s="180">
        <v>294.77749633789063</v>
      </c>
      <c r="F15" s="178">
        <v>126.34664897701479</v>
      </c>
      <c r="G15" s="179">
        <v>49.866877509488333</v>
      </c>
      <c r="H15" s="180">
        <v>96.936477661132813</v>
      </c>
      <c r="I15" s="178">
        <v>57.945726072996223</v>
      </c>
      <c r="J15" s="179">
        <v>15.678612780205484</v>
      </c>
      <c r="K15" s="180">
        <v>66.922370910644531</v>
      </c>
      <c r="L15" s="178">
        <v>40.004191059012548</v>
      </c>
      <c r="M15" s="181">
        <v>-30.336430259965546</v>
      </c>
      <c r="N15" s="178">
        <v>29.52</v>
      </c>
      <c r="O15" s="182">
        <v>11.217599999999999</v>
      </c>
      <c r="P15" s="183">
        <v>65.264085711599918</v>
      </c>
      <c r="Q15" s="184">
        <v>24.80035257040797</v>
      </c>
      <c r="R15" s="185">
        <v>24.000000228881834</v>
      </c>
      <c r="S15" s="186">
        <v>66.41026656430337</v>
      </c>
    </row>
    <row r="16" spans="1:19" s="65" customFormat="1" ht="14" customHeight="1" x14ac:dyDescent="0.35">
      <c r="A16" s="15">
        <v>10</v>
      </c>
      <c r="B16" s="177">
        <v>289.33181762695313</v>
      </c>
      <c r="C16" s="178">
        <v>124.01253845270342</v>
      </c>
      <c r="D16" s="179">
        <v>4.4002307747987857E-2</v>
      </c>
      <c r="E16" s="180">
        <v>132.20477294921875</v>
      </c>
      <c r="F16" s="178">
        <v>56.665214436024108</v>
      </c>
      <c r="G16" s="179">
        <v>-69.681434540990693</v>
      </c>
      <c r="H16" s="180">
        <v>208.0260009765625</v>
      </c>
      <c r="I16" s="178">
        <v>124.35171938872642</v>
      </c>
      <c r="J16" s="179">
        <v>66.4059933157302</v>
      </c>
      <c r="K16" s="180">
        <v>66.635978698730469</v>
      </c>
      <c r="L16" s="178">
        <v>39.832994363388586</v>
      </c>
      <c r="M16" s="181">
        <v>-0.17119669562396211</v>
      </c>
      <c r="N16" s="178">
        <v>69.573999999999998</v>
      </c>
      <c r="O16" s="182">
        <v>26.438119999999998</v>
      </c>
      <c r="P16" s="183">
        <v>66.17136438686353</v>
      </c>
      <c r="Q16" s="184">
        <v>25.145118467008142</v>
      </c>
      <c r="R16" s="185">
        <v>24.000000237358943</v>
      </c>
      <c r="S16" s="186">
        <v>67.697961855621131</v>
      </c>
    </row>
    <row r="17" spans="1:19" s="65" customFormat="1" ht="14" customHeight="1" x14ac:dyDescent="0.35">
      <c r="A17" s="15">
        <v>11</v>
      </c>
      <c r="B17" s="177">
        <v>287.4635009765625</v>
      </c>
      <c r="C17" s="178">
        <v>123.21174615703161</v>
      </c>
      <c r="D17" s="179">
        <v>-0.80079229567181187</v>
      </c>
      <c r="E17" s="180">
        <v>83.225486755371094</v>
      </c>
      <c r="F17" s="178">
        <v>35.671859255392</v>
      </c>
      <c r="G17" s="179">
        <v>-20.993355180632108</v>
      </c>
      <c r="H17" s="180">
        <v>308.6461181640625</v>
      </c>
      <c r="I17" s="178">
        <v>184.49941495862052</v>
      </c>
      <c r="J17" s="179">
        <v>60.147695569894097</v>
      </c>
      <c r="K17" s="180">
        <v>66.646980285644531</v>
      </c>
      <c r="L17" s="178">
        <v>39.839570782885886</v>
      </c>
      <c r="M17" s="181">
        <v>6.5764194972999235E-3</v>
      </c>
      <c r="N17" s="178">
        <v>20.033000000000001</v>
      </c>
      <c r="O17" s="182">
        <v>7.612540000000001</v>
      </c>
      <c r="P17" s="183">
        <v>58.393124513087479</v>
      </c>
      <c r="Q17" s="184">
        <v>22.189387314973242</v>
      </c>
      <c r="R17" s="185">
        <v>23.994444931877986</v>
      </c>
      <c r="S17" s="186">
        <v>62.00270195553442</v>
      </c>
    </row>
    <row r="18" spans="1:19" s="65" customFormat="1" ht="14" customHeight="1" x14ac:dyDescent="0.35">
      <c r="A18" s="15">
        <v>12</v>
      </c>
      <c r="B18" s="177">
        <v>167.48019409179688</v>
      </c>
      <c r="C18" s="178">
        <v>71.784859958451975</v>
      </c>
      <c r="D18" s="179">
        <v>-51.426886198579638</v>
      </c>
      <c r="E18" s="180">
        <v>83.33563232421875</v>
      </c>
      <c r="F18" s="178">
        <v>35.719069519731917</v>
      </c>
      <c r="G18" s="179">
        <v>4.7210264339916819E-2</v>
      </c>
      <c r="H18" s="180">
        <v>261.73306274414063</v>
      </c>
      <c r="I18" s="178">
        <v>156.45619403498625</v>
      </c>
      <c r="J18" s="179">
        <v>-28.043220923634266</v>
      </c>
      <c r="K18" s="180">
        <v>66.604843139648438</v>
      </c>
      <c r="L18" s="178">
        <v>39.814382457723895</v>
      </c>
      <c r="M18" s="181">
        <v>-2.5188325161991543E-2</v>
      </c>
      <c r="N18" s="178">
        <v>135.767</v>
      </c>
      <c r="O18" s="182">
        <v>51.591459999999998</v>
      </c>
      <c r="P18" s="183">
        <v>56.318914816964025</v>
      </c>
      <c r="Q18" s="184">
        <v>21.40118763044633</v>
      </c>
      <c r="R18" s="185">
        <v>24.000000199211968</v>
      </c>
      <c r="S18" s="186">
        <v>59.509277784338749</v>
      </c>
    </row>
    <row r="19" spans="1:19" s="65" customFormat="1" ht="14" customHeight="1" x14ac:dyDescent="0.35">
      <c r="A19" s="15">
        <v>13</v>
      </c>
      <c r="B19" s="177">
        <v>167.42149353027344</v>
      </c>
      <c r="C19" s="178">
        <v>71.759699899310093</v>
      </c>
      <c r="D19" s="179">
        <v>-2.516005914188213E-2</v>
      </c>
      <c r="E19" s="180">
        <v>83.505821228027344</v>
      </c>
      <c r="F19" s="178">
        <v>35.792015378749042</v>
      </c>
      <c r="G19" s="179">
        <v>7.2945859017124803E-2</v>
      </c>
      <c r="H19" s="180">
        <v>359.21517944335938</v>
      </c>
      <c r="I19" s="178">
        <v>214.72808679980506</v>
      </c>
      <c r="J19" s="179">
        <v>58.271892764818801</v>
      </c>
      <c r="K19" s="180">
        <v>66.605659484863281</v>
      </c>
      <c r="L19" s="178">
        <v>39.814870444468831</v>
      </c>
      <c r="M19" s="181">
        <v>4.8798674493610861E-4</v>
      </c>
      <c r="N19" s="178">
        <v>0</v>
      </c>
      <c r="O19" s="182">
        <v>0</v>
      </c>
      <c r="P19" s="183">
        <v>58.32016655143898</v>
      </c>
      <c r="Q19" s="184">
        <v>22.161663289546812</v>
      </c>
      <c r="R19" s="185">
        <v>24.000000173780656</v>
      </c>
      <c r="S19" s="186">
        <v>60.520673181215116</v>
      </c>
    </row>
    <row r="20" spans="1:19" s="65" customFormat="1" ht="14" customHeight="1" x14ac:dyDescent="0.35">
      <c r="A20" s="15">
        <v>14</v>
      </c>
      <c r="B20" s="177">
        <v>85.008369445800781</v>
      </c>
      <c r="C20" s="178">
        <v>36.436033102627299</v>
      </c>
      <c r="D20" s="179">
        <v>-35.323666796682794</v>
      </c>
      <c r="E20" s="180">
        <v>83.54827880859375</v>
      </c>
      <c r="F20" s="178">
        <v>35.810213419966168</v>
      </c>
      <c r="G20" s="179">
        <v>1.8198041217125649E-2</v>
      </c>
      <c r="H20" s="180">
        <v>424.73098754882813</v>
      </c>
      <c r="I20" s="178">
        <v>253.89147669727652</v>
      </c>
      <c r="J20" s="179">
        <v>39.163389897471461</v>
      </c>
      <c r="K20" s="180">
        <v>66.657615661621094</v>
      </c>
      <c r="L20" s="178">
        <v>39.845928292441535</v>
      </c>
      <c r="M20" s="181">
        <v>3.1057847972704167E-2</v>
      </c>
      <c r="N20" s="178">
        <v>56.037999999999997</v>
      </c>
      <c r="O20" s="182">
        <v>21.294439999999998</v>
      </c>
      <c r="P20" s="183">
        <v>59.926978989978494</v>
      </c>
      <c r="Q20" s="184">
        <v>22.772252016191828</v>
      </c>
      <c r="R20" s="185">
        <v>24.000000131395126</v>
      </c>
      <c r="S20" s="186">
        <v>60.715930631059543</v>
      </c>
    </row>
    <row r="21" spans="1:19" s="65" customFormat="1" ht="14" customHeight="1" x14ac:dyDescent="0.35">
      <c r="A21" s="15">
        <v>15</v>
      </c>
      <c r="B21" s="177">
        <v>84.934104919433594</v>
      </c>
      <c r="C21" s="178">
        <v>36.404202063416612</v>
      </c>
      <c r="D21" s="179">
        <v>-3.183103921068664E-2</v>
      </c>
      <c r="E21" s="180">
        <v>83.469711303710938</v>
      </c>
      <c r="F21" s="178">
        <v>35.776538050971752</v>
      </c>
      <c r="G21" s="179">
        <v>-3.3675368994416033E-2</v>
      </c>
      <c r="H21" s="180">
        <v>498.08651733398438</v>
      </c>
      <c r="I21" s="178">
        <v>297.74121765577735</v>
      </c>
      <c r="J21" s="179">
        <v>43.849740958500831</v>
      </c>
      <c r="K21" s="180">
        <v>66.606216430664063</v>
      </c>
      <c r="L21" s="178">
        <v>39.815203370005108</v>
      </c>
      <c r="M21" s="181">
        <v>-3.0724922436426993E-2</v>
      </c>
      <c r="N21" s="178">
        <v>17.815000000000001</v>
      </c>
      <c r="O21" s="182">
        <v>6.7697000000000003</v>
      </c>
      <c r="P21" s="183">
        <v>61.568509627859299</v>
      </c>
      <c r="Q21" s="184">
        <v>23.396033658586536</v>
      </c>
      <c r="R21" s="185">
        <v>24.000000207689073</v>
      </c>
      <c r="S21" s="186">
        <v>63.454592084712104</v>
      </c>
    </row>
    <row r="22" spans="1:19" s="65" customFormat="1" ht="14" customHeight="1" x14ac:dyDescent="0.35">
      <c r="A22" s="104">
        <v>16</v>
      </c>
      <c r="B22" s="177">
        <v>85.03912353515625</v>
      </c>
      <c r="C22" s="178">
        <v>36.449214828439743</v>
      </c>
      <c r="D22" s="179">
        <v>4.5012765023130896E-2</v>
      </c>
      <c r="E22" s="180">
        <v>83.356033325195313</v>
      </c>
      <c r="F22" s="178">
        <v>35.727813735763284</v>
      </c>
      <c r="G22" s="179">
        <v>-4.8724315208467317E-2</v>
      </c>
      <c r="H22" s="180">
        <v>550.73272705078125</v>
      </c>
      <c r="I22" s="178">
        <v>329.21154668604481</v>
      </c>
      <c r="J22" s="179">
        <v>31.470329030267465</v>
      </c>
      <c r="K22" s="180">
        <v>66.607215881347656</v>
      </c>
      <c r="L22" s="178">
        <v>39.815800811720884</v>
      </c>
      <c r="M22" s="181">
        <v>5.9744171577591487E-4</v>
      </c>
      <c r="N22" s="178">
        <v>15.215999999999999</v>
      </c>
      <c r="O22" s="182">
        <v>5.7820799999999997</v>
      </c>
      <c r="P22" s="183">
        <v>46.683214921797905</v>
      </c>
      <c r="Q22" s="184">
        <v>17.739621670283203</v>
      </c>
      <c r="R22" s="185">
        <v>24.00000019497341</v>
      </c>
      <c r="S22" s="186">
        <v>48.913750696202115</v>
      </c>
    </row>
    <row r="23" spans="1:19" s="65" customFormat="1" ht="14" customHeight="1" x14ac:dyDescent="0.35">
      <c r="A23" s="15">
        <v>17</v>
      </c>
      <c r="B23" s="177">
        <v>192.89567565917969</v>
      </c>
      <c r="C23" s="178">
        <v>82.678367665346556</v>
      </c>
      <c r="D23" s="179">
        <v>46.229152836906813</v>
      </c>
      <c r="E23" s="180">
        <v>82.946975708007813</v>
      </c>
      <c r="F23" s="178">
        <v>35.552484683131254</v>
      </c>
      <c r="G23" s="179">
        <v>-0.17532905263202991</v>
      </c>
      <c r="H23" s="180">
        <v>482.22171020507813</v>
      </c>
      <c r="I23" s="178">
        <v>288.25771061824946</v>
      </c>
      <c r="J23" s="179">
        <v>-40.953836067795351</v>
      </c>
      <c r="K23" s="180">
        <v>66.621711730957031</v>
      </c>
      <c r="L23" s="178">
        <v>39.824465996911506</v>
      </c>
      <c r="M23" s="181">
        <v>8.6651851906225374E-3</v>
      </c>
      <c r="N23" s="178">
        <v>40.04</v>
      </c>
      <c r="O23" s="182">
        <v>15.215199999999999</v>
      </c>
      <c r="P23" s="183">
        <v>45.148652901670054</v>
      </c>
      <c r="Q23" s="184">
        <v>17.156488102634622</v>
      </c>
      <c r="R23" s="185">
        <v>24.000000258551701</v>
      </c>
      <c r="S23" s="186">
        <v>48.221947970690834</v>
      </c>
    </row>
    <row r="24" spans="1:19" s="65" customFormat="1" ht="14" customHeight="1" x14ac:dyDescent="0.35">
      <c r="A24" s="15">
        <v>18</v>
      </c>
      <c r="B24" s="177">
        <v>249.78239440917969</v>
      </c>
      <c r="C24" s="178">
        <v>107.06098294179141</v>
      </c>
      <c r="D24" s="179">
        <v>24.382615276444852</v>
      </c>
      <c r="E24" s="180">
        <v>142.57902526855469</v>
      </c>
      <c r="F24" s="178">
        <v>61.111795441948864</v>
      </c>
      <c r="G24" s="179">
        <v>25.55931075881761</v>
      </c>
      <c r="H24" s="180">
        <v>393.29498291015625</v>
      </c>
      <c r="I24" s="178">
        <v>235.09997366794479</v>
      </c>
      <c r="J24" s="179">
        <v>-53.157736950304667</v>
      </c>
      <c r="K24" s="180">
        <v>66.723442077636719</v>
      </c>
      <c r="L24" s="178">
        <v>39.885277354454523</v>
      </c>
      <c r="M24" s="181">
        <v>6.0811357543016697E-2</v>
      </c>
      <c r="N24" s="178">
        <v>52.07</v>
      </c>
      <c r="O24" s="182">
        <v>19.7866</v>
      </c>
      <c r="P24" s="183">
        <v>48.915000442500812</v>
      </c>
      <c r="Q24" s="184">
        <v>18.58770016815031</v>
      </c>
      <c r="R24" s="185">
        <v>23.648613768683539</v>
      </c>
      <c r="S24" s="186">
        <v>51.269753096535077</v>
      </c>
    </row>
    <row r="25" spans="1:19" s="65" customFormat="1" ht="14" customHeight="1" x14ac:dyDescent="0.35">
      <c r="A25" s="15">
        <v>19</v>
      </c>
      <c r="B25" s="177">
        <v>249.35038757324219</v>
      </c>
      <c r="C25" s="178">
        <v>106.87581746364616</v>
      </c>
      <c r="D25" s="179">
        <v>-0.18516547814525097</v>
      </c>
      <c r="E25" s="180">
        <v>259.87063598632813</v>
      </c>
      <c r="F25" s="178">
        <v>111.38497487868698</v>
      </c>
      <c r="G25" s="179">
        <v>50.273179436738111</v>
      </c>
      <c r="H25" s="180">
        <v>251.37017822265625</v>
      </c>
      <c r="I25" s="178">
        <v>150.26157171842982</v>
      </c>
      <c r="J25" s="179">
        <v>-84.838401949514974</v>
      </c>
      <c r="K25" s="180">
        <v>66.766845703125</v>
      </c>
      <c r="L25" s="178">
        <v>39.911222743164757</v>
      </c>
      <c r="M25" s="181">
        <v>2.5945388710233885E-2</v>
      </c>
      <c r="N25" s="178">
        <v>86.2</v>
      </c>
      <c r="O25" s="182">
        <v>32.756</v>
      </c>
      <c r="P25" s="183">
        <v>51.475557397788123</v>
      </c>
      <c r="Q25" s="184">
        <v>19.560711811159486</v>
      </c>
      <c r="R25" s="185">
        <v>24.000000173780656</v>
      </c>
      <c r="S25" s="186">
        <v>52.325184764890338</v>
      </c>
    </row>
    <row r="26" spans="1:19" s="65" customFormat="1" ht="14" customHeight="1" x14ac:dyDescent="0.35">
      <c r="A26" s="15">
        <v>20</v>
      </c>
      <c r="B26" s="177">
        <v>110.10411834716797</v>
      </c>
      <c r="C26" s="178">
        <v>47.192497950343608</v>
      </c>
      <c r="D26" s="179">
        <v>-59.68331951330255</v>
      </c>
      <c r="E26" s="180">
        <v>244.30766296386719</v>
      </c>
      <c r="F26" s="178">
        <v>104.71441992135161</v>
      </c>
      <c r="G26" s="179">
        <v>-6.6705549573353693</v>
      </c>
      <c r="H26" s="180">
        <v>103.99820709228516</v>
      </c>
      <c r="I26" s="178">
        <v>62.167016644844992</v>
      </c>
      <c r="J26" s="179">
        <v>-88.094555073584829</v>
      </c>
      <c r="K26" s="180">
        <v>147.88438415527344</v>
      </c>
      <c r="L26" s="178">
        <v>88.400860248825708</v>
      </c>
      <c r="M26" s="181">
        <v>48.489637505660951</v>
      </c>
      <c r="N26" s="178">
        <v>166.328</v>
      </c>
      <c r="O26" s="182">
        <v>63.204640000000005</v>
      </c>
      <c r="P26" s="183">
        <v>60.369207961438221</v>
      </c>
      <c r="Q26" s="184">
        <v>22.940299025346523</v>
      </c>
      <c r="R26" s="185">
        <v>24.000000131395126</v>
      </c>
      <c r="S26" s="186">
        <v>64.330453675853434</v>
      </c>
    </row>
    <row r="27" spans="1:19" s="65" customFormat="1" ht="14" customHeight="1" x14ac:dyDescent="0.35">
      <c r="A27" s="15">
        <v>21</v>
      </c>
      <c r="B27" s="177">
        <v>61.222362518310547</v>
      </c>
      <c r="C27" s="178">
        <v>26.240945943098591</v>
      </c>
      <c r="D27" s="179">
        <v>-20.951552007245017</v>
      </c>
      <c r="E27" s="180">
        <v>54.6295166015625</v>
      </c>
      <c r="F27" s="178">
        <v>23.415140041524278</v>
      </c>
      <c r="G27" s="179">
        <v>-81.299279879827324</v>
      </c>
      <c r="H27" s="180">
        <v>103.99076080322266</v>
      </c>
      <c r="I27" s="178">
        <v>62.162565476031297</v>
      </c>
      <c r="J27" s="179">
        <v>-4.4511688136950056E-3</v>
      </c>
      <c r="K27" s="180">
        <v>244.00674438476563</v>
      </c>
      <c r="L27" s="178">
        <v>145.85993127902154</v>
      </c>
      <c r="M27" s="181">
        <v>57.45907103019583</v>
      </c>
      <c r="N27" s="178">
        <v>106.245</v>
      </c>
      <c r="O27" s="182">
        <v>40.373100000000001</v>
      </c>
      <c r="P27" s="183">
        <v>61.448787974309809</v>
      </c>
      <c r="Q27" s="184">
        <v>23.350539430237728</v>
      </c>
      <c r="R27" s="185">
        <v>24.000000144110789</v>
      </c>
      <c r="S27" s="186">
        <v>63.665511902702683</v>
      </c>
    </row>
    <row r="28" spans="1:19" s="65" customFormat="1" ht="14" customHeight="1" x14ac:dyDescent="0.35">
      <c r="A28" s="15">
        <v>22</v>
      </c>
      <c r="B28" s="177">
        <v>61.381690979003906</v>
      </c>
      <c r="C28" s="178">
        <v>26.309236831464766</v>
      </c>
      <c r="D28" s="179">
        <v>6.8290888366174585E-2</v>
      </c>
      <c r="E28" s="180">
        <v>54.654781341552734</v>
      </c>
      <c r="F28" s="178">
        <v>23.425968938827157</v>
      </c>
      <c r="G28" s="179">
        <v>1.082889730287917E-2</v>
      </c>
      <c r="H28" s="180">
        <v>103.93116760253906</v>
      </c>
      <c r="I28" s="178">
        <v>62.126942443650265</v>
      </c>
      <c r="J28" s="179">
        <v>-3.562303238103226E-2</v>
      </c>
      <c r="K28" s="180">
        <v>347.3414306640625</v>
      </c>
      <c r="L28" s="178">
        <v>207.6303150339491</v>
      </c>
      <c r="M28" s="181">
        <v>61.770383754927565</v>
      </c>
      <c r="N28" s="178">
        <v>0</v>
      </c>
      <c r="O28" s="182">
        <v>0</v>
      </c>
      <c r="P28" s="183">
        <v>61.81388050821559</v>
      </c>
      <c r="Q28" s="184">
        <v>23.489274593121923</v>
      </c>
      <c r="R28" s="185">
        <v>24.000000203450519</v>
      </c>
      <c r="S28" s="186">
        <v>63.09706229697597</v>
      </c>
    </row>
    <row r="29" spans="1:19" s="65" customFormat="1" ht="14" customHeight="1" x14ac:dyDescent="0.35">
      <c r="A29" s="15">
        <v>23</v>
      </c>
      <c r="B29" s="177">
        <v>61.466255187988281</v>
      </c>
      <c r="C29" s="178">
        <v>26.345482489838634</v>
      </c>
      <c r="D29" s="179">
        <v>3.6245658373868395E-2</v>
      </c>
      <c r="E29" s="180">
        <v>54.700569152832031</v>
      </c>
      <c r="F29" s="178">
        <v>23.445594373573709</v>
      </c>
      <c r="G29" s="179">
        <v>1.9625434746551207E-2</v>
      </c>
      <c r="H29" s="180">
        <v>103.82975769042969</v>
      </c>
      <c r="I29" s="178">
        <v>62.066322632306196</v>
      </c>
      <c r="J29" s="179">
        <v>-6.0619811344068353E-2</v>
      </c>
      <c r="K29" s="180">
        <v>447.82684326171875</v>
      </c>
      <c r="L29" s="178">
        <v>267.69748823030341</v>
      </c>
      <c r="M29" s="181">
        <v>60.067173196354304</v>
      </c>
      <c r="N29" s="178">
        <v>0</v>
      </c>
      <c r="O29" s="182">
        <v>0</v>
      </c>
      <c r="P29" s="183">
        <v>60.062424478130652</v>
      </c>
      <c r="Q29" s="184">
        <v>22.823721301689648</v>
      </c>
      <c r="R29" s="185">
        <v>24.000000250074599</v>
      </c>
      <c r="S29" s="186">
        <v>61.773066259498492</v>
      </c>
    </row>
    <row r="30" spans="1:19" s="65" customFormat="1" ht="14" customHeight="1" x14ac:dyDescent="0.35">
      <c r="A30" s="15">
        <v>24</v>
      </c>
      <c r="B30" s="177">
        <v>60.837265014648438</v>
      </c>
      <c r="C30" s="178">
        <v>26.075886602675435</v>
      </c>
      <c r="D30" s="179">
        <v>-0.26959588716319871</v>
      </c>
      <c r="E30" s="180">
        <v>54.584705352783203</v>
      </c>
      <c r="F30" s="178">
        <v>23.395933178076163</v>
      </c>
      <c r="G30" s="179">
        <v>-4.9661195497545663E-2</v>
      </c>
      <c r="H30" s="180">
        <v>103.93437957763672</v>
      </c>
      <c r="I30" s="178">
        <v>62.128862466263556</v>
      </c>
      <c r="J30" s="179">
        <v>6.2539833957359292E-2</v>
      </c>
      <c r="K30" s="180">
        <v>346.44525146484375</v>
      </c>
      <c r="L30" s="178">
        <v>207.09460592172223</v>
      </c>
      <c r="M30" s="181">
        <v>-60.602882308581172</v>
      </c>
      <c r="N30" s="178">
        <v>116.267</v>
      </c>
      <c r="O30" s="182">
        <v>44.181460000000001</v>
      </c>
      <c r="P30" s="183">
        <v>55.407400442715442</v>
      </c>
      <c r="Q30" s="184">
        <v>21.054812168231869</v>
      </c>
      <c r="R30" s="185">
        <v>24.000000216166178</v>
      </c>
      <c r="S30" s="186">
        <v>58.283484694934799</v>
      </c>
    </row>
    <row r="31" spans="1:19" s="65" customFormat="1" ht="14" customHeight="1" x14ac:dyDescent="0.35">
      <c r="A31" s="15">
        <v>25</v>
      </c>
      <c r="B31" s="177">
        <v>154.15693664550781</v>
      </c>
      <c r="C31" s="178">
        <v>66.074285193724563</v>
      </c>
      <c r="D31" s="179">
        <v>39.998398591049124</v>
      </c>
      <c r="E31" s="180">
        <v>54.636859893798828</v>
      </c>
      <c r="F31" s="178">
        <v>23.418287501483217</v>
      </c>
      <c r="G31" s="179">
        <v>2.2354323407054011E-2</v>
      </c>
      <c r="H31" s="180">
        <v>103.90155029296875</v>
      </c>
      <c r="I31" s="178">
        <v>62.109238102118695</v>
      </c>
      <c r="J31" s="179">
        <v>-1.9624364144860351E-2</v>
      </c>
      <c r="K31" s="180">
        <v>202.00341796875</v>
      </c>
      <c r="L31" s="178">
        <v>120.75159945820299</v>
      </c>
      <c r="M31" s="181">
        <v>-86.343006463519245</v>
      </c>
      <c r="N31" s="178">
        <v>99.602999999999994</v>
      </c>
      <c r="O31" s="182">
        <v>37.849139999999998</v>
      </c>
      <c r="P31" s="183">
        <v>53.261122086792071</v>
      </c>
      <c r="Q31" s="184">
        <v>20.239226392980989</v>
      </c>
      <c r="R31" s="185">
        <v>23.994444630940755</v>
      </c>
      <c r="S31" s="186">
        <v>55.93929986201843</v>
      </c>
    </row>
    <row r="32" spans="1:19" s="65" customFormat="1" ht="14" customHeight="1" x14ac:dyDescent="0.35">
      <c r="A32" s="15">
        <v>26</v>
      </c>
      <c r="B32" s="177">
        <v>287.55429077148438</v>
      </c>
      <c r="C32" s="178">
        <v>123.250660207433</v>
      </c>
      <c r="D32" s="179">
        <v>57.176375013708437</v>
      </c>
      <c r="E32" s="180">
        <v>54.699558258056641</v>
      </c>
      <c r="F32" s="178">
        <v>23.445161086878059</v>
      </c>
      <c r="G32" s="179">
        <v>2.6873585394842081E-2</v>
      </c>
      <c r="H32" s="180">
        <v>103.83245086669922</v>
      </c>
      <c r="I32" s="178">
        <v>62.067932532502148</v>
      </c>
      <c r="J32" s="179">
        <v>-4.1305569616547189E-2</v>
      </c>
      <c r="K32" s="180">
        <v>76.127029418945313</v>
      </c>
      <c r="L32" s="178">
        <v>45.506460518214574</v>
      </c>
      <c r="M32" s="181">
        <v>-75.245138939988408</v>
      </c>
      <c r="N32" s="178">
        <v>73.850999999999999</v>
      </c>
      <c r="O32" s="182">
        <v>28.063379999999999</v>
      </c>
      <c r="P32" s="183">
        <v>55.76780408949832</v>
      </c>
      <c r="Q32" s="184">
        <v>21.191765554009361</v>
      </c>
      <c r="R32" s="185">
        <v>24.000000190734863</v>
      </c>
      <c r="S32" s="186">
        <v>58.207746243150218</v>
      </c>
    </row>
    <row r="33" spans="1:19" s="65" customFormat="1" ht="14" customHeight="1" x14ac:dyDescent="0.35">
      <c r="A33" s="15">
        <v>27</v>
      </c>
      <c r="B33" s="177">
        <v>260.83346557617188</v>
      </c>
      <c r="C33" s="178">
        <v>111.79766001823789</v>
      </c>
      <c r="D33" s="179">
        <v>-11.453000189195109</v>
      </c>
      <c r="E33" s="180">
        <v>82.612754821777344</v>
      </c>
      <c r="F33" s="178">
        <v>35.409231926330087</v>
      </c>
      <c r="G33" s="179">
        <v>11.964070839452027</v>
      </c>
      <c r="H33" s="180">
        <v>178.73289489746094</v>
      </c>
      <c r="I33" s="178">
        <v>106.84117700425288</v>
      </c>
      <c r="J33" s="179">
        <v>44.773244471750736</v>
      </c>
      <c r="K33" s="180">
        <v>76.215950012207031</v>
      </c>
      <c r="L33" s="178">
        <v>45.559614588423358</v>
      </c>
      <c r="M33" s="181">
        <v>5.3154070208783821E-2</v>
      </c>
      <c r="N33" s="178">
        <v>12.016</v>
      </c>
      <c r="O33" s="182">
        <v>4.5660800000000004</v>
      </c>
      <c r="P33" s="183">
        <v>57.353469192216437</v>
      </c>
      <c r="Q33" s="184">
        <v>21.794318293042245</v>
      </c>
      <c r="R33" s="185">
        <v>24.000000271267361</v>
      </c>
      <c r="S33" s="186">
        <v>58.834822925018891</v>
      </c>
    </row>
    <row r="34" spans="1:19" s="65" customFormat="1" ht="14" customHeight="1" x14ac:dyDescent="0.35">
      <c r="A34" s="15">
        <v>28</v>
      </c>
      <c r="B34" s="177">
        <v>59.165912628173828</v>
      </c>
      <c r="C34" s="178">
        <v>25.359516540800872</v>
      </c>
      <c r="D34" s="179">
        <v>-86.438143477437023</v>
      </c>
      <c r="E34" s="180">
        <v>83.224769592285156</v>
      </c>
      <c r="F34" s="178">
        <v>35.67155186709472</v>
      </c>
      <c r="G34" s="179">
        <v>0.26231994076463394</v>
      </c>
      <c r="H34" s="180">
        <v>261.04788208007813</v>
      </c>
      <c r="I34" s="178">
        <v>156.04661353414451</v>
      </c>
      <c r="J34" s="179">
        <v>49.205436529891628</v>
      </c>
      <c r="K34" s="180">
        <v>75.939208984375</v>
      </c>
      <c r="L34" s="178">
        <v>45.394187081886841</v>
      </c>
      <c r="M34" s="181">
        <v>-0.16542750653651694</v>
      </c>
      <c r="N34" s="178">
        <v>86.227000000000004</v>
      </c>
      <c r="O34" s="182">
        <v>32.766260000000003</v>
      </c>
      <c r="P34" s="183">
        <v>49.091185486682718</v>
      </c>
      <c r="Q34" s="184">
        <v>18.654650484939435</v>
      </c>
      <c r="R34" s="185">
        <v>24.000000211927627</v>
      </c>
      <c r="S34" s="186">
        <v>50.993793048876441</v>
      </c>
    </row>
    <row r="35" spans="1:19" s="65" customFormat="1" ht="14" customHeight="1" x14ac:dyDescent="0.35">
      <c r="A35" s="15">
        <v>29</v>
      </c>
      <c r="B35" s="177">
        <v>83.077095031738281</v>
      </c>
      <c r="C35" s="178">
        <v>35.608256038559475</v>
      </c>
      <c r="D35" s="179">
        <v>10.248739497758603</v>
      </c>
      <c r="E35" s="180">
        <v>83.171318054199219</v>
      </c>
      <c r="F35" s="178">
        <v>35.648641628681929</v>
      </c>
      <c r="G35" s="179">
        <v>-2.2910238412791273E-2</v>
      </c>
      <c r="H35" s="180">
        <v>319.02813720703125</v>
      </c>
      <c r="I35" s="178">
        <v>190.70547531962853</v>
      </c>
      <c r="J35" s="179">
        <v>34.658861785484021</v>
      </c>
      <c r="K35" s="180">
        <v>76.207344055175781</v>
      </c>
      <c r="L35" s="178">
        <v>45.554470204794406</v>
      </c>
      <c r="M35" s="181">
        <v>0.16028312290756475</v>
      </c>
      <c r="N35" s="178">
        <v>0</v>
      </c>
      <c r="O35" s="182">
        <v>0</v>
      </c>
      <c r="P35" s="183">
        <v>45.044974167737401</v>
      </c>
      <c r="Q35" s="184">
        <v>17.117090183740213</v>
      </c>
      <c r="R35" s="185">
        <v>24.000000228881834</v>
      </c>
      <c r="S35" s="186">
        <v>46.974093816949612</v>
      </c>
    </row>
    <row r="36" spans="1:19" s="65" customFormat="1" ht="14" customHeight="1" x14ac:dyDescent="0.35">
      <c r="A36" s="15">
        <v>30</v>
      </c>
      <c r="B36" s="177">
        <v>194.48210144042969</v>
      </c>
      <c r="C36" s="178">
        <v>83.35833673965449</v>
      </c>
      <c r="D36" s="179">
        <v>47.750080701095015</v>
      </c>
      <c r="E36" s="180">
        <v>83.142524719238281</v>
      </c>
      <c r="F36" s="178">
        <v>35.636300315554628</v>
      </c>
      <c r="G36" s="179">
        <v>-1.2341313127301135E-2</v>
      </c>
      <c r="H36" s="180">
        <v>256.90621948242188</v>
      </c>
      <c r="I36" s="178">
        <v>153.57085154896578</v>
      </c>
      <c r="J36" s="179">
        <v>-37.134623770662756</v>
      </c>
      <c r="K36" s="180">
        <v>76.017807006835938</v>
      </c>
      <c r="L36" s="178">
        <v>45.441170628115138</v>
      </c>
      <c r="M36" s="181">
        <v>-0.11329957667926749</v>
      </c>
      <c r="N36" s="178">
        <v>37.834000000000003</v>
      </c>
      <c r="O36" s="182">
        <v>14.376920000000002</v>
      </c>
      <c r="P36" s="183">
        <v>48.323816040625694</v>
      </c>
      <c r="Q36" s="184">
        <v>18.363050095437764</v>
      </c>
      <c r="R36" s="185">
        <v>24.000000245836045</v>
      </c>
      <c r="S36" s="186">
        <v>49.328441502786582</v>
      </c>
    </row>
    <row r="37" spans="1:19" s="65" customFormat="1" ht="14" customHeight="1" thickBot="1" x14ac:dyDescent="0.4">
      <c r="A37" s="15">
        <v>31</v>
      </c>
      <c r="B37" s="177">
        <v>289.140869140625</v>
      </c>
      <c r="C37" s="178">
        <v>123.93069468350629</v>
      </c>
      <c r="D37" s="179">
        <v>40.572357943851799</v>
      </c>
      <c r="E37" s="180">
        <v>98.912002563476563</v>
      </c>
      <c r="F37" s="178">
        <v>42.39536675206768</v>
      </c>
      <c r="G37" s="179">
        <v>6.7590664365130522</v>
      </c>
      <c r="H37" s="180">
        <v>110.48293304443359</v>
      </c>
      <c r="I37" s="178">
        <v>66.043391800492998</v>
      </c>
      <c r="J37" s="179">
        <v>-87.527459748472779</v>
      </c>
      <c r="K37" s="180">
        <v>75.989112854003906</v>
      </c>
      <c r="L37" s="178">
        <v>45.424018122061504</v>
      </c>
      <c r="M37" s="181">
        <v>-1.7152506053633942E-2</v>
      </c>
      <c r="N37" s="178">
        <v>86.23</v>
      </c>
      <c r="O37" s="182">
        <v>32.767400000000002</v>
      </c>
      <c r="P37" s="183">
        <v>46.016812125838442</v>
      </c>
      <c r="Q37" s="184">
        <v>17.486388607818608</v>
      </c>
      <c r="R37" s="185">
        <v>24.000000182257761</v>
      </c>
      <c r="S37" s="186">
        <v>47.21263820801223</v>
      </c>
    </row>
    <row r="38" spans="1:19" ht="14.4" customHeight="1" x14ac:dyDescent="0.35">
      <c r="A38" s="11" t="s">
        <v>8</v>
      </c>
      <c r="B38" s="75"/>
      <c r="C38" s="75">
        <f>IFERROR(C6+D38,"")</f>
        <v>123.93069468350629</v>
      </c>
      <c r="D38" s="76">
        <f>IF($B$7="","",SUM(D7:D37))</f>
        <v>11.23767689236945</v>
      </c>
      <c r="E38" s="75"/>
      <c r="F38" s="75">
        <f>IFERROR(F6+G38,"")</f>
        <v>42.39536675206768</v>
      </c>
      <c r="G38" s="76">
        <f>IF($B$7="","",SUM(G7:G37))</f>
        <v>-22.709522575446179</v>
      </c>
      <c r="H38" s="75"/>
      <c r="I38" s="75">
        <f>IFERROR(I6+J38,"")</f>
        <v>66.043391800492998</v>
      </c>
      <c r="J38" s="76">
        <f>IF($B$7="","",SUM(J7:J37))</f>
        <v>-101.41349181648252</v>
      </c>
      <c r="K38" s="75"/>
      <c r="L38" s="75">
        <f>IFERROR(L6+M38,"")</f>
        <v>45.424018122061511</v>
      </c>
      <c r="M38" s="76">
        <f>IF($B$7="","",SUM(M7:M37))</f>
        <v>-0.44737739499410623</v>
      </c>
      <c r="N38" s="76">
        <f>SUM(N7:N37)</f>
        <v>1782.8090000000002</v>
      </c>
      <c r="O38" s="76">
        <f>IF($B$7="","",SUM(O7:O37))</f>
        <v>677.46742000000017</v>
      </c>
      <c r="P38" s="77">
        <f>IF(B7="","",SUM(P7:P37))</f>
        <v>1669.4762851054463</v>
      </c>
      <c r="Q38" s="77">
        <f>IF(B8="","",SUM(Q7:Q37))</f>
        <v>634.40098834006983</v>
      </c>
      <c r="R38" s="48">
        <f>SUM(R7:R37)</f>
        <v>743.63278568691692</v>
      </c>
      <c r="S38" s="88"/>
    </row>
    <row r="39" spans="1:19" ht="14.4" customHeight="1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08" t="s">
        <v>47</v>
      </c>
      <c r="O39" s="78">
        <f>IFERROR(O38*1000/0.505,"")</f>
        <v>1341519.6435643567</v>
      </c>
      <c r="P39" s="68" t="s">
        <v>47</v>
      </c>
      <c r="Q39" s="78">
        <f>IFERROR(Q38*1000/0.505,"")</f>
        <v>1256239.5808714253</v>
      </c>
      <c r="R39" s="10"/>
      <c r="S39" s="89"/>
    </row>
    <row r="40" spans="1:19" ht="14.4" customHeight="1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277.7934713581285</v>
      </c>
      <c r="I40" s="17" t="s">
        <v>3</v>
      </c>
      <c r="J40" s="17"/>
      <c r="K40" s="17"/>
      <c r="L40" s="10"/>
      <c r="M40" s="6"/>
      <c r="N40" s="172" t="s">
        <v>60</v>
      </c>
      <c r="O40" s="173">
        <f>IFERROR(O38*1000,"")</f>
        <v>677467.42000000016</v>
      </c>
      <c r="P40" s="10"/>
      <c r="Q40" s="67"/>
      <c r="R40" s="43"/>
      <c r="S40" s="89"/>
    </row>
    <row r="41" spans="1:19" ht="15" customHeight="1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105.56151911608883</v>
      </c>
      <c r="I41" s="7" t="s">
        <v>19</v>
      </c>
      <c r="J41" s="7">
        <f>IFERROR(H41*1000/0.505,"")</f>
        <v>209032.71112096799</v>
      </c>
      <c r="K41" s="7" t="s">
        <v>47</v>
      </c>
      <c r="L41" s="2"/>
      <c r="M41" s="7"/>
      <c r="N41" s="16"/>
      <c r="O41" s="7"/>
      <c r="P41" s="7"/>
      <c r="Q41" s="150" t="s">
        <v>57</v>
      </c>
      <c r="R41" s="42">
        <f>IF(H40="",0,COUNT(R7:R37)*24-R38)</f>
        <v>0.36721431308308183</v>
      </c>
      <c r="S41" s="148" t="s">
        <v>58</v>
      </c>
    </row>
  </sheetData>
  <mergeCells count="10">
    <mergeCell ref="A1:Q1"/>
    <mergeCell ref="A2:Q2"/>
    <mergeCell ref="B40:G40"/>
    <mergeCell ref="B4:D4"/>
    <mergeCell ref="E4:G4"/>
    <mergeCell ref="B3:G3"/>
    <mergeCell ref="H4:J4"/>
    <mergeCell ref="K4:M4"/>
    <mergeCell ref="P4:Q4"/>
    <mergeCell ref="N4:O4"/>
  </mergeCells>
  <phoneticPr fontId="0" type="noConversion"/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27" priority="4" operator="lessThan">
      <formula>23.98</formula>
    </cfRule>
  </conditionalFormatting>
  <conditionalFormatting sqref="R7:R37">
    <cfRule type="cellIs" dxfId="26" priority="3" operator="equal">
      <formula>""</formula>
    </cfRule>
  </conditionalFormatting>
  <conditionalFormatting sqref="R7:R37">
    <cfRule type="cellIs" dxfId="25" priority="2" operator="equal">
      <formula>""</formula>
    </cfRule>
  </conditionalFormatting>
  <conditionalFormatting sqref="R7:R37">
    <cfRule type="cellIs" dxfId="24" priority="1" operator="lessThan">
      <formula>23.98</formula>
    </cfRule>
  </conditionalFormatting>
  <pageMargins left="0.7" right="0.7" top="0.75" bottom="0.75" header="0.3" footer="0.3"/>
  <pageSetup paperSize="5" scale="84" orientation="landscape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S41"/>
  <sheetViews>
    <sheetView showGridLines="0" zoomScale="85" zoomScaleNormal="85" workbookViewId="0">
      <pane xSplit="1" ySplit="5" topLeftCell="B6" activePane="bottomRight" state="frozen"/>
      <selection activeCell="M17" sqref="M17"/>
      <selection pane="topRight" activeCell="M17" sqref="M17"/>
      <selection pane="bottomLeft" activeCell="M17" sqref="M17"/>
      <selection pane="bottomRight" activeCell="I13" sqref="I13"/>
    </sheetView>
  </sheetViews>
  <sheetFormatPr defaultColWidth="8.90625" defaultRowHeight="14.5" x14ac:dyDescent="0.35"/>
  <cols>
    <col min="1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19" width="10.6328125" style="82" customWidth="1"/>
    <col min="20" max="16384" width="8.90625" style="1"/>
  </cols>
  <sheetData>
    <row r="1" spans="1:19" s="10" customFormat="1" x14ac:dyDescent="0.35">
      <c r="A1" s="191" t="s">
        <v>42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</row>
    <row r="2" spans="1:19" s="10" customFormat="1" x14ac:dyDescent="0.35">
      <c r="A2" s="202">
        <f>SUMMARY!B2</f>
        <v>2021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134"/>
      <c r="S2" s="83"/>
    </row>
    <row r="3" spans="1:19" s="10" customFormat="1" ht="15" thickBot="1" x14ac:dyDescent="0.4">
      <c r="A3" s="113">
        <f>[1]SUMMARY!$K$12</f>
        <v>1.3431266623125706</v>
      </c>
      <c r="B3" s="203" t="s">
        <v>13</v>
      </c>
      <c r="C3" s="203"/>
      <c r="D3" s="203"/>
      <c r="E3" s="203"/>
      <c r="F3" s="203"/>
      <c r="G3" s="203"/>
      <c r="H3" s="87">
        <f>JAN!$H$3</f>
        <v>0.38</v>
      </c>
      <c r="I3" s="8" t="s">
        <v>12</v>
      </c>
      <c r="J3" s="8"/>
      <c r="K3" s="8"/>
      <c r="L3" s="8"/>
      <c r="M3" s="85"/>
      <c r="N3" s="86"/>
      <c r="S3" s="83"/>
    </row>
    <row r="4" spans="1:19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30" t="s">
        <v>50</v>
      </c>
    </row>
    <row r="5" spans="1:19" x14ac:dyDescent="0.35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36" t="s">
        <v>15</v>
      </c>
      <c r="S5" s="91" t="s">
        <v>3</v>
      </c>
    </row>
    <row r="6" spans="1:19" ht="14" customHeight="1" x14ac:dyDescent="0.35">
      <c r="A6" s="3" t="s">
        <v>1</v>
      </c>
      <c r="B6" s="94"/>
      <c r="C6" s="70">
        <f>+AUG!C38</f>
        <v>123.93069468350629</v>
      </c>
      <c r="D6" s="71"/>
      <c r="E6" s="95"/>
      <c r="F6" s="70">
        <f>+AUG!F38</f>
        <v>42.39536675206768</v>
      </c>
      <c r="G6" s="71"/>
      <c r="H6" s="95"/>
      <c r="I6" s="70">
        <f>+AUG!I38</f>
        <v>66.043391800492998</v>
      </c>
      <c r="J6" s="71"/>
      <c r="K6" s="95"/>
      <c r="L6" s="70">
        <f>+AUG!L38</f>
        <v>45.424018122061511</v>
      </c>
      <c r="M6" s="73"/>
      <c r="N6" s="105"/>
      <c r="O6" s="101"/>
      <c r="P6" s="102"/>
      <c r="Q6" s="103"/>
      <c r="R6" s="139"/>
      <c r="S6" s="92"/>
    </row>
    <row r="7" spans="1:19" s="65" customFormat="1" ht="14" customHeight="1" x14ac:dyDescent="0.35">
      <c r="A7" s="55">
        <v>1</v>
      </c>
      <c r="B7" s="107">
        <f>LOOKUP(A7+900,'[2]DCS Data'!$A:$A,'[2]DCS Data'!$E:$E)</f>
        <v>97.966201782226563</v>
      </c>
      <c r="C7" s="70">
        <f t="shared" ref="C7" si="0">IF(B7="","",$A$3*PI()/4*(157.5*2.54)^2*B7*2.54/1000000)</f>
        <v>42.009294518494407</v>
      </c>
      <c r="D7" s="71">
        <f>IF(C7="","",C7-C6)</f>
        <v>-81.921400165011875</v>
      </c>
      <c r="E7" s="106">
        <f>LOOKUP(A7+900,'[2]DCS Data'!$A:$A,'[2]DCS Data'!$F:$F)</f>
        <v>205.59429931640625</v>
      </c>
      <c r="F7" s="70">
        <f t="shared" ref="F7" si="1">IF(E7="","",$A$3*PI()/4*(157.5*2.54)^2*E7*2.54/1000000)</f>
        <v>88.161746747165807</v>
      </c>
      <c r="G7" s="71">
        <f>IF(F7="","",F7-F6)</f>
        <v>45.766379995098127</v>
      </c>
      <c r="H7" s="106">
        <f>LOOKUP(A7+900,'[2]DCS Data'!$A:$A,'[2]DCS Data'!$G:$G)</f>
        <v>76.379928588867188</v>
      </c>
      <c r="I7" s="70">
        <f t="shared" ref="I7" si="2">IF(H7="","",$A$3*PI()/4*(186*2.54)^2*H7*2.54/1000000)</f>
        <v>45.678637150498155</v>
      </c>
      <c r="J7" s="71">
        <f>IF(I7="","",I7-I6)</f>
        <v>-20.364754649994843</v>
      </c>
      <c r="K7" s="106">
        <f>LOOKUP(A7+900,'[2]DCS Data'!$A:$A,'[2]DCS Data'!$H:$H)</f>
        <v>75.917221069335938</v>
      </c>
      <c r="L7" s="70">
        <f t="shared" ref="L7" si="3">IF(K7="","",$A$3*PI()/4*(186*2.54)^2*K7*2.54/1000000)</f>
        <v>45.4019172152748</v>
      </c>
      <c r="M7" s="73">
        <f>IF(L7="","",L7-L6)</f>
        <v>-2.2100906786711505E-2</v>
      </c>
      <c r="N7" s="111">
        <f>IF(K7="", "", LOOKUP(A7+900,[3]SBS!$A:$A,[3]SBS!$C:$C))</f>
        <v>100.10299999999999</v>
      </c>
      <c r="O7" s="12">
        <f>IF(N7="","",N7*$H$3)</f>
        <v>38.039139999999996</v>
      </c>
      <c r="P7" s="13">
        <f>IFERROR(D7+G7+J7+M7+N7,0)</f>
        <v>43.561124273304692</v>
      </c>
      <c r="Q7" s="14">
        <f>IF(P7="","",P7*$H$3)</f>
        <v>16.553227223855782</v>
      </c>
      <c r="R7" s="155">
        <f>LOOKUP(A7+900,'[2]DCS Data'!$A:$A,'[2]DCS Data'!$K:$K)</f>
        <v>23.994167679680718</v>
      </c>
      <c r="S7" s="156">
        <f>IFERROR(LOOKUP(A7+900,'[2]DCS Data'!$A:$A,'[2]DCS Data'!$J:$J)*3785.4*0.993*$A$3/1000000,0)</f>
        <v>47.685893178633677</v>
      </c>
    </row>
    <row r="8" spans="1:19" s="65" customFormat="1" ht="14" customHeight="1" x14ac:dyDescent="0.35">
      <c r="A8" s="55">
        <v>2</v>
      </c>
      <c r="B8" s="107">
        <f>LOOKUP(A8+900,'[2]DCS Data'!$A:$A,'[2]DCS Data'!$E:$E)</f>
        <v>97.8304443359375</v>
      </c>
      <c r="C8" s="70">
        <f t="shared" ref="C8:C34" si="4">IF(B8="","",$A$3*PI()/4*(157.5*2.54)^2*B8*2.54/1000000)</f>
        <v>41.951079803210106</v>
      </c>
      <c r="D8" s="71">
        <f t="shared" ref="D8:D34" si="5">IF(C8="","",C8-C7)</f>
        <v>-5.8214715284300667E-2</v>
      </c>
      <c r="E8" s="106">
        <f>LOOKUP(A8+900,'[2]DCS Data'!$A:$A,'[2]DCS Data'!$F:$F)</f>
        <v>68.595115661621094</v>
      </c>
      <c r="F8" s="70">
        <f t="shared" ref="F8:F34" si="6">IF(E8="","",$A$3*PI()/4*(157.5*2.54)^2*E8*2.54/1000000)</f>
        <v>29.414556897540418</v>
      </c>
      <c r="G8" s="71">
        <f t="shared" ref="G8:G34" si="7">IF(F8="","",F8-F7)</f>
        <v>-58.747189849625386</v>
      </c>
      <c r="H8" s="106">
        <f>LOOKUP(A8+900,'[2]DCS Data'!$A:$A,'[2]DCS Data'!$G:$G)</f>
        <v>76.395256042480469</v>
      </c>
      <c r="I8" s="70">
        <f t="shared" ref="I8:I34" si="8">IF(H8="","",$A$3*PI()/4*(186*2.54)^2*H8*2.54/1000000)</f>
        <v>45.687803658047677</v>
      </c>
      <c r="J8" s="71">
        <f t="shared" ref="J8:J34" si="9">IF(I8="","",I8-I7)</f>
        <v>9.1665075495228621E-3</v>
      </c>
      <c r="K8" s="106">
        <f>LOOKUP(A8+900,'[2]DCS Data'!$A:$A,'[2]DCS Data'!$H:$H)</f>
        <v>75.95465087890625</v>
      </c>
      <c r="L8" s="70">
        <f t="shared" ref="L8:L34" si="10">IF(K8="","",$A$3*PI()/4*(186*2.54)^2*K8*2.54/1000000)</f>
        <v>45.424301927090617</v>
      </c>
      <c r="M8" s="73">
        <f t="shared" ref="M8:M34" si="11">IF(L8="","",L8-L7)</f>
        <v>2.2384711815817582E-2</v>
      </c>
      <c r="N8" s="111">
        <f>IF(K8="", "", LOOKUP(A8+900,[3]SBS!$A:$A,[3]SBS!$C:$C))</f>
        <v>106.249</v>
      </c>
      <c r="O8" s="12">
        <f t="shared" ref="O8:O34" si="12">IF(N8="","",N8*$H$3)</f>
        <v>40.37462</v>
      </c>
      <c r="P8" s="13">
        <f t="shared" ref="P8:P34" si="13">IFERROR(D8+G8+J8+M8+N8,0)</f>
        <v>47.475146654455649</v>
      </c>
      <c r="Q8" s="14">
        <f t="shared" ref="Q8:Q34" si="14">IF(P8="","",P8*$H$3)</f>
        <v>18.040555728693146</v>
      </c>
      <c r="R8" s="155">
        <f>LOOKUP(A8+900,'[2]DCS Data'!$A:$A,'[2]DCS Data'!$K:$K)</f>
        <v>24.000000237358943</v>
      </c>
      <c r="S8" s="156">
        <f>IFERROR(LOOKUP(A8+900,'[2]DCS Data'!$A:$A,'[2]DCS Data'!$J:$J)*3785.4*0.993*$A$3/1000000,0)</f>
        <v>48.477381880497369</v>
      </c>
    </row>
    <row r="9" spans="1:19" ht="14" customHeight="1" x14ac:dyDescent="0.35">
      <c r="A9" s="55">
        <v>3</v>
      </c>
      <c r="B9" s="107">
        <f>LOOKUP(A9+900,'[2]DCS Data'!$A:$A,'[2]DCS Data'!$E:$E)</f>
        <v>77.188087463378906</v>
      </c>
      <c r="C9" s="70">
        <f t="shared" si="4"/>
        <v>33.099344881988465</v>
      </c>
      <c r="D9" s="71">
        <f t="shared" si="5"/>
        <v>-8.8517349212216416</v>
      </c>
      <c r="E9" s="106">
        <f>LOOKUP(A9+900,'[2]DCS Data'!$A:$A,'[2]DCS Data'!$F:$F)</f>
        <v>112.50244903564453</v>
      </c>
      <c r="F9" s="70">
        <f t="shared" si="6"/>
        <v>48.242643172961472</v>
      </c>
      <c r="G9" s="71">
        <f t="shared" si="7"/>
        <v>18.828086275421054</v>
      </c>
      <c r="H9" s="106">
        <f>LOOKUP(A9+900,'[2]DCS Data'!$A:$A,'[2]DCS Data'!$G:$G)</f>
        <v>42.809612274169922</v>
      </c>
      <c r="I9" s="70">
        <f t="shared" si="8"/>
        <v>25.602076118075122</v>
      </c>
      <c r="J9" s="71">
        <f t="shared" si="9"/>
        <v>-20.085727539972556</v>
      </c>
      <c r="K9" s="106">
        <f>LOOKUP(A9+900,'[2]DCS Data'!$A:$A,'[2]DCS Data'!$H:$H)</f>
        <v>42.124408721923828</v>
      </c>
      <c r="L9" s="70">
        <f t="shared" si="10"/>
        <v>25.192293534933981</v>
      </c>
      <c r="M9" s="73">
        <f t="shared" si="11"/>
        <v>-20.232008392156636</v>
      </c>
      <c r="N9" s="111">
        <f>IF(K9="", "", LOOKUP(A9+900,[3]SBS!$A:$A,[3]SBS!$C:$C))</f>
        <v>76.06</v>
      </c>
      <c r="O9" s="12">
        <f t="shared" si="12"/>
        <v>28.902800000000003</v>
      </c>
      <c r="P9" s="13">
        <f t="shared" si="13"/>
        <v>45.718615422070222</v>
      </c>
      <c r="Q9" s="14">
        <f t="shared" si="14"/>
        <v>17.373073860386686</v>
      </c>
      <c r="R9" s="155">
        <f>LOOKUP(A9+900,'[2]DCS Data'!$A:$A,'[2]DCS Data'!$K:$K)</f>
        <v>24.000000161064996</v>
      </c>
      <c r="S9" s="156">
        <f>IFERROR(LOOKUP(A9+900,'[2]DCS Data'!$A:$A,'[2]DCS Data'!$J:$J)*3785.4*0.993*$A$3/1000000,0)</f>
        <v>47.783694667382399</v>
      </c>
    </row>
    <row r="10" spans="1:19" ht="14" customHeight="1" x14ac:dyDescent="0.35">
      <c r="A10" s="55">
        <v>4</v>
      </c>
      <c r="B10" s="107">
        <f>LOOKUP(A10+900,'[2]DCS Data'!$A:$A,'[2]DCS Data'!$E:$E)</f>
        <v>81.38189697265625</v>
      </c>
      <c r="C10" s="70">
        <f t="shared" si="4"/>
        <v>34.897709783603517</v>
      </c>
      <c r="D10" s="71">
        <f t="shared" si="5"/>
        <v>1.7983649016150522</v>
      </c>
      <c r="E10" s="106">
        <f>LOOKUP(A10+900,'[2]DCS Data'!$A:$A,'[2]DCS Data'!$F:$F)</f>
        <v>194.80012512207031</v>
      </c>
      <c r="F10" s="70">
        <f t="shared" si="6"/>
        <v>83.533052007914861</v>
      </c>
      <c r="G10" s="71">
        <f t="shared" si="7"/>
        <v>35.290408834953389</v>
      </c>
      <c r="H10" s="106">
        <f>LOOKUP(A10+900,'[2]DCS Data'!$A:$A,'[2]DCS Data'!$G:$G)</f>
        <v>43.220348358154297</v>
      </c>
      <c r="I10" s="70">
        <f t="shared" si="8"/>
        <v>25.847714794250493</v>
      </c>
      <c r="J10" s="71">
        <f t="shared" si="9"/>
        <v>0.24563867617537127</v>
      </c>
      <c r="K10" s="106">
        <f>LOOKUP(A10+900,'[2]DCS Data'!$A:$A,'[2]DCS Data'!$H:$H)</f>
        <v>54.572422027587891</v>
      </c>
      <c r="L10" s="70">
        <f t="shared" si="10"/>
        <v>32.636766101734466</v>
      </c>
      <c r="M10" s="73">
        <f t="shared" si="11"/>
        <v>7.444472566800485</v>
      </c>
      <c r="N10" s="111">
        <f>IF(K10="", "", LOOKUP(A10+900,[3]SBS!$A:$A,[3]SBS!$C:$C))</f>
        <v>0</v>
      </c>
      <c r="O10" s="12">
        <f t="shared" si="12"/>
        <v>0</v>
      </c>
      <c r="P10" s="13">
        <f t="shared" si="13"/>
        <v>44.778884979544301</v>
      </c>
      <c r="Q10" s="14">
        <f t="shared" si="14"/>
        <v>17.015976292226835</v>
      </c>
      <c r="R10" s="155">
        <f>LOOKUP(A10+900,'[2]DCS Data'!$A:$A,'[2]DCS Data'!$K:$K)</f>
        <v>24.000000216166178</v>
      </c>
      <c r="S10" s="156">
        <f>IFERROR(LOOKUP(A10+900,'[2]DCS Data'!$A:$A,'[2]DCS Data'!$J:$J)*3785.4*0.993*$A$3/1000000,0)</f>
        <v>47.55694331226973</v>
      </c>
    </row>
    <row r="11" spans="1:19" ht="14" customHeight="1" x14ac:dyDescent="0.35">
      <c r="A11" s="55">
        <v>5</v>
      </c>
      <c r="B11" s="107">
        <f>LOOKUP(A11+900,'[2]DCS Data'!$A:$A,'[2]DCS Data'!$E:$E)</f>
        <v>81.317306518554688</v>
      </c>
      <c r="C11" s="70">
        <f t="shared" si="4"/>
        <v>34.870012482288644</v>
      </c>
      <c r="D11" s="71">
        <f t="shared" si="5"/>
        <v>-2.7697301314873357E-2</v>
      </c>
      <c r="E11" s="106">
        <f>LOOKUP(A11+900,'[2]DCS Data'!$A:$A,'[2]DCS Data'!$F:$F)</f>
        <v>194.73117065429688</v>
      </c>
      <c r="F11" s="70">
        <f t="shared" si="6"/>
        <v>83.50348335574337</v>
      </c>
      <c r="G11" s="71">
        <f t="shared" si="7"/>
        <v>-2.9568652171491294E-2</v>
      </c>
      <c r="H11" s="106">
        <f>LOOKUP(A11+900,'[2]DCS Data'!$A:$A,'[2]DCS Data'!$G:$G)</f>
        <v>133.80972290039063</v>
      </c>
      <c r="I11" s="70">
        <f t="shared" si="8"/>
        <v>80.024240562939468</v>
      </c>
      <c r="J11" s="71">
        <f t="shared" si="9"/>
        <v>54.176525768688975</v>
      </c>
      <c r="K11" s="106">
        <f>LOOKUP(A11+900,'[2]DCS Data'!$A:$A,'[2]DCS Data'!$H:$H)</f>
        <v>66.873916625976563</v>
      </c>
      <c r="L11" s="70">
        <f t="shared" si="10"/>
        <v>39.993613882952623</v>
      </c>
      <c r="M11" s="73">
        <f t="shared" si="11"/>
        <v>7.356847781218157</v>
      </c>
      <c r="N11" s="111">
        <f>IF(K11="", "", LOOKUP(A11+900,[3]SBS!$A:$A,[3]SBS!$C:$C))</f>
        <v>0</v>
      </c>
      <c r="O11" s="12">
        <f t="shared" si="12"/>
        <v>0</v>
      </c>
      <c r="P11" s="13">
        <f t="shared" si="13"/>
        <v>61.476107596420768</v>
      </c>
      <c r="Q11" s="14">
        <f t="shared" si="14"/>
        <v>23.360920886639892</v>
      </c>
      <c r="R11" s="155">
        <f>LOOKUP(A11+900,'[2]DCS Data'!$A:$A,'[2]DCS Data'!$K:$K)</f>
        <v>24.000000211927627</v>
      </c>
      <c r="S11" s="156">
        <f>IFERROR(LOOKUP(A11+900,'[2]DCS Data'!$A:$A,'[2]DCS Data'!$J:$J)*3785.4*0.993*$A$3/1000000,0)</f>
        <v>62.699044094974411</v>
      </c>
    </row>
    <row r="12" spans="1:19" ht="14" customHeight="1" x14ac:dyDescent="0.35">
      <c r="A12" s="55">
        <v>6</v>
      </c>
      <c r="B12" s="107">
        <f>LOOKUP(A12+900,'[2]DCS Data'!$A:$A,'[2]DCS Data'!$E:$E)</f>
        <v>81.149612426757813</v>
      </c>
      <c r="C12" s="70">
        <f t="shared" si="4"/>
        <v>34.798102881190033</v>
      </c>
      <c r="D12" s="71">
        <f t="shared" si="5"/>
        <v>-7.1909601098610665E-2</v>
      </c>
      <c r="E12" s="106">
        <f>LOOKUP(A12+900,'[2]DCS Data'!$A:$A,'[2]DCS Data'!$F:$F)</f>
        <v>149.73805236816406</v>
      </c>
      <c r="F12" s="70">
        <f t="shared" si="6"/>
        <v>64.209797135374615</v>
      </c>
      <c r="G12" s="71">
        <f t="shared" si="7"/>
        <v>-19.293686220368755</v>
      </c>
      <c r="H12" s="106">
        <f>LOOKUP(A12+900,'[2]DCS Data'!$A:$A,'[2]DCS Data'!$G:$G)</f>
        <v>237.08491516113281</v>
      </c>
      <c r="I12" s="70">
        <f t="shared" si="8"/>
        <v>141.78745664709245</v>
      </c>
      <c r="J12" s="71">
        <f t="shared" si="9"/>
        <v>61.763216084152987</v>
      </c>
      <c r="K12" s="106">
        <f>LOOKUP(A12+900,'[2]DCS Data'!$A:$A,'[2]DCS Data'!$H:$H)</f>
        <v>66.879714965820313</v>
      </c>
      <c r="L12" s="70">
        <f t="shared" si="10"/>
        <v>39.997081551313819</v>
      </c>
      <c r="M12" s="73">
        <f t="shared" si="11"/>
        <v>3.4676683611962744E-3</v>
      </c>
      <c r="N12" s="111">
        <f>IF(K12="", "", LOOKUP(A12+900,[3]SBS!$A:$A,[3]SBS!$C:$C))</f>
        <v>20.045999999999999</v>
      </c>
      <c r="O12" s="12">
        <f t="shared" si="12"/>
        <v>7.6174799999999996</v>
      </c>
      <c r="P12" s="13">
        <f t="shared" si="13"/>
        <v>62.447087931046816</v>
      </c>
      <c r="Q12" s="14">
        <f t="shared" si="14"/>
        <v>23.729893413797789</v>
      </c>
      <c r="R12" s="155">
        <f>LOOKUP(A12+900,'[2]DCS Data'!$A:$A,'[2]DCS Data'!$K:$K)</f>
        <v>24.000000237358943</v>
      </c>
      <c r="S12" s="156">
        <f>IFERROR(LOOKUP(A12+900,'[2]DCS Data'!$A:$A,'[2]DCS Data'!$J:$J)*3785.4*0.993*$A$3/1000000,0)</f>
        <v>62.708841001128988</v>
      </c>
    </row>
    <row r="13" spans="1:19" ht="14" customHeight="1" x14ac:dyDescent="0.35">
      <c r="A13" s="55">
        <v>7</v>
      </c>
      <c r="B13" s="107">
        <f>LOOKUP(A13+900,'[2]DCS Data'!$A:$A,'[2]DCS Data'!$E:$E)</f>
        <v>81.184738159179688</v>
      </c>
      <c r="C13" s="70">
        <f t="shared" si="4"/>
        <v>34.813165292630345</v>
      </c>
      <c r="D13" s="71">
        <f t="shared" si="5"/>
        <v>1.5062411440311507E-2</v>
      </c>
      <c r="E13" s="106">
        <f>LOOKUP(A13+900,'[2]DCS Data'!$A:$A,'[2]DCS Data'!$F:$F)</f>
        <v>65.22003173828125</v>
      </c>
      <c r="F13" s="70">
        <f t="shared" si="6"/>
        <v>27.967273120269976</v>
      </c>
      <c r="G13" s="71">
        <f t="shared" si="7"/>
        <v>-36.242524015104635</v>
      </c>
      <c r="H13" s="106">
        <f>LOOKUP(A13+900,'[2]DCS Data'!$A:$A,'[2]DCS Data'!$G:$G)</f>
        <v>194.16178894042969</v>
      </c>
      <c r="I13" s="70">
        <f t="shared" si="8"/>
        <v>116.11749407676464</v>
      </c>
      <c r="J13" s="71">
        <f t="shared" si="9"/>
        <v>-25.669962570327812</v>
      </c>
      <c r="K13" s="106">
        <f>LOOKUP(A13+900,'[2]DCS Data'!$A:$A,'[2]DCS Data'!$H:$H)</f>
        <v>66.7022705078125</v>
      </c>
      <c r="L13" s="70">
        <f t="shared" si="10"/>
        <v>39.890961774018201</v>
      </c>
      <c r="M13" s="73">
        <f t="shared" si="11"/>
        <v>-0.10611977729561772</v>
      </c>
      <c r="N13" s="111">
        <f>IF(K13="", "", LOOKUP(A13+900,[3]SBS!$A:$A,[3]SBS!$C:$C))</f>
        <v>121.459</v>
      </c>
      <c r="O13" s="12">
        <f t="shared" si="12"/>
        <v>46.154420000000002</v>
      </c>
      <c r="P13" s="13">
        <f t="shared" si="13"/>
        <v>59.45545604871225</v>
      </c>
      <c r="Q13" s="14">
        <f t="shared" si="14"/>
        <v>22.593073298510657</v>
      </c>
      <c r="R13" s="155">
        <f>LOOKUP(A13+900,'[2]DCS Data'!$A:$A,'[2]DCS Data'!$K:$K)</f>
        <v>24.000000216166178</v>
      </c>
      <c r="S13" s="156">
        <f>IFERROR(LOOKUP(A13+900,'[2]DCS Data'!$A:$A,'[2]DCS Data'!$J:$J)*3785.4*0.993*$A$3/1000000,0)</f>
        <v>61.759056200697422</v>
      </c>
    </row>
    <row r="14" spans="1:19" ht="14" customHeight="1" x14ac:dyDescent="0.35">
      <c r="A14" s="55">
        <v>8</v>
      </c>
      <c r="B14" s="107">
        <f>LOOKUP(A14+900,'[2]DCS Data'!$A:$A,'[2]DCS Data'!$E:$E)</f>
        <v>81.101638793945313</v>
      </c>
      <c r="C14" s="70">
        <f t="shared" si="4"/>
        <v>34.777531108136891</v>
      </c>
      <c r="D14" s="71">
        <f t="shared" si="5"/>
        <v>-3.5634184493453347E-2</v>
      </c>
      <c r="E14" s="106">
        <f>LOOKUP(A14+900,'[2]DCS Data'!$A:$A,'[2]DCS Data'!$F:$F)</f>
        <v>64.979965209960938</v>
      </c>
      <c r="F14" s="70">
        <f t="shared" si="6"/>
        <v>27.864329193601684</v>
      </c>
      <c r="G14" s="71">
        <f t="shared" si="7"/>
        <v>-0.10294392666829211</v>
      </c>
      <c r="H14" s="106">
        <f>LOOKUP(A14+900,'[2]DCS Data'!$A:$A,'[2]DCS Data'!$G:$G)</f>
        <v>107.53363800048828</v>
      </c>
      <c r="I14" s="70">
        <f t="shared" si="8"/>
        <v>64.309958420323454</v>
      </c>
      <c r="J14" s="71">
        <f t="shared" si="9"/>
        <v>-51.807535656441189</v>
      </c>
      <c r="K14" s="106">
        <f>LOOKUP(A14+900,'[2]DCS Data'!$A:$A,'[2]DCS Data'!$H:$H)</f>
        <v>66.787322998046875</v>
      </c>
      <c r="L14" s="70">
        <f t="shared" si="10"/>
        <v>39.941826993611095</v>
      </c>
      <c r="M14" s="73">
        <f t="shared" si="11"/>
        <v>5.0865219592893141E-2</v>
      </c>
      <c r="N14" s="111">
        <f>IF(K14="", "", LOOKUP(A14+900,[3]SBS!$A:$A,[3]SBS!$C:$C))</f>
        <v>106.244</v>
      </c>
      <c r="O14" s="12">
        <f t="shared" si="12"/>
        <v>40.372720000000001</v>
      </c>
      <c r="P14" s="13">
        <f t="shared" si="13"/>
        <v>54.348751451989955</v>
      </c>
      <c r="Q14" s="14">
        <f t="shared" si="14"/>
        <v>20.652525551756185</v>
      </c>
      <c r="R14" s="155">
        <f>LOOKUP(A14+900,'[2]DCS Data'!$A:$A,'[2]DCS Data'!$K:$K)</f>
        <v>23.992776595221628</v>
      </c>
      <c r="S14" s="156">
        <f>IFERROR(LOOKUP(A14+900,'[2]DCS Data'!$A:$A,'[2]DCS Data'!$J:$J)*3785.4*0.993*$A$3/1000000,0)</f>
        <v>58.366384434822045</v>
      </c>
    </row>
    <row r="15" spans="1:19" ht="14" customHeight="1" x14ac:dyDescent="0.35">
      <c r="A15" s="55">
        <v>9</v>
      </c>
      <c r="B15" s="107">
        <f>LOOKUP(A15+900,'[2]DCS Data'!$A:$A,'[2]DCS Data'!$E:$E)</f>
        <v>81.366470336914063</v>
      </c>
      <c r="C15" s="70">
        <f t="shared" si="4"/>
        <v>34.891094623757233</v>
      </c>
      <c r="D15" s="71">
        <f t="shared" si="5"/>
        <v>0.11356351562034206</v>
      </c>
      <c r="E15" s="106">
        <f>LOOKUP(A15+900,'[2]DCS Data'!$A:$A,'[2]DCS Data'!$F:$F)</f>
        <v>130.91682434082031</v>
      </c>
      <c r="F15" s="70">
        <f t="shared" si="6"/>
        <v>56.138988050032786</v>
      </c>
      <c r="G15" s="71">
        <f t="shared" si="7"/>
        <v>28.274658856431103</v>
      </c>
      <c r="H15" s="106">
        <f>LOOKUP(A15+900,'[2]DCS Data'!$A:$A,'[2]DCS Data'!$G:$G)</f>
        <v>122.10297393798828</v>
      </c>
      <c r="I15" s="70">
        <f t="shared" si="8"/>
        <v>73.023077457067046</v>
      </c>
      <c r="J15" s="71">
        <f t="shared" si="9"/>
        <v>8.713119036743592</v>
      </c>
      <c r="K15" s="106">
        <f>LOOKUP(A15+900,'[2]DCS Data'!$A:$A,'[2]DCS Data'!$H:$H)</f>
        <v>66.814971923828125</v>
      </c>
      <c r="L15" s="70">
        <f t="shared" si="10"/>
        <v>39.958362296428156</v>
      </c>
      <c r="M15" s="73">
        <f t="shared" si="11"/>
        <v>1.6535302817061392E-2</v>
      </c>
      <c r="N15" s="111">
        <f>IF(K15="", "", LOOKUP(A15+900,[3]SBS!$A:$A,[3]SBS!$C:$C))</f>
        <v>20.039000000000001</v>
      </c>
      <c r="O15" s="12">
        <f t="shared" si="12"/>
        <v>7.6148200000000008</v>
      </c>
      <c r="P15" s="13">
        <f t="shared" si="13"/>
        <v>57.156876711612099</v>
      </c>
      <c r="Q15" s="14">
        <f t="shared" si="14"/>
        <v>21.719613150412599</v>
      </c>
      <c r="R15" s="155">
        <f>LOOKUP(A15+900,'[2]DCS Data'!$A:$A,'[2]DCS Data'!$K:$K)</f>
        <v>24.000000224643284</v>
      </c>
      <c r="S15" s="156">
        <f>IFERROR(LOOKUP(A15+900,'[2]DCS Data'!$A:$A,'[2]DCS Data'!$J:$J)*3785.4*0.993*$A$3/1000000,0)</f>
        <v>58.666625182980276</v>
      </c>
    </row>
    <row r="16" spans="1:19" ht="14" customHeight="1" x14ac:dyDescent="0.35">
      <c r="A16" s="55">
        <v>10</v>
      </c>
      <c r="B16" s="107">
        <f>LOOKUP(A16+900,'[2]DCS Data'!$A:$A,'[2]DCS Data'!$E:$E)</f>
        <v>143.44847106933594</v>
      </c>
      <c r="C16" s="70">
        <f t="shared" si="4"/>
        <v>61.512735614424422</v>
      </c>
      <c r="D16" s="71">
        <f t="shared" si="5"/>
        <v>26.621640990667188</v>
      </c>
      <c r="E16" s="106">
        <f>LOOKUP(A16+900,'[2]DCS Data'!$A:$A,'[2]DCS Data'!$F:$F)</f>
        <v>112.27999114990234</v>
      </c>
      <c r="F16" s="70">
        <f t="shared" si="6"/>
        <v>48.147250081567762</v>
      </c>
      <c r="G16" s="71">
        <f t="shared" si="7"/>
        <v>-7.9917379684650243</v>
      </c>
      <c r="H16" s="106">
        <f>LOOKUP(A16+900,'[2]DCS Data'!$A:$A,'[2]DCS Data'!$G:$G)</f>
        <v>91.899330139160156</v>
      </c>
      <c r="I16" s="70">
        <f t="shared" si="8"/>
        <v>54.95993821094504</v>
      </c>
      <c r="J16" s="71">
        <f t="shared" si="9"/>
        <v>-18.063139246122006</v>
      </c>
      <c r="K16" s="106">
        <f>LOOKUP(A16+900,'[2]DCS Data'!$A:$A,'[2]DCS Data'!$H:$H)</f>
        <v>66.818649291992188</v>
      </c>
      <c r="L16" s="70">
        <f t="shared" si="10"/>
        <v>39.960561528204607</v>
      </c>
      <c r="M16" s="73">
        <f t="shared" si="11"/>
        <v>2.1992317764514269E-3</v>
      </c>
      <c r="N16" s="111">
        <f>IF(K16="", "", LOOKUP(A16+900,[3]SBS!$A:$A,[3]SBS!$C:$C))</f>
        <v>55.66</v>
      </c>
      <c r="O16" s="12">
        <f t="shared" si="12"/>
        <v>21.1508</v>
      </c>
      <c r="P16" s="13">
        <f t="shared" si="13"/>
        <v>56.228963007856606</v>
      </c>
      <c r="Q16" s="14">
        <f t="shared" si="14"/>
        <v>21.367005942985511</v>
      </c>
      <c r="R16" s="155">
        <f>LOOKUP(A16+900,'[2]DCS Data'!$A:$A,'[2]DCS Data'!$K:$K)</f>
        <v>24.00000019497341</v>
      </c>
      <c r="S16" s="156">
        <f>IFERROR(LOOKUP(A16+900,'[2]DCS Data'!$A:$A,'[2]DCS Data'!$J:$J)*3785.4*0.993*$A$3/1000000,0)</f>
        <v>58.853497761970573</v>
      </c>
    </row>
    <row r="17" spans="1:19" ht="14" customHeight="1" x14ac:dyDescent="0.35">
      <c r="A17" s="55">
        <v>11</v>
      </c>
      <c r="B17" s="107">
        <f>LOOKUP(A17+900,'[2]DCS Data'!$A:$A,'[2]DCS Data'!$E:$E)</f>
        <v>270.0992431640625</v>
      </c>
      <c r="C17" s="70">
        <f t="shared" si="4"/>
        <v>115.82238005434338</v>
      </c>
      <c r="D17" s="71">
        <f t="shared" si="5"/>
        <v>54.309644439918962</v>
      </c>
      <c r="E17" s="106">
        <f>LOOKUP(A17+900,'[2]DCS Data'!$A:$A,'[2]DCS Data'!$F:$F)</f>
        <v>112.08587646484375</v>
      </c>
      <c r="F17" s="70">
        <f t="shared" si="6"/>
        <v>48.064010955964854</v>
      </c>
      <c r="G17" s="71">
        <f t="shared" si="7"/>
        <v>-8.3239125602908359E-2</v>
      </c>
      <c r="H17" s="106">
        <f>LOOKUP(A17+900,'[2]DCS Data'!$A:$A,'[2]DCS Data'!$G:$G)</f>
        <v>91.852752685546875</v>
      </c>
      <c r="I17" s="70">
        <f t="shared" si="8"/>
        <v>54.932082796017291</v>
      </c>
      <c r="J17" s="71">
        <f t="shared" si="9"/>
        <v>-2.7855414927749678E-2</v>
      </c>
      <c r="K17" s="106">
        <f>LOOKUP(A17+900,'[2]DCS Data'!$A:$A,'[2]DCS Data'!$H:$H)</f>
        <v>66.762580871582031</v>
      </c>
      <c r="L17" s="70">
        <f t="shared" si="10"/>
        <v>39.92703008769616</v>
      </c>
      <c r="M17" s="73">
        <f t="shared" si="11"/>
        <v>-3.3531440508447474E-2</v>
      </c>
      <c r="N17" s="111">
        <f>IF(K17="", "", LOOKUP(A17+900,[3]SBS!$A:$A,[3]SBS!$C:$C))</f>
        <v>0</v>
      </c>
      <c r="O17" s="12">
        <f t="shared" si="12"/>
        <v>0</v>
      </c>
      <c r="P17" s="13">
        <f t="shared" si="13"/>
        <v>54.165018458879857</v>
      </c>
      <c r="Q17" s="14">
        <f t="shared" si="14"/>
        <v>20.582707014374346</v>
      </c>
      <c r="R17" s="155">
        <f>LOOKUP(A17+900,'[2]DCS Data'!$A:$A,'[2]DCS Data'!$K:$K)</f>
        <v>24.000000233120385</v>
      </c>
      <c r="S17" s="156">
        <f>IFERROR(LOOKUP(A17+900,'[2]DCS Data'!$A:$A,'[2]DCS Data'!$J:$J)*3785.4*0.993*$A$3/1000000,0)</f>
        <v>56.08670068923918</v>
      </c>
    </row>
    <row r="18" spans="1:19" ht="14" customHeight="1" x14ac:dyDescent="0.35">
      <c r="A18" s="55">
        <v>12</v>
      </c>
      <c r="B18" s="107">
        <f>LOOKUP(A18+900,'[2]DCS Data'!$A:$A,'[2]DCS Data'!$E:$E)</f>
        <v>41.611515045166016</v>
      </c>
      <c r="C18" s="70">
        <f t="shared" si="4"/>
        <v>17.843606867386814</v>
      </c>
      <c r="D18" s="71">
        <f t="shared" si="5"/>
        <v>-97.978773186956573</v>
      </c>
      <c r="E18" s="106">
        <f>LOOKUP(A18+900,'[2]DCS Data'!$A:$A,'[2]DCS Data'!$F:$F)</f>
        <v>210.11654663085938</v>
      </c>
      <c r="F18" s="70">
        <f t="shared" si="6"/>
        <v>90.100950430295626</v>
      </c>
      <c r="G18" s="71">
        <f t="shared" si="7"/>
        <v>42.036939474330772</v>
      </c>
      <c r="H18" s="106">
        <f>LOOKUP(A18+900,'[2]DCS Data'!$A:$A,'[2]DCS Data'!$G:$G)</f>
        <v>91.870841979980469</v>
      </c>
      <c r="I18" s="70">
        <f t="shared" si="8"/>
        <v>54.942901008759911</v>
      </c>
      <c r="J18" s="71">
        <f t="shared" si="9"/>
        <v>1.0818212742620403E-2</v>
      </c>
      <c r="K18" s="106">
        <f>LOOKUP(A18+900,'[2]DCS Data'!$A:$A,'[2]DCS Data'!$H:$H)</f>
        <v>66.670799255371094</v>
      </c>
      <c r="L18" s="70">
        <f t="shared" si="10"/>
        <v>39.872140547715667</v>
      </c>
      <c r="M18" s="73">
        <f t="shared" si="11"/>
        <v>-5.4889539980493396E-2</v>
      </c>
      <c r="N18" s="111">
        <f>IF(K18="", "", LOOKUP(A18+900,[3]SBS!$A:$A,[3]SBS!$C:$C))</f>
        <v>106.258</v>
      </c>
      <c r="O18" s="12">
        <f t="shared" si="12"/>
        <v>40.378039999999999</v>
      </c>
      <c r="P18" s="13">
        <f t="shared" si="13"/>
        <v>50.272094960136322</v>
      </c>
      <c r="Q18" s="14">
        <f t="shared" si="14"/>
        <v>19.103396084851802</v>
      </c>
      <c r="R18" s="155">
        <f>LOOKUP(A18+900,'[2]DCS Data'!$A:$A,'[2]DCS Data'!$K:$K)</f>
        <v>24.000000161064996</v>
      </c>
      <c r="S18" s="156">
        <f>IFERROR(LOOKUP(A18+900,'[2]DCS Data'!$A:$A,'[2]DCS Data'!$J:$J)*3785.4*0.993*$A$3/1000000,0)</f>
        <v>52.475440060395776</v>
      </c>
    </row>
    <row r="19" spans="1:19" ht="14" customHeight="1" x14ac:dyDescent="0.35">
      <c r="A19" s="55">
        <v>13</v>
      </c>
      <c r="B19" s="107">
        <f>LOOKUP(A19+900,'[2]DCS Data'!$A:$A,'[2]DCS Data'!$E:$E)</f>
        <v>157.12234497070313</v>
      </c>
      <c r="C19" s="70">
        <f t="shared" si="4"/>
        <v>67.376286364388321</v>
      </c>
      <c r="D19" s="71">
        <f t="shared" si="5"/>
        <v>49.53267949700151</v>
      </c>
      <c r="E19" s="106">
        <f>LOOKUP(A19+900,'[2]DCS Data'!$A:$A,'[2]DCS Data'!$F:$F)</f>
        <v>162.27568054199219</v>
      </c>
      <c r="F19" s="70">
        <f t="shared" si="6"/>
        <v>69.58610962821308</v>
      </c>
      <c r="G19" s="71">
        <f t="shared" si="7"/>
        <v>-20.514840802082546</v>
      </c>
      <c r="H19" s="106">
        <f>LOOKUP(A19+900,'[2]DCS Data'!$A:$A,'[2]DCS Data'!$G:$G)</f>
        <v>92.08367919921875</v>
      </c>
      <c r="I19" s="70">
        <f t="shared" si="8"/>
        <v>55.070187251223395</v>
      </c>
      <c r="J19" s="71">
        <f t="shared" si="9"/>
        <v>0.12728624246348375</v>
      </c>
      <c r="K19" s="106">
        <f>LOOKUP(A19+900,'[2]DCS Data'!$A:$A,'[2]DCS Data'!$H:$H)</f>
        <v>66.692764282226563</v>
      </c>
      <c r="L19" s="70">
        <f t="shared" si="10"/>
        <v>39.885276622994454</v>
      </c>
      <c r="M19" s="73">
        <f t="shared" si="11"/>
        <v>1.3136075278787018E-2</v>
      </c>
      <c r="N19" s="111">
        <f>IF(K19="", "", LOOKUP(A19+900,[3]SBS!$A:$A,[3]SBS!$C:$C))</f>
        <v>20.027000000000001</v>
      </c>
      <c r="O19" s="12">
        <f t="shared" si="12"/>
        <v>7.6102600000000002</v>
      </c>
      <c r="P19" s="13">
        <f t="shared" si="13"/>
        <v>49.185261012661236</v>
      </c>
      <c r="Q19" s="14">
        <f t="shared" si="14"/>
        <v>18.69039918481127</v>
      </c>
      <c r="R19" s="155">
        <f>LOOKUP(A19+900,'[2]DCS Data'!$A:$A,'[2]DCS Data'!$K:$K)</f>
        <v>24.000000275505911</v>
      </c>
      <c r="S19" s="156">
        <f>IFERROR(LOOKUP(A19+900,'[2]DCS Data'!$A:$A,'[2]DCS Data'!$J:$J)*3785.4*0.993*$A$3/1000000,0)</f>
        <v>51.201480924473479</v>
      </c>
    </row>
    <row r="20" spans="1:19" ht="14" customHeight="1" x14ac:dyDescent="0.35">
      <c r="A20" s="55">
        <v>14</v>
      </c>
      <c r="B20" s="107">
        <f>LOOKUP(A20+900,'[2]DCS Data'!$A:$A,'[2]DCS Data'!$E:$E)</f>
        <v>77.010765075683594</v>
      </c>
      <c r="C20" s="70">
        <f t="shared" si="4"/>
        <v>33.023306531272631</v>
      </c>
      <c r="D20" s="71">
        <f t="shared" si="5"/>
        <v>-34.35297983311569</v>
      </c>
      <c r="E20" s="106">
        <f>LOOKUP(A20+900,'[2]DCS Data'!$A:$A,'[2]DCS Data'!$F:$F)</f>
        <v>141.91734313964844</v>
      </c>
      <c r="F20" s="70">
        <f t="shared" si="6"/>
        <v>60.856166277514561</v>
      </c>
      <c r="G20" s="71">
        <f t="shared" si="7"/>
        <v>-8.7299433506985196</v>
      </c>
      <c r="H20" s="106">
        <f>LOOKUP(A20+900,'[2]DCS Data'!$A:$A,'[2]DCS Data'!$G:$G)</f>
        <v>91.795600891113281</v>
      </c>
      <c r="I20" s="70">
        <f t="shared" si="8"/>
        <v>54.897903449051874</v>
      </c>
      <c r="J20" s="71">
        <f t="shared" si="9"/>
        <v>-0.17228380217152051</v>
      </c>
      <c r="K20" s="106">
        <f>LOOKUP(A20+900,'[2]DCS Data'!$A:$A,'[2]DCS Data'!$H:$H)</f>
        <v>66.834465026855469</v>
      </c>
      <c r="L20" s="70">
        <f t="shared" si="10"/>
        <v>39.970020049931911</v>
      </c>
      <c r="M20" s="73">
        <f t="shared" si="11"/>
        <v>8.47434269374574E-2</v>
      </c>
      <c r="N20" s="111">
        <f>IF(K20="", "", LOOKUP(A20+900,[3]SBS!$A:$A,[3]SBS!$C:$C))</f>
        <v>96.24</v>
      </c>
      <c r="O20" s="12">
        <f t="shared" si="12"/>
        <v>36.571199999999997</v>
      </c>
      <c r="P20" s="13">
        <f t="shared" si="13"/>
        <v>53.069536440951723</v>
      </c>
      <c r="Q20" s="14">
        <f t="shared" si="14"/>
        <v>20.166423847561656</v>
      </c>
      <c r="R20" s="155">
        <f>LOOKUP(A20+900,'[2]DCS Data'!$A:$A,'[2]DCS Data'!$K:$K)</f>
        <v>24.000000216166178</v>
      </c>
      <c r="S20" s="156">
        <f>IFERROR(LOOKUP(A20+900,'[2]DCS Data'!$A:$A,'[2]DCS Data'!$J:$J)*3785.4*0.993*$A$3/1000000,0)</f>
        <v>53.533028864133634</v>
      </c>
    </row>
    <row r="21" spans="1:19" ht="14" customHeight="1" x14ac:dyDescent="0.35">
      <c r="A21" s="55">
        <v>15</v>
      </c>
      <c r="B21" s="107">
        <f>LOOKUP(A21+900,'[2]DCS Data'!$A:$A,'[2]DCS Data'!$E:$E)</f>
        <v>47.580173492431641</v>
      </c>
      <c r="C21" s="70">
        <f t="shared" si="4"/>
        <v>20.403052125342821</v>
      </c>
      <c r="D21" s="71">
        <f t="shared" si="5"/>
        <v>-12.62025440592981</v>
      </c>
      <c r="E21" s="106">
        <f>LOOKUP(A21+900,'[2]DCS Data'!$A:$A,'[2]DCS Data'!$F:$F)</f>
        <v>28.840343475341797</v>
      </c>
      <c r="F21" s="70">
        <f t="shared" si="6"/>
        <v>12.367147659387758</v>
      </c>
      <c r="G21" s="71">
        <f t="shared" si="7"/>
        <v>-48.489018618126806</v>
      </c>
      <c r="H21" s="106">
        <f>LOOKUP(A21+900,'[2]DCS Data'!$A:$A,'[2]DCS Data'!$G:$G)</f>
        <v>91.480445861816406</v>
      </c>
      <c r="I21" s="70">
        <f t="shared" si="8"/>
        <v>54.709426548177873</v>
      </c>
      <c r="J21" s="71">
        <f t="shared" si="9"/>
        <v>-0.18847690087400082</v>
      </c>
      <c r="K21" s="106">
        <f>LOOKUP(A21+900,'[2]DCS Data'!$A:$A,'[2]DCS Data'!$H:$H)</f>
        <v>66.729415893554688</v>
      </c>
      <c r="L21" s="70">
        <f t="shared" si="10"/>
        <v>39.907195937214425</v>
      </c>
      <c r="M21" s="73">
        <f t="shared" si="11"/>
        <v>-6.2824112717486003E-2</v>
      </c>
      <c r="N21" s="111">
        <f>IF(K21="", "", LOOKUP(A21+900,[3]SBS!$A:$A,[3]SBS!$C:$C))</f>
        <v>106.241</v>
      </c>
      <c r="O21" s="12">
        <f t="shared" si="12"/>
        <v>40.371580000000002</v>
      </c>
      <c r="P21" s="13">
        <f t="shared" si="13"/>
        <v>44.880425962351893</v>
      </c>
      <c r="Q21" s="14">
        <f t="shared" si="14"/>
        <v>17.054561865693721</v>
      </c>
      <c r="R21" s="155">
        <f>LOOKUP(A21+900,'[2]DCS Data'!$A:$A,'[2]DCS Data'!$K:$K)</f>
        <v>23.992499389648437</v>
      </c>
      <c r="S21" s="156">
        <f>IFERROR(LOOKUP(A21+900,'[2]DCS Data'!$A:$A,'[2]DCS Data'!$J:$J)*3785.4*0.993*$A$3/1000000,0)</f>
        <v>47.549803798188215</v>
      </c>
    </row>
    <row r="22" spans="1:19" ht="14" customHeight="1" x14ac:dyDescent="0.35">
      <c r="A22" s="55">
        <v>16</v>
      </c>
      <c r="B22" s="107">
        <f>LOOKUP(A22+900,'[2]DCS Data'!$A:$A,'[2]DCS Data'!$E:$E)</f>
        <v>47.570365905761719</v>
      </c>
      <c r="C22" s="70">
        <f t="shared" si="4"/>
        <v>20.398846493304049</v>
      </c>
      <c r="D22" s="71">
        <f t="shared" si="5"/>
        <v>-4.2056320387722224E-3</v>
      </c>
      <c r="E22" s="106">
        <f>LOOKUP(A22+900,'[2]DCS Data'!$A:$A,'[2]DCS Data'!$F:$F)</f>
        <v>91.125434875488281</v>
      </c>
      <c r="F22" s="70">
        <f t="shared" si="6"/>
        <v>39.075876804124313</v>
      </c>
      <c r="G22" s="71">
        <f t="shared" si="7"/>
        <v>26.708729144736555</v>
      </c>
      <c r="H22" s="106">
        <f>LOOKUP(A22+900,'[2]DCS Data'!$A:$A,'[2]DCS Data'!$G:$G)</f>
        <v>66.201065063476563</v>
      </c>
      <c r="I22" s="70">
        <f t="shared" si="8"/>
        <v>39.591218345965132</v>
      </c>
      <c r="J22" s="71">
        <f t="shared" si="9"/>
        <v>-15.118208202212742</v>
      </c>
      <c r="K22" s="106">
        <f>LOOKUP(A22+900,'[2]DCS Data'!$A:$A,'[2]DCS Data'!$H:$H)</f>
        <v>66.574615478515625</v>
      </c>
      <c r="L22" s="70">
        <f t="shared" si="10"/>
        <v>39.814618317413583</v>
      </c>
      <c r="M22" s="73">
        <f t="shared" si="11"/>
        <v>-9.2577619800842115E-2</v>
      </c>
      <c r="N22" s="111">
        <f>IF(K22="", "", LOOKUP(A22+900,[3]SBS!$A:$A,[3]SBS!$C:$C))</f>
        <v>35.256999999999998</v>
      </c>
      <c r="O22" s="12">
        <f t="shared" si="12"/>
        <v>13.39766</v>
      </c>
      <c r="P22" s="13">
        <f t="shared" si="13"/>
        <v>46.750737690684197</v>
      </c>
      <c r="Q22" s="14">
        <f t="shared" si="14"/>
        <v>17.765280322459994</v>
      </c>
      <c r="R22" s="155">
        <f>LOOKUP(A22+900,'[2]DCS Data'!$A:$A,'[2]DCS Data'!$K:$K)</f>
        <v>24.000000190734863</v>
      </c>
      <c r="S22" s="156">
        <f>IFERROR(LOOKUP(A22+900,'[2]DCS Data'!$A:$A,'[2]DCS Data'!$J:$J)*3785.4*0.993*$A$3/1000000,0)</f>
        <v>48.751276194331446</v>
      </c>
    </row>
    <row r="23" spans="1:19" ht="14" customHeight="1" x14ac:dyDescent="0.35">
      <c r="A23" s="55">
        <v>17</v>
      </c>
      <c r="B23" s="107">
        <f>LOOKUP(A23+900,'[2]DCS Data'!$A:$A,'[2]DCS Data'!$E:$E)</f>
        <v>74.969200134277344</v>
      </c>
      <c r="C23" s="70">
        <f t="shared" si="4"/>
        <v>32.147854575986891</v>
      </c>
      <c r="D23" s="71">
        <f t="shared" si="5"/>
        <v>11.749008082682842</v>
      </c>
      <c r="E23" s="106">
        <f>LOOKUP(A23+900,'[2]DCS Data'!$A:$A,'[2]DCS Data'!$F:$F)</f>
        <v>181.17619323730469</v>
      </c>
      <c r="F23" s="70">
        <f t="shared" si="6"/>
        <v>77.690917101845031</v>
      </c>
      <c r="G23" s="71">
        <f t="shared" si="7"/>
        <v>38.615040297720718</v>
      </c>
      <c r="H23" s="106">
        <f>LOOKUP(A23+900,'[2]DCS Data'!$A:$A,'[2]DCS Data'!$G:$G)</f>
        <v>66.192726135253906</v>
      </c>
      <c r="I23" s="70">
        <f t="shared" si="8"/>
        <v>39.586231291335153</v>
      </c>
      <c r="J23" s="71">
        <f t="shared" si="9"/>
        <v>-4.9870546299786156E-3</v>
      </c>
      <c r="K23" s="106">
        <f>LOOKUP(A23+900,'[2]DCS Data'!$A:$A,'[2]DCS Data'!$H:$H)</f>
        <v>66.714271545410156</v>
      </c>
      <c r="L23" s="70">
        <f t="shared" si="10"/>
        <v>39.898138934981567</v>
      </c>
      <c r="M23" s="73">
        <f t="shared" si="11"/>
        <v>8.3520617567984345E-2</v>
      </c>
      <c r="N23" s="111">
        <f>IF(K23="", "", LOOKUP(A23+900,[3]SBS!$A:$A,[3]SBS!$C:$C))</f>
        <v>0</v>
      </c>
      <c r="O23" s="12">
        <f t="shared" si="12"/>
        <v>0</v>
      </c>
      <c r="P23" s="13">
        <f t="shared" si="13"/>
        <v>50.442581943341565</v>
      </c>
      <c r="Q23" s="14">
        <f t="shared" si="14"/>
        <v>19.168181138469794</v>
      </c>
      <c r="R23" s="155">
        <f>LOOKUP(A23+900,'[2]DCS Data'!$A:$A,'[2]DCS Data'!$K:$K)</f>
        <v>23.957225765652122</v>
      </c>
      <c r="S23" s="156">
        <f>IFERROR(LOOKUP(A23+900,'[2]DCS Data'!$A:$A,'[2]DCS Data'!$J:$J)*3785.4*0.993*$A$3/1000000,0)</f>
        <v>52.721781676894473</v>
      </c>
    </row>
    <row r="24" spans="1:19" ht="14" customHeight="1" x14ac:dyDescent="0.35">
      <c r="A24" s="55">
        <v>18</v>
      </c>
      <c r="B24" s="107">
        <f>LOOKUP(A24+900,'[2]DCS Data'!$A:$A,'[2]DCS Data'!$E:$E)</f>
        <v>58.164943695068359</v>
      </c>
      <c r="C24" s="70">
        <f t="shared" si="4"/>
        <v>24.941951467807904</v>
      </c>
      <c r="D24" s="71">
        <f t="shared" si="5"/>
        <v>-7.2059031081789868</v>
      </c>
      <c r="E24" s="106">
        <f>LOOKUP(A24+900,'[2]DCS Data'!$A:$A,'[2]DCS Data'!$F:$F)</f>
        <v>49.43829345703125</v>
      </c>
      <c r="F24" s="70">
        <f t="shared" si="6"/>
        <v>21.199840277006377</v>
      </c>
      <c r="G24" s="71">
        <f t="shared" si="7"/>
        <v>-56.491076824838657</v>
      </c>
      <c r="H24" s="106">
        <f>LOOKUP(A24+900,'[2]DCS Data'!$A:$A,'[2]DCS Data'!$G:$G)</f>
        <v>66.132789611816406</v>
      </c>
      <c r="I24" s="70">
        <f t="shared" si="8"/>
        <v>39.55038655101206</v>
      </c>
      <c r="J24" s="71">
        <f t="shared" si="9"/>
        <v>-3.5844740323092594E-2</v>
      </c>
      <c r="K24" s="106">
        <f>LOOKUP(A24+900,'[2]DCS Data'!$A:$A,'[2]DCS Data'!$H:$H)</f>
        <v>66.776123046875</v>
      </c>
      <c r="L24" s="70">
        <f t="shared" si="10"/>
        <v>39.935128918408154</v>
      </c>
      <c r="M24" s="73">
        <f t="shared" si="11"/>
        <v>3.6989983426586548E-2</v>
      </c>
      <c r="N24" s="111">
        <f>IF(K24="", "", LOOKUP(A24+900,[3]SBS!$A:$A,[3]SBS!$C:$C))</f>
        <v>122.251</v>
      </c>
      <c r="O24" s="12">
        <f t="shared" si="12"/>
        <v>46.455380000000005</v>
      </c>
      <c r="P24" s="13">
        <f t="shared" si="13"/>
        <v>58.555165310085854</v>
      </c>
      <c r="Q24" s="14">
        <f t="shared" si="14"/>
        <v>22.250962817832626</v>
      </c>
      <c r="R24" s="155">
        <f>LOOKUP(A24+900,'[2]DCS Data'!$A:$A,'[2]DCS Data'!$K:$K)</f>
        <v>24.000000152587887</v>
      </c>
      <c r="S24" s="156">
        <f>IFERROR(LOOKUP(A24+900,'[2]DCS Data'!$A:$A,'[2]DCS Data'!$J:$J)*3785.4*0.993*$A$3/1000000,0)</f>
        <v>60.161786079095108</v>
      </c>
    </row>
    <row r="25" spans="1:19" ht="14" customHeight="1" x14ac:dyDescent="0.35">
      <c r="A25" s="55">
        <v>19</v>
      </c>
      <c r="B25" s="107">
        <f>LOOKUP(A25+900,'[2]DCS Data'!$A:$A,'[2]DCS Data'!$E:$E)</f>
        <v>93.001983642578125</v>
      </c>
      <c r="C25" s="70">
        <f t="shared" si="4"/>
        <v>39.880567487246175</v>
      </c>
      <c r="D25" s="71">
        <f t="shared" si="5"/>
        <v>14.938616019438271</v>
      </c>
      <c r="E25" s="106">
        <f>LOOKUP(A25+900,'[2]DCS Data'!$A:$A,'[2]DCS Data'!$F:$F)</f>
        <v>153.25086975097656</v>
      </c>
      <c r="F25" s="70">
        <f t="shared" si="6"/>
        <v>65.716142970362668</v>
      </c>
      <c r="G25" s="71">
        <f t="shared" si="7"/>
        <v>44.516302693356295</v>
      </c>
      <c r="H25" s="106">
        <f>LOOKUP(A25+900,'[2]DCS Data'!$A:$A,'[2]DCS Data'!$G:$G)</f>
        <v>66.188140869140625</v>
      </c>
      <c r="I25" s="70">
        <f t="shared" si="8"/>
        <v>39.583489095696898</v>
      </c>
      <c r="J25" s="71">
        <f t="shared" si="9"/>
        <v>3.3102544684837198E-2</v>
      </c>
      <c r="K25" s="106">
        <f>LOOKUP(A25+900,'[2]DCS Data'!$A:$A,'[2]DCS Data'!$H:$H)</f>
        <v>66.723136901855469</v>
      </c>
      <c r="L25" s="70">
        <f t="shared" si="10"/>
        <v>39.903440817396977</v>
      </c>
      <c r="M25" s="73">
        <f t="shared" si="11"/>
        <v>-3.1688101011177139E-2</v>
      </c>
      <c r="N25" s="111">
        <f>IF(K25="", "", LOOKUP(A25+900,[3]SBS!$A:$A,[3]SBS!$C:$C))</f>
        <v>0</v>
      </c>
      <c r="O25" s="12">
        <f t="shared" si="12"/>
        <v>0</v>
      </c>
      <c r="P25" s="13">
        <f t="shared" si="13"/>
        <v>59.456333156468226</v>
      </c>
      <c r="Q25" s="14">
        <f t="shared" si="14"/>
        <v>22.593406599457925</v>
      </c>
      <c r="R25" s="155">
        <f>LOOKUP(A25+900,'[2]DCS Data'!$A:$A,'[2]DCS Data'!$K:$K)</f>
        <v>24.00000024159749</v>
      </c>
      <c r="S25" s="156">
        <f>IFERROR(LOOKUP(A25+900,'[2]DCS Data'!$A:$A,'[2]DCS Data'!$J:$J)*3785.4*0.993*$A$3/1000000,0)</f>
        <v>59.609197126968368</v>
      </c>
    </row>
    <row r="26" spans="1:19" ht="14" customHeight="1" x14ac:dyDescent="0.35">
      <c r="A26" s="55">
        <v>20</v>
      </c>
      <c r="B26" s="107">
        <f>LOOKUP(A26+900,'[2]DCS Data'!$A:$A,'[2]DCS Data'!$E:$E)</f>
        <v>93.225975036621094</v>
      </c>
      <c r="C26" s="70">
        <f t="shared" si="4"/>
        <v>39.976618168713614</v>
      </c>
      <c r="D26" s="71">
        <f t="shared" si="5"/>
        <v>9.6050681467438892E-2</v>
      </c>
      <c r="E26" s="106">
        <f>LOOKUP(A26+900,'[2]DCS Data'!$A:$A,'[2]DCS Data'!$F:$F)</f>
        <v>265.74017333984375</v>
      </c>
      <c r="F26" s="70">
        <f t="shared" si="6"/>
        <v>113.95314918960746</v>
      </c>
      <c r="G26" s="71">
        <f t="shared" si="7"/>
        <v>48.23700621924479</v>
      </c>
      <c r="H26" s="106">
        <f>LOOKUP(A26+900,'[2]DCS Data'!$A:$A,'[2]DCS Data'!$G:$G)</f>
        <v>66.164726257324219</v>
      </c>
      <c r="I26" s="70">
        <f t="shared" si="8"/>
        <v>39.569486103327804</v>
      </c>
      <c r="J26" s="71">
        <f t="shared" si="9"/>
        <v>-1.4002992369093192E-2</v>
      </c>
      <c r="K26" s="106">
        <f>LOOKUP(A26+900,'[2]DCS Data'!$A:$A,'[2]DCS Data'!$H:$H)</f>
        <v>66.743408203125</v>
      </c>
      <c r="L26" s="70">
        <f t="shared" si="10"/>
        <v>39.915563968496578</v>
      </c>
      <c r="M26" s="73">
        <f t="shared" si="11"/>
        <v>1.2123151099601159E-2</v>
      </c>
      <c r="N26" s="111">
        <f>IF(K26="", "", LOOKUP(A26+900,[3]SBS!$A:$A,[3]SBS!$C:$C))</f>
        <v>0</v>
      </c>
      <c r="O26" s="12">
        <f t="shared" si="12"/>
        <v>0</v>
      </c>
      <c r="P26" s="13">
        <f t="shared" si="13"/>
        <v>48.331177059442737</v>
      </c>
      <c r="Q26" s="14">
        <f t="shared" si="14"/>
        <v>18.365847282588241</v>
      </c>
      <c r="R26" s="155">
        <f>LOOKUP(A26+900,'[2]DCS Data'!$A:$A,'[2]DCS Data'!$K:$K)</f>
        <v>24.000000173780656</v>
      </c>
      <c r="S26" s="156">
        <f>IFERROR(LOOKUP(A26+900,'[2]DCS Data'!$A:$A,'[2]DCS Data'!$J:$J)*3785.4*0.993*$A$3/1000000,0)</f>
        <v>50.223280357595932</v>
      </c>
    </row>
    <row r="27" spans="1:19" ht="14" customHeight="1" x14ac:dyDescent="0.35">
      <c r="A27" s="55">
        <v>21</v>
      </c>
      <c r="B27" s="107">
        <f>LOOKUP(A27+900,'[2]DCS Data'!$A:$A,'[2]DCS Data'!$E:$E)</f>
        <v>93.331520080566406</v>
      </c>
      <c r="C27" s="70">
        <f t="shared" si="4"/>
        <v>40.021877378067494</v>
      </c>
      <c r="D27" s="71">
        <f t="shared" si="5"/>
        <v>4.5259209353879726E-2</v>
      </c>
      <c r="E27" s="106">
        <f>LOOKUP(A27+900,'[2]DCS Data'!$A:$A,'[2]DCS Data'!$F:$F)</f>
        <v>94.419944763183594</v>
      </c>
      <c r="F27" s="70">
        <f t="shared" si="6"/>
        <v>40.488609293987906</v>
      </c>
      <c r="G27" s="71">
        <f t="shared" si="7"/>
        <v>-73.464539895619552</v>
      </c>
      <c r="H27" s="106">
        <f>LOOKUP(A27+900,'[2]DCS Data'!$A:$A,'[2]DCS Data'!$G:$G)</f>
        <v>122.60530853271484</v>
      </c>
      <c r="I27" s="70">
        <f t="shared" si="8"/>
        <v>73.323496167906256</v>
      </c>
      <c r="J27" s="71">
        <f t="shared" si="9"/>
        <v>33.754010064578452</v>
      </c>
      <c r="K27" s="106">
        <f>LOOKUP(A27+900,'[2]DCS Data'!$A:$A,'[2]DCS Data'!$H:$H)</f>
        <v>66.72906494140625</v>
      </c>
      <c r="L27" s="70">
        <f t="shared" si="10"/>
        <v>39.906986052024152</v>
      </c>
      <c r="M27" s="73">
        <f t="shared" si="11"/>
        <v>-8.5779164724257839E-3</v>
      </c>
      <c r="N27" s="111">
        <f>IF(K27="", "", LOOKUP(A27+900,[3]SBS!$A:$A,[3]SBS!$C:$C))</f>
        <v>86.227999999999994</v>
      </c>
      <c r="O27" s="12">
        <f t="shared" si="12"/>
        <v>32.766639999999995</v>
      </c>
      <c r="P27" s="13">
        <f t="shared" si="13"/>
        <v>46.554151461840355</v>
      </c>
      <c r="Q27" s="14">
        <f t="shared" si="14"/>
        <v>17.690577555499335</v>
      </c>
      <c r="R27" s="155">
        <f>LOOKUP(A27+900,'[2]DCS Data'!$A:$A,'[2]DCS Data'!$K:$K)</f>
        <v>24.00000026702881</v>
      </c>
      <c r="S27" s="156">
        <f>IFERROR(LOOKUP(A27+900,'[2]DCS Data'!$A:$A,'[2]DCS Data'!$J:$J)*3785.4*0.993*$A$3/1000000,0)</f>
        <v>47.837302709290327</v>
      </c>
    </row>
    <row r="28" spans="1:19" ht="14" customHeight="1" x14ac:dyDescent="0.35">
      <c r="A28" s="55">
        <v>22</v>
      </c>
      <c r="B28" s="107">
        <f>LOOKUP(A28+900,'[2]DCS Data'!$A:$A,'[2]DCS Data'!$E:$E)</f>
        <v>92.956710815429688</v>
      </c>
      <c r="C28" s="70">
        <f t="shared" si="4"/>
        <v>39.861153857905002</v>
      </c>
      <c r="D28" s="71">
        <f t="shared" si="5"/>
        <v>-0.1607235201624917</v>
      </c>
      <c r="E28" s="106">
        <f>LOOKUP(A28+900,'[2]DCS Data'!$A:$A,'[2]DCS Data'!$F:$F)</f>
        <v>93.748863220214844</v>
      </c>
      <c r="F28" s="70">
        <f t="shared" si="6"/>
        <v>40.200840025897172</v>
      </c>
      <c r="G28" s="71">
        <f t="shared" si="7"/>
        <v>-0.28776926809073444</v>
      </c>
      <c r="H28" s="106">
        <f>LOOKUP(A28+900,'[2]DCS Data'!$A:$A,'[2]DCS Data'!$G:$G)</f>
        <v>175.78042602539063</v>
      </c>
      <c r="I28" s="70">
        <f t="shared" si="8"/>
        <v>105.12461122861185</v>
      </c>
      <c r="J28" s="71">
        <f t="shared" si="9"/>
        <v>31.801115060705598</v>
      </c>
      <c r="K28" s="106">
        <f>LOOKUP(A28+900,'[2]DCS Data'!$A:$A,'[2]DCS Data'!$H:$H)</f>
        <v>66.553581237792969</v>
      </c>
      <c r="L28" s="70">
        <f t="shared" si="10"/>
        <v>39.802038894161193</v>
      </c>
      <c r="M28" s="73">
        <f t="shared" si="11"/>
        <v>-0.10494715786295927</v>
      </c>
      <c r="N28" s="111">
        <f>IF(K28="", "", LOOKUP(A28+900,[3]SBS!$A:$A,[3]SBS!$C:$C))</f>
        <v>20.023</v>
      </c>
      <c r="O28" s="12">
        <f t="shared" si="12"/>
        <v>7.6087400000000001</v>
      </c>
      <c r="P28" s="13">
        <f t="shared" si="13"/>
        <v>51.270675114589409</v>
      </c>
      <c r="Q28" s="14">
        <f t="shared" si="14"/>
        <v>19.482856543543974</v>
      </c>
      <c r="R28" s="155">
        <f>LOOKUP(A28+900,'[2]DCS Data'!$A:$A,'[2]DCS Data'!$K:$K)</f>
        <v>23.995835940043133</v>
      </c>
      <c r="S28" s="156">
        <f>IFERROR(LOOKUP(A28+900,'[2]DCS Data'!$A:$A,'[2]DCS Data'!$J:$J)*3785.4*0.993*$A$3/1000000,0)</f>
        <v>52.983064566541039</v>
      </c>
    </row>
    <row r="29" spans="1:19" ht="14" customHeight="1" x14ac:dyDescent="0.35">
      <c r="A29" s="55">
        <v>23</v>
      </c>
      <c r="B29" s="107">
        <f>LOOKUP(A29+900,'[2]DCS Data'!$A:$A,'[2]DCS Data'!$E:$E)</f>
        <v>92.828971862792969</v>
      </c>
      <c r="C29" s="70">
        <f t="shared" si="4"/>
        <v>39.806377586240117</v>
      </c>
      <c r="D29" s="71">
        <f t="shared" si="5"/>
        <v>-5.4776271664884746E-2</v>
      </c>
      <c r="E29" s="106">
        <f>LOOKUP(A29+900,'[2]DCS Data'!$A:$A,'[2]DCS Data'!$F:$F)</f>
        <v>93.602867126464844</v>
      </c>
      <c r="F29" s="70">
        <f t="shared" si="6"/>
        <v>40.138234833603136</v>
      </c>
      <c r="G29" s="71">
        <f t="shared" si="7"/>
        <v>-6.2605192294036272E-2</v>
      </c>
      <c r="H29" s="106">
        <f>LOOKUP(A29+900,'[2]DCS Data'!$A:$A,'[2]DCS Data'!$G:$G)</f>
        <v>188.58065795898438</v>
      </c>
      <c r="I29" s="70">
        <f t="shared" si="8"/>
        <v>112.77972639746882</v>
      </c>
      <c r="J29" s="71">
        <f t="shared" si="9"/>
        <v>7.6551151688569661</v>
      </c>
      <c r="K29" s="106">
        <f>LOOKUP(A29+900,'[2]DCS Data'!$A:$A,'[2]DCS Data'!$H:$H)</f>
        <v>66.518142700195313</v>
      </c>
      <c r="L29" s="70">
        <f t="shared" si="10"/>
        <v>39.780845052664155</v>
      </c>
      <c r="M29" s="73">
        <f t="shared" si="11"/>
        <v>-2.1193841497037624E-2</v>
      </c>
      <c r="N29" s="111">
        <f>IF(K29="", "", LOOKUP(A29+900,[3]SBS!$A:$A,[3]SBS!$C:$C))</f>
        <v>40.042999999999999</v>
      </c>
      <c r="O29" s="12">
        <f t="shared" si="12"/>
        <v>15.216340000000001</v>
      </c>
      <c r="P29" s="13">
        <f t="shared" si="13"/>
        <v>47.559539863401007</v>
      </c>
      <c r="Q29" s="14">
        <f t="shared" si="14"/>
        <v>18.072625148092381</v>
      </c>
      <c r="R29" s="155">
        <f>LOOKUP(A29+900,'[2]DCS Data'!$A:$A,'[2]DCS Data'!$K:$K)</f>
        <v>24.000000237358943</v>
      </c>
      <c r="S29" s="156">
        <f>IFERROR(LOOKUP(A29+900,'[2]DCS Data'!$A:$A,'[2]DCS Data'!$J:$J)*3785.4*0.993*$A$3/1000000,0)</f>
        <v>49.527967197506236</v>
      </c>
    </row>
    <row r="30" spans="1:19" ht="14" customHeight="1" x14ac:dyDescent="0.35">
      <c r="A30" s="55">
        <v>24</v>
      </c>
      <c r="B30" s="107">
        <f>LOOKUP(A30+900,'[2]DCS Data'!$A:$A,'[2]DCS Data'!$E:$E)</f>
        <v>92.743988037109375</v>
      </c>
      <c r="C30" s="70">
        <f t="shared" si="4"/>
        <v>39.769935318422213</v>
      </c>
      <c r="D30" s="71">
        <f t="shared" si="5"/>
        <v>-3.6442267817903939E-2</v>
      </c>
      <c r="E30" s="106">
        <f>LOOKUP(A30+900,'[2]DCS Data'!$A:$A,'[2]DCS Data'!$F:$F)</f>
        <v>93.603797912597656</v>
      </c>
      <c r="F30" s="70">
        <f t="shared" si="6"/>
        <v>40.13863396787675</v>
      </c>
      <c r="G30" s="71">
        <f t="shared" si="7"/>
        <v>3.9913427361426557E-4</v>
      </c>
      <c r="H30" s="106">
        <f>LOOKUP(A30+900,'[2]DCS Data'!$A:$A,'[2]DCS Data'!$G:$G)</f>
        <v>228.44784545898438</v>
      </c>
      <c r="I30" s="70">
        <f t="shared" si="8"/>
        <v>136.62209998524415</v>
      </c>
      <c r="J30" s="71">
        <f t="shared" si="9"/>
        <v>23.842373587775327</v>
      </c>
      <c r="K30" s="106">
        <f>LOOKUP(A30+900,'[2]DCS Data'!$A:$A,'[2]DCS Data'!$H:$H)</f>
        <v>66.597061157226563</v>
      </c>
      <c r="L30" s="70">
        <f t="shared" si="10"/>
        <v>39.828041844148629</v>
      </c>
      <c r="M30" s="73">
        <f t="shared" si="11"/>
        <v>4.7196791484473977E-2</v>
      </c>
      <c r="N30" s="111">
        <f>IF(K30="", "", LOOKUP(A30+900,[3]SBS!$A:$A,[3]SBS!$C:$C))</f>
        <v>20.036999999999999</v>
      </c>
      <c r="O30" s="12">
        <f t="shared" si="12"/>
        <v>7.6140599999999994</v>
      </c>
      <c r="P30" s="13">
        <f t="shared" si="13"/>
        <v>43.890527245715511</v>
      </c>
      <c r="Q30" s="14">
        <f t="shared" si="14"/>
        <v>16.678400353371895</v>
      </c>
      <c r="R30" s="155">
        <f>LOOKUP(A30+900,'[2]DCS Data'!$A:$A,'[2]DCS Data'!$K:$K)</f>
        <v>24.000000178019203</v>
      </c>
      <c r="S30" s="156">
        <f>IFERROR(LOOKUP(A30+900,'[2]DCS Data'!$A:$A,'[2]DCS Data'!$J:$J)*3785.4*0.993*$A$3/1000000,0)</f>
        <v>45.373414540482685</v>
      </c>
    </row>
    <row r="31" spans="1:19" ht="14" customHeight="1" x14ac:dyDescent="0.35">
      <c r="A31" s="55">
        <v>25</v>
      </c>
      <c r="B31" s="107">
        <f>LOOKUP(A31+900,'[2]DCS Data'!$A:$A,'[2]DCS Data'!$E:$E)</f>
        <v>92.897476196289063</v>
      </c>
      <c r="C31" s="70">
        <f t="shared" si="4"/>
        <v>39.835753214459615</v>
      </c>
      <c r="D31" s="71">
        <f t="shared" si="5"/>
        <v>6.5817896037401624E-2</v>
      </c>
      <c r="E31" s="106">
        <f>LOOKUP(A31+900,'[2]DCS Data'!$A:$A,'[2]DCS Data'!$F:$F)</f>
        <v>93.599311828613281</v>
      </c>
      <c r="F31" s="70">
        <f t="shared" si="6"/>
        <v>40.136710271541624</v>
      </c>
      <c r="G31" s="71">
        <f t="shared" si="7"/>
        <v>-1.9236963351261238E-3</v>
      </c>
      <c r="H31" s="106">
        <f>LOOKUP(A31+900,'[2]DCS Data'!$A:$A,'[2]DCS Data'!$G:$G)</f>
        <v>305.54718017578125</v>
      </c>
      <c r="I31" s="70">
        <f t="shared" si="8"/>
        <v>182.73097439949299</v>
      </c>
      <c r="J31" s="71">
        <f t="shared" si="9"/>
        <v>46.108874414248845</v>
      </c>
      <c r="K31" s="106">
        <f>LOOKUP(A31+900,'[2]DCS Data'!$A:$A,'[2]DCS Data'!$H:$H)</f>
        <v>66.582710266113281</v>
      </c>
      <c r="L31" s="70">
        <f t="shared" si="10"/>
        <v>39.819459364954675</v>
      </c>
      <c r="M31" s="73">
        <f t="shared" si="11"/>
        <v>-8.5824791939543843E-3</v>
      </c>
      <c r="N31" s="111">
        <f>IF(K31="", "", LOOKUP(A31+900,[3]SBS!$A:$A,[3]SBS!$C:$C))</f>
        <v>0</v>
      </c>
      <c r="O31" s="12">
        <f t="shared" si="12"/>
        <v>0</v>
      </c>
      <c r="P31" s="13">
        <f t="shared" si="13"/>
        <v>46.164186134757166</v>
      </c>
      <c r="Q31" s="14">
        <f t="shared" si="14"/>
        <v>17.542390731207725</v>
      </c>
      <c r="R31" s="155">
        <f>LOOKUP(A31+900,'[2]DCS Data'!$A:$A,'[2]DCS Data'!$K:$K)</f>
        <v>24.000000224643284</v>
      </c>
      <c r="S31" s="156">
        <f>IFERROR(LOOKUP(A31+900,'[2]DCS Data'!$A:$A,'[2]DCS Data'!$J:$J)*3785.4*0.993*$A$3/1000000,0)</f>
        <v>47.865922183286344</v>
      </c>
    </row>
    <row r="32" spans="1:19" ht="14" customHeight="1" x14ac:dyDescent="0.35">
      <c r="A32" s="55">
        <v>26</v>
      </c>
      <c r="B32" s="107">
        <f>LOOKUP(A32+900,'[2]DCS Data'!$A:$A,'[2]DCS Data'!$E:$E)</f>
        <v>110.08556365966797</v>
      </c>
      <c r="C32" s="70">
        <f t="shared" si="4"/>
        <v>47.206248500821985</v>
      </c>
      <c r="D32" s="71">
        <f t="shared" si="5"/>
        <v>7.3704952863623703</v>
      </c>
      <c r="E32" s="106">
        <f>LOOKUP(A32+900,'[2]DCS Data'!$A:$A,'[2]DCS Data'!$F:$F)</f>
        <v>93.599273681640625</v>
      </c>
      <c r="F32" s="70">
        <f t="shared" si="6"/>
        <v>40.136693913579592</v>
      </c>
      <c r="G32" s="71">
        <f t="shared" si="7"/>
        <v>-1.6357962032031992E-5</v>
      </c>
      <c r="H32" s="106">
        <f>LOOKUP(A32+900,'[2]DCS Data'!$A:$A,'[2]DCS Data'!$G:$G)</f>
        <v>225.86106872558594</v>
      </c>
      <c r="I32" s="70">
        <f t="shared" si="8"/>
        <v>135.07509100032769</v>
      </c>
      <c r="J32" s="71">
        <f t="shared" si="9"/>
        <v>-47.655883399165305</v>
      </c>
      <c r="K32" s="106">
        <f>LOOKUP(A32+900,'[2]DCS Data'!$A:$A,'[2]DCS Data'!$H:$H)</f>
        <v>66.396064758300781</v>
      </c>
      <c r="L32" s="70">
        <f t="shared" si="10"/>
        <v>39.707836945496425</v>
      </c>
      <c r="M32" s="73">
        <f t="shared" si="11"/>
        <v>-0.11162241945825002</v>
      </c>
      <c r="N32" s="111">
        <f>IF(K32="", "", LOOKUP(A32+900,[3]SBS!$A:$A,[3]SBS!$C:$C))</f>
        <v>86.221999999999994</v>
      </c>
      <c r="O32" s="12">
        <f t="shared" si="12"/>
        <v>32.764359999999996</v>
      </c>
      <c r="P32" s="13">
        <f t="shared" si="13"/>
        <v>45.824973109776778</v>
      </c>
      <c r="Q32" s="14">
        <f t="shared" si="14"/>
        <v>17.413489781715175</v>
      </c>
      <c r="R32" s="155">
        <f>LOOKUP(A32+900,'[2]DCS Data'!$A:$A,'[2]DCS Data'!$K:$K)</f>
        <v>24.000000237358943</v>
      </c>
      <c r="S32" s="156">
        <f>IFERROR(LOOKUP(A32+900,'[2]DCS Data'!$A:$A,'[2]DCS Data'!$J:$J)*3785.4*0.993*$A$3/1000000,0)</f>
        <v>45.881555833234941</v>
      </c>
    </row>
    <row r="33" spans="1:19" ht="14" customHeight="1" x14ac:dyDescent="0.35">
      <c r="A33" s="55">
        <v>27</v>
      </c>
      <c r="B33" s="107">
        <f>LOOKUP(A33+900,'[2]DCS Data'!$A:$A,'[2]DCS Data'!$E:$E)</f>
        <v>215.12828063964844</v>
      </c>
      <c r="C33" s="70">
        <f t="shared" si="4"/>
        <v>92.250052939052594</v>
      </c>
      <c r="D33" s="71">
        <f t="shared" si="5"/>
        <v>45.043804438230609</v>
      </c>
      <c r="E33" s="106">
        <f>LOOKUP(A33+900,'[2]DCS Data'!$A:$A,'[2]DCS Data'!$F:$F)</f>
        <v>93.565605163574219</v>
      </c>
      <c r="F33" s="70">
        <f t="shared" si="6"/>
        <v>40.122256376288959</v>
      </c>
      <c r="G33" s="71">
        <f t="shared" si="7"/>
        <v>-1.4437537290632463E-2</v>
      </c>
      <c r="H33" s="106">
        <f>LOOKUP(A33+900,'[2]DCS Data'!$A:$A,'[2]DCS Data'!$G:$G)</f>
        <v>158.02392578125</v>
      </c>
      <c r="I33" s="70">
        <f t="shared" si="8"/>
        <v>94.505424399036158</v>
      </c>
      <c r="J33" s="71">
        <f t="shared" si="9"/>
        <v>-40.56966660129153</v>
      </c>
      <c r="K33" s="106">
        <f>LOOKUP(A33+900,'[2]DCS Data'!$A:$A,'[2]DCS Data'!$H:$H)</f>
        <v>66.446937561035156</v>
      </c>
      <c r="L33" s="70">
        <f t="shared" si="10"/>
        <v>39.738261172644378</v>
      </c>
      <c r="M33" s="73">
        <f t="shared" si="11"/>
        <v>3.0424227147953786E-2</v>
      </c>
      <c r="N33" s="111">
        <f>IF(K33="", "", LOOKUP(A33+900,[3]SBS!$A:$A,[3]SBS!$C:$C))</f>
        <v>37.237000000000002</v>
      </c>
      <c r="O33" s="12">
        <f t="shared" si="12"/>
        <v>14.150060000000002</v>
      </c>
      <c r="P33" s="13">
        <f t="shared" si="13"/>
        <v>41.727124526796402</v>
      </c>
      <c r="Q33" s="14">
        <f t="shared" si="14"/>
        <v>15.856307320182633</v>
      </c>
      <c r="R33" s="155">
        <f>LOOKUP(A33+900,'[2]DCS Data'!$A:$A,'[2]DCS Data'!$K:$K)</f>
        <v>24.000000262790252</v>
      </c>
      <c r="S33" s="156">
        <f>IFERROR(LOOKUP(A33+900,'[2]DCS Data'!$A:$A,'[2]DCS Data'!$J:$J)*3785.4*0.993*$A$3/1000000,0)</f>
        <v>47.019085395428448</v>
      </c>
    </row>
    <row r="34" spans="1:19" ht="14" customHeight="1" x14ac:dyDescent="0.35">
      <c r="A34" s="55">
        <v>28</v>
      </c>
      <c r="B34" s="107">
        <f>LOOKUP(A34+900,'[2]DCS Data'!$A:$A,'[2]DCS Data'!$E:$E)</f>
        <v>296.27365112304688</v>
      </c>
      <c r="C34" s="70">
        <f t="shared" si="4"/>
        <v>127.04633681486453</v>
      </c>
      <c r="D34" s="71">
        <f t="shared" si="5"/>
        <v>34.796283875811937</v>
      </c>
      <c r="E34" s="106">
        <f>LOOKUP(A34+900,'[2]DCS Data'!$A:$A,'[2]DCS Data'!$F:$F)</f>
        <v>93.657966613769531</v>
      </c>
      <c r="F34" s="70">
        <f t="shared" si="6"/>
        <v>40.161862273964104</v>
      </c>
      <c r="G34" s="71">
        <f t="shared" si="7"/>
        <v>3.9605897675144774E-2</v>
      </c>
      <c r="H34" s="106">
        <f>LOOKUP(A34+900,'[2]DCS Data'!$A:$A,'[2]DCS Data'!$G:$G)</f>
        <v>106.48280334472656</v>
      </c>
      <c r="I34" s="70">
        <f t="shared" si="8"/>
        <v>63.681511970679821</v>
      </c>
      <c r="J34" s="71">
        <f t="shared" si="9"/>
        <v>-30.823912428356337</v>
      </c>
      <c r="K34" s="106">
        <f>LOOKUP(A34+900,'[2]DCS Data'!$A:$A,'[2]DCS Data'!$H:$H)</f>
        <v>94.843574523925781</v>
      </c>
      <c r="L34" s="70">
        <f t="shared" si="10"/>
        <v>56.720728950329196</v>
      </c>
      <c r="M34" s="73">
        <f t="shared" si="11"/>
        <v>16.982467777684818</v>
      </c>
      <c r="N34" s="111">
        <f>IF(K34="", "", LOOKUP(A34+900,[3]SBS!$A:$A,[3]SBS!$C:$C))</f>
        <v>30.541</v>
      </c>
      <c r="O34" s="12">
        <f t="shared" si="12"/>
        <v>11.60558</v>
      </c>
      <c r="P34" s="13">
        <f t="shared" si="13"/>
        <v>51.53544512281556</v>
      </c>
      <c r="Q34" s="14">
        <f t="shared" si="14"/>
        <v>19.583469146669913</v>
      </c>
      <c r="R34" s="155">
        <f>LOOKUP(A34+900,'[2]DCS Data'!$A:$A,'[2]DCS Data'!$K:$K)</f>
        <v>24.000000190734863</v>
      </c>
      <c r="S34" s="156">
        <f>IFERROR(LOOKUP(A34+900,'[2]DCS Data'!$A:$A,'[2]DCS Data'!$J:$J)*3785.4*0.993*$A$3/1000000,0)</f>
        <v>51.933885649239059</v>
      </c>
    </row>
    <row r="35" spans="1:19" ht="14" customHeight="1" x14ac:dyDescent="0.35">
      <c r="A35" s="55">
        <v>29</v>
      </c>
      <c r="B35" s="107">
        <f>LOOKUP(A35+900,'[2]DCS Data'!$A:$A,'[2]DCS Data'!$E:$E)</f>
        <v>200.37800598144531</v>
      </c>
      <c r="C35" s="70">
        <f t="shared" ref="C35:C36" si="15">IF(B35="","",$A$3*PI()/4*(157.5*2.54)^2*B35*2.54/1000000)</f>
        <v>85.924926302801211</v>
      </c>
      <c r="D35" s="71">
        <f t="shared" ref="D35:D36" si="16">IF(C35="","",C35-C34)</f>
        <v>-41.121410512063321</v>
      </c>
      <c r="E35" s="106">
        <f>LOOKUP(A35+900,'[2]DCS Data'!$A:$A,'[2]DCS Data'!$F:$F)</f>
        <v>93.926368713378906</v>
      </c>
      <c r="F35" s="70">
        <f t="shared" ref="F35:F36" si="17">IF(E35="","",$A$3*PI()/4*(157.5*2.54)^2*E35*2.54/1000000)</f>
        <v>40.276956894830768</v>
      </c>
      <c r="G35" s="71">
        <f t="shared" ref="G35:G36" si="18">IF(F35="","",F35-F34)</f>
        <v>0.11509462086666389</v>
      </c>
      <c r="H35" s="106">
        <f>LOOKUP(A35+900,'[2]DCS Data'!$A:$A,'[2]DCS Data'!$G:$G)</f>
        <v>106.73949432373047</v>
      </c>
      <c r="I35" s="70">
        <f t="shared" ref="I35:I36" si="19">IF(H35="","",$A$3*PI()/4*(186*2.54)^2*H35*2.54/1000000)</f>
        <v>63.8350247364856</v>
      </c>
      <c r="J35" s="71">
        <f t="shared" ref="J35:J36" si="20">IF(I35="","",I35-I34)</f>
        <v>0.15351276580577888</v>
      </c>
      <c r="K35" s="106">
        <f>LOOKUP(A35+900,'[2]DCS Data'!$A:$A,'[2]DCS Data'!$H:$H)</f>
        <v>189.16412353515625</v>
      </c>
      <c r="L35" s="70">
        <f t="shared" ref="L35:L36" si="21">IF(K35="","",$A$3*PI()/4*(186*2.54)^2*K35*2.54/1000000)</f>
        <v>113.12866508903555</v>
      </c>
      <c r="M35" s="73">
        <f t="shared" ref="M35:M36" si="22">IF(L35="","",L35-L34)</f>
        <v>56.407936138706354</v>
      </c>
      <c r="N35" s="111">
        <f>IF(K35="", "", LOOKUP(A35+900,[3]SBS!$A:$A,[3]SBS!$C:$C))</f>
        <v>40.039000000000001</v>
      </c>
      <c r="O35" s="12">
        <f t="shared" ref="O35:O36" si="23">IF(N35="","",N35*$H$3)</f>
        <v>15.214820000000001</v>
      </c>
      <c r="P35" s="13">
        <f t="shared" ref="P35:P36" si="24">IFERROR(D35+G35+J35+M35+N35,0)</f>
        <v>55.594133013315478</v>
      </c>
      <c r="Q35" s="14">
        <f t="shared" ref="Q35:Q36" si="25">IF(P35="","",P35*$H$3)</f>
        <v>21.125770545059883</v>
      </c>
      <c r="R35" s="155">
        <f>LOOKUP(A35+900,'[2]DCS Data'!$A:$A,'[2]DCS Data'!$K:$K)</f>
        <v>23.995554063585068</v>
      </c>
      <c r="S35" s="156">
        <f>IFERROR(LOOKUP(A35+900,'[2]DCS Data'!$A:$A,'[2]DCS Data'!$J:$J)*3785.4*0.993*$A$3/1000000,0)</f>
        <v>58.630182027595012</v>
      </c>
    </row>
    <row r="36" spans="1:19" ht="14" customHeight="1" x14ac:dyDescent="0.35">
      <c r="A36" s="55">
        <v>30</v>
      </c>
      <c r="B36" s="107">
        <f>LOOKUP(A36+900,'[2]DCS Data'!$A:$A,'[2]DCS Data'!$E:$E)</f>
        <v>133.57473754882813</v>
      </c>
      <c r="C36" s="70">
        <f t="shared" si="15"/>
        <v>57.278738869483803</v>
      </c>
      <c r="D36" s="71">
        <f t="shared" si="16"/>
        <v>-28.646187433317408</v>
      </c>
      <c r="E36" s="106">
        <f>LOOKUP(A36+900,'[2]DCS Data'!$A:$A,'[2]DCS Data'!$F:$F)</f>
        <v>93.796379089355469</v>
      </c>
      <c r="F36" s="70">
        <f t="shared" si="17"/>
        <v>40.221215503405922</v>
      </c>
      <c r="G36" s="71">
        <f t="shared" si="18"/>
        <v>-5.5741391424845688E-2</v>
      </c>
      <c r="H36" s="106">
        <f>LOOKUP(A36+900,'[2]DCS Data'!$A:$A,'[2]DCS Data'!$G:$G)</f>
        <v>106.69291687011719</v>
      </c>
      <c r="I36" s="70">
        <f t="shared" si="19"/>
        <v>63.807169321557851</v>
      </c>
      <c r="J36" s="71">
        <f t="shared" si="20"/>
        <v>-2.7855414927749678E-2</v>
      </c>
      <c r="K36" s="106">
        <f>LOOKUP(A36+900,'[2]DCS Data'!$A:$A,'[2]DCS Data'!$H:$H)</f>
        <v>148.17247009277344</v>
      </c>
      <c r="L36" s="70">
        <f t="shared" si="21"/>
        <v>88.613810226150932</v>
      </c>
      <c r="M36" s="73">
        <f t="shared" si="22"/>
        <v>-24.514854862884619</v>
      </c>
      <c r="N36" s="111">
        <f>IF(K36="", "", LOOKUP(A36+900,[3]SBS!$A:$A,[3]SBS!$C:$C))</f>
        <v>116.273</v>
      </c>
      <c r="O36" s="12">
        <f t="shared" si="23"/>
        <v>44.18374</v>
      </c>
      <c r="P36" s="13">
        <f t="shared" si="24"/>
        <v>63.028360897445374</v>
      </c>
      <c r="Q36" s="14">
        <f t="shared" si="25"/>
        <v>23.950777141029242</v>
      </c>
      <c r="R36" s="155">
        <f>LOOKUP(A36+900,'[2]DCS Data'!$A:$A,'[2]DCS Data'!$K:$K)</f>
        <v>24.000000203450519</v>
      </c>
      <c r="S36" s="156">
        <f>IFERROR(LOOKUP(A36+900,'[2]DCS Data'!$A:$A,'[2]DCS Data'!$J:$J)*3785.4*0.993*$A$3/1000000,0)</f>
        <v>63.544152861547282</v>
      </c>
    </row>
    <row r="37" spans="1:19" ht="14" customHeight="1" thickBot="1" x14ac:dyDescent="0.4">
      <c r="A37" s="55"/>
      <c r="B37" s="69"/>
      <c r="C37" s="70"/>
      <c r="D37" s="71"/>
      <c r="E37" s="72"/>
      <c r="F37" s="70"/>
      <c r="G37" s="71"/>
      <c r="H37" s="72"/>
      <c r="I37" s="70"/>
      <c r="J37" s="71"/>
      <c r="K37" s="72"/>
      <c r="L37" s="70"/>
      <c r="M37" s="73"/>
      <c r="N37" s="111"/>
      <c r="O37" s="12"/>
      <c r="P37" s="13"/>
      <c r="Q37" s="14"/>
      <c r="R37" s="138"/>
      <c r="S37" s="92"/>
    </row>
    <row r="38" spans="1:19" ht="14.4" customHeight="1" x14ac:dyDescent="0.35">
      <c r="A38" s="11" t="s">
        <v>8</v>
      </c>
      <c r="B38" s="75"/>
      <c r="C38" s="75">
        <f>IFERROR(C6+D38,"")</f>
        <v>57.278738869483817</v>
      </c>
      <c r="D38" s="76">
        <f>IF($B$7="","",SUM(D7:D37))</f>
        <v>-66.651955814022472</v>
      </c>
      <c r="E38" s="75"/>
      <c r="F38" s="75">
        <f>IFERROR(F6+G38,"")</f>
        <v>40.221215503405929</v>
      </c>
      <c r="G38" s="76">
        <f>IF($B$7="","",SUM(G7:G37))</f>
        <v>-2.1741512486617509</v>
      </c>
      <c r="H38" s="75"/>
      <c r="I38" s="75">
        <f>IFERROR(I6+J38,"")</f>
        <v>63.807169321557851</v>
      </c>
      <c r="J38" s="76">
        <f>IF($B$7="","",SUM(J7:J37))</f>
        <v>-2.2362224789351473</v>
      </c>
      <c r="K38" s="75"/>
      <c r="L38" s="75">
        <f>IFERROR(L6+M38,"")</f>
        <v>88.613810226150932</v>
      </c>
      <c r="M38" s="76">
        <f>IF($B$7="","",SUM(M7:M37))</f>
        <v>43.18979210408942</v>
      </c>
      <c r="N38" s="76">
        <f>SUM(N7:N37)</f>
        <v>1568.7769999999998</v>
      </c>
      <c r="O38" s="76">
        <f>IF($B$7="","",SUM(O7:O37))</f>
        <v>596.13526000000002</v>
      </c>
      <c r="P38" s="77">
        <f>IF(B7="","",SUM(P7:P37))</f>
        <v>1540.9044625624699</v>
      </c>
      <c r="Q38" s="77">
        <f>IF(B8="","",SUM(Q7:Q37))</f>
        <v>585.54369577373848</v>
      </c>
      <c r="R38" s="48">
        <f>SUM(R7:R37)</f>
        <v>719.92806457943368</v>
      </c>
      <c r="S38" s="88"/>
    </row>
    <row r="39" spans="1:19" ht="14.4" customHeight="1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08" t="s">
        <v>47</v>
      </c>
      <c r="O39" s="78">
        <f>IFERROR(O38*1000/0.505,"")</f>
        <v>1180465.8613861387</v>
      </c>
      <c r="P39" s="68" t="s">
        <v>47</v>
      </c>
      <c r="Q39" s="78">
        <f>IFERROR(Q38*1000/0.505,"")</f>
        <v>1159492.4668786901</v>
      </c>
      <c r="R39" s="10"/>
      <c r="S39" s="89"/>
    </row>
    <row r="40" spans="1:19" ht="14.4" customHeight="1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249.92093392059854</v>
      </c>
      <c r="I40" s="17" t="s">
        <v>3</v>
      </c>
      <c r="J40" s="17"/>
      <c r="K40" s="17"/>
      <c r="L40" s="10"/>
      <c r="M40" s="6"/>
      <c r="N40" s="172" t="s">
        <v>60</v>
      </c>
      <c r="O40" s="173">
        <f>IFERROR(O38*1000,"")</f>
        <v>596135.26</v>
      </c>
      <c r="P40" s="10"/>
      <c r="Q40" s="67"/>
      <c r="R40" s="43"/>
      <c r="S40" s="89"/>
    </row>
    <row r="41" spans="1:19" ht="15" customHeight="1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94.969954889827449</v>
      </c>
      <c r="I41" s="7" t="s">
        <v>19</v>
      </c>
      <c r="J41" s="7">
        <f>IFERROR(H41*1000/0.505,"")</f>
        <v>188059.31661351971</v>
      </c>
      <c r="K41" s="7" t="s">
        <v>47</v>
      </c>
      <c r="L41" s="2"/>
      <c r="M41" s="7"/>
      <c r="N41" s="16"/>
      <c r="O41" s="7"/>
      <c r="P41" s="7"/>
      <c r="Q41" s="150" t="s">
        <v>57</v>
      </c>
      <c r="R41" s="42">
        <f>IF(H40="",0,COUNT(R7:R37)*24-R38)</f>
        <v>7.1935420566319408E-2</v>
      </c>
      <c r="S41" s="148" t="s">
        <v>58</v>
      </c>
    </row>
  </sheetData>
  <mergeCells count="10">
    <mergeCell ref="A1:Q1"/>
    <mergeCell ref="A2:Q2"/>
    <mergeCell ref="B40:G40"/>
    <mergeCell ref="B4:D4"/>
    <mergeCell ref="E4:G4"/>
    <mergeCell ref="B3:G3"/>
    <mergeCell ref="H4:J4"/>
    <mergeCell ref="K4:M4"/>
    <mergeCell ref="P4:Q4"/>
    <mergeCell ref="N4:O4"/>
  </mergeCells>
  <phoneticPr fontId="0" type="noConversion"/>
  <conditionalFormatting sqref="R37">
    <cfRule type="cellIs" dxfId="23" priority="6" operator="equal">
      <formula>""</formula>
    </cfRule>
  </conditionalFormatting>
  <conditionalFormatting sqref="R37">
    <cfRule type="cellIs" dxfId="22" priority="7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6">
    <cfRule type="cellIs" dxfId="21" priority="4" operator="lessThan">
      <formula>23.98</formula>
    </cfRule>
  </conditionalFormatting>
  <conditionalFormatting sqref="R7:R36">
    <cfRule type="cellIs" dxfId="20" priority="3" operator="equal">
      <formula>""</formula>
    </cfRule>
  </conditionalFormatting>
  <conditionalFormatting sqref="R7:R36">
    <cfRule type="cellIs" dxfId="19" priority="2" operator="equal">
      <formula>""</formula>
    </cfRule>
  </conditionalFormatting>
  <conditionalFormatting sqref="R7:R36">
    <cfRule type="cellIs" dxfId="18" priority="1" operator="lessThan">
      <formula>23.98</formula>
    </cfRule>
  </conditionalFormatting>
  <pageMargins left="0.70866141732283472" right="0.70866141732283472" top="0.74803149606299213" bottom="0.74803149606299213" header="0.31496062992125984" footer="0.31496062992125984"/>
  <pageSetup scale="64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T41"/>
  <sheetViews>
    <sheetView showGridLines="0" zoomScale="85" zoomScaleNormal="85" workbookViewId="0">
      <pane xSplit="1" ySplit="5" topLeftCell="B18" activePane="bottomRight" state="frozen"/>
      <selection activeCell="M17" sqref="M17"/>
      <selection pane="topRight" activeCell="M17" sqref="M17"/>
      <selection pane="bottomLeft" activeCell="M17" sqref="M17"/>
      <selection pane="bottomRight" activeCell="O40" sqref="O40"/>
    </sheetView>
  </sheetViews>
  <sheetFormatPr defaultColWidth="8.90625" defaultRowHeight="14.5" x14ac:dyDescent="0.35"/>
  <cols>
    <col min="1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19" width="10.6328125" style="82" customWidth="1"/>
    <col min="20" max="16384" width="8.90625" style="1"/>
  </cols>
  <sheetData>
    <row r="1" spans="1:19" s="10" customFormat="1" x14ac:dyDescent="0.35">
      <c r="A1" s="191" t="s">
        <v>43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</row>
    <row r="2" spans="1:19" s="10" customFormat="1" x14ac:dyDescent="0.35">
      <c r="A2" s="202">
        <f>SUMMARY!B2</f>
        <v>2021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134"/>
      <c r="S2" s="83"/>
    </row>
    <row r="3" spans="1:19" s="10" customFormat="1" ht="15" thickBot="1" x14ac:dyDescent="0.4">
      <c r="A3" s="113">
        <f>[1]SUMMARY!$K$13</f>
        <v>1.3463801741512322</v>
      </c>
      <c r="B3" s="203" t="s">
        <v>13</v>
      </c>
      <c r="C3" s="203"/>
      <c r="D3" s="203"/>
      <c r="E3" s="203"/>
      <c r="F3" s="203"/>
      <c r="G3" s="203"/>
      <c r="H3" s="87">
        <f>JAN!$H$3</f>
        <v>0.38</v>
      </c>
      <c r="I3" s="8" t="s">
        <v>12</v>
      </c>
      <c r="J3" s="8"/>
      <c r="K3" s="8"/>
      <c r="L3" s="8"/>
      <c r="M3" s="85"/>
      <c r="N3" s="86"/>
      <c r="S3" s="83"/>
    </row>
    <row r="4" spans="1:19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30" t="s">
        <v>50</v>
      </c>
    </row>
    <row r="5" spans="1:19" x14ac:dyDescent="0.35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36" t="s">
        <v>15</v>
      </c>
      <c r="S5" s="91" t="s">
        <v>3</v>
      </c>
    </row>
    <row r="6" spans="1:19" ht="14" customHeight="1" x14ac:dyDescent="0.35">
      <c r="A6" s="3" t="s">
        <v>1</v>
      </c>
      <c r="B6" s="94"/>
      <c r="C6" s="70">
        <f>+SEP!C38</f>
        <v>57.278738869483817</v>
      </c>
      <c r="D6" s="71"/>
      <c r="E6" s="95"/>
      <c r="F6" s="70">
        <f>+SEP!F38</f>
        <v>40.221215503405929</v>
      </c>
      <c r="G6" s="71"/>
      <c r="H6" s="95"/>
      <c r="I6" s="70">
        <f>+SEP!I38</f>
        <v>63.807169321557851</v>
      </c>
      <c r="J6" s="71"/>
      <c r="K6" s="95"/>
      <c r="L6" s="70">
        <f>+SEP!L38</f>
        <v>88.613810226150932</v>
      </c>
      <c r="M6" s="73"/>
      <c r="N6" s="105"/>
      <c r="O6" s="101"/>
      <c r="P6" s="102"/>
      <c r="Q6" s="103"/>
      <c r="R6" s="139"/>
      <c r="S6" s="92"/>
    </row>
    <row r="7" spans="1:19" ht="14" customHeight="1" x14ac:dyDescent="0.35">
      <c r="A7" s="15">
        <v>1</v>
      </c>
      <c r="B7" s="107">
        <f>LOOKUP(A7+1000,'[2]DCS Data'!$A:$A,'[2]DCS Data'!$E:$E)</f>
        <v>0</v>
      </c>
      <c r="C7" s="70">
        <f t="shared" ref="C7" si="0">IF(B7="","",$A$3*PI()/4*(157.5*2.54)^2*B7*2.54/1000000)</f>
        <v>0</v>
      </c>
      <c r="D7" s="71">
        <f>IF(C7="","",C7-C6)</f>
        <v>-57.278738869483817</v>
      </c>
      <c r="E7" s="106">
        <f>LOOKUP(A7+1000,'[2]DCS Data'!$A:$A,'[2]DCS Data'!$F:$F)</f>
        <v>0</v>
      </c>
      <c r="F7" s="70">
        <f t="shared" ref="F7" si="1">IF(E7="","",$A$3*PI()/4*(157.5*2.54)^2*E7*2.54/1000000)</f>
        <v>0</v>
      </c>
      <c r="G7" s="71">
        <f>IF(F7="","",F7-F6)</f>
        <v>-40.221215503405929</v>
      </c>
      <c r="H7" s="106">
        <f>LOOKUP(A7+1000,'[2]DCS Data'!$A:$A,'[2]DCS Data'!$G:$G)</f>
        <v>0</v>
      </c>
      <c r="I7" s="70">
        <f t="shared" ref="I7" si="2">IF(H7="","",$A$3*PI()/4*(186*2.54)^2*H7*2.54/1000000)</f>
        <v>0</v>
      </c>
      <c r="J7" s="71">
        <f>IF(I7="","",I7-I6)</f>
        <v>-63.807169321557851</v>
      </c>
      <c r="K7" s="106">
        <f>LOOKUP(A7+1000,'[2]DCS Data'!$A:$A,'[2]DCS Data'!$H:$H)</f>
        <v>0</v>
      </c>
      <c r="L7" s="70">
        <f t="shared" ref="L7" si="3">IF(K7="","",$A$3*PI()/4*(186*2.54)^2*K7*2.54/1000000)</f>
        <v>0</v>
      </c>
      <c r="M7" s="73">
        <f>IF(L7="","",L7-L6)</f>
        <v>-88.613810226150932</v>
      </c>
      <c r="N7" s="111">
        <f>IF(K7="", "", LOOKUP(A7+1000,[3]SBS!$A:$A,[3]SBS!$C:$C))</f>
        <v>0</v>
      </c>
      <c r="O7" s="12">
        <f>IF(N7="","",N7*$H$3)</f>
        <v>0</v>
      </c>
      <c r="P7" s="13">
        <f>IFERROR(D7+G7+J7+M7+N7,0)</f>
        <v>-249.92093392059854</v>
      </c>
      <c r="Q7" s="14">
        <f>IF(P7="","",P7*$H$3)</f>
        <v>-94.969954889827449</v>
      </c>
      <c r="R7" s="155">
        <f>LOOKUP(A7+1000,'[2]DCS Data'!$A:$A,'[2]DCS Data'!$K:$K)</f>
        <v>0</v>
      </c>
      <c r="S7" s="156">
        <f>IFERROR(LOOKUP(A7+1000,'[2]DCS Data'!$A:$A,'[2]DCS Data'!$J:$J)*3785.4*0.993*$A$3/1000000,0)</f>
        <v>0</v>
      </c>
    </row>
    <row r="8" spans="1:19" ht="14" customHeight="1" x14ac:dyDescent="0.35">
      <c r="A8" s="15">
        <v>2</v>
      </c>
      <c r="B8" s="69"/>
      <c r="C8" s="70"/>
      <c r="D8" s="71"/>
      <c r="E8" s="72"/>
      <c r="F8" s="70"/>
      <c r="G8" s="71"/>
      <c r="H8" s="72"/>
      <c r="I8" s="70"/>
      <c r="J8" s="71"/>
      <c r="K8" s="72"/>
      <c r="L8" s="70"/>
      <c r="M8" s="73"/>
      <c r="N8" s="111"/>
      <c r="O8" s="12"/>
      <c r="P8" s="13"/>
      <c r="Q8" s="14"/>
      <c r="R8" s="138"/>
      <c r="S8" s="131"/>
    </row>
    <row r="9" spans="1:19" ht="14" customHeight="1" x14ac:dyDescent="0.35">
      <c r="A9" s="15">
        <v>3</v>
      </c>
      <c r="B9" s="69"/>
      <c r="C9" s="70"/>
      <c r="D9" s="71"/>
      <c r="E9" s="72"/>
      <c r="F9" s="70"/>
      <c r="G9" s="71"/>
      <c r="H9" s="72"/>
      <c r="I9" s="70"/>
      <c r="J9" s="71"/>
      <c r="K9" s="72"/>
      <c r="L9" s="70"/>
      <c r="M9" s="73"/>
      <c r="N9" s="111"/>
      <c r="O9" s="12"/>
      <c r="P9" s="13"/>
      <c r="Q9" s="14"/>
      <c r="R9" s="138"/>
      <c r="S9" s="131"/>
    </row>
    <row r="10" spans="1:19" ht="14" customHeight="1" x14ac:dyDescent="0.35">
      <c r="A10" s="15">
        <v>4</v>
      </c>
      <c r="B10" s="69"/>
      <c r="C10" s="70"/>
      <c r="D10" s="71"/>
      <c r="E10" s="72"/>
      <c r="F10" s="70"/>
      <c r="G10" s="71"/>
      <c r="H10" s="72"/>
      <c r="I10" s="70"/>
      <c r="J10" s="71"/>
      <c r="K10" s="72"/>
      <c r="L10" s="70"/>
      <c r="M10" s="73"/>
      <c r="N10" s="111"/>
      <c r="O10" s="12"/>
      <c r="P10" s="13"/>
      <c r="Q10" s="14"/>
      <c r="R10" s="138"/>
      <c r="S10" s="131"/>
    </row>
    <row r="11" spans="1:19" ht="14" customHeight="1" x14ac:dyDescent="0.35">
      <c r="A11" s="15">
        <v>5</v>
      </c>
      <c r="B11" s="69"/>
      <c r="C11" s="70"/>
      <c r="D11" s="71"/>
      <c r="E11" s="72"/>
      <c r="F11" s="70"/>
      <c r="G11" s="71"/>
      <c r="H11" s="72"/>
      <c r="I11" s="70"/>
      <c r="J11" s="71"/>
      <c r="K11" s="72"/>
      <c r="L11" s="70"/>
      <c r="M11" s="73"/>
      <c r="N11" s="111"/>
      <c r="O11" s="12"/>
      <c r="P11" s="13"/>
      <c r="Q11" s="14"/>
      <c r="R11" s="138"/>
      <c r="S11" s="131"/>
    </row>
    <row r="12" spans="1:19" ht="14" customHeight="1" x14ac:dyDescent="0.35">
      <c r="A12" s="15">
        <v>6</v>
      </c>
      <c r="B12" s="69"/>
      <c r="C12" s="70"/>
      <c r="D12" s="71"/>
      <c r="E12" s="72"/>
      <c r="F12" s="70"/>
      <c r="G12" s="71"/>
      <c r="H12" s="72"/>
      <c r="I12" s="70"/>
      <c r="J12" s="71"/>
      <c r="K12" s="72"/>
      <c r="L12" s="70"/>
      <c r="M12" s="73"/>
      <c r="N12" s="111"/>
      <c r="O12" s="12"/>
      <c r="P12" s="13"/>
      <c r="Q12" s="14"/>
      <c r="R12" s="138"/>
      <c r="S12" s="131"/>
    </row>
    <row r="13" spans="1:19" ht="14" customHeight="1" x14ac:dyDescent="0.35">
      <c r="A13" s="15">
        <v>7</v>
      </c>
      <c r="B13" s="69"/>
      <c r="C13" s="70"/>
      <c r="D13" s="71"/>
      <c r="E13" s="72"/>
      <c r="F13" s="70"/>
      <c r="G13" s="71"/>
      <c r="H13" s="72"/>
      <c r="I13" s="70"/>
      <c r="J13" s="71"/>
      <c r="K13" s="72"/>
      <c r="L13" s="70"/>
      <c r="M13" s="73"/>
      <c r="N13" s="111"/>
      <c r="O13" s="12"/>
      <c r="P13" s="13"/>
      <c r="Q13" s="14"/>
      <c r="R13" s="138"/>
      <c r="S13" s="131"/>
    </row>
    <row r="14" spans="1:19" ht="14" customHeight="1" x14ac:dyDescent="0.35">
      <c r="A14" s="15">
        <v>8</v>
      </c>
      <c r="B14" s="69"/>
      <c r="C14" s="70"/>
      <c r="D14" s="71"/>
      <c r="E14" s="72"/>
      <c r="F14" s="70"/>
      <c r="G14" s="71"/>
      <c r="H14" s="72"/>
      <c r="I14" s="70"/>
      <c r="J14" s="71"/>
      <c r="K14" s="72"/>
      <c r="L14" s="70"/>
      <c r="M14" s="73"/>
      <c r="N14" s="111"/>
      <c r="O14" s="12"/>
      <c r="P14" s="13"/>
      <c r="Q14" s="14"/>
      <c r="R14" s="138"/>
      <c r="S14" s="131"/>
    </row>
    <row r="15" spans="1:19" ht="14" customHeight="1" x14ac:dyDescent="0.35">
      <c r="A15" s="15">
        <v>9</v>
      </c>
      <c r="B15" s="69"/>
      <c r="C15" s="70"/>
      <c r="D15" s="71"/>
      <c r="E15" s="72"/>
      <c r="F15" s="70"/>
      <c r="G15" s="71"/>
      <c r="H15" s="72"/>
      <c r="I15" s="70"/>
      <c r="J15" s="71"/>
      <c r="K15" s="72"/>
      <c r="L15" s="70"/>
      <c r="M15" s="73"/>
      <c r="N15" s="111"/>
      <c r="O15" s="12"/>
      <c r="P15" s="13"/>
      <c r="Q15" s="14"/>
      <c r="R15" s="138"/>
      <c r="S15" s="131"/>
    </row>
    <row r="16" spans="1:19" ht="14" customHeight="1" x14ac:dyDescent="0.35">
      <c r="A16" s="15">
        <v>10</v>
      </c>
      <c r="B16" s="69"/>
      <c r="C16" s="70"/>
      <c r="D16" s="71"/>
      <c r="E16" s="72"/>
      <c r="F16" s="70"/>
      <c r="G16" s="71"/>
      <c r="H16" s="72"/>
      <c r="I16" s="70"/>
      <c r="J16" s="71"/>
      <c r="K16" s="72"/>
      <c r="L16" s="70"/>
      <c r="M16" s="73"/>
      <c r="N16" s="111"/>
      <c r="O16" s="12"/>
      <c r="P16" s="13"/>
      <c r="Q16" s="14"/>
      <c r="R16" s="138"/>
      <c r="S16" s="131"/>
    </row>
    <row r="17" spans="1:19" ht="14" customHeight="1" x14ac:dyDescent="0.35">
      <c r="A17" s="15">
        <v>11</v>
      </c>
      <c r="B17" s="69"/>
      <c r="C17" s="70"/>
      <c r="D17" s="71"/>
      <c r="E17" s="72"/>
      <c r="F17" s="70"/>
      <c r="G17" s="71"/>
      <c r="H17" s="72"/>
      <c r="I17" s="70"/>
      <c r="J17" s="71"/>
      <c r="K17" s="72"/>
      <c r="L17" s="70"/>
      <c r="M17" s="73"/>
      <c r="N17" s="111"/>
      <c r="O17" s="12"/>
      <c r="P17" s="13"/>
      <c r="Q17" s="14"/>
      <c r="R17" s="138"/>
      <c r="S17" s="131"/>
    </row>
    <row r="18" spans="1:19" ht="14" customHeight="1" x14ac:dyDescent="0.35">
      <c r="A18" s="15">
        <v>12</v>
      </c>
      <c r="B18" s="69"/>
      <c r="C18" s="70"/>
      <c r="D18" s="71"/>
      <c r="E18" s="72"/>
      <c r="F18" s="70"/>
      <c r="G18" s="71"/>
      <c r="H18" s="72"/>
      <c r="I18" s="70"/>
      <c r="J18" s="71"/>
      <c r="K18" s="72"/>
      <c r="L18" s="70"/>
      <c r="M18" s="73"/>
      <c r="N18" s="111"/>
      <c r="O18" s="12"/>
      <c r="P18" s="13"/>
      <c r="Q18" s="14"/>
      <c r="R18" s="138"/>
      <c r="S18" s="131"/>
    </row>
    <row r="19" spans="1:19" ht="14" customHeight="1" x14ac:dyDescent="0.35">
      <c r="A19" s="15">
        <v>13</v>
      </c>
      <c r="B19" s="69"/>
      <c r="C19" s="70"/>
      <c r="D19" s="71"/>
      <c r="E19" s="72"/>
      <c r="F19" s="70"/>
      <c r="G19" s="71"/>
      <c r="H19" s="72"/>
      <c r="I19" s="70"/>
      <c r="J19" s="71"/>
      <c r="K19" s="72"/>
      <c r="L19" s="70"/>
      <c r="M19" s="73"/>
      <c r="N19" s="111"/>
      <c r="O19" s="12"/>
      <c r="P19" s="13"/>
      <c r="Q19" s="14"/>
      <c r="R19" s="138"/>
      <c r="S19" s="131"/>
    </row>
    <row r="20" spans="1:19" ht="14" customHeight="1" x14ac:dyDescent="0.35">
      <c r="A20" s="15">
        <v>14</v>
      </c>
      <c r="B20" s="69"/>
      <c r="C20" s="70"/>
      <c r="D20" s="71"/>
      <c r="E20" s="72"/>
      <c r="F20" s="70"/>
      <c r="G20" s="71"/>
      <c r="H20" s="72"/>
      <c r="I20" s="70"/>
      <c r="J20" s="71"/>
      <c r="K20" s="72"/>
      <c r="L20" s="70"/>
      <c r="M20" s="73"/>
      <c r="N20" s="111"/>
      <c r="O20" s="12"/>
      <c r="P20" s="13"/>
      <c r="Q20" s="14"/>
      <c r="R20" s="138"/>
      <c r="S20" s="131"/>
    </row>
    <row r="21" spans="1:19" ht="14" customHeight="1" x14ac:dyDescent="0.35">
      <c r="A21" s="15">
        <v>15</v>
      </c>
      <c r="B21" s="69"/>
      <c r="C21" s="70"/>
      <c r="D21" s="71"/>
      <c r="E21" s="72"/>
      <c r="F21" s="70"/>
      <c r="G21" s="71"/>
      <c r="H21" s="72"/>
      <c r="I21" s="70"/>
      <c r="J21" s="71"/>
      <c r="K21" s="72"/>
      <c r="L21" s="70"/>
      <c r="M21" s="73"/>
      <c r="N21" s="111"/>
      <c r="O21" s="12"/>
      <c r="P21" s="13"/>
      <c r="Q21" s="14"/>
      <c r="R21" s="138"/>
      <c r="S21" s="131"/>
    </row>
    <row r="22" spans="1:19" ht="14" customHeight="1" x14ac:dyDescent="0.35">
      <c r="A22" s="15">
        <v>16</v>
      </c>
      <c r="B22" s="69"/>
      <c r="C22" s="70"/>
      <c r="D22" s="71"/>
      <c r="E22" s="72"/>
      <c r="F22" s="70"/>
      <c r="G22" s="71"/>
      <c r="H22" s="72"/>
      <c r="I22" s="70"/>
      <c r="J22" s="71"/>
      <c r="K22" s="72"/>
      <c r="L22" s="70"/>
      <c r="M22" s="73"/>
      <c r="N22" s="111"/>
      <c r="O22" s="12"/>
      <c r="P22" s="13"/>
      <c r="Q22" s="14"/>
      <c r="R22" s="138"/>
      <c r="S22" s="131"/>
    </row>
    <row r="23" spans="1:19" ht="14" customHeight="1" x14ac:dyDescent="0.35">
      <c r="A23" s="15">
        <v>17</v>
      </c>
      <c r="B23" s="69"/>
      <c r="C23" s="70"/>
      <c r="D23" s="71"/>
      <c r="E23" s="72"/>
      <c r="F23" s="70"/>
      <c r="G23" s="71"/>
      <c r="H23" s="72"/>
      <c r="I23" s="70"/>
      <c r="J23" s="71"/>
      <c r="K23" s="72"/>
      <c r="L23" s="70"/>
      <c r="M23" s="73"/>
      <c r="N23" s="111"/>
      <c r="O23" s="12"/>
      <c r="P23" s="13"/>
      <c r="Q23" s="14"/>
      <c r="R23" s="138"/>
      <c r="S23" s="131"/>
    </row>
    <row r="24" spans="1:19" ht="14" customHeight="1" x14ac:dyDescent="0.35">
      <c r="A24" s="15">
        <v>18</v>
      </c>
      <c r="B24" s="69"/>
      <c r="C24" s="70"/>
      <c r="D24" s="71"/>
      <c r="E24" s="72"/>
      <c r="F24" s="70"/>
      <c r="G24" s="71"/>
      <c r="H24" s="72"/>
      <c r="I24" s="70"/>
      <c r="J24" s="71"/>
      <c r="K24" s="72"/>
      <c r="L24" s="70"/>
      <c r="M24" s="73"/>
      <c r="N24" s="111"/>
      <c r="O24" s="12"/>
      <c r="P24" s="13"/>
      <c r="Q24" s="14"/>
      <c r="R24" s="138"/>
      <c r="S24" s="131"/>
    </row>
    <row r="25" spans="1:19" ht="14" customHeight="1" x14ac:dyDescent="0.35">
      <c r="A25" s="15">
        <v>19</v>
      </c>
      <c r="B25" s="69"/>
      <c r="C25" s="70"/>
      <c r="D25" s="71"/>
      <c r="E25" s="72"/>
      <c r="F25" s="70"/>
      <c r="G25" s="71"/>
      <c r="H25" s="72"/>
      <c r="I25" s="70"/>
      <c r="J25" s="71"/>
      <c r="K25" s="72"/>
      <c r="L25" s="70"/>
      <c r="M25" s="73"/>
      <c r="N25" s="111"/>
      <c r="O25" s="12"/>
      <c r="P25" s="13"/>
      <c r="Q25" s="14"/>
      <c r="R25" s="138"/>
      <c r="S25" s="131"/>
    </row>
    <row r="26" spans="1:19" ht="14" customHeight="1" x14ac:dyDescent="0.35">
      <c r="A26" s="15">
        <v>20</v>
      </c>
      <c r="B26" s="69"/>
      <c r="C26" s="70"/>
      <c r="D26" s="71"/>
      <c r="E26" s="72"/>
      <c r="F26" s="70"/>
      <c r="G26" s="71"/>
      <c r="H26" s="72"/>
      <c r="I26" s="70"/>
      <c r="J26" s="71"/>
      <c r="K26" s="72"/>
      <c r="L26" s="70"/>
      <c r="M26" s="73"/>
      <c r="N26" s="111"/>
      <c r="O26" s="12"/>
      <c r="P26" s="13"/>
      <c r="Q26" s="14"/>
      <c r="R26" s="138"/>
      <c r="S26" s="131"/>
    </row>
    <row r="27" spans="1:19" ht="14" customHeight="1" x14ac:dyDescent="0.35">
      <c r="A27" s="15">
        <v>21</v>
      </c>
      <c r="B27" s="69"/>
      <c r="C27" s="70"/>
      <c r="D27" s="71"/>
      <c r="E27" s="72"/>
      <c r="F27" s="70"/>
      <c r="G27" s="71"/>
      <c r="H27" s="72"/>
      <c r="I27" s="70"/>
      <c r="J27" s="71"/>
      <c r="K27" s="72"/>
      <c r="L27" s="70"/>
      <c r="M27" s="73"/>
      <c r="N27" s="111"/>
      <c r="O27" s="12"/>
      <c r="P27" s="13"/>
      <c r="Q27" s="14"/>
      <c r="R27" s="138"/>
      <c r="S27" s="131"/>
    </row>
    <row r="28" spans="1:19" ht="14" customHeight="1" x14ac:dyDescent="0.35">
      <c r="A28" s="15">
        <v>22</v>
      </c>
      <c r="B28" s="69"/>
      <c r="C28" s="70"/>
      <c r="D28" s="71"/>
      <c r="E28" s="72"/>
      <c r="F28" s="70"/>
      <c r="G28" s="71"/>
      <c r="H28" s="72"/>
      <c r="I28" s="70"/>
      <c r="J28" s="71"/>
      <c r="K28" s="72"/>
      <c r="L28" s="70"/>
      <c r="M28" s="73"/>
      <c r="N28" s="111"/>
      <c r="O28" s="12"/>
      <c r="P28" s="13"/>
      <c r="Q28" s="14"/>
      <c r="R28" s="138"/>
      <c r="S28" s="131"/>
    </row>
    <row r="29" spans="1:19" ht="14" customHeight="1" x14ac:dyDescent="0.35">
      <c r="A29" s="15">
        <v>23</v>
      </c>
      <c r="B29" s="69"/>
      <c r="C29" s="70"/>
      <c r="D29" s="71"/>
      <c r="E29" s="72"/>
      <c r="F29" s="70"/>
      <c r="G29" s="71"/>
      <c r="H29" s="72"/>
      <c r="I29" s="70"/>
      <c r="J29" s="71"/>
      <c r="K29" s="72"/>
      <c r="L29" s="70"/>
      <c r="M29" s="73"/>
      <c r="N29" s="111"/>
      <c r="O29" s="12"/>
      <c r="P29" s="13"/>
      <c r="Q29" s="14"/>
      <c r="R29" s="138"/>
      <c r="S29" s="131"/>
    </row>
    <row r="30" spans="1:19" ht="14" customHeight="1" x14ac:dyDescent="0.35">
      <c r="A30" s="15">
        <v>24</v>
      </c>
      <c r="B30" s="69"/>
      <c r="C30" s="70"/>
      <c r="D30" s="71"/>
      <c r="E30" s="72"/>
      <c r="F30" s="70"/>
      <c r="G30" s="71"/>
      <c r="H30" s="72"/>
      <c r="I30" s="70"/>
      <c r="J30" s="71"/>
      <c r="K30" s="72"/>
      <c r="L30" s="70"/>
      <c r="M30" s="73"/>
      <c r="N30" s="111"/>
      <c r="O30" s="12"/>
      <c r="P30" s="13"/>
      <c r="Q30" s="14"/>
      <c r="R30" s="138"/>
      <c r="S30" s="131"/>
    </row>
    <row r="31" spans="1:19" ht="14" customHeight="1" x14ac:dyDescent="0.35">
      <c r="A31" s="15">
        <v>25</v>
      </c>
      <c r="B31" s="69"/>
      <c r="C31" s="70"/>
      <c r="D31" s="71"/>
      <c r="E31" s="72"/>
      <c r="F31" s="70"/>
      <c r="G31" s="71"/>
      <c r="H31" s="72"/>
      <c r="I31" s="70"/>
      <c r="J31" s="71"/>
      <c r="K31" s="72"/>
      <c r="L31" s="70"/>
      <c r="M31" s="73"/>
      <c r="N31" s="111"/>
      <c r="O31" s="12"/>
      <c r="P31" s="13"/>
      <c r="Q31" s="14"/>
      <c r="R31" s="138"/>
      <c r="S31" s="131"/>
    </row>
    <row r="32" spans="1:19" ht="14" customHeight="1" x14ac:dyDescent="0.35">
      <c r="A32" s="15">
        <v>26</v>
      </c>
      <c r="B32" s="69"/>
      <c r="C32" s="70"/>
      <c r="D32" s="71"/>
      <c r="E32" s="72"/>
      <c r="F32" s="70"/>
      <c r="G32" s="71"/>
      <c r="H32" s="72"/>
      <c r="I32" s="70"/>
      <c r="J32" s="71"/>
      <c r="K32" s="72"/>
      <c r="L32" s="70"/>
      <c r="M32" s="73"/>
      <c r="N32" s="111"/>
      <c r="O32" s="12"/>
      <c r="P32" s="13"/>
      <c r="Q32" s="14"/>
      <c r="R32" s="138"/>
      <c r="S32" s="131"/>
    </row>
    <row r="33" spans="1:20" ht="14" customHeight="1" x14ac:dyDescent="0.35">
      <c r="A33" s="15">
        <v>27</v>
      </c>
      <c r="B33" s="69"/>
      <c r="C33" s="70"/>
      <c r="D33" s="71"/>
      <c r="E33" s="72"/>
      <c r="F33" s="70"/>
      <c r="G33" s="71"/>
      <c r="H33" s="72"/>
      <c r="I33" s="70"/>
      <c r="J33" s="71"/>
      <c r="K33" s="72"/>
      <c r="L33" s="70"/>
      <c r="M33" s="73"/>
      <c r="N33" s="111"/>
      <c r="O33" s="12"/>
      <c r="P33" s="13"/>
      <c r="Q33" s="14"/>
      <c r="R33" s="138"/>
      <c r="S33" s="131"/>
    </row>
    <row r="34" spans="1:20" ht="14" customHeight="1" x14ac:dyDescent="0.35">
      <c r="A34" s="15">
        <v>28</v>
      </c>
      <c r="B34" s="69"/>
      <c r="C34" s="70"/>
      <c r="D34" s="71"/>
      <c r="E34" s="72"/>
      <c r="F34" s="70"/>
      <c r="G34" s="71"/>
      <c r="H34" s="72"/>
      <c r="I34" s="70"/>
      <c r="J34" s="71"/>
      <c r="K34" s="72"/>
      <c r="L34" s="70"/>
      <c r="M34" s="73"/>
      <c r="N34" s="111"/>
      <c r="O34" s="12"/>
      <c r="P34" s="13"/>
      <c r="Q34" s="14"/>
      <c r="R34" s="138"/>
      <c r="S34" s="131"/>
    </row>
    <row r="35" spans="1:20" ht="14" customHeight="1" x14ac:dyDescent="0.35">
      <c r="A35" s="15">
        <v>29</v>
      </c>
      <c r="B35" s="69"/>
      <c r="C35" s="70"/>
      <c r="D35" s="71"/>
      <c r="E35" s="72"/>
      <c r="F35" s="70"/>
      <c r="G35" s="71"/>
      <c r="H35" s="72"/>
      <c r="I35" s="70"/>
      <c r="J35" s="71"/>
      <c r="K35" s="72"/>
      <c r="L35" s="70"/>
      <c r="M35" s="73"/>
      <c r="N35" s="111"/>
      <c r="O35" s="12"/>
      <c r="P35" s="13"/>
      <c r="Q35" s="14"/>
      <c r="R35" s="138"/>
      <c r="S35" s="131"/>
    </row>
    <row r="36" spans="1:20" ht="14" customHeight="1" x14ac:dyDescent="0.35">
      <c r="A36" s="15">
        <v>30</v>
      </c>
      <c r="B36" s="69"/>
      <c r="C36" s="70"/>
      <c r="D36" s="71"/>
      <c r="E36" s="72"/>
      <c r="F36" s="70"/>
      <c r="G36" s="71"/>
      <c r="H36" s="72"/>
      <c r="I36" s="70"/>
      <c r="J36" s="71"/>
      <c r="K36" s="72"/>
      <c r="L36" s="70"/>
      <c r="M36" s="73"/>
      <c r="N36" s="111"/>
      <c r="O36" s="12"/>
      <c r="P36" s="13"/>
      <c r="Q36" s="14"/>
      <c r="R36" s="138"/>
      <c r="S36" s="131"/>
      <c r="T36" s="110"/>
    </row>
    <row r="37" spans="1:20" ht="14" customHeight="1" thickBot="1" x14ac:dyDescent="0.4">
      <c r="A37" s="15">
        <v>31</v>
      </c>
      <c r="B37" s="69"/>
      <c r="C37" s="70"/>
      <c r="D37" s="71"/>
      <c r="E37" s="72"/>
      <c r="F37" s="70"/>
      <c r="G37" s="71"/>
      <c r="H37" s="72"/>
      <c r="I37" s="70"/>
      <c r="J37" s="71"/>
      <c r="K37" s="72"/>
      <c r="L37" s="70"/>
      <c r="M37" s="73"/>
      <c r="N37" s="111"/>
      <c r="O37" s="12"/>
      <c r="P37" s="13"/>
      <c r="Q37" s="14"/>
      <c r="R37" s="138"/>
      <c r="S37" s="131"/>
    </row>
    <row r="38" spans="1:20" ht="14.4" customHeight="1" x14ac:dyDescent="0.35">
      <c r="A38" s="11" t="s">
        <v>8</v>
      </c>
      <c r="B38" s="75"/>
      <c r="C38" s="75">
        <f>IFERROR(C6+D38,"")</f>
        <v>0</v>
      </c>
      <c r="D38" s="76">
        <f>IF($B$7="","",SUM(D7:D37))</f>
        <v>-57.278738869483817</v>
      </c>
      <c r="E38" s="75"/>
      <c r="F38" s="75">
        <f>IFERROR(F6+G38,"")</f>
        <v>0</v>
      </c>
      <c r="G38" s="76">
        <f>IF($B$7="","",SUM(G7:G37))</f>
        <v>-40.221215503405929</v>
      </c>
      <c r="H38" s="75"/>
      <c r="I38" s="75">
        <f>IFERROR(I6+J38,"")</f>
        <v>0</v>
      </c>
      <c r="J38" s="76">
        <f>IF($B$7="","",SUM(J7:J37))</f>
        <v>-63.807169321557851</v>
      </c>
      <c r="K38" s="75"/>
      <c r="L38" s="75">
        <f>IFERROR(L6+M38,"")</f>
        <v>0</v>
      </c>
      <c r="M38" s="76">
        <f>IF($B$7="","",SUM(M7:M37))</f>
        <v>-88.613810226150932</v>
      </c>
      <c r="N38" s="76">
        <f>SUM(N7:N37)</f>
        <v>0</v>
      </c>
      <c r="O38" s="76">
        <f>IF($B$7="","",SUM(O7:O37))</f>
        <v>0</v>
      </c>
      <c r="P38" s="77">
        <f>IF(B7="","",SUM(P7:P37))</f>
        <v>-249.92093392059854</v>
      </c>
      <c r="Q38" s="77" t="str">
        <f>IF(B8="","",SUM(Q7:Q37))</f>
        <v/>
      </c>
      <c r="R38" s="48">
        <f>SUM(R7:R37)</f>
        <v>0</v>
      </c>
      <c r="S38" s="88"/>
    </row>
    <row r="39" spans="1:20" ht="14.4" customHeight="1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08" t="s">
        <v>47</v>
      </c>
      <c r="O39" s="78">
        <f>IFERROR(O38*1000/0.505,"")</f>
        <v>0</v>
      </c>
      <c r="P39" s="68" t="s">
        <v>47</v>
      </c>
      <c r="Q39" s="78" t="str">
        <f>IFERROR(Q38*1000/0.505,"")</f>
        <v/>
      </c>
      <c r="R39" s="10"/>
      <c r="S39" s="89"/>
    </row>
    <row r="40" spans="1:20" ht="14.4" customHeight="1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0</v>
      </c>
      <c r="I40" s="17" t="s">
        <v>3</v>
      </c>
      <c r="J40" s="17"/>
      <c r="K40" s="17"/>
      <c r="L40" s="10"/>
      <c r="M40" s="6"/>
      <c r="N40" s="172" t="s">
        <v>60</v>
      </c>
      <c r="O40" s="173">
        <f>IFERROR(O38*1000,"")</f>
        <v>0</v>
      </c>
      <c r="P40" s="10"/>
      <c r="Q40" s="67"/>
      <c r="R40" s="43"/>
      <c r="S40" s="89"/>
    </row>
    <row r="41" spans="1:20" ht="15" customHeight="1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0</v>
      </c>
      <c r="I41" s="7" t="s">
        <v>19</v>
      </c>
      <c r="J41" s="7">
        <f>IFERROR(H41*1000/0.505,"")</f>
        <v>0</v>
      </c>
      <c r="K41" s="7" t="s">
        <v>47</v>
      </c>
      <c r="L41" s="2"/>
      <c r="M41" s="7"/>
      <c r="N41" s="16"/>
      <c r="O41" s="7"/>
      <c r="P41" s="7"/>
      <c r="Q41" s="150" t="s">
        <v>57</v>
      </c>
      <c r="R41" s="42">
        <f>IF(H40="",0,COUNT(R7:R37)*24-R38)</f>
        <v>24</v>
      </c>
      <c r="S41" s="148" t="s">
        <v>58</v>
      </c>
    </row>
  </sheetData>
  <mergeCells count="10">
    <mergeCell ref="A1:Q1"/>
    <mergeCell ref="A2:Q2"/>
    <mergeCell ref="B40:G40"/>
    <mergeCell ref="B4:D4"/>
    <mergeCell ref="E4:G4"/>
    <mergeCell ref="B3:G3"/>
    <mergeCell ref="H4:J4"/>
    <mergeCell ref="K4:M4"/>
    <mergeCell ref="P4:Q4"/>
    <mergeCell ref="N4:O4"/>
  </mergeCells>
  <phoneticPr fontId="0" type="noConversion"/>
  <conditionalFormatting sqref="R8:R37">
    <cfRule type="cellIs" dxfId="17" priority="6" operator="equal">
      <formula>""</formula>
    </cfRule>
  </conditionalFormatting>
  <conditionalFormatting sqref="R8:R37">
    <cfRule type="cellIs" dxfId="16" priority="7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">
    <cfRule type="cellIs" dxfId="15" priority="4" operator="lessThan">
      <formula>23.98</formula>
    </cfRule>
  </conditionalFormatting>
  <conditionalFormatting sqref="R7">
    <cfRule type="cellIs" dxfId="14" priority="3" operator="equal">
      <formula>""</formula>
    </cfRule>
  </conditionalFormatting>
  <conditionalFormatting sqref="R7">
    <cfRule type="cellIs" dxfId="13" priority="2" operator="equal">
      <formula>""</formula>
    </cfRule>
  </conditionalFormatting>
  <conditionalFormatting sqref="R7">
    <cfRule type="cellIs" dxfId="12" priority="1" operator="lessThan">
      <formula>23.98</formula>
    </cfRule>
  </conditionalFormatting>
  <pageMargins left="0.7" right="0.7" top="0.75" bottom="0.75" header="0.3" footer="0.3"/>
  <pageSetup scale="64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S41"/>
  <sheetViews>
    <sheetView showGridLines="0" zoomScale="80" zoomScaleNormal="80" workbookViewId="0">
      <pane xSplit="1" ySplit="5" topLeftCell="B6" activePane="bottomRight" state="frozen"/>
      <selection activeCell="M17" sqref="M17"/>
      <selection pane="topRight" activeCell="M17" sqref="M17"/>
      <selection pane="bottomLeft" activeCell="M17" sqref="M17"/>
      <selection pane="bottomRight" activeCell="S7" sqref="B7:S7"/>
    </sheetView>
  </sheetViews>
  <sheetFormatPr defaultColWidth="8.90625" defaultRowHeight="14.5" x14ac:dyDescent="0.35"/>
  <cols>
    <col min="1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19" width="10.6328125" style="82" customWidth="1"/>
    <col min="20" max="16384" width="8.90625" style="1"/>
  </cols>
  <sheetData>
    <row r="1" spans="1:19" s="10" customFormat="1" x14ac:dyDescent="0.35">
      <c r="A1" s="191" t="s">
        <v>44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</row>
    <row r="2" spans="1:19" s="10" customFormat="1" x14ac:dyDescent="0.35">
      <c r="A2" s="202">
        <f>SUMMARY!B2</f>
        <v>2021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134"/>
      <c r="S2" s="83"/>
    </row>
    <row r="3" spans="1:19" s="10" customFormat="1" ht="15" thickBot="1" x14ac:dyDescent="0.4">
      <c r="A3" s="113">
        <f>[1]SUMMARY!$K$14</f>
        <v>1.3530615087864135</v>
      </c>
      <c r="B3" s="203" t="s">
        <v>13</v>
      </c>
      <c r="C3" s="203"/>
      <c r="D3" s="203"/>
      <c r="E3" s="203"/>
      <c r="F3" s="203"/>
      <c r="G3" s="203"/>
      <c r="H3" s="87">
        <f>JAN!$H$3</f>
        <v>0.38</v>
      </c>
      <c r="I3" s="8" t="s">
        <v>12</v>
      </c>
      <c r="J3" s="8"/>
      <c r="K3" s="8"/>
      <c r="L3" s="8"/>
      <c r="M3" s="85"/>
      <c r="N3" s="86"/>
      <c r="S3" s="83"/>
    </row>
    <row r="4" spans="1:19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30" t="s">
        <v>50</v>
      </c>
    </row>
    <row r="5" spans="1:19" x14ac:dyDescent="0.35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36" t="s">
        <v>15</v>
      </c>
      <c r="S5" s="91" t="s">
        <v>3</v>
      </c>
    </row>
    <row r="6" spans="1:19" ht="14" customHeight="1" x14ac:dyDescent="0.35">
      <c r="A6" s="3" t="s">
        <v>1</v>
      </c>
      <c r="B6" s="94"/>
      <c r="C6" s="70">
        <f>+OCT!C38</f>
        <v>0</v>
      </c>
      <c r="D6" s="71"/>
      <c r="E6" s="95"/>
      <c r="F6" s="70">
        <f>+OCT!F38</f>
        <v>0</v>
      </c>
      <c r="G6" s="71"/>
      <c r="H6" s="95"/>
      <c r="I6" s="70">
        <f>+OCT!I38</f>
        <v>0</v>
      </c>
      <c r="J6" s="71"/>
      <c r="K6" s="95"/>
      <c r="L6" s="70">
        <f>+OCT!L38</f>
        <v>0</v>
      </c>
      <c r="M6" s="73"/>
      <c r="N6" s="105"/>
      <c r="O6" s="101"/>
      <c r="P6" s="102"/>
      <c r="Q6" s="103"/>
      <c r="R6" s="139"/>
      <c r="S6" s="92"/>
    </row>
    <row r="7" spans="1:19" ht="14" customHeight="1" x14ac:dyDescent="0.35">
      <c r="A7" s="15">
        <v>1</v>
      </c>
      <c r="B7" s="107">
        <f>LOOKUP(A7+1100,'[2]DCS Data'!$A:$A,'[2]DCS Data'!$E:$E)</f>
        <v>0</v>
      </c>
      <c r="C7" s="70">
        <f t="shared" ref="C7" si="0">IF(B7="","",$A$3*PI()/4*(157.5*2.54)^2*B7*2.54/1000000)</f>
        <v>0</v>
      </c>
      <c r="D7" s="71">
        <f>IF(C7="","",C7-C6)</f>
        <v>0</v>
      </c>
      <c r="E7" s="106">
        <f>LOOKUP(A7+1100,'[2]DCS Data'!$A:$A,'[2]DCS Data'!$F:$F)</f>
        <v>0</v>
      </c>
      <c r="F7" s="70">
        <f t="shared" ref="F7" si="1">IF(E7="","",$A$3*PI()/4*(157.5*2.54)^2*E7*2.54/1000000)</f>
        <v>0</v>
      </c>
      <c r="G7" s="71">
        <f>IF(F7="","",F7-F6)</f>
        <v>0</v>
      </c>
      <c r="H7" s="106">
        <f>LOOKUP(A7+1100,'[2]DCS Data'!$A:$A,'[2]DCS Data'!$G:$G)</f>
        <v>0</v>
      </c>
      <c r="I7" s="70">
        <f t="shared" ref="I7" si="2">IF(H7="","",$A$3*PI()/4*(186*2.54)^2*H7*2.54/1000000)</f>
        <v>0</v>
      </c>
      <c r="J7" s="71">
        <f>IF(I7="","",I7-I6)</f>
        <v>0</v>
      </c>
      <c r="K7" s="106">
        <f>LOOKUP(A7+1100,'[2]DCS Data'!$A:$A,'[2]DCS Data'!$H:$H)</f>
        <v>0</v>
      </c>
      <c r="L7" s="70">
        <f t="shared" ref="L7" si="3">IF(K7="","",$A$3*PI()/4*(186*2.54)^2*K7*2.54/1000000)</f>
        <v>0</v>
      </c>
      <c r="M7" s="73">
        <f>IF(L7="","",L7-L6)</f>
        <v>0</v>
      </c>
      <c r="N7" s="111">
        <f>IF(K7="", "", LOOKUP(A7+1100,[3]SBS!$A:$A,[3]SBS!$C:$C))</f>
        <v>0</v>
      </c>
      <c r="O7" s="12">
        <f>IF(N7="","",N7*$H$3)</f>
        <v>0</v>
      </c>
      <c r="P7" s="13">
        <f>IFERROR(D7+G7+J7+M7+N7,0)</f>
        <v>0</v>
      </c>
      <c r="Q7" s="14">
        <f>IF(P7="","",P7*$H$3)</f>
        <v>0</v>
      </c>
      <c r="R7" s="155">
        <f>LOOKUP(A7+1100,'[2]DCS Data'!$A:$A,'[2]DCS Data'!$K:$K)</f>
        <v>0</v>
      </c>
      <c r="S7" s="156">
        <f>IFERROR(LOOKUP(A7+1100,'[2]DCS Data'!$A:$A,'[2]DCS Data'!$J:$J)*3785.4*0.993*$A$3/1000000,0)</f>
        <v>0</v>
      </c>
    </row>
    <row r="8" spans="1:19" ht="14" customHeight="1" x14ac:dyDescent="0.35">
      <c r="A8" s="55">
        <v>2</v>
      </c>
      <c r="B8" s="69"/>
      <c r="C8" s="70"/>
      <c r="D8" s="71"/>
      <c r="E8" s="72"/>
      <c r="F8" s="70"/>
      <c r="G8" s="71"/>
      <c r="H8" s="72"/>
      <c r="I8" s="70"/>
      <c r="J8" s="71"/>
      <c r="K8" s="72"/>
      <c r="L8" s="70"/>
      <c r="M8" s="73"/>
      <c r="N8" s="111"/>
      <c r="O8" s="12"/>
      <c r="P8" s="13"/>
      <c r="Q8" s="14"/>
      <c r="R8" s="138"/>
      <c r="S8" s="131"/>
    </row>
    <row r="9" spans="1:19" ht="14" customHeight="1" x14ac:dyDescent="0.35">
      <c r="A9" s="55">
        <v>3</v>
      </c>
      <c r="B9" s="69"/>
      <c r="C9" s="70"/>
      <c r="D9" s="71"/>
      <c r="E9" s="72"/>
      <c r="F9" s="70"/>
      <c r="G9" s="71"/>
      <c r="H9" s="72"/>
      <c r="I9" s="70"/>
      <c r="J9" s="71"/>
      <c r="K9" s="72"/>
      <c r="L9" s="70"/>
      <c r="M9" s="73"/>
      <c r="N9" s="111"/>
      <c r="O9" s="12"/>
      <c r="P9" s="13"/>
      <c r="Q9" s="14"/>
      <c r="R9" s="138"/>
      <c r="S9" s="131"/>
    </row>
    <row r="10" spans="1:19" ht="14" customHeight="1" x14ac:dyDescent="0.35">
      <c r="A10" s="55">
        <v>4</v>
      </c>
      <c r="B10" s="69"/>
      <c r="C10" s="70"/>
      <c r="D10" s="71"/>
      <c r="E10" s="72"/>
      <c r="F10" s="70"/>
      <c r="G10" s="71"/>
      <c r="H10" s="72"/>
      <c r="I10" s="70"/>
      <c r="J10" s="71"/>
      <c r="K10" s="72"/>
      <c r="L10" s="70"/>
      <c r="M10" s="73"/>
      <c r="N10" s="111"/>
      <c r="O10" s="12"/>
      <c r="P10" s="13"/>
      <c r="Q10" s="14"/>
      <c r="R10" s="138"/>
      <c r="S10" s="131"/>
    </row>
    <row r="11" spans="1:19" ht="14" customHeight="1" x14ac:dyDescent="0.35">
      <c r="A11" s="55">
        <v>5</v>
      </c>
      <c r="B11" s="69"/>
      <c r="C11" s="70"/>
      <c r="D11" s="71"/>
      <c r="E11" s="72"/>
      <c r="F11" s="70"/>
      <c r="G11" s="71"/>
      <c r="H11" s="72"/>
      <c r="I11" s="70"/>
      <c r="J11" s="71"/>
      <c r="K11" s="72"/>
      <c r="L11" s="70"/>
      <c r="M11" s="73"/>
      <c r="N11" s="111"/>
      <c r="O11" s="12"/>
      <c r="P11" s="13"/>
      <c r="Q11" s="14"/>
      <c r="R11" s="138"/>
      <c r="S11" s="131"/>
    </row>
    <row r="12" spans="1:19" ht="14" customHeight="1" x14ac:dyDescent="0.35">
      <c r="A12" s="55">
        <v>6</v>
      </c>
      <c r="B12" s="69"/>
      <c r="C12" s="70"/>
      <c r="D12" s="71"/>
      <c r="E12" s="72"/>
      <c r="F12" s="70"/>
      <c r="G12" s="71"/>
      <c r="H12" s="72"/>
      <c r="I12" s="70"/>
      <c r="J12" s="71"/>
      <c r="K12" s="72"/>
      <c r="L12" s="70"/>
      <c r="M12" s="73"/>
      <c r="N12" s="111"/>
      <c r="O12" s="12"/>
      <c r="P12" s="13"/>
      <c r="Q12" s="14"/>
      <c r="R12" s="138"/>
      <c r="S12" s="131"/>
    </row>
    <row r="13" spans="1:19" ht="14" customHeight="1" x14ac:dyDescent="0.35">
      <c r="A13" s="55">
        <v>7</v>
      </c>
      <c r="B13" s="69"/>
      <c r="C13" s="70"/>
      <c r="D13" s="71"/>
      <c r="E13" s="72"/>
      <c r="F13" s="70"/>
      <c r="G13" s="71"/>
      <c r="H13" s="72"/>
      <c r="I13" s="70"/>
      <c r="J13" s="71"/>
      <c r="K13" s="72"/>
      <c r="L13" s="70"/>
      <c r="M13" s="73"/>
      <c r="N13" s="111"/>
      <c r="O13" s="12"/>
      <c r="P13" s="13"/>
      <c r="Q13" s="14"/>
      <c r="R13" s="138"/>
      <c r="S13" s="131"/>
    </row>
    <row r="14" spans="1:19" ht="14" customHeight="1" x14ac:dyDescent="0.35">
      <c r="A14" s="55">
        <v>8</v>
      </c>
      <c r="B14" s="69"/>
      <c r="C14" s="70"/>
      <c r="D14" s="71"/>
      <c r="E14" s="72"/>
      <c r="F14" s="70"/>
      <c r="G14" s="71"/>
      <c r="H14" s="72"/>
      <c r="I14" s="70"/>
      <c r="J14" s="71"/>
      <c r="K14" s="72"/>
      <c r="L14" s="70"/>
      <c r="M14" s="73"/>
      <c r="N14" s="111"/>
      <c r="O14" s="12"/>
      <c r="P14" s="13"/>
      <c r="Q14" s="14"/>
      <c r="R14" s="138"/>
      <c r="S14" s="131"/>
    </row>
    <row r="15" spans="1:19" ht="14" customHeight="1" x14ac:dyDescent="0.35">
      <c r="A15" s="55">
        <v>9</v>
      </c>
      <c r="B15" s="69"/>
      <c r="C15" s="70"/>
      <c r="D15" s="71"/>
      <c r="E15" s="72"/>
      <c r="F15" s="70"/>
      <c r="G15" s="71"/>
      <c r="H15" s="72"/>
      <c r="I15" s="70"/>
      <c r="J15" s="71"/>
      <c r="K15" s="72"/>
      <c r="L15" s="70"/>
      <c r="M15" s="73"/>
      <c r="N15" s="111"/>
      <c r="O15" s="12"/>
      <c r="P15" s="13"/>
      <c r="Q15" s="14"/>
      <c r="R15" s="138"/>
      <c r="S15" s="131"/>
    </row>
    <row r="16" spans="1:19" ht="14" customHeight="1" x14ac:dyDescent="0.35">
      <c r="A16" s="55">
        <v>10</v>
      </c>
      <c r="B16" s="69"/>
      <c r="C16" s="70"/>
      <c r="D16" s="71"/>
      <c r="E16" s="72"/>
      <c r="F16" s="70"/>
      <c r="G16" s="71"/>
      <c r="H16" s="72"/>
      <c r="I16" s="70"/>
      <c r="J16" s="71"/>
      <c r="K16" s="72"/>
      <c r="L16" s="70"/>
      <c r="M16" s="73"/>
      <c r="N16" s="111"/>
      <c r="O16" s="12"/>
      <c r="P16" s="13"/>
      <c r="Q16" s="14"/>
      <c r="R16" s="138"/>
      <c r="S16" s="131"/>
    </row>
    <row r="17" spans="1:19" ht="14" customHeight="1" x14ac:dyDescent="0.35">
      <c r="A17" s="55">
        <v>11</v>
      </c>
      <c r="B17" s="69"/>
      <c r="C17" s="70"/>
      <c r="D17" s="71"/>
      <c r="E17" s="72"/>
      <c r="F17" s="70"/>
      <c r="G17" s="71"/>
      <c r="H17" s="72"/>
      <c r="I17" s="70"/>
      <c r="J17" s="71"/>
      <c r="K17" s="72"/>
      <c r="L17" s="70"/>
      <c r="M17" s="73"/>
      <c r="N17" s="111"/>
      <c r="O17" s="12"/>
      <c r="P17" s="13"/>
      <c r="Q17" s="14"/>
      <c r="R17" s="138"/>
      <c r="S17" s="131"/>
    </row>
    <row r="18" spans="1:19" ht="14" customHeight="1" x14ac:dyDescent="0.35">
      <c r="A18" s="55">
        <v>12</v>
      </c>
      <c r="B18" s="69"/>
      <c r="C18" s="70"/>
      <c r="D18" s="71"/>
      <c r="E18" s="72"/>
      <c r="F18" s="70"/>
      <c r="G18" s="71"/>
      <c r="H18" s="72"/>
      <c r="I18" s="70"/>
      <c r="J18" s="71"/>
      <c r="K18" s="72"/>
      <c r="L18" s="70"/>
      <c r="M18" s="73"/>
      <c r="N18" s="111"/>
      <c r="O18" s="12"/>
      <c r="P18" s="13"/>
      <c r="Q18" s="14"/>
      <c r="R18" s="138"/>
      <c r="S18" s="131"/>
    </row>
    <row r="19" spans="1:19" ht="14" customHeight="1" x14ac:dyDescent="0.35">
      <c r="A19" s="55">
        <v>13</v>
      </c>
      <c r="B19" s="69"/>
      <c r="C19" s="70"/>
      <c r="D19" s="71"/>
      <c r="E19" s="72"/>
      <c r="F19" s="70"/>
      <c r="G19" s="71"/>
      <c r="H19" s="72"/>
      <c r="I19" s="70"/>
      <c r="J19" s="71"/>
      <c r="K19" s="72"/>
      <c r="L19" s="70"/>
      <c r="M19" s="73"/>
      <c r="N19" s="111"/>
      <c r="O19" s="12"/>
      <c r="P19" s="13"/>
      <c r="Q19" s="14"/>
      <c r="R19" s="138"/>
      <c r="S19" s="131"/>
    </row>
    <row r="20" spans="1:19" ht="14" customHeight="1" x14ac:dyDescent="0.35">
      <c r="A20" s="55">
        <v>14</v>
      </c>
      <c r="B20" s="69"/>
      <c r="C20" s="70"/>
      <c r="D20" s="71"/>
      <c r="E20" s="72"/>
      <c r="F20" s="70"/>
      <c r="G20" s="71"/>
      <c r="H20" s="72"/>
      <c r="I20" s="70"/>
      <c r="J20" s="71"/>
      <c r="K20" s="72"/>
      <c r="L20" s="70"/>
      <c r="M20" s="73"/>
      <c r="N20" s="111"/>
      <c r="O20" s="12"/>
      <c r="P20" s="13"/>
      <c r="Q20" s="14"/>
      <c r="R20" s="138"/>
      <c r="S20" s="131"/>
    </row>
    <row r="21" spans="1:19" ht="14" customHeight="1" x14ac:dyDescent="0.35">
      <c r="A21" s="55">
        <v>15</v>
      </c>
      <c r="B21" s="69"/>
      <c r="C21" s="70"/>
      <c r="D21" s="71"/>
      <c r="E21" s="72"/>
      <c r="F21" s="70"/>
      <c r="G21" s="71"/>
      <c r="H21" s="72"/>
      <c r="I21" s="70"/>
      <c r="J21" s="71"/>
      <c r="K21" s="72"/>
      <c r="L21" s="70"/>
      <c r="M21" s="73"/>
      <c r="N21" s="111"/>
      <c r="O21" s="12"/>
      <c r="P21" s="13"/>
      <c r="Q21" s="14"/>
      <c r="R21" s="138"/>
      <c r="S21" s="131"/>
    </row>
    <row r="22" spans="1:19" ht="14" customHeight="1" x14ac:dyDescent="0.35">
      <c r="A22" s="55">
        <v>16</v>
      </c>
      <c r="B22" s="69"/>
      <c r="C22" s="70"/>
      <c r="D22" s="71"/>
      <c r="E22" s="72"/>
      <c r="F22" s="70"/>
      <c r="G22" s="71"/>
      <c r="H22" s="72"/>
      <c r="I22" s="70"/>
      <c r="J22" s="71"/>
      <c r="K22" s="72"/>
      <c r="L22" s="70"/>
      <c r="M22" s="73"/>
      <c r="N22" s="111"/>
      <c r="O22" s="12"/>
      <c r="P22" s="13"/>
      <c r="Q22" s="14"/>
      <c r="R22" s="138"/>
      <c r="S22" s="131"/>
    </row>
    <row r="23" spans="1:19" ht="14" customHeight="1" x14ac:dyDescent="0.35">
      <c r="A23" s="55">
        <v>17</v>
      </c>
      <c r="B23" s="69"/>
      <c r="C23" s="70"/>
      <c r="D23" s="71"/>
      <c r="E23" s="72"/>
      <c r="F23" s="70"/>
      <c r="G23" s="71"/>
      <c r="H23" s="72"/>
      <c r="I23" s="70"/>
      <c r="J23" s="71"/>
      <c r="K23" s="72"/>
      <c r="L23" s="70"/>
      <c r="M23" s="73"/>
      <c r="N23" s="111"/>
      <c r="O23" s="12"/>
      <c r="P23" s="13"/>
      <c r="Q23" s="14"/>
      <c r="R23" s="138"/>
      <c r="S23" s="131"/>
    </row>
    <row r="24" spans="1:19" ht="14" customHeight="1" x14ac:dyDescent="0.35">
      <c r="A24" s="55">
        <v>18</v>
      </c>
      <c r="B24" s="69"/>
      <c r="C24" s="70"/>
      <c r="D24" s="71"/>
      <c r="E24" s="72"/>
      <c r="F24" s="70"/>
      <c r="G24" s="71"/>
      <c r="H24" s="72"/>
      <c r="I24" s="70"/>
      <c r="J24" s="71"/>
      <c r="K24" s="72"/>
      <c r="L24" s="70"/>
      <c r="M24" s="73"/>
      <c r="N24" s="111"/>
      <c r="O24" s="12"/>
      <c r="P24" s="13"/>
      <c r="Q24" s="14"/>
      <c r="R24" s="138"/>
      <c r="S24" s="131"/>
    </row>
    <row r="25" spans="1:19" ht="14" customHeight="1" x14ac:dyDescent="0.35">
      <c r="A25" s="55">
        <v>19</v>
      </c>
      <c r="B25" s="69"/>
      <c r="C25" s="70"/>
      <c r="D25" s="71"/>
      <c r="E25" s="72"/>
      <c r="F25" s="70"/>
      <c r="G25" s="71"/>
      <c r="H25" s="72"/>
      <c r="I25" s="70"/>
      <c r="J25" s="71"/>
      <c r="K25" s="72"/>
      <c r="L25" s="70"/>
      <c r="M25" s="73"/>
      <c r="N25" s="111"/>
      <c r="O25" s="12"/>
      <c r="P25" s="13"/>
      <c r="Q25" s="14"/>
      <c r="R25" s="138"/>
      <c r="S25" s="131"/>
    </row>
    <row r="26" spans="1:19" ht="14" customHeight="1" x14ac:dyDescent="0.35">
      <c r="A26" s="55">
        <v>20</v>
      </c>
      <c r="B26" s="69"/>
      <c r="C26" s="70"/>
      <c r="D26" s="71"/>
      <c r="E26" s="72"/>
      <c r="F26" s="70"/>
      <c r="G26" s="71"/>
      <c r="H26" s="72"/>
      <c r="I26" s="70"/>
      <c r="J26" s="71"/>
      <c r="K26" s="72"/>
      <c r="L26" s="70"/>
      <c r="M26" s="73"/>
      <c r="N26" s="111"/>
      <c r="O26" s="12"/>
      <c r="P26" s="13"/>
      <c r="Q26" s="14"/>
      <c r="R26" s="138"/>
      <c r="S26" s="131"/>
    </row>
    <row r="27" spans="1:19" ht="14" customHeight="1" x14ac:dyDescent="0.35">
      <c r="A27" s="55">
        <v>21</v>
      </c>
      <c r="B27" s="69"/>
      <c r="C27" s="70"/>
      <c r="D27" s="71"/>
      <c r="E27" s="72"/>
      <c r="F27" s="70"/>
      <c r="G27" s="71"/>
      <c r="H27" s="72"/>
      <c r="I27" s="70"/>
      <c r="J27" s="71"/>
      <c r="K27" s="72"/>
      <c r="L27" s="70"/>
      <c r="M27" s="73"/>
      <c r="N27" s="111"/>
      <c r="O27" s="12"/>
      <c r="P27" s="13"/>
      <c r="Q27" s="14"/>
      <c r="R27" s="138"/>
      <c r="S27" s="131"/>
    </row>
    <row r="28" spans="1:19" ht="14" customHeight="1" x14ac:dyDescent="0.35">
      <c r="A28" s="55">
        <v>22</v>
      </c>
      <c r="B28" s="69"/>
      <c r="C28" s="70"/>
      <c r="D28" s="71"/>
      <c r="E28" s="72"/>
      <c r="F28" s="70"/>
      <c r="G28" s="71"/>
      <c r="H28" s="72"/>
      <c r="I28" s="70"/>
      <c r="J28" s="71"/>
      <c r="K28" s="72"/>
      <c r="L28" s="70"/>
      <c r="M28" s="73"/>
      <c r="N28" s="111"/>
      <c r="O28" s="12"/>
      <c r="P28" s="13"/>
      <c r="Q28" s="14"/>
      <c r="R28" s="138"/>
      <c r="S28" s="131"/>
    </row>
    <row r="29" spans="1:19" ht="14" customHeight="1" x14ac:dyDescent="0.35">
      <c r="A29" s="55">
        <v>23</v>
      </c>
      <c r="B29" s="69"/>
      <c r="C29" s="70"/>
      <c r="D29" s="71"/>
      <c r="E29" s="72"/>
      <c r="F29" s="70"/>
      <c r="G29" s="71"/>
      <c r="H29" s="72"/>
      <c r="I29" s="70"/>
      <c r="J29" s="71"/>
      <c r="K29" s="72"/>
      <c r="L29" s="70"/>
      <c r="M29" s="73"/>
      <c r="N29" s="111"/>
      <c r="O29" s="12"/>
      <c r="P29" s="13"/>
      <c r="Q29" s="14"/>
      <c r="R29" s="138"/>
      <c r="S29" s="131"/>
    </row>
    <row r="30" spans="1:19" ht="14" customHeight="1" x14ac:dyDescent="0.35">
      <c r="A30" s="55">
        <v>24</v>
      </c>
      <c r="B30" s="69"/>
      <c r="C30" s="70"/>
      <c r="D30" s="71"/>
      <c r="E30" s="72"/>
      <c r="F30" s="70"/>
      <c r="G30" s="71"/>
      <c r="H30" s="72"/>
      <c r="I30" s="70"/>
      <c r="J30" s="71"/>
      <c r="K30" s="72"/>
      <c r="L30" s="70"/>
      <c r="M30" s="73"/>
      <c r="N30" s="111"/>
      <c r="O30" s="12"/>
      <c r="P30" s="13"/>
      <c r="Q30" s="14"/>
      <c r="R30" s="138"/>
      <c r="S30" s="131"/>
    </row>
    <row r="31" spans="1:19" ht="14" customHeight="1" x14ac:dyDescent="0.35">
      <c r="A31" s="55">
        <v>25</v>
      </c>
      <c r="B31" s="69"/>
      <c r="C31" s="70"/>
      <c r="D31" s="71"/>
      <c r="E31" s="72"/>
      <c r="F31" s="70"/>
      <c r="G31" s="71"/>
      <c r="H31" s="72"/>
      <c r="I31" s="70"/>
      <c r="J31" s="71"/>
      <c r="K31" s="72"/>
      <c r="L31" s="70"/>
      <c r="M31" s="73"/>
      <c r="N31" s="111"/>
      <c r="O31" s="12"/>
      <c r="P31" s="13"/>
      <c r="Q31" s="14"/>
      <c r="R31" s="138"/>
      <c r="S31" s="131"/>
    </row>
    <row r="32" spans="1:19" ht="14" customHeight="1" x14ac:dyDescent="0.35">
      <c r="A32" s="55">
        <v>26</v>
      </c>
      <c r="B32" s="69"/>
      <c r="C32" s="70"/>
      <c r="D32" s="71"/>
      <c r="E32" s="72"/>
      <c r="F32" s="70"/>
      <c r="G32" s="71"/>
      <c r="H32" s="72"/>
      <c r="I32" s="70"/>
      <c r="J32" s="71"/>
      <c r="K32" s="72"/>
      <c r="L32" s="70"/>
      <c r="M32" s="73"/>
      <c r="N32" s="111"/>
      <c r="O32" s="12"/>
      <c r="P32" s="13"/>
      <c r="Q32" s="14"/>
      <c r="R32" s="138"/>
      <c r="S32" s="131"/>
    </row>
    <row r="33" spans="1:19" ht="14" customHeight="1" x14ac:dyDescent="0.35">
      <c r="A33" s="55">
        <v>27</v>
      </c>
      <c r="B33" s="69"/>
      <c r="C33" s="70"/>
      <c r="D33" s="71"/>
      <c r="E33" s="72"/>
      <c r="F33" s="70"/>
      <c r="G33" s="71"/>
      <c r="H33" s="72"/>
      <c r="I33" s="70"/>
      <c r="J33" s="71"/>
      <c r="K33" s="72"/>
      <c r="L33" s="70"/>
      <c r="M33" s="73"/>
      <c r="N33" s="111"/>
      <c r="O33" s="12"/>
      <c r="P33" s="13"/>
      <c r="Q33" s="14"/>
      <c r="R33" s="138"/>
      <c r="S33" s="131"/>
    </row>
    <row r="34" spans="1:19" ht="14" customHeight="1" x14ac:dyDescent="0.35">
      <c r="A34" s="55">
        <v>28</v>
      </c>
      <c r="B34" s="69"/>
      <c r="C34" s="70"/>
      <c r="D34" s="71"/>
      <c r="E34" s="72"/>
      <c r="F34" s="70"/>
      <c r="G34" s="71"/>
      <c r="H34" s="72"/>
      <c r="I34" s="70"/>
      <c r="J34" s="71"/>
      <c r="K34" s="72"/>
      <c r="L34" s="70"/>
      <c r="M34" s="73"/>
      <c r="N34" s="111"/>
      <c r="O34" s="12"/>
      <c r="P34" s="13"/>
      <c r="Q34" s="14"/>
      <c r="R34" s="138"/>
      <c r="S34" s="131"/>
    </row>
    <row r="35" spans="1:19" ht="14" customHeight="1" x14ac:dyDescent="0.35">
      <c r="A35" s="55">
        <v>29</v>
      </c>
      <c r="B35" s="69"/>
      <c r="C35" s="70"/>
      <c r="D35" s="71"/>
      <c r="E35" s="72"/>
      <c r="F35" s="70"/>
      <c r="G35" s="71"/>
      <c r="H35" s="72"/>
      <c r="I35" s="70"/>
      <c r="J35" s="71"/>
      <c r="K35" s="72"/>
      <c r="L35" s="70"/>
      <c r="M35" s="73"/>
      <c r="N35" s="111"/>
      <c r="O35" s="12"/>
      <c r="P35" s="13"/>
      <c r="Q35" s="14"/>
      <c r="R35" s="138"/>
      <c r="S35" s="131"/>
    </row>
    <row r="36" spans="1:19" ht="14" customHeight="1" x14ac:dyDescent="0.35">
      <c r="A36" s="55">
        <v>30</v>
      </c>
      <c r="B36" s="69"/>
      <c r="C36" s="70"/>
      <c r="D36" s="71"/>
      <c r="E36" s="72"/>
      <c r="F36" s="70"/>
      <c r="G36" s="71"/>
      <c r="H36" s="72"/>
      <c r="I36" s="70"/>
      <c r="J36" s="71"/>
      <c r="K36" s="72"/>
      <c r="L36" s="70"/>
      <c r="M36" s="73"/>
      <c r="N36" s="111"/>
      <c r="O36" s="12"/>
      <c r="P36" s="13"/>
      <c r="Q36" s="14"/>
      <c r="R36" s="138"/>
      <c r="S36" s="131"/>
    </row>
    <row r="37" spans="1:19" ht="14" customHeight="1" thickBot="1" x14ac:dyDescent="0.4">
      <c r="A37" s="55"/>
      <c r="B37" s="69"/>
      <c r="C37" s="70"/>
      <c r="D37" s="71"/>
      <c r="E37" s="72"/>
      <c r="F37" s="70"/>
      <c r="G37" s="71"/>
      <c r="H37" s="72"/>
      <c r="I37" s="70"/>
      <c r="J37" s="71"/>
      <c r="K37" s="72"/>
      <c r="L37" s="70"/>
      <c r="M37" s="73"/>
      <c r="N37" s="111"/>
      <c r="O37" s="12"/>
      <c r="P37" s="13"/>
      <c r="Q37" s="14"/>
      <c r="R37" s="138"/>
      <c r="S37" s="131"/>
    </row>
    <row r="38" spans="1:19" ht="14.4" customHeight="1" x14ac:dyDescent="0.35">
      <c r="A38" s="11" t="s">
        <v>8</v>
      </c>
      <c r="B38" s="75"/>
      <c r="C38" s="75">
        <f>IFERROR(C6+D38,"")</f>
        <v>0</v>
      </c>
      <c r="D38" s="76">
        <f>IF($B$7="","",SUM(D7:D37))</f>
        <v>0</v>
      </c>
      <c r="E38" s="75"/>
      <c r="F38" s="75">
        <f>IFERROR(F6+G38,"")</f>
        <v>0</v>
      </c>
      <c r="G38" s="76">
        <f>IF($B$7="","",SUM(G7:G37))</f>
        <v>0</v>
      </c>
      <c r="H38" s="75"/>
      <c r="I38" s="75">
        <f>IFERROR(I6+J38,"")</f>
        <v>0</v>
      </c>
      <c r="J38" s="76">
        <f>IF($B$7="","",SUM(J7:J37))</f>
        <v>0</v>
      </c>
      <c r="K38" s="75"/>
      <c r="L38" s="75">
        <f>IFERROR(L6+M38,"")</f>
        <v>0</v>
      </c>
      <c r="M38" s="76">
        <f>IF($B$7="","",SUM(M7:M37))</f>
        <v>0</v>
      </c>
      <c r="N38" s="76">
        <f>SUM(N7:N37)</f>
        <v>0</v>
      </c>
      <c r="O38" s="76">
        <f>IF($B$7="","",SUM(O7:O37))</f>
        <v>0</v>
      </c>
      <c r="P38" s="77">
        <f>IF(B7="","",SUM(P7:P37))</f>
        <v>0</v>
      </c>
      <c r="Q38" s="77" t="str">
        <f>IF(B8="","",SUM(Q7:Q37))</f>
        <v/>
      </c>
      <c r="R38" s="48">
        <f>SUM(R7:R37)</f>
        <v>0</v>
      </c>
      <c r="S38" s="88"/>
    </row>
    <row r="39" spans="1:19" ht="14.4" customHeight="1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71" t="s">
        <v>47</v>
      </c>
      <c r="O39" s="78">
        <f>IFERROR(O38*1000/0.505,"")</f>
        <v>0</v>
      </c>
      <c r="P39" s="68" t="s">
        <v>47</v>
      </c>
      <c r="Q39" s="78" t="str">
        <f>IFERROR(Q38*1000/0.505,"")</f>
        <v/>
      </c>
      <c r="R39" s="10"/>
      <c r="S39" s="89"/>
    </row>
    <row r="40" spans="1:19" ht="14.4" customHeight="1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0</v>
      </c>
      <c r="I40" s="17" t="s">
        <v>3</v>
      </c>
      <c r="J40" s="17"/>
      <c r="K40" s="17"/>
      <c r="L40" s="10"/>
      <c r="M40" s="6"/>
      <c r="N40" s="172" t="s">
        <v>60</v>
      </c>
      <c r="O40" s="173">
        <f>IFERROR(O38*1000,"")</f>
        <v>0</v>
      </c>
      <c r="P40" s="10"/>
      <c r="Q40" s="67"/>
      <c r="R40" s="43"/>
      <c r="S40" s="89"/>
    </row>
    <row r="41" spans="1:19" ht="15" customHeight="1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0</v>
      </c>
      <c r="I41" s="7" t="s">
        <v>19</v>
      </c>
      <c r="J41" s="7">
        <f>IFERROR(H41*1000/0.505,"")</f>
        <v>0</v>
      </c>
      <c r="K41" s="7" t="s">
        <v>47</v>
      </c>
      <c r="L41" s="2"/>
      <c r="M41" s="7"/>
      <c r="N41" s="16"/>
      <c r="O41" s="7"/>
      <c r="P41" s="7"/>
      <c r="Q41" s="150" t="s">
        <v>57</v>
      </c>
      <c r="R41" s="42">
        <f>IF(H40="",0,COUNT(R7:R37)*24-R38)</f>
        <v>24</v>
      </c>
      <c r="S41" s="148" t="s">
        <v>58</v>
      </c>
    </row>
  </sheetData>
  <mergeCells count="10">
    <mergeCell ref="A1:Q1"/>
    <mergeCell ref="A2:Q2"/>
    <mergeCell ref="B40:G40"/>
    <mergeCell ref="B4:D4"/>
    <mergeCell ref="E4:G4"/>
    <mergeCell ref="B3:G3"/>
    <mergeCell ref="H4:J4"/>
    <mergeCell ref="K4:M4"/>
    <mergeCell ref="P4:Q4"/>
    <mergeCell ref="N4:O4"/>
  </mergeCells>
  <phoneticPr fontId="0" type="noConversion"/>
  <conditionalFormatting sqref="R8:R37">
    <cfRule type="cellIs" dxfId="11" priority="6" operator="equal">
      <formula>""</formula>
    </cfRule>
  </conditionalFormatting>
  <conditionalFormatting sqref="R8:R37">
    <cfRule type="cellIs" dxfId="10" priority="7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">
    <cfRule type="cellIs" dxfId="9" priority="4" operator="lessThan">
      <formula>23.98</formula>
    </cfRule>
  </conditionalFormatting>
  <conditionalFormatting sqref="R7">
    <cfRule type="cellIs" dxfId="8" priority="3" operator="equal">
      <formula>""</formula>
    </cfRule>
  </conditionalFormatting>
  <conditionalFormatting sqref="R7">
    <cfRule type="cellIs" dxfId="7" priority="2" operator="equal">
      <formula>""</formula>
    </cfRule>
  </conditionalFormatting>
  <conditionalFormatting sqref="R7">
    <cfRule type="cellIs" dxfId="6" priority="1" operator="lessThan">
      <formula>23.98</formula>
    </cfRule>
  </conditionalFormatting>
  <pageMargins left="0.51181102362204722" right="0.51181102362204722" top="0.55118110236220474" bottom="0.55118110236220474" header="0.31496062992125984" footer="0.31496062992125984"/>
  <pageSetup scale="66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S41"/>
  <sheetViews>
    <sheetView showGridLines="0" zoomScale="80" zoomScaleNormal="80" workbookViewId="0">
      <pane xSplit="1" ySplit="5" topLeftCell="B6" activePane="bottomRight" state="frozen"/>
      <selection activeCell="M17" sqref="M17"/>
      <selection pane="topRight" activeCell="M17" sqref="M17"/>
      <selection pane="bottomLeft" activeCell="M17" sqref="M17"/>
      <selection pane="bottomRight" activeCell="S8" sqref="S8"/>
    </sheetView>
  </sheetViews>
  <sheetFormatPr defaultColWidth="8.90625" defaultRowHeight="14.5" x14ac:dyDescent="0.35"/>
  <cols>
    <col min="1" max="9" width="9.6328125" style="1" customWidth="1"/>
    <col min="10" max="10" width="12" style="1" customWidth="1"/>
    <col min="11" max="14" width="9.6328125" style="1" customWidth="1"/>
    <col min="15" max="15" width="14.36328125" style="1" customWidth="1"/>
    <col min="16" max="16" width="9.6328125" style="1" customWidth="1"/>
    <col min="17" max="17" width="14.36328125" style="1" customWidth="1"/>
    <col min="18" max="18" width="7.6328125" style="1" bestFit="1" customWidth="1"/>
    <col min="19" max="19" width="10.6328125" style="82" customWidth="1"/>
    <col min="20" max="16384" width="8.90625" style="1"/>
  </cols>
  <sheetData>
    <row r="1" spans="1:19" s="10" customFormat="1" x14ac:dyDescent="0.35">
      <c r="A1" s="191" t="s">
        <v>45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32"/>
      <c r="S1" s="83"/>
    </row>
    <row r="2" spans="1:19" s="10" customFormat="1" x14ac:dyDescent="0.35">
      <c r="A2" s="202">
        <f>SUMMARY!B2</f>
        <v>2021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134"/>
      <c r="S2" s="83"/>
    </row>
    <row r="3" spans="1:19" s="10" customFormat="1" ht="15" thickBot="1" x14ac:dyDescent="0.4">
      <c r="A3" s="113">
        <f>[1]SUMMARY!$K$15</f>
        <v>1.3478732144813872</v>
      </c>
      <c r="B3" s="203" t="s">
        <v>13</v>
      </c>
      <c r="C3" s="203"/>
      <c r="D3" s="203"/>
      <c r="E3" s="203"/>
      <c r="F3" s="203"/>
      <c r="G3" s="203"/>
      <c r="H3" s="87">
        <f>JAN!$H$3</f>
        <v>0.38</v>
      </c>
      <c r="I3" s="8" t="s">
        <v>12</v>
      </c>
      <c r="J3" s="8"/>
      <c r="K3" s="8"/>
      <c r="L3" s="8"/>
      <c r="M3" s="85"/>
      <c r="N3" s="86"/>
      <c r="S3" s="83"/>
    </row>
    <row r="4" spans="1:19" x14ac:dyDescent="0.35">
      <c r="A4" s="47"/>
      <c r="B4" s="194" t="s">
        <v>4</v>
      </c>
      <c r="C4" s="195"/>
      <c r="D4" s="196"/>
      <c r="E4" s="197" t="s">
        <v>5</v>
      </c>
      <c r="F4" s="195"/>
      <c r="G4" s="196"/>
      <c r="H4" s="197" t="s">
        <v>6</v>
      </c>
      <c r="I4" s="195"/>
      <c r="J4" s="196"/>
      <c r="K4" s="197" t="s">
        <v>7</v>
      </c>
      <c r="L4" s="195"/>
      <c r="M4" s="199"/>
      <c r="N4" s="194" t="s">
        <v>46</v>
      </c>
      <c r="O4" s="196"/>
      <c r="P4" s="200" t="s">
        <v>2</v>
      </c>
      <c r="Q4" s="201"/>
      <c r="R4" s="135" t="s">
        <v>14</v>
      </c>
      <c r="S4" s="130" t="s">
        <v>50</v>
      </c>
    </row>
    <row r="5" spans="1:19" x14ac:dyDescent="0.35">
      <c r="A5" s="21" t="s">
        <v>0</v>
      </c>
      <c r="B5" s="144" t="s">
        <v>33</v>
      </c>
      <c r="C5" s="145" t="s">
        <v>3</v>
      </c>
      <c r="D5" s="146" t="s">
        <v>11</v>
      </c>
      <c r="E5" s="145" t="s">
        <v>33</v>
      </c>
      <c r="F5" s="145" t="s">
        <v>3</v>
      </c>
      <c r="G5" s="146" t="s">
        <v>11</v>
      </c>
      <c r="H5" s="145" t="s">
        <v>33</v>
      </c>
      <c r="I5" s="145" t="s">
        <v>3</v>
      </c>
      <c r="J5" s="146" t="s">
        <v>11</v>
      </c>
      <c r="K5" s="145" t="s">
        <v>33</v>
      </c>
      <c r="L5" s="145" t="s">
        <v>3</v>
      </c>
      <c r="M5" s="147" t="s">
        <v>11</v>
      </c>
      <c r="N5" s="22" t="s">
        <v>3</v>
      </c>
      <c r="O5" s="23" t="s">
        <v>19</v>
      </c>
      <c r="P5" s="22" t="s">
        <v>9</v>
      </c>
      <c r="Q5" s="24" t="s">
        <v>19</v>
      </c>
      <c r="R5" s="136" t="s">
        <v>15</v>
      </c>
      <c r="S5" s="91" t="s">
        <v>3</v>
      </c>
    </row>
    <row r="6" spans="1:19" ht="14" customHeight="1" x14ac:dyDescent="0.35">
      <c r="A6" s="3" t="s">
        <v>1</v>
      </c>
      <c r="B6" s="94"/>
      <c r="C6" s="70">
        <f>+NOV!C38</f>
        <v>0</v>
      </c>
      <c r="D6" s="71"/>
      <c r="E6" s="95"/>
      <c r="F6" s="70">
        <f>+NOV!F38</f>
        <v>0</v>
      </c>
      <c r="G6" s="71"/>
      <c r="H6" s="95"/>
      <c r="I6" s="70">
        <f>+NOV!I38</f>
        <v>0</v>
      </c>
      <c r="J6" s="71"/>
      <c r="K6" s="95"/>
      <c r="L6" s="70">
        <f>+NOV!L38</f>
        <v>0</v>
      </c>
      <c r="M6" s="73"/>
      <c r="N6" s="105"/>
      <c r="O6" s="101"/>
      <c r="P6" s="102"/>
      <c r="Q6" s="103"/>
      <c r="R6" s="139"/>
      <c r="S6" s="92"/>
    </row>
    <row r="7" spans="1:19" ht="14" customHeight="1" x14ac:dyDescent="0.35">
      <c r="A7" s="15">
        <v>1</v>
      </c>
      <c r="B7" s="107">
        <f>LOOKUP(A7+1200,'[2]DCS Data'!$A:$A,'[2]DCS Data'!$E:$E)</f>
        <v>0</v>
      </c>
      <c r="C7" s="70">
        <f t="shared" ref="C7" si="0">IF(B7="","",$A$3*PI()/4*(157.5*2.54)^2*B7*2.54/1000000)</f>
        <v>0</v>
      </c>
      <c r="D7" s="71">
        <f>IF(C7="","",C7-C6)</f>
        <v>0</v>
      </c>
      <c r="E7" s="106">
        <f>LOOKUP(A7+1200,'[2]DCS Data'!$A:$A,'[2]DCS Data'!$F:$F)</f>
        <v>0</v>
      </c>
      <c r="F7" s="70">
        <f t="shared" ref="F7" si="1">IF(E7="","",$A$3*PI()/4*(157.5*2.54)^2*E7*2.54/1000000)</f>
        <v>0</v>
      </c>
      <c r="G7" s="71">
        <f>IF(F7="","",F7-F6)</f>
        <v>0</v>
      </c>
      <c r="H7" s="106">
        <f>LOOKUP(A7+1200,'[2]DCS Data'!$A:$A,'[2]DCS Data'!$G:$G)</f>
        <v>0</v>
      </c>
      <c r="I7" s="70">
        <f t="shared" ref="I7" si="2">IF(H7="","",$A$3*PI()/4*(186*2.54)^2*H7*2.54/1000000)</f>
        <v>0</v>
      </c>
      <c r="J7" s="71">
        <f>IF(I7="","",I7-I6)</f>
        <v>0</v>
      </c>
      <c r="K7" s="106">
        <f>LOOKUP(A7+1200,'[2]DCS Data'!$A:$A,'[2]DCS Data'!$H:$H)</f>
        <v>0</v>
      </c>
      <c r="L7" s="70">
        <f t="shared" ref="L7" si="3">IF(K7="","",$A$3*PI()/4*(186*2.54)^2*K7*2.54/1000000)</f>
        <v>0</v>
      </c>
      <c r="M7" s="73">
        <f>IF(L7="","",L7-L6)</f>
        <v>0</v>
      </c>
      <c r="N7" s="111">
        <f>IF(K7="", "", LOOKUP(A7+1200,[3]SBS!$A:$A,[3]SBS!$C:$C))</f>
        <v>0</v>
      </c>
      <c r="O7" s="12">
        <f>IF(N7="","",N7*$H$3)</f>
        <v>0</v>
      </c>
      <c r="P7" s="13">
        <f>IFERROR(D7+G7+J7+M7+N7,0)</f>
        <v>0</v>
      </c>
      <c r="Q7" s="14">
        <f>IF(P7="","",P7*$H$3)</f>
        <v>0</v>
      </c>
      <c r="R7" s="155">
        <f>LOOKUP(A7+1200,'[2]DCS Data'!$A:$A,'[2]DCS Data'!$K:$K)</f>
        <v>0</v>
      </c>
      <c r="S7" s="156">
        <f>IFERROR(LOOKUP(A7+1200,'[2]DCS Data'!$A:$A,'[2]DCS Data'!$J:$J)*3785.4*0.993*$A$3/1000000,0)</f>
        <v>0</v>
      </c>
    </row>
    <row r="8" spans="1:19" ht="14" customHeight="1" x14ac:dyDescent="0.35">
      <c r="A8" s="55">
        <v>2</v>
      </c>
      <c r="B8" s="69"/>
      <c r="C8" s="70"/>
      <c r="D8" s="71"/>
      <c r="E8" s="72"/>
      <c r="F8" s="70"/>
      <c r="G8" s="71"/>
      <c r="H8" s="72"/>
      <c r="I8" s="70"/>
      <c r="J8" s="71"/>
      <c r="K8" s="72"/>
      <c r="L8" s="70"/>
      <c r="M8" s="73"/>
      <c r="N8" s="111"/>
      <c r="O8" s="12"/>
      <c r="P8" s="13"/>
      <c r="Q8" s="14"/>
      <c r="R8" s="138"/>
      <c r="S8" s="92"/>
    </row>
    <row r="9" spans="1:19" ht="14" customHeight="1" x14ac:dyDescent="0.35">
      <c r="A9" s="55">
        <v>3</v>
      </c>
      <c r="B9" s="69"/>
      <c r="C9" s="70"/>
      <c r="D9" s="71"/>
      <c r="E9" s="72"/>
      <c r="F9" s="70"/>
      <c r="G9" s="71"/>
      <c r="H9" s="72"/>
      <c r="I9" s="70"/>
      <c r="J9" s="71"/>
      <c r="K9" s="72"/>
      <c r="L9" s="70"/>
      <c r="M9" s="73"/>
      <c r="N9" s="111"/>
      <c r="O9" s="12"/>
      <c r="P9" s="13"/>
      <c r="Q9" s="14"/>
      <c r="R9" s="138"/>
      <c r="S9" s="92"/>
    </row>
    <row r="10" spans="1:19" ht="14" customHeight="1" x14ac:dyDescent="0.35">
      <c r="A10" s="55">
        <v>4</v>
      </c>
      <c r="B10" s="69"/>
      <c r="C10" s="70"/>
      <c r="D10" s="71"/>
      <c r="E10" s="72"/>
      <c r="F10" s="70"/>
      <c r="G10" s="71"/>
      <c r="H10" s="72"/>
      <c r="I10" s="70"/>
      <c r="J10" s="71"/>
      <c r="K10" s="72"/>
      <c r="L10" s="70"/>
      <c r="M10" s="73"/>
      <c r="N10" s="111"/>
      <c r="O10" s="12"/>
      <c r="P10" s="13"/>
      <c r="Q10" s="14"/>
      <c r="R10" s="138"/>
      <c r="S10" s="92"/>
    </row>
    <row r="11" spans="1:19" ht="14" customHeight="1" x14ac:dyDescent="0.35">
      <c r="A11" s="55">
        <v>5</v>
      </c>
      <c r="B11" s="69"/>
      <c r="C11" s="70"/>
      <c r="D11" s="71"/>
      <c r="E11" s="72"/>
      <c r="F11" s="70"/>
      <c r="G11" s="71"/>
      <c r="H11" s="72"/>
      <c r="I11" s="70"/>
      <c r="J11" s="71"/>
      <c r="K11" s="72"/>
      <c r="L11" s="70"/>
      <c r="M11" s="73"/>
      <c r="N11" s="111"/>
      <c r="O11" s="12"/>
      <c r="P11" s="13"/>
      <c r="Q11" s="14"/>
      <c r="R11" s="138"/>
      <c r="S11" s="92"/>
    </row>
    <row r="12" spans="1:19" ht="14" customHeight="1" x14ac:dyDescent="0.35">
      <c r="A12" s="55">
        <v>6</v>
      </c>
      <c r="B12" s="69"/>
      <c r="C12" s="70"/>
      <c r="D12" s="71"/>
      <c r="E12" s="72"/>
      <c r="F12" s="70"/>
      <c r="G12" s="71"/>
      <c r="H12" s="72"/>
      <c r="I12" s="70"/>
      <c r="J12" s="71"/>
      <c r="K12" s="72"/>
      <c r="L12" s="70"/>
      <c r="M12" s="73"/>
      <c r="N12" s="111"/>
      <c r="O12" s="12"/>
      <c r="P12" s="13"/>
      <c r="Q12" s="14"/>
      <c r="R12" s="138"/>
      <c r="S12" s="92"/>
    </row>
    <row r="13" spans="1:19" ht="14" customHeight="1" x14ac:dyDescent="0.35">
      <c r="A13" s="55">
        <v>7</v>
      </c>
      <c r="B13" s="69"/>
      <c r="C13" s="70"/>
      <c r="D13" s="71"/>
      <c r="E13" s="72"/>
      <c r="F13" s="70"/>
      <c r="G13" s="71"/>
      <c r="H13" s="72"/>
      <c r="I13" s="70"/>
      <c r="J13" s="71"/>
      <c r="K13" s="72"/>
      <c r="L13" s="70"/>
      <c r="M13" s="73"/>
      <c r="N13" s="111"/>
      <c r="O13" s="12"/>
      <c r="P13" s="13"/>
      <c r="Q13" s="14"/>
      <c r="R13" s="138"/>
      <c r="S13" s="92"/>
    </row>
    <row r="14" spans="1:19" ht="14" customHeight="1" x14ac:dyDescent="0.35">
      <c r="A14" s="55">
        <v>8</v>
      </c>
      <c r="B14" s="69"/>
      <c r="C14" s="70"/>
      <c r="D14" s="71"/>
      <c r="E14" s="72"/>
      <c r="F14" s="70"/>
      <c r="G14" s="71"/>
      <c r="H14" s="72"/>
      <c r="I14" s="70"/>
      <c r="J14" s="71"/>
      <c r="K14" s="72"/>
      <c r="L14" s="70"/>
      <c r="M14" s="73"/>
      <c r="N14" s="111"/>
      <c r="O14" s="12"/>
      <c r="P14" s="13"/>
      <c r="Q14" s="14"/>
      <c r="R14" s="138"/>
      <c r="S14" s="92"/>
    </row>
    <row r="15" spans="1:19" ht="14" customHeight="1" x14ac:dyDescent="0.35">
      <c r="A15" s="55">
        <v>9</v>
      </c>
      <c r="B15" s="69"/>
      <c r="C15" s="70"/>
      <c r="D15" s="71"/>
      <c r="E15" s="72"/>
      <c r="F15" s="70"/>
      <c r="G15" s="71"/>
      <c r="H15" s="72"/>
      <c r="I15" s="70"/>
      <c r="J15" s="71"/>
      <c r="K15" s="72"/>
      <c r="L15" s="70"/>
      <c r="M15" s="73"/>
      <c r="N15" s="111"/>
      <c r="O15" s="12"/>
      <c r="P15" s="13"/>
      <c r="Q15" s="14"/>
      <c r="R15" s="138"/>
      <c r="S15" s="92"/>
    </row>
    <row r="16" spans="1:19" ht="14" customHeight="1" x14ac:dyDescent="0.35">
      <c r="A16" s="55">
        <v>10</v>
      </c>
      <c r="B16" s="69"/>
      <c r="C16" s="70"/>
      <c r="D16" s="71"/>
      <c r="E16" s="72"/>
      <c r="F16" s="70"/>
      <c r="G16" s="71"/>
      <c r="H16" s="72"/>
      <c r="I16" s="70"/>
      <c r="J16" s="71"/>
      <c r="K16" s="72"/>
      <c r="L16" s="70"/>
      <c r="M16" s="73"/>
      <c r="N16" s="111"/>
      <c r="O16" s="12"/>
      <c r="P16" s="13"/>
      <c r="Q16" s="14"/>
      <c r="R16" s="138"/>
      <c r="S16" s="92"/>
    </row>
    <row r="17" spans="1:19" ht="14" customHeight="1" x14ac:dyDescent="0.35">
      <c r="A17" s="55">
        <v>11</v>
      </c>
      <c r="B17" s="69"/>
      <c r="C17" s="70"/>
      <c r="D17" s="71"/>
      <c r="E17" s="72"/>
      <c r="F17" s="70"/>
      <c r="G17" s="71"/>
      <c r="H17" s="72"/>
      <c r="I17" s="70"/>
      <c r="J17" s="71"/>
      <c r="K17" s="72"/>
      <c r="L17" s="70"/>
      <c r="M17" s="73"/>
      <c r="N17" s="111"/>
      <c r="O17" s="12"/>
      <c r="P17" s="13"/>
      <c r="Q17" s="14"/>
      <c r="R17" s="138"/>
      <c r="S17" s="92"/>
    </row>
    <row r="18" spans="1:19" ht="14" customHeight="1" x14ac:dyDescent="0.35">
      <c r="A18" s="55">
        <v>12</v>
      </c>
      <c r="B18" s="69"/>
      <c r="C18" s="70"/>
      <c r="D18" s="71"/>
      <c r="E18" s="72"/>
      <c r="F18" s="70"/>
      <c r="G18" s="71"/>
      <c r="H18" s="72"/>
      <c r="I18" s="70"/>
      <c r="J18" s="71"/>
      <c r="K18" s="72"/>
      <c r="L18" s="70"/>
      <c r="M18" s="73"/>
      <c r="N18" s="111"/>
      <c r="O18" s="12"/>
      <c r="P18" s="13"/>
      <c r="Q18" s="14"/>
      <c r="R18" s="138"/>
      <c r="S18" s="92"/>
    </row>
    <row r="19" spans="1:19" ht="14" customHeight="1" x14ac:dyDescent="0.35">
      <c r="A19" s="55">
        <v>13</v>
      </c>
      <c r="B19" s="69"/>
      <c r="C19" s="70"/>
      <c r="D19" s="71"/>
      <c r="E19" s="72"/>
      <c r="F19" s="70"/>
      <c r="G19" s="71"/>
      <c r="H19" s="72"/>
      <c r="I19" s="70"/>
      <c r="J19" s="71"/>
      <c r="K19" s="72"/>
      <c r="L19" s="70"/>
      <c r="M19" s="73"/>
      <c r="N19" s="111"/>
      <c r="O19" s="12"/>
      <c r="P19" s="13"/>
      <c r="Q19" s="14"/>
      <c r="R19" s="138"/>
      <c r="S19" s="92"/>
    </row>
    <row r="20" spans="1:19" ht="14" customHeight="1" x14ac:dyDescent="0.35">
      <c r="A20" s="55">
        <v>14</v>
      </c>
      <c r="B20" s="69"/>
      <c r="C20" s="70"/>
      <c r="D20" s="71"/>
      <c r="E20" s="72"/>
      <c r="F20" s="70"/>
      <c r="G20" s="71"/>
      <c r="H20" s="72"/>
      <c r="I20" s="70"/>
      <c r="J20" s="71"/>
      <c r="K20" s="72"/>
      <c r="L20" s="70"/>
      <c r="M20" s="73"/>
      <c r="N20" s="111"/>
      <c r="O20" s="12"/>
      <c r="P20" s="13"/>
      <c r="Q20" s="14"/>
      <c r="R20" s="138"/>
      <c r="S20" s="92"/>
    </row>
    <row r="21" spans="1:19" ht="14" customHeight="1" x14ac:dyDescent="0.35">
      <c r="A21" s="55">
        <v>15</v>
      </c>
      <c r="B21" s="69"/>
      <c r="C21" s="70"/>
      <c r="D21" s="71"/>
      <c r="E21" s="72"/>
      <c r="F21" s="70"/>
      <c r="G21" s="71"/>
      <c r="H21" s="72"/>
      <c r="I21" s="70"/>
      <c r="J21" s="71"/>
      <c r="K21" s="72"/>
      <c r="L21" s="70"/>
      <c r="M21" s="73"/>
      <c r="N21" s="111"/>
      <c r="O21" s="12"/>
      <c r="P21" s="13"/>
      <c r="Q21" s="14"/>
      <c r="R21" s="138"/>
      <c r="S21" s="92"/>
    </row>
    <row r="22" spans="1:19" ht="14" customHeight="1" x14ac:dyDescent="0.35">
      <c r="A22" s="55">
        <v>16</v>
      </c>
      <c r="B22" s="69"/>
      <c r="C22" s="70"/>
      <c r="D22" s="71"/>
      <c r="E22" s="72"/>
      <c r="F22" s="70"/>
      <c r="G22" s="71"/>
      <c r="H22" s="72"/>
      <c r="I22" s="70"/>
      <c r="J22" s="71"/>
      <c r="K22" s="72"/>
      <c r="L22" s="70"/>
      <c r="M22" s="73"/>
      <c r="N22" s="111"/>
      <c r="O22" s="12"/>
      <c r="P22" s="13"/>
      <c r="Q22" s="14"/>
      <c r="R22" s="138"/>
      <c r="S22" s="92"/>
    </row>
    <row r="23" spans="1:19" ht="14" customHeight="1" x14ac:dyDescent="0.35">
      <c r="A23" s="55">
        <v>17</v>
      </c>
      <c r="B23" s="69"/>
      <c r="C23" s="70"/>
      <c r="D23" s="71"/>
      <c r="E23" s="72"/>
      <c r="F23" s="70"/>
      <c r="G23" s="71"/>
      <c r="H23" s="72"/>
      <c r="I23" s="70"/>
      <c r="J23" s="71"/>
      <c r="K23" s="72"/>
      <c r="L23" s="70"/>
      <c r="M23" s="73"/>
      <c r="N23" s="111"/>
      <c r="O23" s="12"/>
      <c r="P23" s="13"/>
      <c r="Q23" s="14"/>
      <c r="R23" s="138"/>
      <c r="S23" s="92"/>
    </row>
    <row r="24" spans="1:19" ht="14" customHeight="1" x14ac:dyDescent="0.35">
      <c r="A24" s="55">
        <v>18</v>
      </c>
      <c r="B24" s="69"/>
      <c r="C24" s="70"/>
      <c r="D24" s="71"/>
      <c r="E24" s="72"/>
      <c r="F24" s="70"/>
      <c r="G24" s="71"/>
      <c r="H24" s="72"/>
      <c r="I24" s="70"/>
      <c r="J24" s="71"/>
      <c r="K24" s="72"/>
      <c r="L24" s="70"/>
      <c r="M24" s="73"/>
      <c r="N24" s="111"/>
      <c r="O24" s="12"/>
      <c r="P24" s="13"/>
      <c r="Q24" s="14"/>
      <c r="R24" s="138"/>
      <c r="S24" s="92"/>
    </row>
    <row r="25" spans="1:19" ht="14" customHeight="1" x14ac:dyDescent="0.35">
      <c r="A25" s="55">
        <v>19</v>
      </c>
      <c r="B25" s="69"/>
      <c r="C25" s="70"/>
      <c r="D25" s="71"/>
      <c r="E25" s="72"/>
      <c r="F25" s="70"/>
      <c r="G25" s="71"/>
      <c r="H25" s="72"/>
      <c r="I25" s="70"/>
      <c r="J25" s="71"/>
      <c r="K25" s="72"/>
      <c r="L25" s="70"/>
      <c r="M25" s="73"/>
      <c r="N25" s="111"/>
      <c r="O25" s="12"/>
      <c r="P25" s="13"/>
      <c r="Q25" s="14"/>
      <c r="R25" s="138"/>
      <c r="S25" s="92"/>
    </row>
    <row r="26" spans="1:19" ht="14" customHeight="1" x14ac:dyDescent="0.35">
      <c r="A26" s="55">
        <v>20</v>
      </c>
      <c r="B26" s="69"/>
      <c r="C26" s="70"/>
      <c r="D26" s="71"/>
      <c r="E26" s="72"/>
      <c r="F26" s="70"/>
      <c r="G26" s="71"/>
      <c r="H26" s="72"/>
      <c r="I26" s="70"/>
      <c r="J26" s="71"/>
      <c r="K26" s="72"/>
      <c r="L26" s="70"/>
      <c r="M26" s="73"/>
      <c r="N26" s="111"/>
      <c r="O26" s="12"/>
      <c r="P26" s="13"/>
      <c r="Q26" s="14"/>
      <c r="R26" s="138"/>
      <c r="S26" s="92"/>
    </row>
    <row r="27" spans="1:19" ht="14" customHeight="1" x14ac:dyDescent="0.35">
      <c r="A27" s="55">
        <v>21</v>
      </c>
      <c r="B27" s="69"/>
      <c r="C27" s="70"/>
      <c r="D27" s="71"/>
      <c r="E27" s="72"/>
      <c r="F27" s="70"/>
      <c r="G27" s="71"/>
      <c r="H27" s="72"/>
      <c r="I27" s="70"/>
      <c r="J27" s="71"/>
      <c r="K27" s="72"/>
      <c r="L27" s="70"/>
      <c r="M27" s="73"/>
      <c r="N27" s="111"/>
      <c r="O27" s="12"/>
      <c r="P27" s="13"/>
      <c r="Q27" s="14"/>
      <c r="R27" s="138"/>
      <c r="S27" s="92"/>
    </row>
    <row r="28" spans="1:19" ht="14" customHeight="1" x14ac:dyDescent="0.35">
      <c r="A28" s="55">
        <v>22</v>
      </c>
      <c r="B28" s="69"/>
      <c r="C28" s="70"/>
      <c r="D28" s="71"/>
      <c r="E28" s="72"/>
      <c r="F28" s="70"/>
      <c r="G28" s="71"/>
      <c r="H28" s="72"/>
      <c r="I28" s="70"/>
      <c r="J28" s="71"/>
      <c r="K28" s="72"/>
      <c r="L28" s="70"/>
      <c r="M28" s="73"/>
      <c r="N28" s="111"/>
      <c r="O28" s="12"/>
      <c r="P28" s="13"/>
      <c r="Q28" s="14"/>
      <c r="R28" s="138"/>
      <c r="S28" s="92"/>
    </row>
    <row r="29" spans="1:19" ht="14" customHeight="1" x14ac:dyDescent="0.35">
      <c r="A29" s="55">
        <v>23</v>
      </c>
      <c r="B29" s="69"/>
      <c r="C29" s="70"/>
      <c r="D29" s="71"/>
      <c r="E29" s="72"/>
      <c r="F29" s="70"/>
      <c r="G29" s="71"/>
      <c r="H29" s="72"/>
      <c r="I29" s="70"/>
      <c r="J29" s="71"/>
      <c r="K29" s="72"/>
      <c r="L29" s="70"/>
      <c r="M29" s="73"/>
      <c r="N29" s="111"/>
      <c r="O29" s="12"/>
      <c r="P29" s="13"/>
      <c r="Q29" s="14"/>
      <c r="R29" s="138"/>
      <c r="S29" s="92"/>
    </row>
    <row r="30" spans="1:19" ht="14" customHeight="1" x14ac:dyDescent="0.35">
      <c r="A30" s="55">
        <v>24</v>
      </c>
      <c r="B30" s="69"/>
      <c r="C30" s="70"/>
      <c r="D30" s="71"/>
      <c r="E30" s="72"/>
      <c r="F30" s="70"/>
      <c r="G30" s="71"/>
      <c r="H30" s="72"/>
      <c r="I30" s="70"/>
      <c r="J30" s="71"/>
      <c r="K30" s="72"/>
      <c r="L30" s="70"/>
      <c r="M30" s="73"/>
      <c r="N30" s="111"/>
      <c r="O30" s="12"/>
      <c r="P30" s="13"/>
      <c r="Q30" s="14"/>
      <c r="R30" s="138"/>
      <c r="S30" s="92"/>
    </row>
    <row r="31" spans="1:19" ht="14" customHeight="1" x14ac:dyDescent="0.35">
      <c r="A31" s="55">
        <v>25</v>
      </c>
      <c r="B31" s="69"/>
      <c r="C31" s="70"/>
      <c r="D31" s="71"/>
      <c r="E31" s="72"/>
      <c r="F31" s="70"/>
      <c r="G31" s="71"/>
      <c r="H31" s="72"/>
      <c r="I31" s="70"/>
      <c r="J31" s="71"/>
      <c r="K31" s="72"/>
      <c r="L31" s="70"/>
      <c r="M31" s="73"/>
      <c r="N31" s="111"/>
      <c r="O31" s="12"/>
      <c r="P31" s="13"/>
      <c r="Q31" s="14"/>
      <c r="R31" s="138"/>
      <c r="S31" s="92"/>
    </row>
    <row r="32" spans="1:19" ht="14" customHeight="1" x14ac:dyDescent="0.35">
      <c r="A32" s="55">
        <v>26</v>
      </c>
      <c r="B32" s="69"/>
      <c r="C32" s="70"/>
      <c r="D32" s="71"/>
      <c r="E32" s="72"/>
      <c r="F32" s="70"/>
      <c r="G32" s="71"/>
      <c r="H32" s="72"/>
      <c r="I32" s="70"/>
      <c r="J32" s="71"/>
      <c r="K32" s="72"/>
      <c r="L32" s="70"/>
      <c r="M32" s="73"/>
      <c r="N32" s="111"/>
      <c r="O32" s="12"/>
      <c r="P32" s="13"/>
      <c r="Q32" s="14"/>
      <c r="R32" s="138"/>
      <c r="S32" s="92"/>
    </row>
    <row r="33" spans="1:19" ht="14" customHeight="1" x14ac:dyDescent="0.35">
      <c r="A33" s="55">
        <v>27</v>
      </c>
      <c r="B33" s="69"/>
      <c r="C33" s="70"/>
      <c r="D33" s="71"/>
      <c r="E33" s="72"/>
      <c r="F33" s="70"/>
      <c r="G33" s="71"/>
      <c r="H33" s="72"/>
      <c r="I33" s="70"/>
      <c r="J33" s="71"/>
      <c r="K33" s="72"/>
      <c r="L33" s="70"/>
      <c r="M33" s="73"/>
      <c r="N33" s="111"/>
      <c r="O33" s="12"/>
      <c r="P33" s="13"/>
      <c r="Q33" s="14"/>
      <c r="R33" s="138"/>
      <c r="S33" s="92"/>
    </row>
    <row r="34" spans="1:19" ht="14" customHeight="1" x14ac:dyDescent="0.35">
      <c r="A34" s="55">
        <v>28</v>
      </c>
      <c r="B34" s="69"/>
      <c r="C34" s="70"/>
      <c r="D34" s="71"/>
      <c r="E34" s="72"/>
      <c r="F34" s="70"/>
      <c r="G34" s="71"/>
      <c r="H34" s="72"/>
      <c r="I34" s="70"/>
      <c r="J34" s="71"/>
      <c r="K34" s="72"/>
      <c r="L34" s="70"/>
      <c r="M34" s="73"/>
      <c r="N34" s="111"/>
      <c r="O34" s="12"/>
      <c r="P34" s="13"/>
      <c r="Q34" s="14"/>
      <c r="R34" s="138"/>
      <c r="S34" s="92"/>
    </row>
    <row r="35" spans="1:19" ht="14" customHeight="1" x14ac:dyDescent="0.35">
      <c r="A35" s="55">
        <v>29</v>
      </c>
      <c r="B35" s="69"/>
      <c r="C35" s="70"/>
      <c r="D35" s="71"/>
      <c r="E35" s="72"/>
      <c r="F35" s="70"/>
      <c r="G35" s="71"/>
      <c r="H35" s="72"/>
      <c r="I35" s="70"/>
      <c r="J35" s="71"/>
      <c r="K35" s="72"/>
      <c r="L35" s="70"/>
      <c r="M35" s="73"/>
      <c r="N35" s="111"/>
      <c r="O35" s="12"/>
      <c r="P35" s="13"/>
      <c r="Q35" s="14"/>
      <c r="R35" s="138"/>
      <c r="S35" s="92"/>
    </row>
    <row r="36" spans="1:19" ht="14" customHeight="1" x14ac:dyDescent="0.35">
      <c r="A36" s="55">
        <v>30</v>
      </c>
      <c r="B36" s="69"/>
      <c r="C36" s="70"/>
      <c r="D36" s="71"/>
      <c r="E36" s="72"/>
      <c r="F36" s="70"/>
      <c r="G36" s="71"/>
      <c r="H36" s="72"/>
      <c r="I36" s="70"/>
      <c r="J36" s="71"/>
      <c r="K36" s="72"/>
      <c r="L36" s="70"/>
      <c r="M36" s="73"/>
      <c r="N36" s="111"/>
      <c r="O36" s="12"/>
      <c r="P36" s="13"/>
      <c r="Q36" s="14"/>
      <c r="R36" s="138"/>
      <c r="S36" s="92"/>
    </row>
    <row r="37" spans="1:19" ht="14" customHeight="1" thickBot="1" x14ac:dyDescent="0.4">
      <c r="A37" s="55">
        <v>31</v>
      </c>
      <c r="B37" s="69"/>
      <c r="C37" s="70"/>
      <c r="D37" s="71"/>
      <c r="E37" s="72"/>
      <c r="F37" s="70"/>
      <c r="G37" s="71"/>
      <c r="H37" s="72"/>
      <c r="I37" s="70"/>
      <c r="J37" s="71"/>
      <c r="K37" s="72"/>
      <c r="L37" s="70"/>
      <c r="M37" s="73"/>
      <c r="N37" s="111"/>
      <c r="O37" s="12"/>
      <c r="P37" s="13"/>
      <c r="Q37" s="14"/>
      <c r="R37" s="138"/>
      <c r="S37" s="92"/>
    </row>
    <row r="38" spans="1:19" x14ac:dyDescent="0.35">
      <c r="A38" s="11" t="s">
        <v>8</v>
      </c>
      <c r="B38" s="75"/>
      <c r="C38" s="75">
        <f>IFERROR(C6+D38,"")</f>
        <v>0</v>
      </c>
      <c r="D38" s="76">
        <f>IF($B$7="","",SUM(D7:D37))</f>
        <v>0</v>
      </c>
      <c r="E38" s="75"/>
      <c r="F38" s="75">
        <f>IFERROR(F6+G38,"")</f>
        <v>0</v>
      </c>
      <c r="G38" s="76">
        <f>IF($B$7="","",SUM(G7:G37))</f>
        <v>0</v>
      </c>
      <c r="H38" s="75"/>
      <c r="I38" s="75">
        <f>IFERROR(I6+J38,"")</f>
        <v>0</v>
      </c>
      <c r="J38" s="76">
        <f>IF($B$7="","",SUM(J7:J37))</f>
        <v>0</v>
      </c>
      <c r="K38" s="75"/>
      <c r="L38" s="75">
        <f>IFERROR(L6+M38,"")</f>
        <v>0</v>
      </c>
      <c r="M38" s="76">
        <f>IF($B$7="","",SUM(M7:M37))</f>
        <v>0</v>
      </c>
      <c r="N38" s="76">
        <f>SUM(N7:N37)</f>
        <v>0</v>
      </c>
      <c r="O38" s="76">
        <f>IF($B$7="","",SUM(O7:O37))</f>
        <v>0</v>
      </c>
      <c r="P38" s="77">
        <f>IF(B7="","",SUM(P7:P37))</f>
        <v>0</v>
      </c>
      <c r="Q38" s="77" t="str">
        <f>IF(B8="","",SUM(Q7:Q37))</f>
        <v/>
      </c>
      <c r="R38" s="48">
        <f>SUM(R7:R37)</f>
        <v>0</v>
      </c>
      <c r="S38" s="88"/>
    </row>
    <row r="39" spans="1:19" x14ac:dyDescent="0.35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8"/>
      <c r="M39" s="6"/>
      <c r="N39" s="171" t="s">
        <v>47</v>
      </c>
      <c r="O39" s="78">
        <f>IFERROR(O38*1000/0.505,"")</f>
        <v>0</v>
      </c>
      <c r="P39" s="68" t="s">
        <v>47</v>
      </c>
      <c r="Q39" s="78" t="str">
        <f>IFERROR(Q38*1000/0.505,"")</f>
        <v/>
      </c>
      <c r="R39" s="10"/>
      <c r="S39" s="89"/>
    </row>
    <row r="40" spans="1:19" x14ac:dyDescent="0.35">
      <c r="A40" s="4"/>
      <c r="B40" s="193" t="s">
        <v>10</v>
      </c>
      <c r="C40" s="193"/>
      <c r="D40" s="193"/>
      <c r="E40" s="193"/>
      <c r="F40" s="193"/>
      <c r="G40" s="193"/>
      <c r="H40" s="128">
        <f>IFERROR(C38+F38+I38+L38,"")</f>
        <v>0</v>
      </c>
      <c r="I40" s="17" t="s">
        <v>3</v>
      </c>
      <c r="J40" s="17"/>
      <c r="K40" s="17"/>
      <c r="L40" s="10"/>
      <c r="M40" s="6"/>
      <c r="N40" s="172" t="s">
        <v>60</v>
      </c>
      <c r="O40" s="173">
        <f>IFERROR(O38*1000,"")</f>
        <v>0</v>
      </c>
      <c r="P40" s="10"/>
      <c r="Q40" s="67"/>
      <c r="R40" s="43"/>
      <c r="S40" s="89"/>
    </row>
    <row r="41" spans="1:19" ht="15" thickBot="1" x14ac:dyDescent="0.4">
      <c r="A41" s="9"/>
      <c r="B41" s="18"/>
      <c r="C41" s="18"/>
      <c r="D41" s="18"/>
      <c r="E41" s="18"/>
      <c r="F41" s="18"/>
      <c r="G41" s="18"/>
      <c r="H41" s="19">
        <f>IFERROR(H40*$H$3,"")</f>
        <v>0</v>
      </c>
      <c r="I41" s="7" t="s">
        <v>19</v>
      </c>
      <c r="J41" s="7">
        <f>IFERROR(H41*1000/0.505,"")</f>
        <v>0</v>
      </c>
      <c r="K41" s="7" t="s">
        <v>47</v>
      </c>
      <c r="L41" s="2"/>
      <c r="M41" s="7"/>
      <c r="N41" s="16"/>
      <c r="O41" s="7"/>
      <c r="P41" s="7"/>
      <c r="Q41" s="150" t="s">
        <v>57</v>
      </c>
      <c r="R41" s="42">
        <f>IF(H40="",0,COUNT(R7:R37)*24-R38)</f>
        <v>24</v>
      </c>
      <c r="S41" s="148" t="s">
        <v>58</v>
      </c>
    </row>
  </sheetData>
  <mergeCells count="10">
    <mergeCell ref="A1:Q1"/>
    <mergeCell ref="A2:Q2"/>
    <mergeCell ref="B40:G40"/>
    <mergeCell ref="B4:D4"/>
    <mergeCell ref="E4:G4"/>
    <mergeCell ref="B3:G3"/>
    <mergeCell ref="H4:J4"/>
    <mergeCell ref="K4:M4"/>
    <mergeCell ref="P4:Q4"/>
    <mergeCell ref="N4:O4"/>
  </mergeCells>
  <phoneticPr fontId="0" type="noConversion"/>
  <conditionalFormatting sqref="R8:R37">
    <cfRule type="cellIs" dxfId="5" priority="8" operator="equal">
      <formula>""</formula>
    </cfRule>
  </conditionalFormatting>
  <conditionalFormatting sqref="R8:R37">
    <cfRule type="cellIs" dxfId="4" priority="9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">
    <cfRule type="cellIs" dxfId="3" priority="4" operator="lessThan">
      <formula>23.98</formula>
    </cfRule>
  </conditionalFormatting>
  <conditionalFormatting sqref="R7">
    <cfRule type="cellIs" dxfId="2" priority="3" operator="equal">
      <formula>""</formula>
    </cfRule>
  </conditionalFormatting>
  <conditionalFormatting sqref="R7">
    <cfRule type="cellIs" dxfId="1" priority="2" operator="equal">
      <formula>""</formula>
    </cfRule>
  </conditionalFormatting>
  <conditionalFormatting sqref="R7">
    <cfRule type="cellIs" dxfId="0" priority="1" operator="lessThan">
      <formula>23.98</formula>
    </cfRule>
  </conditionalFormatting>
  <pageMargins left="0.7" right="0.7" top="0.75" bottom="0.75" header="0.3" footer="0.3"/>
  <pageSetup scale="4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SUMMARY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Graph1</vt:lpstr>
      <vt:lpstr>APR!Print_Area</vt:lpstr>
      <vt:lpstr>AUG!Print_Area</vt:lpstr>
      <vt:lpstr>DEC!Print_Area</vt:lpstr>
      <vt:lpstr>FEB!Print_Area</vt:lpstr>
      <vt:lpstr>JAN!Print_Area</vt:lpstr>
      <vt:lpstr>JUL!Print_Area</vt:lpstr>
      <vt:lpstr>JUN!Print_Area</vt:lpstr>
      <vt:lpstr>MAR!Print_Area</vt:lpstr>
      <vt:lpstr>MAY!Print_Area</vt:lpstr>
      <vt:lpstr>NOV!Print_Area</vt:lpstr>
      <vt:lpstr>OCT!Print_Area</vt:lpstr>
      <vt:lpstr>SEP!Print_Area</vt:lpstr>
    </vt:vector>
  </TitlesOfParts>
  <Company>Marsulex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Raymond</dc:creator>
  <cp:lastModifiedBy>Manzoor, Abdullah (CA - Toronto)</cp:lastModifiedBy>
  <cp:lastPrinted>2019-12-03T16:36:44Z</cp:lastPrinted>
  <dcterms:created xsi:type="dcterms:W3CDTF">2009-11-30T14:25:34Z</dcterms:created>
  <dcterms:modified xsi:type="dcterms:W3CDTF">2021-01-07T18:28:47Z</dcterms:modified>
</cp:coreProperties>
</file>