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vhb\proj\NewYorkCity\25769.00 College Pt Transp Study\tech\"/>
    </mc:Choice>
  </mc:AlternateContent>
  <bookViews>
    <workbookView xWindow="0" yWindow="0" windowWidth="23040" windowHeight="8244"/>
  </bookViews>
  <sheets>
    <sheet name="Summary" sheetId="2" r:id="rId1"/>
    <sheet name="Calcs" sheetId="1" r:id="rId2"/>
  </sheets>
  <definedNames>
    <definedName name="_xlnm.Print_Area" localSheetId="1">Calcs!$A$11:$K$72</definedName>
    <definedName name="_xlnm.Print_Area" localSheetId="0">Summary!$A$1:$G$22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5" i="2" l="1"/>
  <c r="E4" i="2"/>
  <c r="E3" i="2"/>
  <c r="J29" i="1"/>
  <c r="I29" i="1"/>
  <c r="E8" i="2"/>
  <c r="F8" i="2" l="1"/>
  <c r="C68" i="1"/>
  <c r="D6" i="2" s="1"/>
  <c r="I53" i="1"/>
  <c r="I54" i="1"/>
  <c r="I55" i="1"/>
  <c r="I56" i="1"/>
  <c r="I57" i="1"/>
  <c r="I58" i="1"/>
  <c r="I59" i="1"/>
  <c r="I60" i="1"/>
  <c r="I61" i="1"/>
  <c r="I62" i="1"/>
  <c r="I63" i="1"/>
  <c r="I64" i="1"/>
  <c r="I52" i="1"/>
  <c r="I65" i="1" l="1"/>
  <c r="J65" i="1" s="1"/>
  <c r="C67" i="1" s="1"/>
  <c r="C70" i="1" s="1"/>
  <c r="E6" i="2" s="1"/>
  <c r="F6" i="2" s="1"/>
  <c r="F9" i="2"/>
  <c r="I48" i="1"/>
  <c r="J48" i="1" s="1"/>
  <c r="D5" i="2" s="1"/>
  <c r="I43" i="1"/>
  <c r="I44" i="1"/>
  <c r="I45" i="1"/>
  <c r="I46" i="1"/>
  <c r="I47" i="1"/>
  <c r="I24" i="1"/>
  <c r="I42" i="1"/>
  <c r="O4" i="1"/>
  <c r="F36" i="1"/>
  <c r="F37" i="1"/>
  <c r="I34" i="1"/>
  <c r="I35" i="1"/>
  <c r="I36" i="1"/>
  <c r="I37" i="1"/>
  <c r="F34" i="1"/>
  <c r="F35" i="1"/>
  <c r="I33" i="1"/>
  <c r="F33" i="1"/>
  <c r="G25" i="1"/>
  <c r="G26" i="1"/>
  <c r="G27" i="1"/>
  <c r="G28" i="1"/>
  <c r="G24" i="1"/>
  <c r="I28" i="1"/>
  <c r="E28" i="1"/>
  <c r="E27" i="1"/>
  <c r="E26" i="1"/>
  <c r="I25" i="1"/>
  <c r="E25" i="1"/>
  <c r="E24" i="1"/>
  <c r="F13" i="2"/>
  <c r="F12" i="2"/>
  <c r="F11" i="2"/>
  <c r="F10" i="2"/>
  <c r="F5" i="2" l="1"/>
  <c r="I27" i="1"/>
  <c r="I26" i="1"/>
  <c r="L4" i="1"/>
  <c r="K4" i="1"/>
  <c r="I38" i="1" l="1"/>
  <c r="J38" i="1" s="1"/>
  <c r="D4" i="2" s="1"/>
  <c r="F4" i="2" s="1"/>
  <c r="D3" i="2"/>
  <c r="J4" i="1"/>
  <c r="I4" i="1"/>
  <c r="O6" i="1"/>
  <c r="O5" i="1"/>
  <c r="O3" i="1"/>
  <c r="M4" i="1"/>
  <c r="F3" i="2" l="1"/>
  <c r="D7" i="2"/>
  <c r="F7" i="2" s="1"/>
  <c r="Q8" i="1"/>
  <c r="Q9" i="1"/>
  <c r="Q7" i="1"/>
  <c r="F14" i="2" l="1"/>
  <c r="F15" i="2" s="1"/>
  <c r="Q4" i="1"/>
  <c r="Q5" i="1"/>
  <c r="Q6" i="1"/>
  <c r="Q3" i="1"/>
  <c r="Q10" i="1" l="1"/>
</calcChain>
</file>

<file path=xl/comments1.xml><?xml version="1.0" encoding="utf-8"?>
<comments xmlns="http://schemas.openxmlformats.org/spreadsheetml/2006/main">
  <authors>
    <author>Zhang, Bikang</author>
    <author>Lee, Jennifer</author>
  </authors>
  <commentList>
    <comment ref="E3" authorId="0" shapeId="0">
      <text>
        <r>
          <rPr>
            <sz val="9"/>
            <color indexed="81"/>
            <rFont val="Tahoma"/>
            <family val="2"/>
          </rPr>
          <t>Assume escalaction of 3.5% from 2015 to 2018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 xml:space="preserve">O'Donnell, Craig:
</t>
        </r>
        <r>
          <rPr>
            <sz val="9"/>
            <color indexed="81"/>
            <rFont val="Tahoma"/>
            <family val="2"/>
          </rPr>
          <t>30 total lanes (250ft each) to be restriped.  This is assuming all lanes at the intersections specified in the report are restriped (conservative estimate). Additionally, ~1600 feet of the NB service road will also be striped (two lanes).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Assume escalaction of 3.5% from 2015 to 2018</t>
        </r>
      </text>
    </comment>
    <comment ref="E8" authorId="0" shapeId="0">
      <text>
        <r>
          <rPr>
            <sz val="9"/>
            <color indexed="81"/>
            <rFont val="Tahoma"/>
            <family val="2"/>
          </rPr>
          <t>Material cost of a "speed trailer" per public web sources ranges from $5,700 to $8,500, in October 2017. Assume 3.5% escalation from 2017 to 2018.</t>
        </r>
      </text>
    </comment>
  </commentList>
</comments>
</file>

<file path=xl/comments2.xml><?xml version="1.0" encoding="utf-8"?>
<comments xmlns="http://schemas.openxmlformats.org/spreadsheetml/2006/main">
  <authors>
    <author>O'Donnell, Craig</author>
  </authors>
  <commentList>
    <comment ref="O3" authorId="0" shapeId="0">
      <text>
        <r>
          <rPr>
            <b/>
            <sz val="9"/>
            <color indexed="81"/>
            <rFont val="Tahoma"/>
            <family val="2"/>
          </rPr>
          <t>O'Donnell, Craig:</t>
        </r>
        <r>
          <rPr>
            <sz val="9"/>
            <color indexed="81"/>
            <rFont val="Tahoma"/>
            <family val="2"/>
          </rPr>
          <t xml:space="preserve">
4 total intersections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O'Donnell, Craig:</t>
        </r>
        <r>
          <rPr>
            <sz val="9"/>
            <color indexed="81"/>
            <rFont val="Tahoma"/>
            <family val="2"/>
          </rPr>
          <t xml:space="preserve">
30 total lanes (250ft each) to be restriped.  This is assuming all lanes at the intersections specified in the report are restriped (conservative estimate). Additionally, ~1600 feet of the NB service road will also be striped (two lanes).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O'Donnell, Craig:</t>
        </r>
        <r>
          <rPr>
            <sz val="9"/>
            <color indexed="81"/>
            <rFont val="Tahoma"/>
            <family val="2"/>
          </rPr>
          <t xml:space="preserve">
This location has since been resurfaced/restriped</t>
        </r>
      </text>
    </comment>
  </commentList>
</comments>
</file>

<file path=xl/sharedStrings.xml><?xml version="1.0" encoding="utf-8"?>
<sst xmlns="http://schemas.openxmlformats.org/spreadsheetml/2006/main" count="201" uniqueCount="119">
  <si>
    <t>Item</t>
  </si>
  <si>
    <t>Units</t>
  </si>
  <si>
    <t>Unit Cost</t>
  </si>
  <si>
    <t>Item Cost</t>
  </si>
  <si>
    <t>Restripe Crosswalks</t>
  </si>
  <si>
    <t>Restripe Lanes</t>
  </si>
  <si>
    <t># Units</t>
  </si>
  <si>
    <t>Signal Timing Changes</t>
  </si>
  <si>
    <t>Turn Prohibition</t>
  </si>
  <si>
    <t>Lane Addition</t>
  </si>
  <si>
    <t>Crosswalks</t>
  </si>
  <si>
    <t>Intersections</t>
  </si>
  <si>
    <t>Notes</t>
  </si>
  <si>
    <t>Speed Trailers</t>
  </si>
  <si>
    <t>Feet (250 ft/lane)</t>
  </si>
  <si>
    <t>Can break this into different units, let me know what works best for you once you start coming up with costs</t>
  </si>
  <si>
    <t>Assuming two speed trailers on College Point Boulevard (one NB, one SB)</t>
  </si>
  <si>
    <t>This involves a technician to make one trip out to the signal box to change the timings</t>
  </si>
  <si>
    <t>Bus Stop Relocation</t>
  </si>
  <si>
    <t>Pending MTA approval</t>
  </si>
  <si>
    <t>No major costs associated with physical improvements, but would require additional study.</t>
  </si>
  <si>
    <t>DOT comment said this would require NYSDOT involvement</t>
  </si>
  <si>
    <t>20th Avenue and 130th Street</t>
  </si>
  <si>
    <t>Linden Place and NB Service Road</t>
  </si>
  <si>
    <t>Linden Place and SB Service Rd</t>
  </si>
  <si>
    <t>College Point Boulevard and 32nd Avenue/NB Service Road</t>
  </si>
  <si>
    <t>College Point Boulevard and 28th Avenue/123rd Street</t>
  </si>
  <si>
    <t>x</t>
  </si>
  <si>
    <t>20th Avenue and Petracca Place</t>
  </si>
  <si>
    <t>20th Avenue and NB Service Rd</t>
  </si>
  <si>
    <t>20th Avenue and SB Service Rd</t>
  </si>
  <si>
    <t>20th Avenue and Parsons Boulevard</t>
  </si>
  <si>
    <t>Ulmer Street and SB Service Rd</t>
  </si>
  <si>
    <t>NB Service Road between College Point Blvd and Linden Pl</t>
  </si>
  <si>
    <t>Location</t>
  </si>
  <si>
    <t>TRANSPORTATION IMPROVEMENTS</t>
  </si>
  <si>
    <t>SCOPE</t>
  </si>
  <si>
    <t>ITEM DESCRIPTION</t>
  </si>
  <si>
    <t>UNIT</t>
  </si>
  <si>
    <r>
      <t xml:space="preserve">QTY 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</si>
  <si>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 xml:space="preserve">UNIT COST </t>
    </r>
    <r>
      <rPr>
        <b/>
        <vertAlign val="superscript"/>
        <sz val="11"/>
        <color theme="1"/>
        <rFont val="Calibri"/>
        <family val="2"/>
        <scheme val="minor"/>
      </rPr>
      <t>1,2</t>
    </r>
  </si>
  <si>
    <r>
      <t>TOTAL COST</t>
    </r>
    <r>
      <rPr>
        <b/>
        <vertAlign val="superscript"/>
        <sz val="11"/>
        <color theme="1"/>
        <rFont val="Calibri"/>
        <family val="2"/>
        <scheme val="minor"/>
      </rPr>
      <t xml:space="preserve"> 1</t>
    </r>
    <r>
      <rPr>
        <b/>
        <sz val="11"/>
        <color theme="1"/>
        <rFont val="Calibri"/>
        <family val="2"/>
        <scheme val="minor"/>
      </rPr>
      <t xml:space="preserve"> </t>
    </r>
  </si>
  <si>
    <t>NOTES</t>
  </si>
  <si>
    <t>Crosswalk Striping</t>
  </si>
  <si>
    <t>LF</t>
  </si>
  <si>
    <t>Lane Striping</t>
  </si>
  <si>
    <t>Provide Speed Trailers</t>
  </si>
  <si>
    <t>Speed Trailer</t>
  </si>
  <si>
    <t>EA</t>
  </si>
  <si>
    <t>Assumes two speed trailers on College Point Boulevard (one NB, one SB).</t>
  </si>
  <si>
    <t>Per Intersection</t>
  </si>
  <si>
    <t>This involves a technician to make one trip out to the signal box to change the timings.</t>
  </si>
  <si>
    <t>(See Notes)</t>
  </si>
  <si>
    <t>Pending MTA approval.</t>
  </si>
  <si>
    <t>DOT comment said this would require NYSDOT involvement.</t>
  </si>
  <si>
    <t>GRAND TOTAL</t>
  </si>
  <si>
    <t xml:space="preserve">Notes: 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</si>
  <si>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Assumes a construction year of 2018 and that construction work will be completed in 2018. 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</si>
  <si>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Note that linear footage quantities are shown approximate from Google aerials and are based on educated assumptions in the absence of a detailed survey and design drawings. </t>
    </r>
  </si>
  <si>
    <t>STRIPING CALCULATIONS</t>
  </si>
  <si>
    <t>-Assumes striping is paid for in 4" wide stripes</t>
  </si>
  <si>
    <t>-</t>
  </si>
  <si>
    <t>-Factor is number of 4" stripes</t>
  </si>
  <si>
    <t xml:space="preserve">   F = 1 for solid lane stripes (4" thick typ.)</t>
  </si>
  <si>
    <t xml:space="preserve">   F = 3 for crosswalks (1' thick typ.)</t>
  </si>
  <si>
    <t xml:space="preserve">   F = 6 for stop bars (2' thick typ)</t>
  </si>
  <si>
    <t>LOCATION</t>
  </si>
  <si>
    <t>LENGTH</t>
  </si>
  <si>
    <t>WIDTH</t>
  </si>
  <si>
    <t># OF STRIPES</t>
  </si>
  <si>
    <t>F</t>
  </si>
  <si>
    <t>SUBTOTAL</t>
  </si>
  <si>
    <t>20th Ave &amp; 130th St</t>
  </si>
  <si>
    <t>TYPE</t>
  </si>
  <si>
    <t>Crosswalk</t>
  </si>
  <si>
    <t>-Assumes all crosswalks are Hi-Viz and 50' long by 15' wide</t>
  </si>
  <si>
    <t>#</t>
  </si>
  <si>
    <t>Linden Pl &amp; NB Service Rd</t>
  </si>
  <si>
    <t>Linden Pl &amp; SB Service Rd</t>
  </si>
  <si>
    <t>College Pt Blvd &amp; 28th Ave</t>
  </si>
  <si>
    <t>College Pt Blvd &amp; 32nd Ave</t>
  </si>
  <si>
    <t>CROSSWALKS</t>
  </si>
  <si>
    <t>TOTAL</t>
  </si>
  <si>
    <t>STOP BARS</t>
  </si>
  <si>
    <t>Stop bar</t>
  </si>
  <si>
    <t>LANES</t>
  </si>
  <si>
    <t>Lane</t>
  </si>
  <si>
    <t>Restripe Stop Bars</t>
  </si>
  <si>
    <t>Stop Bar Striping</t>
  </si>
  <si>
    <t>SUBTOTAL W/O F</t>
  </si>
  <si>
    <t>Mobilization</t>
  </si>
  <si>
    <t>Assumes 2 foot wide stop bar at each leg of crosswalk with traffic approaching.</t>
  </si>
  <si>
    <t>WORD MESSAGES AND SYMBOLS</t>
  </si>
  <si>
    <t>OBJECT</t>
  </si>
  <si>
    <t>EQUIVALENT LF</t>
  </si>
  <si>
    <t>LT Arrow</t>
  </si>
  <si>
    <t>"</t>
  </si>
  <si>
    <t>Only</t>
  </si>
  <si>
    <t>RT Arrow</t>
  </si>
  <si>
    <t>Thru Arrow</t>
  </si>
  <si>
    <t>NB Service Rd</t>
  </si>
  <si>
    <t>Total # of Objects</t>
  </si>
  <si>
    <t>Price per LF</t>
  </si>
  <si>
    <t>TOTAL COST</t>
  </si>
  <si>
    <t>Cost per object</t>
  </si>
  <si>
    <t>Restripe Symbols and Word Messages</t>
  </si>
  <si>
    <t>Symbol and Word Striping</t>
  </si>
  <si>
    <t>Total Length  (LF)</t>
  </si>
  <si>
    <t>Assumes average length of all symbols and word messages.</t>
  </si>
  <si>
    <t>BREAKDOWN TO PRICE PER OBJECT</t>
  </si>
  <si>
    <t>CONTINGENCY (20%)</t>
  </si>
  <si>
    <r>
      <t>2</t>
    </r>
    <r>
      <rPr>
        <sz val="11"/>
        <color theme="1"/>
        <rFont val="Calibri"/>
        <family val="2"/>
        <scheme val="minor"/>
      </rPr>
      <t>Unit cost includes hard costs only (labor, material, and equipment), except for speed trailer which includes material cost only.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</si>
  <si>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This cost estimate excludes all other costs such as design fees, design and construction contingencies, soft costs, permitting considerations, escalation beyond 2018, liability insurance, etc. </t>
    </r>
  </si>
  <si>
    <t xml:space="preserve">Remove Existing Lane Markings </t>
  </si>
  <si>
    <t>Remove Lane Markings</t>
  </si>
  <si>
    <t>Quantity of removal of lane markings is assumed to equal quantity of new striping.</t>
  </si>
  <si>
    <t>Assumes a total of 30 lanes (with a lane width of approximately 250 feet per lane) to be restriped.  This assumes that all lanes at the intersections specified in the report will be re-striped (conservative estimate). Additionally, 2 lanes of approximately 1600 feet each for the NB service road will also be striped.</t>
  </si>
  <si>
    <t>Assuming 50 feet long and 12 feet wide</t>
  </si>
  <si>
    <t>Assumes crosswalk area of 50 feet by 12 feet, with line spacing of 3 feet (per NYCDOT standard details) for each crosswalk, for a total of 17 crosswalks.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</si>
</sst>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44" fontId="0" fillId="3" borderId="0" xfId="0" applyNumberForma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44" fontId="0" fillId="0" borderId="8" xfId="1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2" fontId="0" fillId="0" borderId="9" xfId="0" applyNumberFormat="1" applyBorder="1" applyAlignment="1">
      <alignment horizontal="left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44" fontId="0" fillId="0" borderId="11" xfId="1" applyFont="1" applyFill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0" fontId="7" fillId="0" borderId="12" xfId="0" applyFont="1" applyBorder="1" applyAlignment="1">
      <alignment horizontal="left" wrapText="1"/>
    </xf>
    <xf numFmtId="3" fontId="0" fillId="0" borderId="11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1" xfId="0" applyFill="1" applyBorder="1" applyAlignment="1">
      <alignment horizontal="center" vertical="center"/>
    </xf>
    <xf numFmtId="3" fontId="0" fillId="4" borderId="11" xfId="0" applyNumberFormat="1" applyFill="1" applyBorder="1" applyAlignment="1">
      <alignment horizontal="center" vertical="center"/>
    </xf>
    <xf numFmtId="44" fontId="0" fillId="4" borderId="11" xfId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44" fontId="2" fillId="0" borderId="17" xfId="0" applyNumberFormat="1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/>
    <xf numFmtId="0" fontId="0" fillId="0" borderId="19" xfId="0" applyBorder="1"/>
    <xf numFmtId="0" fontId="0" fillId="0" borderId="19" xfId="0" applyBorder="1" applyAlignment="1">
      <alignment horizontal="center"/>
    </xf>
    <xf numFmtId="0" fontId="10" fillId="0" borderId="0" xfId="0" applyFont="1"/>
    <xf numFmtId="0" fontId="9" fillId="0" borderId="0" xfId="0" quotePrefix="1" applyFont="1"/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Font="1" applyBorder="1"/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15" xfId="0" applyBorder="1" applyAlignment="1">
      <alignment horizontal="center"/>
    </xf>
    <xf numFmtId="0" fontId="2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8" xfId="0" applyFill="1" applyBorder="1"/>
    <xf numFmtId="0" fontId="0" fillId="0" borderId="24" xfId="0" applyFill="1" applyBorder="1"/>
    <xf numFmtId="44" fontId="0" fillId="0" borderId="24" xfId="1" applyFont="1" applyBorder="1" applyAlignment="1">
      <alignment horizontal="center"/>
    </xf>
    <xf numFmtId="0" fontId="0" fillId="0" borderId="28" xfId="0" applyFill="1" applyBorder="1"/>
    <xf numFmtId="0" fontId="0" fillId="0" borderId="28" xfId="0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2" fillId="0" borderId="1" xfId="0" applyFont="1" applyFill="1" applyBorder="1"/>
    <xf numFmtId="44" fontId="2" fillId="0" borderId="20" xfId="1" applyFont="1" applyBorder="1" applyAlignment="1">
      <alignment horizontal="center"/>
    </xf>
    <xf numFmtId="0" fontId="0" fillId="0" borderId="0" xfId="0" applyFill="1"/>
    <xf numFmtId="0" fontId="0" fillId="0" borderId="29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0" fontId="0" fillId="0" borderId="30" xfId="0" applyFill="1" applyBorder="1" applyAlignment="1">
      <alignment horizontal="center" vertical="center"/>
    </xf>
    <xf numFmtId="44" fontId="0" fillId="0" borderId="30" xfId="1" applyFont="1" applyFill="1" applyBorder="1" applyAlignment="1">
      <alignment horizontal="center" vertical="center"/>
    </xf>
    <xf numFmtId="0" fontId="0" fillId="0" borderId="31" xfId="0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2" xfId="0" applyBorder="1" applyAlignment="1">
      <alignment horizontal="left" wrapText="1"/>
    </xf>
    <xf numFmtId="0" fontId="0" fillId="4" borderId="12" xfId="0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tabSelected="1" view="pageBreakPreview" zoomScale="80" zoomScaleNormal="85" zoomScaleSheetLayoutView="80" workbookViewId="0">
      <selection activeCell="G4" sqref="G4"/>
    </sheetView>
  </sheetViews>
  <sheetFormatPr defaultRowHeight="14.4" x14ac:dyDescent="0.3"/>
  <cols>
    <col min="1" max="1" width="32.88671875" customWidth="1"/>
    <col min="2" max="2" width="23" bestFit="1" customWidth="1"/>
    <col min="3" max="3" width="18.109375" bestFit="1" customWidth="1"/>
    <col min="4" max="4" width="17.88671875" bestFit="1" customWidth="1"/>
    <col min="5" max="5" width="18.21875" bestFit="1" customWidth="1"/>
    <col min="6" max="6" width="19.21875" bestFit="1" customWidth="1"/>
    <col min="7" max="7" width="57.44140625" customWidth="1"/>
  </cols>
  <sheetData>
    <row r="1" spans="1:7" ht="15" thickBot="1" x14ac:dyDescent="0.35">
      <c r="A1" s="83" t="s">
        <v>35</v>
      </c>
      <c r="B1" s="84"/>
      <c r="C1" s="84"/>
      <c r="D1" s="84"/>
      <c r="E1" s="84"/>
      <c r="F1" s="84"/>
      <c r="G1" s="85"/>
    </row>
    <row r="2" spans="1:7" ht="24.6" customHeight="1" thickBot="1" x14ac:dyDescent="0.35">
      <c r="A2" s="14" t="s">
        <v>36</v>
      </c>
      <c r="B2" s="15" t="s">
        <v>37</v>
      </c>
      <c r="C2" s="16" t="s">
        <v>38</v>
      </c>
      <c r="D2" s="16" t="s">
        <v>39</v>
      </c>
      <c r="E2" s="17" t="s">
        <v>40</v>
      </c>
      <c r="F2" s="18" t="s">
        <v>41</v>
      </c>
      <c r="G2" s="19" t="s">
        <v>42</v>
      </c>
    </row>
    <row r="3" spans="1:7" ht="43.2" x14ac:dyDescent="0.3">
      <c r="A3" s="20" t="s">
        <v>4</v>
      </c>
      <c r="B3" s="21" t="s">
        <v>43</v>
      </c>
      <c r="C3" s="22" t="s">
        <v>44</v>
      </c>
      <c r="D3" s="23">
        <f>Calcs!J29</f>
        <v>5010</v>
      </c>
      <c r="E3" s="24">
        <f>(5*1.035*3)</f>
        <v>15.524999999999999</v>
      </c>
      <c r="F3" s="25">
        <f t="shared" ref="F3:F13" si="0">D3*E3</f>
        <v>77780.25</v>
      </c>
      <c r="G3" s="26" t="s">
        <v>118</v>
      </c>
    </row>
    <row r="4" spans="1:7" ht="28.8" x14ac:dyDescent="0.3">
      <c r="A4" s="20" t="s">
        <v>87</v>
      </c>
      <c r="B4" s="21" t="s">
        <v>88</v>
      </c>
      <c r="C4" s="22" t="s">
        <v>44</v>
      </c>
      <c r="D4" s="23">
        <f>Calcs!J38</f>
        <v>375</v>
      </c>
      <c r="E4" s="24">
        <f>1.035*(5*6)</f>
        <v>31.049999999999997</v>
      </c>
      <c r="F4" s="32">
        <f t="shared" si="0"/>
        <v>11643.749999999998</v>
      </c>
      <c r="G4" s="26" t="s">
        <v>91</v>
      </c>
    </row>
    <row r="5" spans="1:7" ht="72" x14ac:dyDescent="0.3">
      <c r="A5" s="27" t="s">
        <v>5</v>
      </c>
      <c r="B5" s="28" t="s">
        <v>45</v>
      </c>
      <c r="C5" s="29" t="s">
        <v>44</v>
      </c>
      <c r="D5" s="30">
        <f>Calcs!J48</f>
        <v>10700</v>
      </c>
      <c r="E5" s="24">
        <f>5*1.035</f>
        <v>5.1749999999999998</v>
      </c>
      <c r="F5" s="32">
        <f t="shared" si="0"/>
        <v>55372.5</v>
      </c>
      <c r="G5" s="33" t="s">
        <v>116</v>
      </c>
    </row>
    <row r="6" spans="1:7" x14ac:dyDescent="0.3">
      <c r="A6" s="27" t="s">
        <v>105</v>
      </c>
      <c r="B6" s="28" t="s">
        <v>106</v>
      </c>
      <c r="C6" s="29" t="s">
        <v>48</v>
      </c>
      <c r="D6" s="30">
        <f>Calcs!C68</f>
        <v>40</v>
      </c>
      <c r="E6" s="24">
        <f>Calcs!C71</f>
        <v>450</v>
      </c>
      <c r="F6" s="32">
        <f t="shared" si="0"/>
        <v>18000</v>
      </c>
      <c r="G6" s="33" t="s">
        <v>108</v>
      </c>
    </row>
    <row r="7" spans="1:7" ht="28.8" x14ac:dyDescent="0.3">
      <c r="A7" s="27" t="s">
        <v>113</v>
      </c>
      <c r="B7" s="28" t="s">
        <v>114</v>
      </c>
      <c r="C7" s="29" t="s">
        <v>44</v>
      </c>
      <c r="D7" s="30">
        <f>D3+D4+D5+D6*75</f>
        <v>19085</v>
      </c>
      <c r="E7" s="24">
        <f>1*(1.035)^3</f>
        <v>1.1087178749999997</v>
      </c>
      <c r="F7" s="32">
        <f t="shared" si="0"/>
        <v>21159.880644374996</v>
      </c>
      <c r="G7" s="33" t="s">
        <v>115</v>
      </c>
    </row>
    <row r="8" spans="1:7" ht="28.8" x14ac:dyDescent="0.3">
      <c r="A8" s="27" t="s">
        <v>46</v>
      </c>
      <c r="B8" s="28" t="s">
        <v>47</v>
      </c>
      <c r="C8" s="29" t="s">
        <v>48</v>
      </c>
      <c r="D8" s="34">
        <v>2</v>
      </c>
      <c r="E8" s="31">
        <f>8500</f>
        <v>8500</v>
      </c>
      <c r="F8" s="32">
        <f t="shared" si="0"/>
        <v>17000</v>
      </c>
      <c r="G8" s="92" t="s">
        <v>49</v>
      </c>
    </row>
    <row r="9" spans="1:7" x14ac:dyDescent="0.3">
      <c r="A9" s="27" t="s">
        <v>90</v>
      </c>
      <c r="B9" s="28" t="s">
        <v>90</v>
      </c>
      <c r="C9" s="29" t="s">
        <v>50</v>
      </c>
      <c r="D9" s="34">
        <v>7</v>
      </c>
      <c r="E9" s="31">
        <v>500</v>
      </c>
      <c r="F9" s="32">
        <f t="shared" si="0"/>
        <v>3500</v>
      </c>
      <c r="G9" s="92"/>
    </row>
    <row r="10" spans="1:7" ht="28.8" x14ac:dyDescent="0.3">
      <c r="A10" s="35" t="s">
        <v>7</v>
      </c>
      <c r="B10" s="36" t="s">
        <v>7</v>
      </c>
      <c r="C10" s="37" t="s">
        <v>50</v>
      </c>
      <c r="D10" s="38">
        <v>7</v>
      </c>
      <c r="E10" s="39"/>
      <c r="F10" s="39">
        <f t="shared" si="0"/>
        <v>0</v>
      </c>
      <c r="G10" s="93" t="s">
        <v>51</v>
      </c>
    </row>
    <row r="11" spans="1:7" x14ac:dyDescent="0.3">
      <c r="A11" s="35" t="s">
        <v>18</v>
      </c>
      <c r="B11" s="36" t="s">
        <v>52</v>
      </c>
      <c r="C11" s="37"/>
      <c r="D11" s="37"/>
      <c r="E11" s="39"/>
      <c r="F11" s="39">
        <f t="shared" si="0"/>
        <v>0</v>
      </c>
      <c r="G11" s="93" t="s">
        <v>53</v>
      </c>
    </row>
    <row r="12" spans="1:7" ht="28.8" x14ac:dyDescent="0.3">
      <c r="A12" s="35" t="s">
        <v>8</v>
      </c>
      <c r="B12" s="36" t="s">
        <v>52</v>
      </c>
      <c r="C12" s="37"/>
      <c r="D12" s="37"/>
      <c r="E12" s="37"/>
      <c r="F12" s="39">
        <f t="shared" si="0"/>
        <v>0</v>
      </c>
      <c r="G12" s="93" t="s">
        <v>20</v>
      </c>
    </row>
    <row r="13" spans="1:7" ht="15" thickBot="1" x14ac:dyDescent="0.35">
      <c r="A13" s="35" t="s">
        <v>9</v>
      </c>
      <c r="B13" s="36" t="s">
        <v>52</v>
      </c>
      <c r="C13" s="37"/>
      <c r="D13" s="37"/>
      <c r="E13" s="37"/>
      <c r="F13" s="39">
        <f t="shared" si="0"/>
        <v>0</v>
      </c>
      <c r="G13" s="93" t="s">
        <v>54</v>
      </c>
    </row>
    <row r="14" spans="1:7" s="77" customFormat="1" ht="15.6" thickTop="1" thickBot="1" x14ac:dyDescent="0.35">
      <c r="A14" s="78" t="s">
        <v>110</v>
      </c>
      <c r="B14" s="79"/>
      <c r="C14" s="80"/>
      <c r="D14" s="80"/>
      <c r="E14" s="80"/>
      <c r="F14" s="81">
        <f>SUM(F3:F13)*0.2</f>
        <v>40891.276128875004</v>
      </c>
      <c r="G14" s="82"/>
    </row>
    <row r="15" spans="1:7" s="44" customFormat="1" ht="15.6" thickTop="1" thickBot="1" x14ac:dyDescent="0.35">
      <c r="A15" s="40" t="s">
        <v>55</v>
      </c>
      <c r="B15" s="41"/>
      <c r="C15" s="41"/>
      <c r="D15" s="41"/>
      <c r="E15" s="41"/>
      <c r="F15" s="42">
        <f>SUM(F3:F14)</f>
        <v>245347.65677325</v>
      </c>
      <c r="G15" s="43"/>
    </row>
    <row r="17" spans="1:1" x14ac:dyDescent="0.3">
      <c r="A17" t="s">
        <v>56</v>
      </c>
    </row>
    <row r="18" spans="1:1" ht="16.2" x14ac:dyDescent="0.3">
      <c r="A18" t="s">
        <v>57</v>
      </c>
    </row>
    <row r="19" spans="1:1" ht="16.2" x14ac:dyDescent="0.3">
      <c r="A19" s="45" t="s">
        <v>111</v>
      </c>
    </row>
    <row r="20" spans="1:1" ht="16.2" x14ac:dyDescent="0.3">
      <c r="A20" t="s">
        <v>112</v>
      </c>
    </row>
    <row r="21" spans="1:1" ht="16.2" x14ac:dyDescent="0.3">
      <c r="A21" t="s">
        <v>58</v>
      </c>
    </row>
  </sheetData>
  <mergeCells count="1">
    <mergeCell ref="A1:G1"/>
  </mergeCells>
  <pageMargins left="0.7" right="0.7" top="0.75" bottom="0.75" header="0.3" footer="0.3"/>
  <pageSetup paperSize="195" scale="65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R71"/>
  <sheetViews>
    <sheetView zoomScale="85" zoomScaleNormal="85" workbookViewId="0">
      <selection activeCell="B55" sqref="B55"/>
    </sheetView>
  </sheetViews>
  <sheetFormatPr defaultRowHeight="14.4" x14ac:dyDescent="0.3"/>
  <cols>
    <col min="1" max="1" width="5.6640625" customWidth="1"/>
    <col min="2" max="2" width="25.6640625" customWidth="1"/>
    <col min="3" max="9" width="14.77734375" style="10" customWidth="1"/>
    <col min="10" max="10" width="18.21875" style="10" bestFit="1" customWidth="1"/>
    <col min="11" max="13" width="14.77734375" style="10" customWidth="1"/>
    <col min="14" max="14" width="15.21875" bestFit="1" customWidth="1"/>
    <col min="15" max="15" width="6.77734375" bestFit="1" customWidth="1"/>
    <col min="16" max="16" width="8.6640625" bestFit="1" customWidth="1"/>
    <col min="17" max="17" width="9" bestFit="1" customWidth="1"/>
    <col min="18" max="18" width="90.6640625" bestFit="1" customWidth="1"/>
  </cols>
  <sheetData>
    <row r="1" spans="2:18" ht="21.6" customHeight="1" x14ac:dyDescent="0.3">
      <c r="B1" s="86" t="s">
        <v>0</v>
      </c>
      <c r="C1" s="86" t="s">
        <v>34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 t="s">
        <v>1</v>
      </c>
      <c r="O1" s="86" t="s">
        <v>6</v>
      </c>
      <c r="P1" s="86" t="s">
        <v>2</v>
      </c>
      <c r="Q1" s="86" t="s">
        <v>3</v>
      </c>
      <c r="R1" s="8"/>
    </row>
    <row r="2" spans="2:18" ht="72" x14ac:dyDescent="0.3">
      <c r="B2" s="86"/>
      <c r="C2" s="9" t="s">
        <v>22</v>
      </c>
      <c r="D2" s="9" t="s">
        <v>28</v>
      </c>
      <c r="E2" s="9" t="s">
        <v>29</v>
      </c>
      <c r="F2" s="9" t="s">
        <v>30</v>
      </c>
      <c r="G2" s="9" t="s">
        <v>31</v>
      </c>
      <c r="H2" s="9" t="s">
        <v>32</v>
      </c>
      <c r="I2" s="9" t="s">
        <v>23</v>
      </c>
      <c r="J2" s="9" t="s">
        <v>24</v>
      </c>
      <c r="K2" s="9" t="s">
        <v>26</v>
      </c>
      <c r="L2" s="9" t="s">
        <v>25</v>
      </c>
      <c r="M2" s="9" t="s">
        <v>33</v>
      </c>
      <c r="N2" s="86"/>
      <c r="O2" s="86"/>
      <c r="P2" s="86"/>
      <c r="Q2" s="86"/>
      <c r="R2" s="1" t="s">
        <v>12</v>
      </c>
    </row>
    <row r="3" spans="2:18" x14ac:dyDescent="0.3">
      <c r="B3" s="4" t="s">
        <v>4</v>
      </c>
      <c r="C3" s="2">
        <v>0</v>
      </c>
      <c r="D3" s="2"/>
      <c r="E3" s="2"/>
      <c r="F3" s="2"/>
      <c r="G3" s="2"/>
      <c r="H3" s="2"/>
      <c r="I3" s="2">
        <v>3</v>
      </c>
      <c r="J3" s="2">
        <v>3</v>
      </c>
      <c r="K3" s="2">
        <v>5</v>
      </c>
      <c r="L3" s="2">
        <v>6</v>
      </c>
      <c r="M3" s="2"/>
      <c r="N3" s="2" t="s">
        <v>10</v>
      </c>
      <c r="O3" s="2">
        <f>SUM(C3:M3)</f>
        <v>17</v>
      </c>
      <c r="P3" s="3"/>
      <c r="Q3" s="3">
        <f>O3*P3</f>
        <v>0</v>
      </c>
      <c r="R3" s="13" t="s">
        <v>117</v>
      </c>
    </row>
    <row r="4" spans="2:18" x14ac:dyDescent="0.3">
      <c r="B4" s="4" t="s">
        <v>5</v>
      </c>
      <c r="C4" s="2">
        <v>500</v>
      </c>
      <c r="D4" s="2"/>
      <c r="E4" s="2"/>
      <c r="F4" s="2"/>
      <c r="G4" s="2"/>
      <c r="H4" s="2"/>
      <c r="I4" s="2">
        <f>7*250</f>
        <v>1750</v>
      </c>
      <c r="J4" s="2">
        <f>6*250</f>
        <v>1500</v>
      </c>
      <c r="K4" s="2">
        <f>8*250</f>
        <v>2000</v>
      </c>
      <c r="L4" s="2">
        <f>7*250</f>
        <v>1750</v>
      </c>
      <c r="M4" s="2">
        <f>1600*2</f>
        <v>3200</v>
      </c>
      <c r="N4" s="2" t="s">
        <v>14</v>
      </c>
      <c r="O4" s="2">
        <f>SUM(C4:M4)</f>
        <v>10700</v>
      </c>
      <c r="P4" s="3"/>
      <c r="Q4" s="3">
        <f t="shared" ref="Q4:Q9" si="0">O4*P4</f>
        <v>0</v>
      </c>
      <c r="R4" s="7" t="s">
        <v>15</v>
      </c>
    </row>
    <row r="5" spans="2:18" x14ac:dyDescent="0.3">
      <c r="B5" s="4" t="s">
        <v>13</v>
      </c>
      <c r="C5" s="2"/>
      <c r="D5" s="2"/>
      <c r="E5" s="2"/>
      <c r="F5" s="2"/>
      <c r="G5" s="2"/>
      <c r="H5" s="2"/>
      <c r="I5" s="2"/>
      <c r="J5" s="2"/>
      <c r="K5" s="2">
        <v>2</v>
      </c>
      <c r="L5" s="2"/>
      <c r="M5" s="2"/>
      <c r="N5" s="2" t="s">
        <v>1</v>
      </c>
      <c r="O5" s="2">
        <f>SUM(C5:M5)</f>
        <v>2</v>
      </c>
      <c r="P5" s="3"/>
      <c r="Q5" s="3">
        <f t="shared" si="0"/>
        <v>0</v>
      </c>
      <c r="R5" s="7" t="s">
        <v>16</v>
      </c>
    </row>
    <row r="6" spans="2:18" x14ac:dyDescent="0.3">
      <c r="B6" s="4" t="s">
        <v>7</v>
      </c>
      <c r="C6" s="2"/>
      <c r="D6" s="2" t="s">
        <v>27</v>
      </c>
      <c r="E6" s="2" t="s">
        <v>27</v>
      </c>
      <c r="F6" s="2" t="s">
        <v>27</v>
      </c>
      <c r="G6" s="2" t="s">
        <v>27</v>
      </c>
      <c r="H6" s="2" t="s">
        <v>27</v>
      </c>
      <c r="I6" s="2" t="s">
        <v>27</v>
      </c>
      <c r="J6" s="2" t="s">
        <v>27</v>
      </c>
      <c r="K6" s="2"/>
      <c r="L6" s="2"/>
      <c r="M6" s="2"/>
      <c r="N6" s="2" t="s">
        <v>11</v>
      </c>
      <c r="O6" s="2">
        <f>COUNTIF(C6:M6,"x")</f>
        <v>7</v>
      </c>
      <c r="P6" s="3"/>
      <c r="Q6" s="3">
        <f t="shared" si="0"/>
        <v>0</v>
      </c>
      <c r="R6" s="7" t="s">
        <v>17</v>
      </c>
    </row>
    <row r="7" spans="2:18" x14ac:dyDescent="0.3">
      <c r="B7" s="5" t="s">
        <v>18</v>
      </c>
      <c r="C7" s="11"/>
      <c r="D7" s="11"/>
      <c r="E7" s="11"/>
      <c r="F7" s="11"/>
      <c r="G7" s="11"/>
      <c r="H7" s="11"/>
      <c r="I7" s="12" t="s">
        <v>27</v>
      </c>
      <c r="J7" s="11"/>
      <c r="K7" s="11"/>
      <c r="L7" s="11"/>
      <c r="M7" s="11"/>
      <c r="N7" s="2"/>
      <c r="O7" s="2"/>
      <c r="P7" s="3"/>
      <c r="Q7" s="3">
        <f t="shared" si="0"/>
        <v>0</v>
      </c>
      <c r="R7" s="7" t="s">
        <v>19</v>
      </c>
    </row>
    <row r="8" spans="2:18" x14ac:dyDescent="0.3">
      <c r="B8" s="5" t="s">
        <v>8</v>
      </c>
      <c r="C8" s="11"/>
      <c r="D8" s="11"/>
      <c r="E8" s="11"/>
      <c r="F8" s="12" t="s">
        <v>27</v>
      </c>
      <c r="G8" s="11"/>
      <c r="H8" s="11"/>
      <c r="I8" s="11"/>
      <c r="J8" s="11"/>
      <c r="K8" s="11"/>
      <c r="L8" s="11"/>
      <c r="M8" s="11"/>
      <c r="N8" s="2"/>
      <c r="O8" s="2"/>
      <c r="P8" s="2"/>
      <c r="Q8" s="3">
        <f t="shared" si="0"/>
        <v>0</v>
      </c>
      <c r="R8" s="7" t="s">
        <v>20</v>
      </c>
    </row>
    <row r="9" spans="2:18" x14ac:dyDescent="0.3">
      <c r="B9" s="5" t="s">
        <v>9</v>
      </c>
      <c r="C9" s="11"/>
      <c r="D9" s="11"/>
      <c r="E9" s="11"/>
      <c r="F9" s="12" t="s">
        <v>27</v>
      </c>
      <c r="G9" s="11"/>
      <c r="H9" s="11"/>
      <c r="I9" s="11"/>
      <c r="J9" s="11"/>
      <c r="K9" s="11"/>
      <c r="L9" s="11"/>
      <c r="M9" s="11"/>
      <c r="N9" s="2"/>
      <c r="O9" s="2"/>
      <c r="P9" s="2"/>
      <c r="Q9" s="3">
        <f t="shared" si="0"/>
        <v>0</v>
      </c>
      <c r="R9" s="7" t="s">
        <v>21</v>
      </c>
    </row>
    <row r="10" spans="2:18" x14ac:dyDescent="0.3">
      <c r="Q10" s="6">
        <f>SUM(Q3:Q9)</f>
        <v>0</v>
      </c>
    </row>
    <row r="11" spans="2:18" ht="15" thickBot="1" x14ac:dyDescent="0.35"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6"/>
      <c r="O11" s="46"/>
      <c r="P11" s="46"/>
      <c r="Q11" s="46"/>
      <c r="R11" s="46"/>
    </row>
    <row r="12" spans="2:18" ht="15" thickTop="1" x14ac:dyDescent="0.3"/>
    <row r="13" spans="2:18" x14ac:dyDescent="0.3">
      <c r="B13" s="48" t="s">
        <v>59</v>
      </c>
    </row>
    <row r="15" spans="2:18" x14ac:dyDescent="0.3">
      <c r="B15" s="49" t="s">
        <v>60</v>
      </c>
    </row>
    <row r="16" spans="2:18" x14ac:dyDescent="0.3">
      <c r="B16" s="49" t="s">
        <v>75</v>
      </c>
      <c r="J16" s="10">
        <v>500</v>
      </c>
    </row>
    <row r="17" spans="2:10" x14ac:dyDescent="0.3">
      <c r="B17" s="49" t="s">
        <v>62</v>
      </c>
    </row>
    <row r="18" spans="2:10" x14ac:dyDescent="0.3">
      <c r="B18" s="49" t="s">
        <v>63</v>
      </c>
    </row>
    <row r="19" spans="2:10" x14ac:dyDescent="0.3">
      <c r="B19" s="49" t="s">
        <v>64</v>
      </c>
    </row>
    <row r="20" spans="2:10" x14ac:dyDescent="0.3">
      <c r="B20" s="49" t="s">
        <v>65</v>
      </c>
    </row>
    <row r="21" spans="2:10" ht="15" thickBot="1" x14ac:dyDescent="0.35"/>
    <row r="22" spans="2:10" ht="15" thickBot="1" x14ac:dyDescent="0.35">
      <c r="B22" s="89" t="s">
        <v>81</v>
      </c>
      <c r="C22" s="90"/>
      <c r="D22" s="90"/>
      <c r="E22" s="90"/>
      <c r="F22" s="90"/>
      <c r="G22" s="90"/>
      <c r="H22" s="90"/>
      <c r="I22" s="91"/>
    </row>
    <row r="23" spans="2:10" x14ac:dyDescent="0.3">
      <c r="B23" s="66" t="s">
        <v>66</v>
      </c>
      <c r="C23" s="67" t="s">
        <v>76</v>
      </c>
      <c r="D23" s="67" t="s">
        <v>73</v>
      </c>
      <c r="E23" s="67" t="s">
        <v>67</v>
      </c>
      <c r="F23" s="67" t="s">
        <v>68</v>
      </c>
      <c r="G23" s="67" t="s">
        <v>69</v>
      </c>
      <c r="H23" s="67" t="s">
        <v>70</v>
      </c>
      <c r="I23" s="68" t="s">
        <v>71</v>
      </c>
      <c r="J23" s="50"/>
    </row>
    <row r="24" spans="2:10" x14ac:dyDescent="0.3">
      <c r="B24" s="53" t="s">
        <v>72</v>
      </c>
      <c r="C24" s="51">
        <v>0</v>
      </c>
      <c r="D24" s="51" t="s">
        <v>74</v>
      </c>
      <c r="E24" s="51">
        <f>100/2</f>
        <v>50</v>
      </c>
      <c r="F24" s="51">
        <v>12</v>
      </c>
      <c r="G24" s="51">
        <f>ROUNDUP(E24/3+2,0)</f>
        <v>19</v>
      </c>
      <c r="H24" s="51">
        <v>3</v>
      </c>
      <c r="I24" s="54">
        <f>H24*(E24*2+G24*F24)*C24</f>
        <v>0</v>
      </c>
    </row>
    <row r="25" spans="2:10" x14ac:dyDescent="0.3">
      <c r="B25" s="55" t="s">
        <v>77</v>
      </c>
      <c r="C25" s="51">
        <v>3</v>
      </c>
      <c r="D25" s="51" t="s">
        <v>74</v>
      </c>
      <c r="E25" s="51">
        <f>100/2</f>
        <v>50</v>
      </c>
      <c r="F25" s="51">
        <v>12</v>
      </c>
      <c r="G25" s="51">
        <f t="shared" ref="G25:G28" si="1">ROUNDUP(E25/3+2,0)</f>
        <v>19</v>
      </c>
      <c r="H25" s="51">
        <v>3</v>
      </c>
      <c r="I25" s="54">
        <f t="shared" ref="I25" si="2">H25*(E25*2+G25*F25)*C25</f>
        <v>2952</v>
      </c>
    </row>
    <row r="26" spans="2:10" x14ac:dyDescent="0.3">
      <c r="B26" s="55" t="s">
        <v>78</v>
      </c>
      <c r="C26" s="51">
        <v>3</v>
      </c>
      <c r="D26" s="51" t="s">
        <v>74</v>
      </c>
      <c r="E26" s="51">
        <f>100/2</f>
        <v>50</v>
      </c>
      <c r="F26" s="51">
        <v>12</v>
      </c>
      <c r="G26" s="51">
        <f t="shared" si="1"/>
        <v>19</v>
      </c>
      <c r="H26" s="51">
        <v>3</v>
      </c>
      <c r="I26" s="54">
        <f t="shared" ref="I26" si="3">H26*(E26*2+G26*F26)*C26</f>
        <v>2952</v>
      </c>
    </row>
    <row r="27" spans="2:10" ht="15" thickBot="1" x14ac:dyDescent="0.35">
      <c r="B27" s="55" t="s">
        <v>79</v>
      </c>
      <c r="C27" s="51">
        <v>5</v>
      </c>
      <c r="D27" s="51" t="s">
        <v>74</v>
      </c>
      <c r="E27" s="51">
        <f>100/2</f>
        <v>50</v>
      </c>
      <c r="F27" s="51">
        <v>12</v>
      </c>
      <c r="G27" s="51">
        <f t="shared" si="1"/>
        <v>19</v>
      </c>
      <c r="H27" s="51">
        <v>3</v>
      </c>
      <c r="I27" s="54">
        <f t="shared" ref="I27" si="4">H27*(E27*2+G27*F27)*C27</f>
        <v>4920</v>
      </c>
    </row>
    <row r="28" spans="2:10" ht="15" thickBot="1" x14ac:dyDescent="0.35">
      <c r="B28" s="56" t="s">
        <v>80</v>
      </c>
      <c r="C28" s="52">
        <v>6</v>
      </c>
      <c r="D28" s="52" t="s">
        <v>74</v>
      </c>
      <c r="E28" s="52">
        <f>100/2</f>
        <v>50</v>
      </c>
      <c r="F28" s="52">
        <v>12</v>
      </c>
      <c r="G28" s="52">
        <f t="shared" si="1"/>
        <v>19</v>
      </c>
      <c r="H28" s="52">
        <v>3</v>
      </c>
      <c r="I28" s="57">
        <f t="shared" ref="I28" si="5">H28*(E28*2+G28*F28)*C28</f>
        <v>5904</v>
      </c>
      <c r="J28" s="64" t="s">
        <v>89</v>
      </c>
    </row>
    <row r="29" spans="2:10" ht="15.6" thickTop="1" thickBot="1" x14ac:dyDescent="0.35">
      <c r="B29" s="58" t="s">
        <v>82</v>
      </c>
      <c r="C29" s="59"/>
      <c r="D29" s="59"/>
      <c r="E29" s="59"/>
      <c r="F29" s="59"/>
      <c r="G29" s="59"/>
      <c r="H29" s="59"/>
      <c r="I29" s="60">
        <f>SUM(I24:I28)-50*2*SUM(C24:C28)</f>
        <v>15028</v>
      </c>
      <c r="J29" s="65">
        <f>ROUNDUP(I29/3,0)</f>
        <v>5010</v>
      </c>
    </row>
    <row r="30" spans="2:10" ht="15" thickBot="1" x14ac:dyDescent="0.35"/>
    <row r="31" spans="2:10" ht="15" thickBot="1" x14ac:dyDescent="0.35">
      <c r="B31" s="89" t="s">
        <v>83</v>
      </c>
      <c r="C31" s="90"/>
      <c r="D31" s="90"/>
      <c r="E31" s="90"/>
      <c r="F31" s="90"/>
      <c r="G31" s="90"/>
      <c r="H31" s="90"/>
      <c r="I31" s="91"/>
    </row>
    <row r="32" spans="2:10" x14ac:dyDescent="0.3">
      <c r="B32" s="66" t="s">
        <v>66</v>
      </c>
      <c r="C32" s="67" t="s">
        <v>76</v>
      </c>
      <c r="D32" s="67" t="s">
        <v>73</v>
      </c>
      <c r="E32" s="67"/>
      <c r="F32" s="67" t="s">
        <v>68</v>
      </c>
      <c r="G32" s="67"/>
      <c r="H32" s="67" t="s">
        <v>70</v>
      </c>
      <c r="I32" s="68" t="s">
        <v>71</v>
      </c>
    </row>
    <row r="33" spans="2:10" x14ac:dyDescent="0.3">
      <c r="B33" s="53" t="s">
        <v>72</v>
      </c>
      <c r="C33" s="51">
        <v>0</v>
      </c>
      <c r="D33" s="51" t="s">
        <v>84</v>
      </c>
      <c r="E33" s="51"/>
      <c r="F33" s="51">
        <f>50/2</f>
        <v>25</v>
      </c>
      <c r="G33" s="51"/>
      <c r="H33" s="51">
        <v>6</v>
      </c>
      <c r="I33" s="54">
        <f>H33*F33*C33</f>
        <v>0</v>
      </c>
    </row>
    <row r="34" spans="2:10" x14ac:dyDescent="0.3">
      <c r="B34" s="55" t="s">
        <v>77</v>
      </c>
      <c r="C34" s="51">
        <v>3</v>
      </c>
      <c r="D34" s="51" t="s">
        <v>84</v>
      </c>
      <c r="E34" s="51"/>
      <c r="F34" s="51">
        <f t="shared" ref="F34:F37" si="6">50/2</f>
        <v>25</v>
      </c>
      <c r="G34" s="51"/>
      <c r="H34" s="51">
        <v>6</v>
      </c>
      <c r="I34" s="54">
        <f t="shared" ref="I34:I37" si="7">H34*F34*C34</f>
        <v>450</v>
      </c>
    </row>
    <row r="35" spans="2:10" x14ac:dyDescent="0.3">
      <c r="B35" s="55" t="s">
        <v>78</v>
      </c>
      <c r="C35" s="51">
        <v>3</v>
      </c>
      <c r="D35" s="51" t="s">
        <v>84</v>
      </c>
      <c r="E35" s="51"/>
      <c r="F35" s="51">
        <f t="shared" si="6"/>
        <v>25</v>
      </c>
      <c r="G35" s="51"/>
      <c r="H35" s="51">
        <v>6</v>
      </c>
      <c r="I35" s="54">
        <f t="shared" si="7"/>
        <v>450</v>
      </c>
    </row>
    <row r="36" spans="2:10" ht="15" thickBot="1" x14ac:dyDescent="0.35">
      <c r="B36" s="55" t="s">
        <v>79</v>
      </c>
      <c r="C36" s="51">
        <v>4</v>
      </c>
      <c r="D36" s="51" t="s">
        <v>84</v>
      </c>
      <c r="E36" s="51"/>
      <c r="F36" s="51">
        <f t="shared" si="6"/>
        <v>25</v>
      </c>
      <c r="G36" s="51"/>
      <c r="H36" s="51">
        <v>6</v>
      </c>
      <c r="I36" s="54">
        <f t="shared" si="7"/>
        <v>600</v>
      </c>
    </row>
    <row r="37" spans="2:10" ht="15" thickBot="1" x14ac:dyDescent="0.35">
      <c r="B37" s="56" t="s">
        <v>80</v>
      </c>
      <c r="C37" s="52">
        <v>5</v>
      </c>
      <c r="D37" s="52" t="s">
        <v>84</v>
      </c>
      <c r="E37" s="52"/>
      <c r="F37" s="52">
        <f t="shared" si="6"/>
        <v>25</v>
      </c>
      <c r="G37" s="52"/>
      <c r="H37" s="52">
        <v>6</v>
      </c>
      <c r="I37" s="57">
        <f t="shared" si="7"/>
        <v>750</v>
      </c>
      <c r="J37" s="64" t="s">
        <v>89</v>
      </c>
    </row>
    <row r="38" spans="2:10" ht="15.6" thickTop="1" thickBot="1" x14ac:dyDescent="0.35">
      <c r="B38" s="58" t="s">
        <v>82</v>
      </c>
      <c r="C38" s="59"/>
      <c r="D38" s="59"/>
      <c r="E38" s="59"/>
      <c r="F38" s="59"/>
      <c r="G38" s="59"/>
      <c r="H38" s="59"/>
      <c r="I38" s="60">
        <f>SUM(I33:I37)</f>
        <v>2250</v>
      </c>
      <c r="J38" s="65">
        <f>I38/6</f>
        <v>375</v>
      </c>
    </row>
    <row r="39" spans="2:10" ht="15" thickBot="1" x14ac:dyDescent="0.35"/>
    <row r="40" spans="2:10" ht="15" thickBot="1" x14ac:dyDescent="0.35">
      <c r="B40" s="89" t="s">
        <v>85</v>
      </c>
      <c r="C40" s="90"/>
      <c r="D40" s="90"/>
      <c r="E40" s="90"/>
      <c r="F40" s="90"/>
      <c r="G40" s="90"/>
      <c r="H40" s="90"/>
      <c r="I40" s="91"/>
    </row>
    <row r="41" spans="2:10" x14ac:dyDescent="0.3">
      <c r="B41" s="66" t="s">
        <v>66</v>
      </c>
      <c r="C41" s="67"/>
      <c r="D41" s="67" t="s">
        <v>73</v>
      </c>
      <c r="E41" s="67" t="s">
        <v>67</v>
      </c>
      <c r="F41" s="67"/>
      <c r="G41" s="67"/>
      <c r="H41" s="67" t="s">
        <v>70</v>
      </c>
      <c r="I41" s="68" t="s">
        <v>71</v>
      </c>
    </row>
    <row r="42" spans="2:10" x14ac:dyDescent="0.3">
      <c r="B42" s="53" t="s">
        <v>72</v>
      </c>
      <c r="C42" s="51"/>
      <c r="D42" s="51" t="s">
        <v>86</v>
      </c>
      <c r="E42" s="51">
        <v>500</v>
      </c>
      <c r="F42" s="51"/>
      <c r="G42" s="51"/>
      <c r="H42" s="51">
        <v>1</v>
      </c>
      <c r="I42" s="54">
        <f>H42*E42</f>
        <v>500</v>
      </c>
    </row>
    <row r="43" spans="2:10" x14ac:dyDescent="0.3">
      <c r="B43" s="55" t="s">
        <v>77</v>
      </c>
      <c r="C43" s="51"/>
      <c r="D43" s="51" t="s">
        <v>86</v>
      </c>
      <c r="E43" s="51">
        <v>1750</v>
      </c>
      <c r="F43" s="51"/>
      <c r="G43" s="51"/>
      <c r="H43" s="51">
        <v>1</v>
      </c>
      <c r="I43" s="54">
        <f t="shared" ref="I43:I47" si="8">H43*E43</f>
        <v>1750</v>
      </c>
    </row>
    <row r="44" spans="2:10" x14ac:dyDescent="0.3">
      <c r="B44" s="55" t="s">
        <v>78</v>
      </c>
      <c r="C44" s="51"/>
      <c r="D44" s="51" t="s">
        <v>86</v>
      </c>
      <c r="E44" s="51">
        <v>1500</v>
      </c>
      <c r="F44" s="51"/>
      <c r="G44" s="51"/>
      <c r="H44" s="51">
        <v>1</v>
      </c>
      <c r="I44" s="54">
        <f t="shared" si="8"/>
        <v>1500</v>
      </c>
    </row>
    <row r="45" spans="2:10" x14ac:dyDescent="0.3">
      <c r="B45" s="55" t="s">
        <v>79</v>
      </c>
      <c r="C45" s="51"/>
      <c r="D45" s="51" t="s">
        <v>86</v>
      </c>
      <c r="E45" s="51">
        <v>2000</v>
      </c>
      <c r="F45" s="51"/>
      <c r="G45" s="51"/>
      <c r="H45" s="51">
        <v>1</v>
      </c>
      <c r="I45" s="54">
        <f t="shared" si="8"/>
        <v>2000</v>
      </c>
    </row>
    <row r="46" spans="2:10" ht="15" thickBot="1" x14ac:dyDescent="0.35">
      <c r="B46" s="55" t="s">
        <v>80</v>
      </c>
      <c r="C46" s="51"/>
      <c r="D46" s="51" t="s">
        <v>86</v>
      </c>
      <c r="E46" s="51">
        <v>1750</v>
      </c>
      <c r="F46" s="51"/>
      <c r="G46" s="51"/>
      <c r="H46" s="51">
        <v>1</v>
      </c>
      <c r="I46" s="54">
        <f t="shared" si="8"/>
        <v>1750</v>
      </c>
    </row>
    <row r="47" spans="2:10" ht="15" thickBot="1" x14ac:dyDescent="0.35">
      <c r="B47" s="61" t="s">
        <v>100</v>
      </c>
      <c r="C47" s="62"/>
      <c r="D47" s="52" t="s">
        <v>86</v>
      </c>
      <c r="E47" s="62">
        <v>3200</v>
      </c>
      <c r="F47" s="62"/>
      <c r="G47" s="62"/>
      <c r="H47" s="62">
        <v>1</v>
      </c>
      <c r="I47" s="57">
        <f t="shared" si="8"/>
        <v>3200</v>
      </c>
      <c r="J47" s="64" t="s">
        <v>89</v>
      </c>
    </row>
    <row r="48" spans="2:10" ht="15.6" thickTop="1" thickBot="1" x14ac:dyDescent="0.35">
      <c r="B48" s="58" t="s">
        <v>82</v>
      </c>
      <c r="C48" s="59"/>
      <c r="D48" s="59"/>
      <c r="E48" s="59"/>
      <c r="F48" s="59"/>
      <c r="G48" s="59"/>
      <c r="H48" s="59"/>
      <c r="I48" s="60">
        <f>SUM(I42:I47)</f>
        <v>10700</v>
      </c>
      <c r="J48" s="65">
        <f>I48/1</f>
        <v>10700</v>
      </c>
    </row>
    <row r="49" spans="2:10" ht="15" thickBot="1" x14ac:dyDescent="0.35"/>
    <row r="50" spans="2:10" ht="15" thickBot="1" x14ac:dyDescent="0.35">
      <c r="B50" s="89" t="s">
        <v>92</v>
      </c>
      <c r="C50" s="90"/>
      <c r="D50" s="90"/>
      <c r="E50" s="90"/>
      <c r="F50" s="90"/>
      <c r="G50" s="90"/>
      <c r="H50" s="90"/>
      <c r="I50" s="91"/>
    </row>
    <row r="51" spans="2:10" x14ac:dyDescent="0.3">
      <c r="B51" s="66" t="s">
        <v>66</v>
      </c>
      <c r="C51" s="67" t="s">
        <v>76</v>
      </c>
      <c r="D51" s="67" t="s">
        <v>93</v>
      </c>
      <c r="E51" s="67" t="s">
        <v>94</v>
      </c>
      <c r="F51" s="67"/>
      <c r="G51" s="67"/>
      <c r="H51" s="67" t="s">
        <v>70</v>
      </c>
      <c r="I51" s="68" t="s">
        <v>71</v>
      </c>
    </row>
    <row r="52" spans="2:10" x14ac:dyDescent="0.3">
      <c r="B52" s="53" t="s">
        <v>72</v>
      </c>
      <c r="C52" s="51">
        <v>0</v>
      </c>
      <c r="D52" s="51" t="s">
        <v>95</v>
      </c>
      <c r="E52" s="51">
        <v>50</v>
      </c>
      <c r="F52" s="51"/>
      <c r="G52" s="51"/>
      <c r="H52" s="51">
        <v>1</v>
      </c>
      <c r="I52" s="54">
        <f>C52*E52</f>
        <v>0</v>
      </c>
    </row>
    <row r="53" spans="2:10" x14ac:dyDescent="0.3">
      <c r="B53" s="53" t="s">
        <v>96</v>
      </c>
      <c r="C53" s="51">
        <v>0</v>
      </c>
      <c r="D53" s="51" t="s">
        <v>97</v>
      </c>
      <c r="E53" s="51">
        <v>75</v>
      </c>
      <c r="F53" s="51"/>
      <c r="G53" s="51"/>
      <c r="H53" s="51">
        <v>1</v>
      </c>
      <c r="I53" s="54">
        <f t="shared" ref="I53:I64" si="9">C53*E53</f>
        <v>0</v>
      </c>
    </row>
    <row r="54" spans="2:10" x14ac:dyDescent="0.3">
      <c r="B54" s="55" t="s">
        <v>77</v>
      </c>
      <c r="C54" s="51">
        <v>4</v>
      </c>
      <c r="D54" s="51" t="s">
        <v>98</v>
      </c>
      <c r="E54" s="51">
        <v>50</v>
      </c>
      <c r="F54" s="51"/>
      <c r="G54" s="51"/>
      <c r="H54" s="51">
        <v>1</v>
      </c>
      <c r="I54" s="54">
        <f t="shared" si="9"/>
        <v>200</v>
      </c>
    </row>
    <row r="55" spans="2:10" x14ac:dyDescent="0.3">
      <c r="B55" s="55"/>
      <c r="C55" s="51">
        <v>2</v>
      </c>
      <c r="D55" s="51" t="s">
        <v>95</v>
      </c>
      <c r="E55" s="51">
        <v>50</v>
      </c>
      <c r="F55" s="51"/>
      <c r="G55" s="51"/>
      <c r="H55" s="51">
        <v>1</v>
      </c>
      <c r="I55" s="54">
        <f t="shared" si="9"/>
        <v>100</v>
      </c>
    </row>
    <row r="56" spans="2:10" x14ac:dyDescent="0.3">
      <c r="B56" s="55"/>
      <c r="C56" s="51">
        <v>8</v>
      </c>
      <c r="D56" s="51" t="s">
        <v>97</v>
      </c>
      <c r="E56" s="51">
        <v>75</v>
      </c>
      <c r="F56" s="51"/>
      <c r="G56" s="51"/>
      <c r="H56" s="51">
        <v>1</v>
      </c>
      <c r="I56" s="54">
        <f t="shared" si="9"/>
        <v>600</v>
      </c>
    </row>
    <row r="57" spans="2:10" x14ac:dyDescent="0.3">
      <c r="B57" s="55"/>
      <c r="C57" s="51">
        <v>2</v>
      </c>
      <c r="D57" s="51" t="s">
        <v>99</v>
      </c>
      <c r="E57" s="51">
        <v>40</v>
      </c>
      <c r="F57" s="51"/>
      <c r="G57" s="51"/>
      <c r="H57" s="51">
        <v>1</v>
      </c>
      <c r="I57" s="54">
        <f t="shared" si="9"/>
        <v>80</v>
      </c>
    </row>
    <row r="58" spans="2:10" x14ac:dyDescent="0.3">
      <c r="B58" s="55" t="s">
        <v>78</v>
      </c>
      <c r="C58" s="51">
        <v>4</v>
      </c>
      <c r="D58" s="51" t="s">
        <v>98</v>
      </c>
      <c r="E58" s="51">
        <v>50</v>
      </c>
      <c r="F58" s="51"/>
      <c r="G58" s="51"/>
      <c r="H58" s="51">
        <v>1</v>
      </c>
      <c r="I58" s="54">
        <f t="shared" si="9"/>
        <v>200</v>
      </c>
    </row>
    <row r="59" spans="2:10" x14ac:dyDescent="0.3">
      <c r="B59" s="55"/>
      <c r="C59" s="51">
        <v>2</v>
      </c>
      <c r="D59" s="51" t="s">
        <v>95</v>
      </c>
      <c r="E59" s="51">
        <v>50</v>
      </c>
      <c r="F59" s="51"/>
      <c r="G59" s="51"/>
      <c r="H59" s="51">
        <v>1</v>
      </c>
      <c r="I59" s="54">
        <f t="shared" si="9"/>
        <v>100</v>
      </c>
    </row>
    <row r="60" spans="2:10" x14ac:dyDescent="0.3">
      <c r="B60" s="55"/>
      <c r="C60" s="51">
        <v>8</v>
      </c>
      <c r="D60" s="51" t="s">
        <v>97</v>
      </c>
      <c r="E60" s="51">
        <v>75</v>
      </c>
      <c r="F60" s="51"/>
      <c r="G60" s="51"/>
      <c r="H60" s="51">
        <v>1</v>
      </c>
      <c r="I60" s="54">
        <f t="shared" si="9"/>
        <v>600</v>
      </c>
    </row>
    <row r="61" spans="2:10" x14ac:dyDescent="0.3">
      <c r="B61" s="55"/>
      <c r="C61" s="51">
        <v>2</v>
      </c>
      <c r="D61" s="51" t="s">
        <v>99</v>
      </c>
      <c r="E61" s="51">
        <v>40</v>
      </c>
      <c r="F61" s="51"/>
      <c r="G61" s="51"/>
      <c r="H61" s="51">
        <v>1</v>
      </c>
      <c r="I61" s="54">
        <f t="shared" si="9"/>
        <v>80</v>
      </c>
    </row>
    <row r="62" spans="2:10" x14ac:dyDescent="0.3">
      <c r="B62" s="55" t="s">
        <v>79</v>
      </c>
      <c r="C62" s="51">
        <v>8</v>
      </c>
      <c r="D62" s="51" t="s">
        <v>95</v>
      </c>
      <c r="E62" s="51">
        <v>50</v>
      </c>
      <c r="F62" s="51"/>
      <c r="G62" s="51"/>
      <c r="H62" s="51">
        <v>1</v>
      </c>
      <c r="I62" s="54">
        <f t="shared" si="9"/>
        <v>400</v>
      </c>
    </row>
    <row r="63" spans="2:10" ht="15" thickBot="1" x14ac:dyDescent="0.35">
      <c r="B63" s="55" t="s">
        <v>80</v>
      </c>
      <c r="C63" s="51">
        <v>0</v>
      </c>
      <c r="D63" s="51" t="s">
        <v>61</v>
      </c>
      <c r="E63" s="51"/>
      <c r="F63" s="51"/>
      <c r="G63" s="51"/>
      <c r="H63" s="51">
        <v>1</v>
      </c>
      <c r="I63" s="54">
        <f t="shared" si="9"/>
        <v>0</v>
      </c>
    </row>
    <row r="64" spans="2:10" ht="15" thickBot="1" x14ac:dyDescent="0.35">
      <c r="B64" s="61"/>
      <c r="C64" s="62"/>
      <c r="D64" s="52"/>
      <c r="E64" s="62"/>
      <c r="F64" s="62"/>
      <c r="G64" s="62"/>
      <c r="H64" s="62">
        <v>1</v>
      </c>
      <c r="I64" s="57">
        <f t="shared" si="9"/>
        <v>0</v>
      </c>
      <c r="J64" s="64" t="s">
        <v>89</v>
      </c>
    </row>
    <row r="65" spans="2:10" ht="15.6" thickTop="1" thickBot="1" x14ac:dyDescent="0.35">
      <c r="B65" s="58" t="s">
        <v>82</v>
      </c>
      <c r="C65" s="59"/>
      <c r="D65" s="59"/>
      <c r="E65" s="59"/>
      <c r="F65" s="59"/>
      <c r="G65" s="59"/>
      <c r="H65" s="59"/>
      <c r="I65" s="60">
        <f>SUM(I52:I64)</f>
        <v>2360</v>
      </c>
      <c r="J65" s="65">
        <f>I65/1</f>
        <v>2360</v>
      </c>
    </row>
    <row r="66" spans="2:10" ht="15" thickBot="1" x14ac:dyDescent="0.35">
      <c r="B66" s="87" t="s">
        <v>109</v>
      </c>
      <c r="C66" s="88"/>
    </row>
    <row r="67" spans="2:10" ht="15" thickBot="1" x14ac:dyDescent="0.35">
      <c r="B67" s="72" t="s">
        <v>107</v>
      </c>
      <c r="C67" s="73">
        <f>J65</f>
        <v>2360</v>
      </c>
    </row>
    <row r="68" spans="2:10" ht="15" thickBot="1" x14ac:dyDescent="0.35">
      <c r="B68" s="75" t="s">
        <v>101</v>
      </c>
      <c r="C68" s="63">
        <f>SUM(C52:C63)</f>
        <v>40</v>
      </c>
    </row>
    <row r="69" spans="2:10" x14ac:dyDescent="0.3">
      <c r="B69" s="69" t="s">
        <v>102</v>
      </c>
      <c r="C69" s="74">
        <v>5</v>
      </c>
    </row>
    <row r="70" spans="2:10" ht="15" thickBot="1" x14ac:dyDescent="0.35">
      <c r="B70" s="70" t="s">
        <v>103</v>
      </c>
      <c r="C70" s="71">
        <f>C67*C69</f>
        <v>11800</v>
      </c>
    </row>
    <row r="71" spans="2:10" ht="15" thickBot="1" x14ac:dyDescent="0.35">
      <c r="B71" s="75" t="s">
        <v>104</v>
      </c>
      <c r="C71" s="76">
        <v>450</v>
      </c>
    </row>
  </sheetData>
  <mergeCells count="11">
    <mergeCell ref="B66:C66"/>
    <mergeCell ref="B22:I22"/>
    <mergeCell ref="B31:I31"/>
    <mergeCell ref="B40:I40"/>
    <mergeCell ref="B50:I50"/>
    <mergeCell ref="Q1:Q2"/>
    <mergeCell ref="P1:P2"/>
    <mergeCell ref="O1:O2"/>
    <mergeCell ref="N1:N2"/>
    <mergeCell ref="B1:B2"/>
    <mergeCell ref="C1:M1"/>
  </mergeCells>
  <pageMargins left="0.7" right="0.7" top="0.75" bottom="0.75" header="0.3" footer="0.3"/>
  <pageSetup scale="55" orientation="landscape" horizontalDpi="1200" verticalDpi="1200" r:id="rId1"/>
  <rowBreaks count="1" manualBreakCount="1">
    <brk id="9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Calcs</vt:lpstr>
      <vt:lpstr>Calcs!Print_Area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O'Donnell, Craig</dc:creator>
  <cp:lastModifiedBy>O'Donnell, Craig</cp:lastModifiedBy>
  <cp:lastPrinted>2017-12-14T15:30:30Z</cp:lastPrinted>
  <dcterms:created xsi:type="dcterms:W3CDTF">2017-10-16T20:13:26Z</dcterms:created>
  <dcterms:modified xsi:type="dcterms:W3CDTF">2017-12-14T15:35:31Z</dcterms:modified>
</cp:coreProperties>
</file>