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NewYorkCity\29753.00 LowerConcourse North EIS\tech\CEQR\05_EAS-EIS\Analysis\Transportation\Trip Gen\"/>
    </mc:Choice>
  </mc:AlternateContent>
  <bookViews>
    <workbookView xWindow="-12" yWindow="-12" windowWidth="14520" windowHeight="12852" tabRatio="789" firstSheet="4" activeTab="8"/>
  </bookViews>
  <sheets>
    <sheet name="Residential" sheetId="2" r:id="rId1"/>
    <sheet name="Local Retail" sheetId="41" r:id="rId2"/>
    <sheet name="Food Store" sheetId="69" r:id="rId3"/>
    <sheet name="Medical Office" sheetId="64" r:id="rId4"/>
    <sheet name="Passive Space" sheetId="63" r:id="rId5"/>
    <sheet name="Active Space" sheetId="68" r:id="rId6"/>
    <sheet name="Office" sheetId="73" r:id="rId7"/>
    <sheet name="Dest Retail" sheetId="75" r:id="rId8"/>
    <sheet name=" Trip Gen Summary Proposed" sheetId="56" r:id="rId9"/>
    <sheet name="Trip Linkage" sheetId="81" r:id="rId10"/>
  </sheets>
  <definedNames>
    <definedName name="_xlnm.Print_Area" localSheetId="8">' Trip Gen Summary Proposed'!$A$1:$AA$106</definedName>
    <definedName name="_xlnm.Print_Area" localSheetId="5">'Active Space'!$A$1:$M$74</definedName>
    <definedName name="_xlnm.Print_Area" localSheetId="7">'Dest Retail'!$A$1:$M$73</definedName>
    <definedName name="_xlnm.Print_Area" localSheetId="2">'Food Store'!$A$1:$M$73</definedName>
    <definedName name="_xlnm.Print_Area" localSheetId="1">'Local Retail'!$A$1:$M$73</definedName>
    <definedName name="_xlnm.Print_Area" localSheetId="3">'Medical Office'!$A$1:$M$73</definedName>
    <definedName name="_xlnm.Print_Area" localSheetId="6">Office!$A$1:$M$73</definedName>
    <definedName name="_xlnm.Print_Area" localSheetId="4">'Passive Space'!$A$1:$M$74</definedName>
    <definedName name="_xlnm.Print_Area" localSheetId="0">Residential!$A$1:$M$74</definedName>
    <definedName name="Worker_RJTW_Mode" localSheetId="8">#REF!</definedName>
    <definedName name="Worker_RJTW_Mode" localSheetId="5">#REF!</definedName>
    <definedName name="Worker_RJTW_Mode" localSheetId="7">#REF!</definedName>
    <definedName name="Worker_RJTW_Mode" localSheetId="2">#REF!</definedName>
    <definedName name="Worker_RJTW_Mode" localSheetId="1">#REF!</definedName>
    <definedName name="Worker_RJTW_Mode" localSheetId="3">#REF!</definedName>
    <definedName name="Worker_RJTW_Mode" localSheetId="6">#REF!</definedName>
    <definedName name="Worker_RJTW_Mode">#REF!</definedName>
  </definedNames>
  <calcPr calcId="171027"/>
</workbook>
</file>

<file path=xl/calcChain.xml><?xml version="1.0" encoding="utf-8"?>
<calcChain xmlns="http://schemas.openxmlformats.org/spreadsheetml/2006/main">
  <c r="Z133" i="56" l="1"/>
  <c r="AA133" i="56" s="1"/>
  <c r="Y133" i="56"/>
  <c r="W133" i="56"/>
  <c r="X133" i="56" s="1"/>
  <c r="V133" i="56"/>
  <c r="T133" i="56"/>
  <c r="U133" i="56" s="1"/>
  <c r="S133" i="56"/>
  <c r="R133" i="56"/>
  <c r="Q133" i="56"/>
  <c r="P133" i="56"/>
  <c r="Z132" i="56"/>
  <c r="Y132" i="56"/>
  <c r="W132" i="56"/>
  <c r="V132" i="56"/>
  <c r="T132" i="56"/>
  <c r="S132" i="56"/>
  <c r="Q132" i="56"/>
  <c r="P132" i="56"/>
  <c r="Z131" i="56"/>
  <c r="Y131" i="56"/>
  <c r="W131" i="56"/>
  <c r="V131" i="56"/>
  <c r="T131" i="56"/>
  <c r="S131" i="56"/>
  <c r="Q131" i="56"/>
  <c r="P131" i="56"/>
  <c r="Z130" i="56"/>
  <c r="Y130" i="56"/>
  <c r="W130" i="56"/>
  <c r="V130" i="56"/>
  <c r="T130" i="56"/>
  <c r="S130" i="56"/>
  <c r="Q130" i="56"/>
  <c r="P130" i="56"/>
  <c r="Z129" i="56"/>
  <c r="Y129" i="56"/>
  <c r="W129" i="56"/>
  <c r="V129" i="56"/>
  <c r="T129" i="56"/>
  <c r="S129" i="56"/>
  <c r="Q129" i="56"/>
  <c r="P129" i="56"/>
  <c r="Z128" i="56"/>
  <c r="Y128" i="56"/>
  <c r="W128" i="56"/>
  <c r="V128" i="56"/>
  <c r="T128" i="56"/>
  <c r="S128" i="56"/>
  <c r="Q128" i="56"/>
  <c r="P128" i="56"/>
  <c r="Z127" i="56"/>
  <c r="Y127" i="56"/>
  <c r="W127" i="56"/>
  <c r="V127" i="56"/>
  <c r="T127" i="56"/>
  <c r="S127" i="56"/>
  <c r="Q127" i="56"/>
  <c r="P127" i="56"/>
  <c r="Z126" i="56"/>
  <c r="Y126" i="56"/>
  <c r="W126" i="56"/>
  <c r="V126" i="56"/>
  <c r="T126" i="56"/>
  <c r="S126" i="56"/>
  <c r="Q126" i="56"/>
  <c r="P126" i="56"/>
  <c r="Z125" i="56"/>
  <c r="Y125" i="56"/>
  <c r="W125" i="56"/>
  <c r="V125" i="56"/>
  <c r="T125" i="56"/>
  <c r="S125" i="56"/>
  <c r="Q125" i="56"/>
  <c r="P125" i="56"/>
  <c r="Z124" i="56"/>
  <c r="Y124" i="56"/>
  <c r="W124" i="56"/>
  <c r="V124" i="56"/>
  <c r="T124" i="56"/>
  <c r="S124" i="56"/>
  <c r="Q124" i="56"/>
  <c r="P124" i="56"/>
  <c r="Z123" i="56"/>
  <c r="Y123" i="56"/>
  <c r="W123" i="56"/>
  <c r="V123" i="56"/>
  <c r="T123" i="56"/>
  <c r="S123" i="56"/>
  <c r="Q123" i="56"/>
  <c r="P123" i="56"/>
  <c r="K52" i="75" l="1"/>
  <c r="AD14" i="56" l="1"/>
  <c r="AE14" i="56" s="1"/>
  <c r="AF14" i="56" s="1"/>
  <c r="AM25" i="56"/>
  <c r="AJ25" i="56"/>
  <c r="AH25" i="56"/>
  <c r="AG25" i="56"/>
  <c r="AD25" i="56"/>
  <c r="AM23" i="56"/>
  <c r="AJ23" i="56"/>
  <c r="AG23" i="56"/>
  <c r="AD23" i="56"/>
  <c r="AM14" i="56"/>
  <c r="AJ14" i="56"/>
  <c r="AG14" i="56"/>
  <c r="AM12" i="56"/>
  <c r="AJ12" i="56"/>
  <c r="AG12" i="56"/>
  <c r="AD12" i="56"/>
  <c r="AM47" i="56"/>
  <c r="AJ47" i="56"/>
  <c r="AK47" i="56" s="1"/>
  <c r="AL47" i="56" s="1"/>
  <c r="AG47" i="56"/>
  <c r="AH47" i="56" s="1"/>
  <c r="AI47" i="56" s="1"/>
  <c r="AD47" i="56"/>
  <c r="AM45" i="56"/>
  <c r="AJ45" i="56"/>
  <c r="AG45" i="56"/>
  <c r="AD45" i="56"/>
  <c r="AM36" i="56"/>
  <c r="AJ36" i="56"/>
  <c r="AG36" i="56"/>
  <c r="AD36" i="56"/>
  <c r="AE36" i="56" s="1"/>
  <c r="AM34" i="56"/>
  <c r="AJ34" i="56"/>
  <c r="AG34" i="56"/>
  <c r="AD34" i="56"/>
  <c r="AM69" i="56"/>
  <c r="AN69" i="56" s="1"/>
  <c r="AJ69" i="56"/>
  <c r="AK69" i="56" s="1"/>
  <c r="AG69" i="56"/>
  <c r="AD69" i="56"/>
  <c r="AE69" i="56" s="1"/>
  <c r="AF69" i="56" s="1"/>
  <c r="AM67" i="56"/>
  <c r="AJ67" i="56"/>
  <c r="AG67" i="56"/>
  <c r="AD67" i="56"/>
  <c r="AM58" i="56"/>
  <c r="AJ58" i="56"/>
  <c r="AG58" i="56"/>
  <c r="AD58" i="56"/>
  <c r="AM56" i="56"/>
  <c r="AJ56" i="56"/>
  <c r="AG56" i="56"/>
  <c r="AD56" i="56"/>
  <c r="AM80" i="56"/>
  <c r="AJ80" i="56"/>
  <c r="AG80" i="56"/>
  <c r="AD80" i="56"/>
  <c r="AN80" i="56"/>
  <c r="AM110" i="56"/>
  <c r="AJ110" i="56"/>
  <c r="AG110" i="56"/>
  <c r="AD110" i="56"/>
  <c r="AM89" i="56"/>
  <c r="AJ89" i="56"/>
  <c r="AG89" i="56"/>
  <c r="AD89" i="56"/>
  <c r="AM78" i="56"/>
  <c r="AJ78" i="56"/>
  <c r="AG78" i="56"/>
  <c r="AD78" i="56"/>
  <c r="AN14" i="56" l="1"/>
  <c r="AO14" i="56" s="1"/>
  <c r="AH36" i="56"/>
  <c r="AI36" i="56" s="1"/>
  <c r="AH58" i="56"/>
  <c r="AI58" i="56" s="1"/>
  <c r="AI25" i="56"/>
  <c r="AE25" i="56"/>
  <c r="AF25" i="56" s="1"/>
  <c r="AN25" i="56"/>
  <c r="AO25" i="56" s="1"/>
  <c r="AK14" i="56"/>
  <c r="AK25" i="56"/>
  <c r="AL25" i="56" s="1"/>
  <c r="AH14" i="56"/>
  <c r="AE47" i="56"/>
  <c r="AF47" i="56"/>
  <c r="AN47" i="56"/>
  <c r="AK36" i="56"/>
  <c r="AL36" i="56" s="1"/>
  <c r="AO47" i="56"/>
  <c r="AF36" i="56"/>
  <c r="AN36" i="56"/>
  <c r="AO36" i="56" s="1"/>
  <c r="AL69" i="56"/>
  <c r="AE58" i="56"/>
  <c r="AF58" i="56" s="1"/>
  <c r="AK58" i="56"/>
  <c r="AL58" i="56" s="1"/>
  <c r="AO69" i="56"/>
  <c r="AN58" i="56"/>
  <c r="AO58" i="56" s="1"/>
  <c r="AH69" i="56"/>
  <c r="AI69" i="56" s="1"/>
  <c r="AE80" i="56"/>
  <c r="AH80" i="56"/>
  <c r="AI80" i="56" s="1"/>
  <c r="AO80" i="56"/>
  <c r="AK80" i="56"/>
  <c r="AL80" i="56" s="1"/>
  <c r="AI14" i="56" l="1"/>
  <c r="AL14" i="56"/>
  <c r="AF80" i="56"/>
  <c r="A3" i="81" l="1"/>
  <c r="A9" i="56"/>
  <c r="A8" i="56"/>
  <c r="B3" i="69"/>
  <c r="C30" i="75" l="1"/>
  <c r="C33" i="75" s="1"/>
  <c r="B54" i="75" s="1"/>
  <c r="B93" i="56" s="1"/>
  <c r="A59" i="75"/>
  <c r="A49" i="75"/>
  <c r="A88" i="56" s="1"/>
  <c r="A37" i="75"/>
  <c r="O88" i="56" s="1"/>
  <c r="B4" i="75"/>
  <c r="B5" i="75" l="1"/>
  <c r="E30" i="75"/>
  <c r="E34" i="75" s="1"/>
  <c r="K54" i="75" s="1"/>
  <c r="K93" i="56" s="1"/>
  <c r="C5" i="75"/>
  <c r="A3" i="56"/>
  <c r="K43" i="75" l="1"/>
  <c r="Y94" i="56" s="1"/>
  <c r="L44" i="75"/>
  <c r="Z95" i="56" s="1"/>
  <c r="K41" i="75"/>
  <c r="L43" i="75"/>
  <c r="Z94" i="56" s="1"/>
  <c r="K40" i="75"/>
  <c r="L42" i="75"/>
  <c r="Z93" i="56" s="1"/>
  <c r="L41" i="75"/>
  <c r="L40" i="75"/>
  <c r="K44" i="75"/>
  <c r="Y95" i="56" s="1"/>
  <c r="K42" i="75"/>
  <c r="Y93" i="56" s="1"/>
  <c r="K64" i="75"/>
  <c r="L54" i="75"/>
  <c r="I44" i="75"/>
  <c r="W95" i="56" s="1"/>
  <c r="E43" i="75"/>
  <c r="S94" i="56" s="1"/>
  <c r="I42" i="75"/>
  <c r="W93" i="56" s="1"/>
  <c r="E41" i="75"/>
  <c r="S92" i="56" s="1"/>
  <c r="I40" i="75"/>
  <c r="W91" i="56" s="1"/>
  <c r="F44" i="75"/>
  <c r="T95" i="56" s="1"/>
  <c r="B43" i="75"/>
  <c r="P94" i="56" s="1"/>
  <c r="F42" i="75"/>
  <c r="T93" i="56" s="1"/>
  <c r="B41" i="75"/>
  <c r="P92" i="56" s="1"/>
  <c r="F40" i="75"/>
  <c r="T91" i="56" s="1"/>
  <c r="E44" i="75"/>
  <c r="I43" i="75"/>
  <c r="W94" i="56" s="1"/>
  <c r="E42" i="75"/>
  <c r="S93" i="56" s="1"/>
  <c r="I41" i="75"/>
  <c r="E40" i="75"/>
  <c r="S91" i="56" s="1"/>
  <c r="H43" i="75"/>
  <c r="V94" i="56" s="1"/>
  <c r="H41" i="75"/>
  <c r="V92" i="56" s="1"/>
  <c r="C44" i="75"/>
  <c r="Q95" i="56" s="1"/>
  <c r="C42" i="75"/>
  <c r="Q93" i="56" s="1"/>
  <c r="C40" i="75"/>
  <c r="Q91" i="56" s="1"/>
  <c r="F41" i="75"/>
  <c r="C43" i="75"/>
  <c r="Q94" i="56" s="1"/>
  <c r="H44" i="75"/>
  <c r="V95" i="56" s="1"/>
  <c r="C41" i="75"/>
  <c r="H42" i="75"/>
  <c r="V93" i="56" s="1"/>
  <c r="B44" i="75"/>
  <c r="H40" i="75"/>
  <c r="V91" i="56" s="1"/>
  <c r="B42" i="75"/>
  <c r="B40" i="75"/>
  <c r="P91" i="56" s="1"/>
  <c r="F43" i="75"/>
  <c r="T94" i="56" s="1"/>
  <c r="C34" i="75"/>
  <c r="E54" i="75" s="1"/>
  <c r="E93" i="56" s="1"/>
  <c r="C35" i="75"/>
  <c r="H54" i="75" s="1"/>
  <c r="H93" i="56" s="1"/>
  <c r="A59" i="73"/>
  <c r="A49" i="73"/>
  <c r="A77" i="56" s="1"/>
  <c r="A37" i="73"/>
  <c r="O77" i="56" s="1"/>
  <c r="B4" i="73"/>
  <c r="E30" i="73" s="1"/>
  <c r="E34" i="73" s="1"/>
  <c r="K54" i="73" s="1"/>
  <c r="K82" i="56" s="1"/>
  <c r="L64" i="75" l="1"/>
  <c r="L93" i="56"/>
  <c r="I53" i="75"/>
  <c r="I92" i="56" s="1"/>
  <c r="W92" i="56"/>
  <c r="F53" i="75"/>
  <c r="F92" i="56" s="1"/>
  <c r="T92" i="56"/>
  <c r="D42" i="75"/>
  <c r="R93" i="56" s="1"/>
  <c r="P93" i="56"/>
  <c r="Z91" i="56"/>
  <c r="L52" i="75"/>
  <c r="L91" i="56" s="1"/>
  <c r="G44" i="75"/>
  <c r="U95" i="56" s="1"/>
  <c r="S95" i="56"/>
  <c r="Z92" i="56"/>
  <c r="L53" i="75"/>
  <c r="L92" i="56" s="1"/>
  <c r="D44" i="75"/>
  <c r="R95" i="56" s="1"/>
  <c r="P95" i="56"/>
  <c r="Y92" i="56"/>
  <c r="K53" i="75"/>
  <c r="K92" i="56" s="1"/>
  <c r="C53" i="75"/>
  <c r="C92" i="56" s="1"/>
  <c r="Q92" i="56"/>
  <c r="Y91" i="56"/>
  <c r="K91" i="56"/>
  <c r="M42" i="75"/>
  <c r="AA93" i="56" s="1"/>
  <c r="M44" i="75"/>
  <c r="AA95" i="56" s="1"/>
  <c r="J44" i="75"/>
  <c r="X95" i="56" s="1"/>
  <c r="M64" i="75"/>
  <c r="M54" i="75"/>
  <c r="M93" i="56" s="1"/>
  <c r="M43" i="75"/>
  <c r="AA94" i="56" s="1"/>
  <c r="G42" i="75"/>
  <c r="U93" i="56" s="1"/>
  <c r="B52" i="75"/>
  <c r="B91" i="56" s="1"/>
  <c r="B45" i="75"/>
  <c r="P96" i="56" s="1"/>
  <c r="D40" i="75"/>
  <c r="R91" i="56" s="1"/>
  <c r="C52" i="75"/>
  <c r="C91" i="56" s="1"/>
  <c r="C45" i="75"/>
  <c r="Q96" i="56" s="1"/>
  <c r="I54" i="75"/>
  <c r="H64" i="75"/>
  <c r="H52" i="75"/>
  <c r="H91" i="56" s="1"/>
  <c r="H45" i="75"/>
  <c r="V96" i="56" s="1"/>
  <c r="J40" i="75"/>
  <c r="X91" i="56" s="1"/>
  <c r="F52" i="75"/>
  <c r="F91" i="56" s="1"/>
  <c r="F45" i="75"/>
  <c r="T96" i="56" s="1"/>
  <c r="G43" i="75"/>
  <c r="U94" i="56" s="1"/>
  <c r="F54" i="75"/>
  <c r="E64" i="75"/>
  <c r="J42" i="75"/>
  <c r="X93" i="56" s="1"/>
  <c r="J41" i="75"/>
  <c r="X92" i="56" s="1"/>
  <c r="H53" i="75"/>
  <c r="H92" i="56" s="1"/>
  <c r="AJ91" i="56" s="1"/>
  <c r="D41" i="75"/>
  <c r="R92" i="56" s="1"/>
  <c r="B53" i="75"/>
  <c r="B92" i="56" s="1"/>
  <c r="M40" i="75"/>
  <c r="AA91" i="56" s="1"/>
  <c r="K45" i="75"/>
  <c r="Y96" i="56" s="1"/>
  <c r="J43" i="75"/>
  <c r="X94" i="56" s="1"/>
  <c r="I45" i="75"/>
  <c r="W96" i="56" s="1"/>
  <c r="I52" i="75"/>
  <c r="I91" i="56" s="1"/>
  <c r="B64" i="75"/>
  <c r="C54" i="75"/>
  <c r="E45" i="75"/>
  <c r="S96" i="56" s="1"/>
  <c r="E52" i="75"/>
  <c r="E91" i="56" s="1"/>
  <c r="G40" i="75"/>
  <c r="U91" i="56" s="1"/>
  <c r="D43" i="75"/>
  <c r="R94" i="56" s="1"/>
  <c r="G41" i="75"/>
  <c r="U92" i="56" s="1"/>
  <c r="E53" i="75"/>
  <c r="E92" i="56" s="1"/>
  <c r="L45" i="75"/>
  <c r="Z96" i="56" s="1"/>
  <c r="M41" i="75"/>
  <c r="AA92" i="56" s="1"/>
  <c r="B5" i="73"/>
  <c r="I44" i="73" s="1"/>
  <c r="W84" i="56" s="1"/>
  <c r="I14" i="81" s="1"/>
  <c r="K64" i="73"/>
  <c r="L54" i="73"/>
  <c r="C30" i="73"/>
  <c r="C5" i="73"/>
  <c r="AM91" i="56" l="1"/>
  <c r="AJ112" i="56"/>
  <c r="AK91" i="56"/>
  <c r="AG91" i="56"/>
  <c r="AD91" i="56"/>
  <c r="C64" i="75"/>
  <c r="D64" i="75" s="1"/>
  <c r="C93" i="56"/>
  <c r="J64" i="75"/>
  <c r="F64" i="75"/>
  <c r="G64" i="75" s="1"/>
  <c r="F93" i="56"/>
  <c r="I64" i="75"/>
  <c r="I93" i="56"/>
  <c r="G45" i="75"/>
  <c r="U96" i="56" s="1"/>
  <c r="K63" i="75"/>
  <c r="M53" i="75"/>
  <c r="M92" i="56" s="1"/>
  <c r="E55" i="75"/>
  <c r="E94" i="56" s="1"/>
  <c r="G52" i="75"/>
  <c r="G91" i="56" s="1"/>
  <c r="E62" i="75"/>
  <c r="J52" i="75"/>
  <c r="J91" i="56" s="1"/>
  <c r="H55" i="75"/>
  <c r="H94" i="56" s="1"/>
  <c r="H62" i="75"/>
  <c r="D52" i="75"/>
  <c r="D91" i="56" s="1"/>
  <c r="B62" i="75"/>
  <c r="B55" i="75"/>
  <c r="B94" i="56" s="1"/>
  <c r="K55" i="75"/>
  <c r="K94" i="56" s="1"/>
  <c r="M52" i="75"/>
  <c r="M91" i="56" s="1"/>
  <c r="K62" i="75"/>
  <c r="M45" i="75"/>
  <c r="AA96" i="56" s="1"/>
  <c r="G54" i="75"/>
  <c r="G93" i="56" s="1"/>
  <c r="L55" i="75"/>
  <c r="L94" i="56" s="1"/>
  <c r="L62" i="75"/>
  <c r="D53" i="75"/>
  <c r="D92" i="56" s="1"/>
  <c r="B63" i="75"/>
  <c r="J54" i="75"/>
  <c r="J93" i="56" s="1"/>
  <c r="G53" i="75"/>
  <c r="G92" i="56" s="1"/>
  <c r="E63" i="75"/>
  <c r="D54" i="75"/>
  <c r="D93" i="56" s="1"/>
  <c r="I55" i="75"/>
  <c r="I94" i="56" s="1"/>
  <c r="I62" i="75"/>
  <c r="H63" i="75"/>
  <c r="J53" i="75"/>
  <c r="J92" i="56" s="1"/>
  <c r="F55" i="75"/>
  <c r="F94" i="56" s="1"/>
  <c r="F62" i="75"/>
  <c r="C62" i="75"/>
  <c r="C55" i="75"/>
  <c r="C94" i="56" s="1"/>
  <c r="J45" i="75"/>
  <c r="X96" i="56" s="1"/>
  <c r="D45" i="75"/>
  <c r="R96" i="56" s="1"/>
  <c r="L64" i="73"/>
  <c r="M64" i="73" s="1"/>
  <c r="L82" i="56"/>
  <c r="B40" i="73"/>
  <c r="P80" i="56" s="1"/>
  <c r="I41" i="73"/>
  <c r="B44" i="73"/>
  <c r="P84" i="56" s="1"/>
  <c r="B14" i="81" s="1"/>
  <c r="C40" i="73"/>
  <c r="B41" i="73"/>
  <c r="P81" i="56" s="1"/>
  <c r="C42" i="73"/>
  <c r="Q82" i="56" s="1"/>
  <c r="H41" i="73"/>
  <c r="I43" i="73"/>
  <c r="W83" i="56" s="1"/>
  <c r="I40" i="73"/>
  <c r="B43" i="73"/>
  <c r="P83" i="56" s="1"/>
  <c r="C44" i="73"/>
  <c r="Q84" i="56" s="1"/>
  <c r="C14" i="81" s="1"/>
  <c r="H43" i="73"/>
  <c r="V83" i="56" s="1"/>
  <c r="I42" i="73"/>
  <c r="W82" i="56" s="1"/>
  <c r="C43" i="73"/>
  <c r="Q83" i="56" s="1"/>
  <c r="H42" i="73"/>
  <c r="H40" i="73"/>
  <c r="H44" i="73"/>
  <c r="V84" i="56" s="1"/>
  <c r="H14" i="81" s="1"/>
  <c r="F44" i="73"/>
  <c r="T84" i="56" s="1"/>
  <c r="F14" i="81" s="1"/>
  <c r="F40" i="73"/>
  <c r="T80" i="56" s="1"/>
  <c r="E40" i="73"/>
  <c r="S80" i="56" s="1"/>
  <c r="E43" i="73"/>
  <c r="S83" i="56" s="1"/>
  <c r="E44" i="73"/>
  <c r="S84" i="56" s="1"/>
  <c r="E14" i="81" s="1"/>
  <c r="F43" i="73"/>
  <c r="T83" i="56" s="1"/>
  <c r="F42" i="73"/>
  <c r="F41" i="73"/>
  <c r="E41" i="73"/>
  <c r="E42" i="73"/>
  <c r="S82" i="56" s="1"/>
  <c r="B42" i="73"/>
  <c r="P82" i="56" s="1"/>
  <c r="J44" i="73"/>
  <c r="X84" i="56" s="1"/>
  <c r="J14" i="81" s="1"/>
  <c r="C41" i="73"/>
  <c r="B53" i="73"/>
  <c r="B81" i="56" s="1"/>
  <c r="K44" i="73"/>
  <c r="Y84" i="56" s="1"/>
  <c r="K14" i="81" s="1"/>
  <c r="K42" i="73"/>
  <c r="Y82" i="56" s="1"/>
  <c r="K40" i="73"/>
  <c r="Y80" i="56" s="1"/>
  <c r="K43" i="73"/>
  <c r="Y83" i="56" s="1"/>
  <c r="K41" i="73"/>
  <c r="Y81" i="56" s="1"/>
  <c r="L44" i="73"/>
  <c r="Z84" i="56" s="1"/>
  <c r="L14" i="81" s="1"/>
  <c r="L42" i="73"/>
  <c r="Z82" i="56" s="1"/>
  <c r="L43" i="73"/>
  <c r="Z83" i="56" s="1"/>
  <c r="L40" i="73"/>
  <c r="Z80" i="56" s="1"/>
  <c r="L41" i="73"/>
  <c r="D44" i="73"/>
  <c r="R84" i="56" s="1"/>
  <c r="D14" i="81" s="1"/>
  <c r="C34" i="73"/>
  <c r="E54" i="73" s="1"/>
  <c r="E82" i="56" s="1"/>
  <c r="C33" i="73"/>
  <c r="B54" i="73" s="1"/>
  <c r="B82" i="56" s="1"/>
  <c r="C35" i="73"/>
  <c r="H54" i="73" s="1"/>
  <c r="H82" i="56" s="1"/>
  <c r="M54" i="73"/>
  <c r="M82" i="56" s="1"/>
  <c r="K54" i="68"/>
  <c r="L54" i="68" s="1"/>
  <c r="M54" i="68" s="1"/>
  <c r="K54" i="63"/>
  <c r="K54" i="2"/>
  <c r="AM112" i="56" l="1"/>
  <c r="AN91" i="56"/>
  <c r="AN112" i="56" s="1"/>
  <c r="AH91" i="56"/>
  <c r="AG112" i="56"/>
  <c r="AE91" i="56"/>
  <c r="AD112" i="56"/>
  <c r="AL91" i="56"/>
  <c r="AL112" i="56" s="1"/>
  <c r="AK112" i="56"/>
  <c r="F52" i="73"/>
  <c r="F80" i="56" s="1"/>
  <c r="M55" i="75"/>
  <c r="M94" i="56" s="1"/>
  <c r="D55" i="75"/>
  <c r="D94" i="56" s="1"/>
  <c r="J55" i="75"/>
  <c r="J94" i="56" s="1"/>
  <c r="G62" i="75"/>
  <c r="E65" i="75"/>
  <c r="I63" i="75"/>
  <c r="J63" i="75" s="1"/>
  <c r="G55" i="75"/>
  <c r="G94" i="56" s="1"/>
  <c r="B65" i="75"/>
  <c r="D62" i="75"/>
  <c r="L63" i="75"/>
  <c r="M63" i="75" s="1"/>
  <c r="F63" i="75"/>
  <c r="F65" i="75" s="1"/>
  <c r="H65" i="75"/>
  <c r="J62" i="75"/>
  <c r="C63" i="75"/>
  <c r="D63" i="75" s="1"/>
  <c r="K65" i="75"/>
  <c r="M62" i="75"/>
  <c r="J40" i="73"/>
  <c r="X80" i="56" s="1"/>
  <c r="V80" i="56"/>
  <c r="J42" i="73"/>
  <c r="X82" i="56" s="1"/>
  <c r="V82" i="56"/>
  <c r="J41" i="73"/>
  <c r="X81" i="56" s="1"/>
  <c r="V81" i="56"/>
  <c r="C53" i="73"/>
  <c r="C81" i="56" s="1"/>
  <c r="Q81" i="56"/>
  <c r="G42" i="73"/>
  <c r="U82" i="56" s="1"/>
  <c r="T82" i="56"/>
  <c r="C52" i="73"/>
  <c r="C80" i="56" s="1"/>
  <c r="Q80" i="56"/>
  <c r="L53" i="73"/>
  <c r="L81" i="56" s="1"/>
  <c r="Z81" i="56"/>
  <c r="E53" i="73"/>
  <c r="E81" i="56" s="1"/>
  <c r="S81" i="56"/>
  <c r="I53" i="73"/>
  <c r="I81" i="56" s="1"/>
  <c r="W81" i="56"/>
  <c r="F53" i="73"/>
  <c r="F81" i="56" s="1"/>
  <c r="T81" i="56"/>
  <c r="I52" i="73"/>
  <c r="I80" i="56" s="1"/>
  <c r="W80" i="56"/>
  <c r="B52" i="73"/>
  <c r="B80" i="56" s="1"/>
  <c r="D42" i="73"/>
  <c r="R82" i="56" s="1"/>
  <c r="G40" i="73"/>
  <c r="U80" i="56" s="1"/>
  <c r="G44" i="73"/>
  <c r="U84" i="56" s="1"/>
  <c r="G14" i="81" s="1"/>
  <c r="E45" i="73"/>
  <c r="S85" i="56" s="1"/>
  <c r="J43" i="73"/>
  <c r="E52" i="73"/>
  <c r="H45" i="73"/>
  <c r="V85" i="56" s="1"/>
  <c r="H52" i="73"/>
  <c r="G41" i="73"/>
  <c r="U81" i="56" s="1"/>
  <c r="D43" i="73"/>
  <c r="R83" i="56" s="1"/>
  <c r="I45" i="73"/>
  <c r="W85" i="56" s="1"/>
  <c r="H53" i="73"/>
  <c r="F45" i="73"/>
  <c r="T85" i="56" s="1"/>
  <c r="D40" i="73"/>
  <c r="R80" i="56" s="1"/>
  <c r="B45" i="73"/>
  <c r="P85" i="56" s="1"/>
  <c r="G43" i="73"/>
  <c r="U83" i="56" s="1"/>
  <c r="C45" i="73"/>
  <c r="Q85" i="56" s="1"/>
  <c r="D41" i="73"/>
  <c r="R81" i="56" s="1"/>
  <c r="M43" i="73"/>
  <c r="AA83" i="56" s="1"/>
  <c r="B64" i="73"/>
  <c r="C54" i="73"/>
  <c r="E64" i="73"/>
  <c r="F54" i="73"/>
  <c r="L52" i="73"/>
  <c r="L80" i="56" s="1"/>
  <c r="L45" i="73"/>
  <c r="Z85" i="56" s="1"/>
  <c r="M44" i="73"/>
  <c r="AA84" i="56" s="1"/>
  <c r="M14" i="81" s="1"/>
  <c r="H64" i="73"/>
  <c r="I54" i="73"/>
  <c r="K53" i="73"/>
  <c r="K81" i="56" s="1"/>
  <c r="M41" i="73"/>
  <c r="AA81" i="56" s="1"/>
  <c r="K45" i="73"/>
  <c r="Y85" i="56" s="1"/>
  <c r="M40" i="73"/>
  <c r="AA80" i="56" s="1"/>
  <c r="K52" i="73"/>
  <c r="K80" i="56" s="1"/>
  <c r="M42" i="73"/>
  <c r="AA82" i="56" s="1"/>
  <c r="C62" i="73"/>
  <c r="E62" i="73"/>
  <c r="L54" i="2"/>
  <c r="M54" i="2" s="1"/>
  <c r="L54" i="63"/>
  <c r="M54" i="63" s="1"/>
  <c r="AO91" i="56" l="1"/>
  <c r="AO112" i="56" s="1"/>
  <c r="AF91" i="56"/>
  <c r="AF112" i="56" s="1"/>
  <c r="AE112" i="56"/>
  <c r="AI91" i="56"/>
  <c r="AI112" i="56" s="1"/>
  <c r="AH112" i="56"/>
  <c r="B63" i="73"/>
  <c r="C63" i="73" s="1"/>
  <c r="D63" i="73" s="1"/>
  <c r="D53" i="73"/>
  <c r="D81" i="56" s="1"/>
  <c r="B62" i="73"/>
  <c r="F62" i="73"/>
  <c r="G53" i="73"/>
  <c r="G81" i="56" s="1"/>
  <c r="D52" i="73"/>
  <c r="D80" i="56" s="1"/>
  <c r="E63" i="73"/>
  <c r="B55" i="73"/>
  <c r="B83" i="56" s="1"/>
  <c r="I65" i="75"/>
  <c r="J65" i="75" s="1"/>
  <c r="L65" i="75"/>
  <c r="M65" i="75" s="1"/>
  <c r="G63" i="75"/>
  <c r="C65" i="75"/>
  <c r="D65" i="75" s="1"/>
  <c r="G65" i="75"/>
  <c r="H55" i="73"/>
  <c r="H83" i="56" s="1"/>
  <c r="H80" i="56"/>
  <c r="I62" i="73"/>
  <c r="F64" i="73"/>
  <c r="G64" i="73" s="1"/>
  <c r="F82" i="56"/>
  <c r="I64" i="73"/>
  <c r="I82" i="56"/>
  <c r="E55" i="73"/>
  <c r="E83" i="56" s="1"/>
  <c r="E80" i="56"/>
  <c r="C64" i="73"/>
  <c r="D64" i="73" s="1"/>
  <c r="C82" i="56"/>
  <c r="J45" i="73"/>
  <c r="X85" i="56" s="1"/>
  <c r="X83" i="56"/>
  <c r="J53" i="73"/>
  <c r="J81" i="56" s="1"/>
  <c r="H81" i="56"/>
  <c r="G52" i="73"/>
  <c r="G80" i="56" s="1"/>
  <c r="J52" i="73"/>
  <c r="J80" i="56" s="1"/>
  <c r="H62" i="73"/>
  <c r="G45" i="73"/>
  <c r="U85" i="56" s="1"/>
  <c r="D45" i="73"/>
  <c r="R85" i="56" s="1"/>
  <c r="I55" i="73"/>
  <c r="I83" i="56" s="1"/>
  <c r="H63" i="73"/>
  <c r="G54" i="73"/>
  <c r="G82" i="56" s="1"/>
  <c r="C55" i="73"/>
  <c r="I63" i="73"/>
  <c r="J63" i="73" s="1"/>
  <c r="E65" i="73"/>
  <c r="G62" i="73"/>
  <c r="M52" i="73"/>
  <c r="M80" i="56" s="1"/>
  <c r="K62" i="73"/>
  <c r="K55" i="73"/>
  <c r="K83" i="56" s="1"/>
  <c r="J64" i="73"/>
  <c r="M45" i="73"/>
  <c r="AA85" i="56" s="1"/>
  <c r="J54" i="73"/>
  <c r="J82" i="56" s="1"/>
  <c r="F63" i="73"/>
  <c r="F65" i="73" s="1"/>
  <c r="M53" i="73"/>
  <c r="M81" i="56" s="1"/>
  <c r="K63" i="73"/>
  <c r="L55" i="73"/>
  <c r="L83" i="56" s="1"/>
  <c r="L62" i="73"/>
  <c r="F55" i="73"/>
  <c r="D62" i="73"/>
  <c r="D54" i="73"/>
  <c r="D82" i="56" s="1"/>
  <c r="K54" i="69"/>
  <c r="L54" i="69" s="1"/>
  <c r="B65" i="73" l="1"/>
  <c r="J62" i="73"/>
  <c r="D55" i="73"/>
  <c r="D83" i="56" s="1"/>
  <c r="C83" i="56"/>
  <c r="H65" i="73"/>
  <c r="J55" i="73"/>
  <c r="J83" i="56" s="1"/>
  <c r="G55" i="73"/>
  <c r="G83" i="56" s="1"/>
  <c r="F83" i="56"/>
  <c r="I65" i="73"/>
  <c r="J65" i="73" s="1"/>
  <c r="M55" i="73"/>
  <c r="M83" i="56" s="1"/>
  <c r="C65" i="73"/>
  <c r="D65" i="73" s="1"/>
  <c r="G63" i="73"/>
  <c r="G65" i="73"/>
  <c r="K65" i="73"/>
  <c r="M62" i="73"/>
  <c r="L63" i="73"/>
  <c r="L65" i="73" s="1"/>
  <c r="A5" i="56"/>
  <c r="A4" i="56"/>
  <c r="M63" i="73" l="1"/>
  <c r="M65" i="73"/>
  <c r="A59" i="69"/>
  <c r="A49" i="69"/>
  <c r="A33" i="56" s="1"/>
  <c r="A37" i="69"/>
  <c r="O33" i="56" s="1"/>
  <c r="B4" i="69"/>
  <c r="C5" i="69" s="1"/>
  <c r="L43" i="69" s="1"/>
  <c r="E30" i="69" l="1"/>
  <c r="E34" i="69" s="1"/>
  <c r="K38" i="56" s="1"/>
  <c r="C30" i="69"/>
  <c r="C34" i="69" s="1"/>
  <c r="K44" i="69"/>
  <c r="Y40" i="56" s="1"/>
  <c r="K5" i="81" s="1"/>
  <c r="K40" i="69"/>
  <c r="K52" i="69" s="1"/>
  <c r="L41" i="69"/>
  <c r="L53" i="69" s="1"/>
  <c r="Z39" i="56"/>
  <c r="K43" i="69"/>
  <c r="Y39" i="56" s="1"/>
  <c r="L42" i="69"/>
  <c r="Z38" i="56" s="1"/>
  <c r="K42" i="69"/>
  <c r="Y38" i="56" s="1"/>
  <c r="K41" i="69"/>
  <c r="K53" i="69" s="1"/>
  <c r="L44" i="69"/>
  <c r="Z40" i="56" s="1"/>
  <c r="L5" i="81" s="1"/>
  <c r="L40" i="69"/>
  <c r="L52" i="69" s="1"/>
  <c r="C35" i="69"/>
  <c r="H54" i="69" s="1"/>
  <c r="I54" i="69" s="1"/>
  <c r="K64" i="69"/>
  <c r="B5" i="69"/>
  <c r="C33" i="69"/>
  <c r="B54" i="69" s="1"/>
  <c r="B38" i="56" s="1"/>
  <c r="A7" i="56"/>
  <c r="A6" i="56"/>
  <c r="A2" i="56"/>
  <c r="E54" i="69" l="1"/>
  <c r="L64" i="69"/>
  <c r="M64" i="69" s="1"/>
  <c r="L38" i="56"/>
  <c r="H64" i="69"/>
  <c r="H38" i="56"/>
  <c r="Z37" i="56"/>
  <c r="L37" i="56"/>
  <c r="Y36" i="56"/>
  <c r="K36" i="56"/>
  <c r="Z36" i="56"/>
  <c r="L36" i="56"/>
  <c r="M43" i="69"/>
  <c r="AA39" i="56" s="1"/>
  <c r="Y37" i="56"/>
  <c r="K37" i="56"/>
  <c r="M54" i="69"/>
  <c r="M38" i="56" s="1"/>
  <c r="M41" i="69"/>
  <c r="AA37" i="56" s="1"/>
  <c r="L45" i="69"/>
  <c r="Z41" i="56" s="1"/>
  <c r="J54" i="69"/>
  <c r="J38" i="56" s="1"/>
  <c r="B64" i="69"/>
  <c r="C54" i="69"/>
  <c r="M44" i="69"/>
  <c r="AA40" i="56" s="1"/>
  <c r="M5" i="81" s="1"/>
  <c r="C43" i="69"/>
  <c r="Q39" i="56" s="1"/>
  <c r="C41" i="69"/>
  <c r="F44" i="69"/>
  <c r="T40" i="56" s="1"/>
  <c r="F5" i="81" s="1"/>
  <c r="B43" i="69"/>
  <c r="P39" i="56" s="1"/>
  <c r="F42" i="69"/>
  <c r="T38" i="56" s="1"/>
  <c r="B41" i="69"/>
  <c r="P37" i="56" s="1"/>
  <c r="F40" i="69"/>
  <c r="F52" i="69" s="1"/>
  <c r="E40" i="69"/>
  <c r="E52" i="69" s="1"/>
  <c r="C44" i="69"/>
  <c r="Q40" i="56" s="1"/>
  <c r="C5" i="81" s="1"/>
  <c r="B44" i="69"/>
  <c r="P40" i="56" s="1"/>
  <c r="B5" i="81" s="1"/>
  <c r="F43" i="69"/>
  <c r="T39" i="56" s="1"/>
  <c r="B42" i="69"/>
  <c r="P38" i="56" s="1"/>
  <c r="F41" i="69"/>
  <c r="F53" i="69" s="1"/>
  <c r="B40" i="69"/>
  <c r="P36" i="56" s="1"/>
  <c r="I44" i="69"/>
  <c r="W40" i="56" s="1"/>
  <c r="I5" i="81" s="1"/>
  <c r="E43" i="69"/>
  <c r="S39" i="56" s="1"/>
  <c r="I42" i="69"/>
  <c r="W38" i="56" s="1"/>
  <c r="E41" i="69"/>
  <c r="E53" i="69" s="1"/>
  <c r="E44" i="69"/>
  <c r="I43" i="69"/>
  <c r="W39" i="56" s="1"/>
  <c r="E42" i="69"/>
  <c r="I41" i="69"/>
  <c r="I53" i="69" s="1"/>
  <c r="C42" i="69"/>
  <c r="Q38" i="56" s="1"/>
  <c r="C40" i="69"/>
  <c r="Q36" i="56" s="1"/>
  <c r="H43" i="69"/>
  <c r="V39" i="56" s="1"/>
  <c r="H41" i="69"/>
  <c r="H53" i="69" s="1"/>
  <c r="H42" i="69"/>
  <c r="V38" i="56" s="1"/>
  <c r="I40" i="69"/>
  <c r="I52" i="69" s="1"/>
  <c r="H40" i="69"/>
  <c r="H52" i="69" s="1"/>
  <c r="H44" i="69"/>
  <c r="V40" i="56" s="1"/>
  <c r="H5" i="81" s="1"/>
  <c r="K45" i="69"/>
  <c r="Y41" i="56" s="1"/>
  <c r="M40" i="69"/>
  <c r="AA36" i="56" s="1"/>
  <c r="M42" i="69"/>
  <c r="AA38" i="56" s="1"/>
  <c r="A59" i="68"/>
  <c r="A49" i="68"/>
  <c r="A66" i="56" s="1"/>
  <c r="A37" i="68"/>
  <c r="O66" i="56" s="1"/>
  <c r="B4" i="68"/>
  <c r="C30" i="68" l="1"/>
  <c r="C33" i="68" s="1"/>
  <c r="C5" i="68"/>
  <c r="B5" i="68"/>
  <c r="F54" i="69"/>
  <c r="E64" i="69"/>
  <c r="E38" i="56"/>
  <c r="C64" i="69"/>
  <c r="D64" i="69" s="1"/>
  <c r="C38" i="56"/>
  <c r="I64" i="69"/>
  <c r="J64" i="69" s="1"/>
  <c r="I38" i="56"/>
  <c r="S36" i="56"/>
  <c r="E36" i="56"/>
  <c r="T36" i="56"/>
  <c r="F36" i="56"/>
  <c r="W37" i="56"/>
  <c r="I37" i="56"/>
  <c r="V37" i="56"/>
  <c r="H37" i="56"/>
  <c r="W36" i="56"/>
  <c r="I36" i="56"/>
  <c r="S37" i="56"/>
  <c r="E37" i="56"/>
  <c r="C53" i="69"/>
  <c r="C37" i="56" s="1"/>
  <c r="Q37" i="56"/>
  <c r="V36" i="56"/>
  <c r="H36" i="56"/>
  <c r="G42" i="69"/>
  <c r="U38" i="56" s="1"/>
  <c r="S38" i="56"/>
  <c r="T37" i="56"/>
  <c r="F37" i="56"/>
  <c r="G44" i="69"/>
  <c r="U40" i="56" s="1"/>
  <c r="G5" i="81" s="1"/>
  <c r="S40" i="56"/>
  <c r="E5" i="81" s="1"/>
  <c r="D43" i="69"/>
  <c r="R39" i="56" s="1"/>
  <c r="J42" i="69"/>
  <c r="X38" i="56" s="1"/>
  <c r="D44" i="69"/>
  <c r="R40" i="56" s="1"/>
  <c r="D5" i="81" s="1"/>
  <c r="B53" i="69"/>
  <c r="B37" i="56" s="1"/>
  <c r="D41" i="69"/>
  <c r="R37" i="56" s="1"/>
  <c r="I45" i="69"/>
  <c r="W41" i="56" s="1"/>
  <c r="M52" i="69"/>
  <c r="M36" i="56" s="1"/>
  <c r="K62" i="69"/>
  <c r="K55" i="69"/>
  <c r="K39" i="56" s="1"/>
  <c r="J41" i="69"/>
  <c r="X37" i="56" s="1"/>
  <c r="L62" i="69"/>
  <c r="L55" i="69"/>
  <c r="L39" i="56" s="1"/>
  <c r="D54" i="69"/>
  <c r="D38" i="56" s="1"/>
  <c r="M45" i="69"/>
  <c r="J43" i="69"/>
  <c r="X39" i="56" s="1"/>
  <c r="K63" i="69"/>
  <c r="M53" i="69"/>
  <c r="M37" i="56" s="1"/>
  <c r="F45" i="69"/>
  <c r="T41" i="56" s="1"/>
  <c r="J44" i="69"/>
  <c r="X40" i="56" s="1"/>
  <c r="J5" i="81" s="1"/>
  <c r="B45" i="69"/>
  <c r="P41" i="56" s="1"/>
  <c r="B52" i="69"/>
  <c r="B36" i="56" s="1"/>
  <c r="D40" i="69"/>
  <c r="R36" i="56" s="1"/>
  <c r="J40" i="69"/>
  <c r="X36" i="56" s="1"/>
  <c r="H45" i="69"/>
  <c r="V41" i="56" s="1"/>
  <c r="D42" i="69"/>
  <c r="R38" i="56" s="1"/>
  <c r="G41" i="69"/>
  <c r="U37" i="56" s="1"/>
  <c r="C45" i="69"/>
  <c r="Q41" i="56" s="1"/>
  <c r="C52" i="69"/>
  <c r="C36" i="56" s="1"/>
  <c r="G43" i="69"/>
  <c r="U39" i="56" s="1"/>
  <c r="G40" i="69"/>
  <c r="U36" i="56" s="1"/>
  <c r="E45" i="69"/>
  <c r="S41" i="56" s="1"/>
  <c r="C4" i="68"/>
  <c r="C34" i="68" l="1"/>
  <c r="C35" i="68"/>
  <c r="AA41" i="56"/>
  <c r="M46" i="69"/>
  <c r="M47" i="69" s="1"/>
  <c r="B54" i="68"/>
  <c r="B71" i="56" s="1"/>
  <c r="E54" i="68"/>
  <c r="F54" i="68" s="1"/>
  <c r="G54" i="68" s="1"/>
  <c r="H54" i="68"/>
  <c r="H71" i="56" s="1"/>
  <c r="F38" i="56"/>
  <c r="F64" i="69"/>
  <c r="G64" i="69" s="1"/>
  <c r="G54" i="69"/>
  <c r="G38" i="56" s="1"/>
  <c r="J45" i="69"/>
  <c r="D45" i="69"/>
  <c r="M55" i="69"/>
  <c r="M39" i="56" s="1"/>
  <c r="C62" i="69"/>
  <c r="C55" i="69"/>
  <c r="C39" i="56" s="1"/>
  <c r="M62" i="69"/>
  <c r="K65" i="69"/>
  <c r="I55" i="69"/>
  <c r="I39" i="56" s="1"/>
  <c r="I62" i="69"/>
  <c r="B55" i="69"/>
  <c r="B39" i="56" s="1"/>
  <c r="D52" i="69"/>
  <c r="D36" i="56" s="1"/>
  <c r="B62" i="69"/>
  <c r="G53" i="69"/>
  <c r="G37" i="56" s="1"/>
  <c r="E63" i="69"/>
  <c r="E62" i="69"/>
  <c r="E55" i="69"/>
  <c r="E39" i="56" s="1"/>
  <c r="G52" i="69"/>
  <c r="G36" i="56" s="1"/>
  <c r="F55" i="69"/>
  <c r="F39" i="56" s="1"/>
  <c r="F62" i="69"/>
  <c r="L63" i="69"/>
  <c r="L65" i="69" s="1"/>
  <c r="G45" i="69"/>
  <c r="G46" i="69" s="1"/>
  <c r="G47" i="69" s="1"/>
  <c r="J52" i="69"/>
  <c r="J36" i="56" s="1"/>
  <c r="H55" i="69"/>
  <c r="H39" i="56" s="1"/>
  <c r="H62" i="69"/>
  <c r="J53" i="69"/>
  <c r="J37" i="56" s="1"/>
  <c r="H63" i="69"/>
  <c r="D53" i="69"/>
  <c r="D37" i="56" s="1"/>
  <c r="B63" i="69"/>
  <c r="C44" i="68"/>
  <c r="Q73" i="56" s="1"/>
  <c r="C42" i="68"/>
  <c r="Q71" i="56" s="1"/>
  <c r="C40" i="68"/>
  <c r="Q69" i="56" s="1"/>
  <c r="F44" i="68"/>
  <c r="T73" i="56" s="1"/>
  <c r="B41" i="68"/>
  <c r="P70" i="56" s="1"/>
  <c r="I43" i="68"/>
  <c r="W72" i="56" s="1"/>
  <c r="E42" i="68"/>
  <c r="S71" i="56" s="1"/>
  <c r="H41" i="68"/>
  <c r="V70" i="56" s="1"/>
  <c r="B44" i="68"/>
  <c r="F43" i="68"/>
  <c r="T72" i="56" s="1"/>
  <c r="B42" i="68"/>
  <c r="P71" i="56" s="1"/>
  <c r="F41" i="68"/>
  <c r="B40" i="68"/>
  <c r="P69" i="56" s="1"/>
  <c r="H42" i="68"/>
  <c r="H40" i="68"/>
  <c r="V69" i="56" s="1"/>
  <c r="C43" i="68"/>
  <c r="Q72" i="56" s="1"/>
  <c r="C41" i="68"/>
  <c r="F42" i="68"/>
  <c r="T71" i="56" s="1"/>
  <c r="F40" i="68"/>
  <c r="T69" i="56" s="1"/>
  <c r="E44" i="68"/>
  <c r="E40" i="68"/>
  <c r="S69" i="56" s="1"/>
  <c r="H43" i="68"/>
  <c r="V72" i="56" s="1"/>
  <c r="I44" i="68"/>
  <c r="W73" i="56" s="1"/>
  <c r="E43" i="68"/>
  <c r="I42" i="68"/>
  <c r="W71" i="56" s="1"/>
  <c r="E41" i="68"/>
  <c r="S70" i="56" s="1"/>
  <c r="I40" i="68"/>
  <c r="W69" i="56" s="1"/>
  <c r="H44" i="68"/>
  <c r="V73" i="56" s="1"/>
  <c r="B43" i="68"/>
  <c r="P72" i="56" s="1"/>
  <c r="I41" i="68"/>
  <c r="E30" i="68"/>
  <c r="E34" i="68" s="1"/>
  <c r="K71" i="56" s="1"/>
  <c r="B64" i="68"/>
  <c r="H64" i="68"/>
  <c r="E64" i="68" l="1"/>
  <c r="R41" i="56"/>
  <c r="D46" i="69"/>
  <c r="D47" i="69" s="1"/>
  <c r="X41" i="56"/>
  <c r="J46" i="69"/>
  <c r="J47" i="69" s="1"/>
  <c r="U41" i="56"/>
  <c r="I54" i="68"/>
  <c r="I71" i="56" s="1"/>
  <c r="J54" i="68"/>
  <c r="J71" i="56" s="1"/>
  <c r="E71" i="56"/>
  <c r="C54" i="68"/>
  <c r="C64" i="68" s="1"/>
  <c r="D64" i="68" s="1"/>
  <c r="I53" i="68"/>
  <c r="I70" i="56" s="1"/>
  <c r="W70" i="56"/>
  <c r="G44" i="68"/>
  <c r="U73" i="56" s="1"/>
  <c r="S73" i="56"/>
  <c r="F53" i="68"/>
  <c r="F70" i="56" s="1"/>
  <c r="T70" i="56"/>
  <c r="C53" i="68"/>
  <c r="C70" i="56" s="1"/>
  <c r="Q70" i="56"/>
  <c r="D44" i="68"/>
  <c r="R73" i="56" s="1"/>
  <c r="P73" i="56"/>
  <c r="J42" i="68"/>
  <c r="X71" i="56" s="1"/>
  <c r="V71" i="56"/>
  <c r="F64" i="68"/>
  <c r="G64" i="68" s="1"/>
  <c r="F71" i="56"/>
  <c r="G43" i="68"/>
  <c r="U72" i="56" s="1"/>
  <c r="S72" i="56"/>
  <c r="D55" i="69"/>
  <c r="D39" i="56" s="1"/>
  <c r="J55" i="69"/>
  <c r="J39" i="56" s="1"/>
  <c r="M65" i="69"/>
  <c r="C63" i="69"/>
  <c r="D63" i="69" s="1"/>
  <c r="F63" i="69"/>
  <c r="G63" i="69" s="1"/>
  <c r="H65" i="69"/>
  <c r="J62" i="69"/>
  <c r="G55" i="69"/>
  <c r="G39" i="56" s="1"/>
  <c r="M63" i="69"/>
  <c r="E65" i="69"/>
  <c r="G62" i="69"/>
  <c r="I63" i="69"/>
  <c r="I65" i="69" s="1"/>
  <c r="D62" i="69"/>
  <c r="B65" i="69"/>
  <c r="G42" i="68"/>
  <c r="U71" i="56" s="1"/>
  <c r="D42" i="68"/>
  <c r="R71" i="56" s="1"/>
  <c r="G71" i="56"/>
  <c r="J40" i="68"/>
  <c r="X69" i="56" s="1"/>
  <c r="H52" i="68"/>
  <c r="H69" i="56" s="1"/>
  <c r="H45" i="68"/>
  <c r="V74" i="56" s="1"/>
  <c r="E52" i="68"/>
  <c r="E69" i="56" s="1"/>
  <c r="G40" i="68"/>
  <c r="U69" i="56" s="1"/>
  <c r="E45" i="68"/>
  <c r="S74" i="56" s="1"/>
  <c r="B53" i="68"/>
  <c r="D41" i="68"/>
  <c r="R70" i="56" s="1"/>
  <c r="K64" i="68"/>
  <c r="M71" i="56"/>
  <c r="F45" i="68"/>
  <c r="T74" i="56" s="1"/>
  <c r="F52" i="68"/>
  <c r="F69" i="56" s="1"/>
  <c r="C45" i="68"/>
  <c r="Q74" i="56" s="1"/>
  <c r="C52" i="68"/>
  <c r="C69" i="56" s="1"/>
  <c r="J43" i="68"/>
  <c r="X72" i="56" s="1"/>
  <c r="D43" i="68"/>
  <c r="R72" i="56" s="1"/>
  <c r="J44" i="68"/>
  <c r="X73" i="56" s="1"/>
  <c r="I45" i="68"/>
  <c r="W74" i="56" s="1"/>
  <c r="I52" i="68"/>
  <c r="I69" i="56" s="1"/>
  <c r="K44" i="68"/>
  <c r="Y73" i="56" s="1"/>
  <c r="K42" i="68"/>
  <c r="K40" i="68"/>
  <c r="Y69" i="56" s="1"/>
  <c r="L43" i="68"/>
  <c r="Z72" i="56" s="1"/>
  <c r="L41" i="68"/>
  <c r="K41" i="68"/>
  <c r="Y70" i="56" s="1"/>
  <c r="L44" i="68"/>
  <c r="Z73" i="56" s="1"/>
  <c r="K43" i="68"/>
  <c r="Y72" i="56" s="1"/>
  <c r="L42" i="68"/>
  <c r="Z71" i="56" s="1"/>
  <c r="L40" i="68"/>
  <c r="Z69" i="56" s="1"/>
  <c r="G41" i="68"/>
  <c r="U70" i="56" s="1"/>
  <c r="E53" i="68"/>
  <c r="J41" i="68"/>
  <c r="X70" i="56" s="1"/>
  <c r="H53" i="68"/>
  <c r="B52" i="68"/>
  <c r="B69" i="56" s="1"/>
  <c r="B45" i="68"/>
  <c r="P74" i="56" s="1"/>
  <c r="D40" i="68"/>
  <c r="R69" i="56" s="1"/>
  <c r="I64" i="68" l="1"/>
  <c r="J64" i="68" s="1"/>
  <c r="D54" i="68"/>
  <c r="D71" i="56" s="1"/>
  <c r="C71" i="56"/>
  <c r="J53" i="68"/>
  <c r="H70" i="56"/>
  <c r="L53" i="68"/>
  <c r="L70" i="56" s="1"/>
  <c r="Z70" i="56"/>
  <c r="L64" i="68"/>
  <c r="M64" i="68" s="1"/>
  <c r="L71" i="56"/>
  <c r="G53" i="68"/>
  <c r="E70" i="56"/>
  <c r="D53" i="68"/>
  <c r="B70" i="56"/>
  <c r="M42" i="68"/>
  <c r="AA71" i="56" s="1"/>
  <c r="Y71" i="56"/>
  <c r="C65" i="69"/>
  <c r="D65" i="69" s="1"/>
  <c r="J63" i="69"/>
  <c r="J65" i="69"/>
  <c r="F65" i="69"/>
  <c r="G65" i="69" s="1"/>
  <c r="M44" i="68"/>
  <c r="AA73" i="56" s="1"/>
  <c r="M40" i="68"/>
  <c r="AA69" i="56" s="1"/>
  <c r="K52" i="68"/>
  <c r="K69" i="56" s="1"/>
  <c r="K45" i="68"/>
  <c r="Y74" i="56" s="1"/>
  <c r="L45" i="68"/>
  <c r="Z74" i="56" s="1"/>
  <c r="L52" i="68"/>
  <c r="L69" i="56" s="1"/>
  <c r="G45" i="68"/>
  <c r="U74" i="56" s="1"/>
  <c r="I62" i="68"/>
  <c r="I55" i="68"/>
  <c r="I72" i="56" s="1"/>
  <c r="C62" i="68"/>
  <c r="C55" i="68"/>
  <c r="C72" i="56" s="1"/>
  <c r="M43" i="68"/>
  <c r="AA72" i="56" s="1"/>
  <c r="M41" i="68"/>
  <c r="AA70" i="56" s="1"/>
  <c r="K53" i="68"/>
  <c r="J52" i="68"/>
  <c r="H62" i="68"/>
  <c r="H55" i="68"/>
  <c r="H72" i="56" s="1"/>
  <c r="D45" i="68"/>
  <c r="R74" i="56" s="1"/>
  <c r="F55" i="68"/>
  <c r="F72" i="56" s="1"/>
  <c r="F62" i="68"/>
  <c r="D52" i="68"/>
  <c r="B62" i="68"/>
  <c r="B55" i="68"/>
  <c r="B72" i="56" s="1"/>
  <c r="E62" i="68"/>
  <c r="E55" i="68"/>
  <c r="E72" i="56" s="1"/>
  <c r="G52" i="68"/>
  <c r="J45" i="68"/>
  <c r="X74" i="56" s="1"/>
  <c r="A59" i="64"/>
  <c r="A49" i="64"/>
  <c r="A44" i="56" s="1"/>
  <c r="A37" i="64"/>
  <c r="O44" i="56" s="1"/>
  <c r="B4" i="64"/>
  <c r="A59" i="63"/>
  <c r="A49" i="63"/>
  <c r="A55" i="56" s="1"/>
  <c r="A37" i="63"/>
  <c r="O55" i="56" s="1"/>
  <c r="B4" i="63"/>
  <c r="C5" i="63" l="1"/>
  <c r="B5" i="63"/>
  <c r="C30" i="64"/>
  <c r="E30" i="64"/>
  <c r="E34" i="64" s="1"/>
  <c r="K54" i="64" s="1"/>
  <c r="E63" i="68"/>
  <c r="F63" i="68" s="1"/>
  <c r="G63" i="68" s="1"/>
  <c r="G70" i="56"/>
  <c r="J55" i="68"/>
  <c r="J72" i="56" s="1"/>
  <c r="J69" i="56"/>
  <c r="D55" i="68"/>
  <c r="D72" i="56" s="1"/>
  <c r="D69" i="56"/>
  <c r="M53" i="68"/>
  <c r="K70" i="56"/>
  <c r="G55" i="68"/>
  <c r="G72" i="56" s="1"/>
  <c r="G69" i="56"/>
  <c r="H63" i="68"/>
  <c r="I63" i="68" s="1"/>
  <c r="J63" i="68" s="1"/>
  <c r="J70" i="56"/>
  <c r="B63" i="68"/>
  <c r="C63" i="68" s="1"/>
  <c r="D63" i="68" s="1"/>
  <c r="D70" i="56"/>
  <c r="D62" i="68"/>
  <c r="M45" i="68"/>
  <c r="AA74" i="56" s="1"/>
  <c r="E65" i="68"/>
  <c r="G62" i="68"/>
  <c r="G65" i="68" s="1"/>
  <c r="K62" i="68"/>
  <c r="M52" i="68"/>
  <c r="K55" i="68"/>
  <c r="K72" i="56" s="1"/>
  <c r="L62" i="68"/>
  <c r="L55" i="68"/>
  <c r="L72" i="56" s="1"/>
  <c r="J62" i="68"/>
  <c r="C30" i="63"/>
  <c r="C5" i="64"/>
  <c r="B5" i="64"/>
  <c r="C4" i="63"/>
  <c r="F65" i="68" l="1"/>
  <c r="C65" i="68"/>
  <c r="D65" i="68"/>
  <c r="B65" i="68"/>
  <c r="C35" i="64"/>
  <c r="H54" i="64" s="1"/>
  <c r="H64" i="64" s="1"/>
  <c r="C33" i="64"/>
  <c r="B54" i="64" s="1"/>
  <c r="C34" i="64"/>
  <c r="E54" i="64" s="1"/>
  <c r="E49" i="56" s="1"/>
  <c r="I65" i="68"/>
  <c r="M55" i="68"/>
  <c r="M72" i="56" s="1"/>
  <c r="M69" i="56"/>
  <c r="K63" i="68"/>
  <c r="L63" i="68" s="1"/>
  <c r="M63" i="68" s="1"/>
  <c r="M70" i="56"/>
  <c r="H40" i="63"/>
  <c r="V58" i="56" s="1"/>
  <c r="F41" i="63"/>
  <c r="T59" i="56" s="1"/>
  <c r="E41" i="63"/>
  <c r="S59" i="56" s="1"/>
  <c r="E40" i="63"/>
  <c r="S58" i="56" s="1"/>
  <c r="F42" i="63"/>
  <c r="T60" i="56" s="1"/>
  <c r="F40" i="63"/>
  <c r="T58" i="56" s="1"/>
  <c r="E44" i="63"/>
  <c r="S62" i="56" s="1"/>
  <c r="E42" i="63"/>
  <c r="S60" i="56" s="1"/>
  <c r="F44" i="63"/>
  <c r="T62" i="56" s="1"/>
  <c r="F43" i="63"/>
  <c r="T61" i="56" s="1"/>
  <c r="E43" i="63"/>
  <c r="S61" i="56" s="1"/>
  <c r="J65" i="68"/>
  <c r="L54" i="64"/>
  <c r="K49" i="56"/>
  <c r="H65" i="68"/>
  <c r="M62" i="68"/>
  <c r="B40" i="63"/>
  <c r="P58" i="56" s="1"/>
  <c r="C40" i="63"/>
  <c r="C44" i="63"/>
  <c r="Q62" i="56" s="1"/>
  <c r="I40" i="63"/>
  <c r="H42" i="63"/>
  <c r="V60" i="56" s="1"/>
  <c r="H44" i="63"/>
  <c r="I43" i="63"/>
  <c r="W61" i="56" s="1"/>
  <c r="C42" i="63"/>
  <c r="Q60" i="56" s="1"/>
  <c r="B44" i="63"/>
  <c r="E30" i="63"/>
  <c r="E34" i="63" s="1"/>
  <c r="I44" i="63"/>
  <c r="W62" i="56" s="1"/>
  <c r="B42" i="63"/>
  <c r="P60" i="56" s="1"/>
  <c r="I41" i="63"/>
  <c r="B43" i="63"/>
  <c r="P61" i="56" s="1"/>
  <c r="B41" i="63"/>
  <c r="H41" i="63"/>
  <c r="C41" i="63"/>
  <c r="I42" i="63"/>
  <c r="W60" i="56" s="1"/>
  <c r="C35" i="63"/>
  <c r="H54" i="63" s="1"/>
  <c r="I54" i="63" s="1"/>
  <c r="J54" i="63" s="1"/>
  <c r="C33" i="63"/>
  <c r="B54" i="63" s="1"/>
  <c r="C34" i="63"/>
  <c r="E54" i="63" s="1"/>
  <c r="F54" i="63" s="1"/>
  <c r="G54" i="63" s="1"/>
  <c r="H43" i="63"/>
  <c r="C43" i="63"/>
  <c r="K64" i="64"/>
  <c r="L44" i="64"/>
  <c r="Z51" i="56" s="1"/>
  <c r="L17" i="81" s="1"/>
  <c r="L42" i="64"/>
  <c r="Z49" i="56" s="1"/>
  <c r="L40" i="64"/>
  <c r="L52" i="64" s="1"/>
  <c r="K44" i="64"/>
  <c r="Y51" i="56" s="1"/>
  <c r="K17" i="81" s="1"/>
  <c r="K42" i="64"/>
  <c r="Y49" i="56" s="1"/>
  <c r="K40" i="64"/>
  <c r="K41" i="64"/>
  <c r="L41" i="64"/>
  <c r="K43" i="64"/>
  <c r="Y50" i="56" s="1"/>
  <c r="L43" i="64"/>
  <c r="Z50" i="56" s="1"/>
  <c r="K60" i="56"/>
  <c r="H43" i="64"/>
  <c r="V50" i="56" s="1"/>
  <c r="H41" i="64"/>
  <c r="V48" i="56" s="1"/>
  <c r="C44" i="64"/>
  <c r="Q51" i="56" s="1"/>
  <c r="C17" i="81" s="1"/>
  <c r="C42" i="64"/>
  <c r="Q49" i="56" s="1"/>
  <c r="C40" i="64"/>
  <c r="Q47" i="56" s="1"/>
  <c r="I43" i="64"/>
  <c r="W50" i="56" s="1"/>
  <c r="I42" i="64"/>
  <c r="W49" i="56" s="1"/>
  <c r="I44" i="64"/>
  <c r="W51" i="56" s="1"/>
  <c r="I17" i="81" s="1"/>
  <c r="H42" i="64"/>
  <c r="V49" i="56" s="1"/>
  <c r="I41" i="64"/>
  <c r="W48" i="56" s="1"/>
  <c r="H40" i="64"/>
  <c r="V47" i="56" s="1"/>
  <c r="B43" i="64"/>
  <c r="P50" i="56" s="1"/>
  <c r="H44" i="64"/>
  <c r="V51" i="56" s="1"/>
  <c r="H17" i="81" s="1"/>
  <c r="F43" i="64"/>
  <c r="T50" i="56" s="1"/>
  <c r="F41" i="64"/>
  <c r="T48" i="56" s="1"/>
  <c r="E41" i="64"/>
  <c r="S48" i="56" s="1"/>
  <c r="B44" i="64"/>
  <c r="P51" i="56" s="1"/>
  <c r="B17" i="81" s="1"/>
  <c r="F44" i="64"/>
  <c r="T51" i="56" s="1"/>
  <c r="F17" i="81" s="1"/>
  <c r="E43" i="64"/>
  <c r="S50" i="56" s="1"/>
  <c r="F42" i="64"/>
  <c r="T49" i="56" s="1"/>
  <c r="F40" i="64"/>
  <c r="T47" i="56" s="1"/>
  <c r="C43" i="64"/>
  <c r="Q50" i="56" s="1"/>
  <c r="B42" i="64"/>
  <c r="P49" i="56" s="1"/>
  <c r="C41" i="64"/>
  <c r="Q48" i="56" s="1"/>
  <c r="B40" i="64"/>
  <c r="P47" i="56" s="1"/>
  <c r="E44" i="64"/>
  <c r="S51" i="56" s="1"/>
  <c r="E17" i="81" s="1"/>
  <c r="E42" i="64"/>
  <c r="S49" i="56" s="1"/>
  <c r="E40" i="64"/>
  <c r="S47" i="56" s="1"/>
  <c r="B41" i="64"/>
  <c r="P48" i="56" s="1"/>
  <c r="I40" i="64"/>
  <c r="W47" i="56" s="1"/>
  <c r="J42" i="63" l="1"/>
  <c r="X60" i="56" s="1"/>
  <c r="F54" i="64"/>
  <c r="L65" i="68"/>
  <c r="H52" i="63"/>
  <c r="H58" i="56" s="1"/>
  <c r="B52" i="63"/>
  <c r="B58" i="56" s="1"/>
  <c r="F52" i="63"/>
  <c r="F62" i="63" s="1"/>
  <c r="B53" i="63"/>
  <c r="B59" i="56" s="1"/>
  <c r="P59" i="56"/>
  <c r="J43" i="63"/>
  <c r="X61" i="56" s="1"/>
  <c r="V61" i="56"/>
  <c r="L64" i="64"/>
  <c r="M64" i="64" s="1"/>
  <c r="L49" i="56"/>
  <c r="I45" i="63"/>
  <c r="W63" i="56" s="1"/>
  <c r="W59" i="56"/>
  <c r="F64" i="64"/>
  <c r="F49" i="56"/>
  <c r="B64" i="63"/>
  <c r="B60" i="56"/>
  <c r="E64" i="64"/>
  <c r="M54" i="64"/>
  <c r="M49" i="56" s="1"/>
  <c r="H64" i="63"/>
  <c r="H60" i="56"/>
  <c r="J40" i="63"/>
  <c r="X58" i="56" s="1"/>
  <c r="W58" i="56"/>
  <c r="J44" i="63"/>
  <c r="X62" i="56" s="1"/>
  <c r="V62" i="56"/>
  <c r="K42" i="63"/>
  <c r="Y60" i="56" s="1"/>
  <c r="K44" i="63"/>
  <c r="Y62" i="56" s="1"/>
  <c r="L43" i="63"/>
  <c r="Z61" i="56" s="1"/>
  <c r="K43" i="63"/>
  <c r="Y61" i="56" s="1"/>
  <c r="L41" i="63"/>
  <c r="Z59" i="56" s="1"/>
  <c r="K41" i="63"/>
  <c r="Y59" i="56" s="1"/>
  <c r="K40" i="63"/>
  <c r="Y58" i="56" s="1"/>
  <c r="L44" i="63"/>
  <c r="Z62" i="56" s="1"/>
  <c r="L40" i="63"/>
  <c r="Z58" i="56" s="1"/>
  <c r="L42" i="63"/>
  <c r="Z60" i="56" s="1"/>
  <c r="C53" i="63"/>
  <c r="C59" i="56" s="1"/>
  <c r="Q59" i="56"/>
  <c r="C52" i="63"/>
  <c r="C58" i="56" s="1"/>
  <c r="Q58" i="56"/>
  <c r="B49" i="56"/>
  <c r="C54" i="64"/>
  <c r="B64" i="64"/>
  <c r="D43" i="63"/>
  <c r="R61" i="56" s="1"/>
  <c r="Q61" i="56"/>
  <c r="M65" i="68"/>
  <c r="E60" i="56"/>
  <c r="E45" i="63"/>
  <c r="S63" i="56" s="1"/>
  <c r="K65" i="68"/>
  <c r="D44" i="63"/>
  <c r="R62" i="56" s="1"/>
  <c r="P62" i="56"/>
  <c r="E53" i="63"/>
  <c r="E59" i="56" s="1"/>
  <c r="H53" i="63"/>
  <c r="H59" i="56" s="1"/>
  <c r="V59" i="56"/>
  <c r="E52" i="63"/>
  <c r="I54" i="64"/>
  <c r="H49" i="56"/>
  <c r="K53" i="64"/>
  <c r="K48" i="56" s="1"/>
  <c r="Y48" i="56"/>
  <c r="K52" i="64"/>
  <c r="K47" i="56" s="1"/>
  <c r="Y47" i="56"/>
  <c r="L47" i="56"/>
  <c r="Z47" i="56"/>
  <c r="L53" i="64"/>
  <c r="L48" i="56" s="1"/>
  <c r="Z48" i="56"/>
  <c r="I52" i="63"/>
  <c r="I58" i="56" s="1"/>
  <c r="D40" i="63"/>
  <c r="R58" i="56" s="1"/>
  <c r="H45" i="63"/>
  <c r="V63" i="56" s="1"/>
  <c r="D42" i="63"/>
  <c r="R60" i="56" s="1"/>
  <c r="G40" i="63"/>
  <c r="U58" i="56" s="1"/>
  <c r="G41" i="63"/>
  <c r="U59" i="56" s="1"/>
  <c r="D41" i="63"/>
  <c r="R59" i="56" s="1"/>
  <c r="C45" i="63"/>
  <c r="Q63" i="56" s="1"/>
  <c r="F53" i="63"/>
  <c r="F45" i="63"/>
  <c r="T63" i="56" s="1"/>
  <c r="J41" i="63"/>
  <c r="E64" i="63"/>
  <c r="C54" i="63"/>
  <c r="I53" i="63"/>
  <c r="B45" i="63"/>
  <c r="P63" i="56" s="1"/>
  <c r="G42" i="63"/>
  <c r="U60" i="56" s="1"/>
  <c r="G43" i="63"/>
  <c r="U61" i="56" s="1"/>
  <c r="G44" i="63"/>
  <c r="U62" i="56" s="1"/>
  <c r="G54" i="64"/>
  <c r="G49" i="56" s="1"/>
  <c r="G44" i="64"/>
  <c r="U51" i="56" s="1"/>
  <c r="G17" i="81" s="1"/>
  <c r="J43" i="64"/>
  <c r="X50" i="56" s="1"/>
  <c r="D42" i="64"/>
  <c r="R49" i="56" s="1"/>
  <c r="M42" i="64"/>
  <c r="AA49" i="56" s="1"/>
  <c r="I45" i="64"/>
  <c r="W52" i="56" s="1"/>
  <c r="I52" i="64"/>
  <c r="I47" i="56" s="1"/>
  <c r="J60" i="56"/>
  <c r="M44" i="64"/>
  <c r="AA51" i="56" s="1"/>
  <c r="M17" i="81" s="1"/>
  <c r="H53" i="64"/>
  <c r="H48" i="56" s="1"/>
  <c r="J41" i="64"/>
  <c r="X48" i="56" s="1"/>
  <c r="D44" i="64"/>
  <c r="R51" i="56" s="1"/>
  <c r="D17" i="81" s="1"/>
  <c r="G41" i="64"/>
  <c r="U48" i="56" s="1"/>
  <c r="E53" i="64"/>
  <c r="E48" i="56" s="1"/>
  <c r="B53" i="64"/>
  <c r="B48" i="56" s="1"/>
  <c r="D41" i="64"/>
  <c r="R48" i="56" s="1"/>
  <c r="F52" i="64"/>
  <c r="F47" i="56" s="1"/>
  <c r="F45" i="64"/>
  <c r="T52" i="56" s="1"/>
  <c r="J44" i="64"/>
  <c r="X51" i="56" s="1"/>
  <c r="J17" i="81" s="1"/>
  <c r="C52" i="64"/>
  <c r="C47" i="56" s="1"/>
  <c r="C45" i="64"/>
  <c r="Q52" i="56" s="1"/>
  <c r="L45" i="64"/>
  <c r="Z52" i="56" s="1"/>
  <c r="D40" i="64"/>
  <c r="R47" i="56" s="1"/>
  <c r="B52" i="64"/>
  <c r="B47" i="56" s="1"/>
  <c r="B45" i="64"/>
  <c r="P52" i="56" s="1"/>
  <c r="C53" i="64"/>
  <c r="C48" i="56" s="1"/>
  <c r="F53" i="64"/>
  <c r="F48" i="56" s="1"/>
  <c r="K64" i="63"/>
  <c r="E45" i="64"/>
  <c r="S52" i="56" s="1"/>
  <c r="G40" i="64"/>
  <c r="U47" i="56" s="1"/>
  <c r="E52" i="64"/>
  <c r="E47" i="56" s="1"/>
  <c r="D43" i="64"/>
  <c r="R50" i="56" s="1"/>
  <c r="I53" i="64"/>
  <c r="I48" i="56" s="1"/>
  <c r="J42" i="64"/>
  <c r="X49" i="56" s="1"/>
  <c r="M41" i="64"/>
  <c r="AA48" i="56" s="1"/>
  <c r="M40" i="64"/>
  <c r="AA47" i="56" s="1"/>
  <c r="K45" i="64"/>
  <c r="Y52" i="56" s="1"/>
  <c r="G42" i="64"/>
  <c r="U49" i="56" s="1"/>
  <c r="G43" i="64"/>
  <c r="U50" i="56" s="1"/>
  <c r="H45" i="64"/>
  <c r="V52" i="56" s="1"/>
  <c r="H52" i="64"/>
  <c r="H47" i="56" s="1"/>
  <c r="J40" i="64"/>
  <c r="X47" i="56" s="1"/>
  <c r="M43" i="64"/>
  <c r="AA50" i="56" s="1"/>
  <c r="G64" i="64" l="1"/>
  <c r="B62" i="63"/>
  <c r="F58" i="56"/>
  <c r="B55" i="63"/>
  <c r="B61" i="56" s="1"/>
  <c r="D52" i="63"/>
  <c r="D58" i="56" s="1"/>
  <c r="C62" i="63"/>
  <c r="D62" i="63" s="1"/>
  <c r="H62" i="63"/>
  <c r="D53" i="63"/>
  <c r="B63" i="63" s="1"/>
  <c r="E62" i="63"/>
  <c r="G62" i="63" s="1"/>
  <c r="E58" i="56"/>
  <c r="J52" i="63"/>
  <c r="J58" i="56" s="1"/>
  <c r="I55" i="63"/>
  <c r="I61" i="56" s="1"/>
  <c r="I59" i="56"/>
  <c r="I64" i="63"/>
  <c r="J64" i="63" s="1"/>
  <c r="I60" i="56"/>
  <c r="H55" i="63"/>
  <c r="H61" i="56" s="1"/>
  <c r="C64" i="63"/>
  <c r="D64" i="63" s="1"/>
  <c r="C60" i="56"/>
  <c r="C64" i="64"/>
  <c r="C49" i="56"/>
  <c r="F55" i="63"/>
  <c r="F61" i="56" s="1"/>
  <c r="F59" i="56"/>
  <c r="G52" i="63"/>
  <c r="G58" i="56" s="1"/>
  <c r="F64" i="63"/>
  <c r="G64" i="63" s="1"/>
  <c r="F60" i="56"/>
  <c r="E55" i="63"/>
  <c r="E61" i="56" s="1"/>
  <c r="D54" i="64"/>
  <c r="D49" i="56" s="1"/>
  <c r="L64" i="63"/>
  <c r="M64" i="63" s="1"/>
  <c r="L60" i="56"/>
  <c r="I62" i="63"/>
  <c r="G60" i="56"/>
  <c r="J45" i="63"/>
  <c r="X63" i="56" s="1"/>
  <c r="X59" i="56"/>
  <c r="I64" i="64"/>
  <c r="J64" i="64" s="1"/>
  <c r="I49" i="56"/>
  <c r="J54" i="64"/>
  <c r="J49" i="56" s="1"/>
  <c r="D64" i="64"/>
  <c r="D45" i="63"/>
  <c r="R63" i="56" s="1"/>
  <c r="J53" i="63"/>
  <c r="G53" i="63"/>
  <c r="D54" i="63"/>
  <c r="D60" i="56" s="1"/>
  <c r="G45" i="63"/>
  <c r="U63" i="56" s="1"/>
  <c r="C55" i="63"/>
  <c r="C61" i="56" s="1"/>
  <c r="M60" i="56"/>
  <c r="B62" i="64"/>
  <c r="D52" i="64"/>
  <c r="D47" i="56" s="1"/>
  <c r="B55" i="64"/>
  <c r="B50" i="56" s="1"/>
  <c r="G45" i="64"/>
  <c r="U52" i="56" s="1"/>
  <c r="L53" i="63"/>
  <c r="L59" i="56" s="1"/>
  <c r="L62" i="64"/>
  <c r="L55" i="64"/>
  <c r="L50" i="56" s="1"/>
  <c r="M42" i="63"/>
  <c r="AA60" i="56" s="1"/>
  <c r="M45" i="64"/>
  <c r="AA52" i="56" s="1"/>
  <c r="M52" i="64"/>
  <c r="M47" i="56" s="1"/>
  <c r="K55" i="64"/>
  <c r="K50" i="56" s="1"/>
  <c r="K62" i="64"/>
  <c r="K52" i="63"/>
  <c r="K58" i="56" s="1"/>
  <c r="M40" i="63"/>
  <c r="AA58" i="56" s="1"/>
  <c r="K45" i="63"/>
  <c r="Y63" i="56" s="1"/>
  <c r="D45" i="64"/>
  <c r="R52" i="56" s="1"/>
  <c r="H63" i="64"/>
  <c r="J53" i="64"/>
  <c r="J48" i="56" s="1"/>
  <c r="M41" i="63"/>
  <c r="AA59" i="56" s="1"/>
  <c r="K53" i="63"/>
  <c r="K59" i="56" s="1"/>
  <c r="F55" i="64"/>
  <c r="F50" i="56" s="1"/>
  <c r="F62" i="64"/>
  <c r="J45" i="64"/>
  <c r="X52" i="56" s="1"/>
  <c r="E62" i="64"/>
  <c r="G52" i="64"/>
  <c r="G47" i="56" s="1"/>
  <c r="E55" i="64"/>
  <c r="E50" i="56" s="1"/>
  <c r="L52" i="63"/>
  <c r="L58" i="56" s="1"/>
  <c r="L45" i="63"/>
  <c r="Z63" i="56" s="1"/>
  <c r="M53" i="64"/>
  <c r="M48" i="56" s="1"/>
  <c r="K63" i="64"/>
  <c r="J52" i="64"/>
  <c r="J47" i="56" s="1"/>
  <c r="H55" i="64"/>
  <c r="H50" i="56" s="1"/>
  <c r="H62" i="64"/>
  <c r="C55" i="64"/>
  <c r="C50" i="56" s="1"/>
  <c r="C62" i="64"/>
  <c r="B63" i="64"/>
  <c r="D53" i="64"/>
  <c r="D48" i="56" s="1"/>
  <c r="G53" i="64"/>
  <c r="G48" i="56" s="1"/>
  <c r="E63" i="64"/>
  <c r="I62" i="64"/>
  <c r="I55" i="64"/>
  <c r="I50" i="56" s="1"/>
  <c r="M43" i="63"/>
  <c r="AA61" i="56" s="1"/>
  <c r="M44" i="63"/>
  <c r="AA62" i="56" s="1"/>
  <c r="J62" i="63" l="1"/>
  <c r="B65" i="63"/>
  <c r="C63" i="63"/>
  <c r="D59" i="56"/>
  <c r="J55" i="63"/>
  <c r="J61" i="56" s="1"/>
  <c r="D55" i="63"/>
  <c r="D61" i="56" s="1"/>
  <c r="E63" i="63"/>
  <c r="E65" i="63" s="1"/>
  <c r="G59" i="56"/>
  <c r="H63" i="63"/>
  <c r="J59" i="56"/>
  <c r="G55" i="63"/>
  <c r="G61" i="56" s="1"/>
  <c r="G55" i="64"/>
  <c r="G50" i="56" s="1"/>
  <c r="L63" i="64"/>
  <c r="I63" i="64"/>
  <c r="J63" i="64"/>
  <c r="E65" i="64"/>
  <c r="G62" i="64"/>
  <c r="B65" i="64"/>
  <c r="D62" i="64"/>
  <c r="L62" i="63"/>
  <c r="L55" i="63"/>
  <c r="L61" i="56" s="1"/>
  <c r="M53" i="63"/>
  <c r="M45" i="63"/>
  <c r="AA63" i="56" s="1"/>
  <c r="M52" i="63"/>
  <c r="M58" i="56" s="1"/>
  <c r="K62" i="63"/>
  <c r="K55" i="63"/>
  <c r="K61" i="56" s="1"/>
  <c r="J62" i="64"/>
  <c r="H65" i="64"/>
  <c r="K65" i="64"/>
  <c r="M62" i="64"/>
  <c r="F63" i="64"/>
  <c r="C65" i="63"/>
  <c r="C63" i="64"/>
  <c r="J55" i="64"/>
  <c r="J50" i="56" s="1"/>
  <c r="D63" i="63"/>
  <c r="M55" i="64"/>
  <c r="M50" i="56" s="1"/>
  <c r="D55" i="64"/>
  <c r="D50" i="56" s="1"/>
  <c r="F63" i="63" l="1"/>
  <c r="G63" i="63" s="1"/>
  <c r="G65" i="63" s="1"/>
  <c r="I63" i="63"/>
  <c r="I65" i="63" s="1"/>
  <c r="H65" i="63"/>
  <c r="K63" i="63"/>
  <c r="L63" i="63" s="1"/>
  <c r="M59" i="56"/>
  <c r="C65" i="64"/>
  <c r="F65" i="64"/>
  <c r="M63" i="64"/>
  <c r="I65" i="64"/>
  <c r="D63" i="64"/>
  <c r="L65" i="64"/>
  <c r="M55" i="63"/>
  <c r="M61" i="56" s="1"/>
  <c r="K65" i="63"/>
  <c r="M62" i="63"/>
  <c r="G63" i="64"/>
  <c r="D65" i="63"/>
  <c r="J63" i="63" l="1"/>
  <c r="J65" i="63" s="1"/>
  <c r="F65" i="63"/>
  <c r="D65" i="64"/>
  <c r="G65" i="64"/>
  <c r="J65" i="64"/>
  <c r="M65" i="64"/>
  <c r="L65" i="63"/>
  <c r="M63" i="63"/>
  <c r="M65" i="63" l="1"/>
  <c r="A59" i="41" l="1"/>
  <c r="A49" i="41"/>
  <c r="A22" i="56" s="1"/>
  <c r="A37" i="41"/>
  <c r="O22" i="56" s="1"/>
  <c r="B4" i="41"/>
  <c r="C30" i="41" l="1"/>
  <c r="E30" i="41"/>
  <c r="E34" i="41" s="1"/>
  <c r="K54" i="41" s="1"/>
  <c r="C5" i="41"/>
  <c r="K43" i="41" s="1"/>
  <c r="B5" i="41"/>
  <c r="C12" i="2"/>
  <c r="Y28" i="56" l="1"/>
  <c r="K64" i="41"/>
  <c r="K27" i="56"/>
  <c r="C35" i="41"/>
  <c r="H54" i="41" s="1"/>
  <c r="C33" i="41"/>
  <c r="B54" i="41" s="1"/>
  <c r="C34" i="41"/>
  <c r="E54" i="41" s="1"/>
  <c r="E27" i="56" s="1"/>
  <c r="L40" i="41"/>
  <c r="L41" i="41"/>
  <c r="L42" i="41"/>
  <c r="L43" i="41"/>
  <c r="K40" i="41"/>
  <c r="L44" i="41"/>
  <c r="K41" i="41"/>
  <c r="K42" i="41"/>
  <c r="K44" i="41"/>
  <c r="I54" i="41"/>
  <c r="L54" i="41"/>
  <c r="H44" i="41"/>
  <c r="H43" i="41"/>
  <c r="H42" i="41"/>
  <c r="H41" i="41"/>
  <c r="H40" i="41"/>
  <c r="C44" i="41"/>
  <c r="C43" i="41"/>
  <c r="C42" i="41"/>
  <c r="C41" i="41"/>
  <c r="C40" i="41"/>
  <c r="F44" i="41"/>
  <c r="B43" i="41"/>
  <c r="F42" i="41"/>
  <c r="B41" i="41"/>
  <c r="F40" i="41"/>
  <c r="E44" i="41"/>
  <c r="I43" i="41"/>
  <c r="E42" i="41"/>
  <c r="I41" i="41"/>
  <c r="E40" i="41"/>
  <c r="B44" i="41"/>
  <c r="F43" i="41"/>
  <c r="B42" i="41"/>
  <c r="F41" i="41"/>
  <c r="B40" i="41"/>
  <c r="I44" i="41"/>
  <c r="E43" i="41"/>
  <c r="I42" i="41"/>
  <c r="E41" i="41"/>
  <c r="I40" i="41"/>
  <c r="M43" i="41"/>
  <c r="V25" i="56" l="1"/>
  <c r="V26" i="56"/>
  <c r="T29" i="56"/>
  <c r="V27" i="56"/>
  <c r="Z29" i="56"/>
  <c r="W27" i="56"/>
  <c r="S25" i="56"/>
  <c r="Q25" i="56"/>
  <c r="Y25" i="56"/>
  <c r="P25" i="56"/>
  <c r="Q27" i="56"/>
  <c r="Z27" i="56"/>
  <c r="P29" i="56"/>
  <c r="S28" i="56"/>
  <c r="Y26" i="56"/>
  <c r="S27" i="56"/>
  <c r="AA28" i="56"/>
  <c r="W28" i="56"/>
  <c r="Z28" i="56"/>
  <c r="W25" i="56"/>
  <c r="P27" i="56"/>
  <c r="T25" i="56"/>
  <c r="Q28" i="56"/>
  <c r="L53" i="41"/>
  <c r="L26" i="56" s="1"/>
  <c r="T27" i="56"/>
  <c r="P28" i="56"/>
  <c r="W29" i="56"/>
  <c r="V28" i="56"/>
  <c r="V29" i="56"/>
  <c r="K52" i="41"/>
  <c r="K25" i="56" s="1"/>
  <c r="S29" i="56"/>
  <c r="S26" i="56"/>
  <c r="T28" i="56"/>
  <c r="P26" i="56"/>
  <c r="Q29" i="56"/>
  <c r="Y29" i="56"/>
  <c r="Z25" i="56"/>
  <c r="L64" i="41"/>
  <c r="M64" i="41" s="1"/>
  <c r="L27" i="56"/>
  <c r="M42" i="41"/>
  <c r="I64" i="41"/>
  <c r="I27" i="56"/>
  <c r="B64" i="41"/>
  <c r="B27" i="56"/>
  <c r="M44" i="41"/>
  <c r="H64" i="41"/>
  <c r="H27" i="56"/>
  <c r="C54" i="41"/>
  <c r="D54" i="41" s="1"/>
  <c r="D27" i="56" s="1"/>
  <c r="M41" i="41"/>
  <c r="Y27" i="56"/>
  <c r="K53" i="41"/>
  <c r="M40" i="41"/>
  <c r="L52" i="41"/>
  <c r="Z26" i="56"/>
  <c r="L45" i="41"/>
  <c r="K45" i="41"/>
  <c r="J54" i="41"/>
  <c r="J27" i="56" s="1"/>
  <c r="M54" i="41"/>
  <c r="M27" i="56" s="1"/>
  <c r="I53" i="41"/>
  <c r="I26" i="56" s="1"/>
  <c r="W26" i="56"/>
  <c r="F53" i="41"/>
  <c r="F26" i="56" s="1"/>
  <c r="T26" i="56"/>
  <c r="C53" i="41"/>
  <c r="C26" i="56" s="1"/>
  <c r="Q26" i="56"/>
  <c r="D42" i="41"/>
  <c r="J42" i="41"/>
  <c r="G42" i="41"/>
  <c r="J43" i="41"/>
  <c r="I45" i="41"/>
  <c r="I52" i="41"/>
  <c r="I25" i="56" s="1"/>
  <c r="F52" i="41"/>
  <c r="F25" i="56" s="1"/>
  <c r="F45" i="41"/>
  <c r="G41" i="41"/>
  <c r="E53" i="41"/>
  <c r="E26" i="56" s="1"/>
  <c r="E64" i="41"/>
  <c r="F54" i="41"/>
  <c r="D41" i="41"/>
  <c r="B53" i="41"/>
  <c r="B26" i="56" s="1"/>
  <c r="C52" i="41"/>
  <c r="C25" i="56" s="1"/>
  <c r="C45" i="41"/>
  <c r="D40" i="41"/>
  <c r="B52" i="41"/>
  <c r="B25" i="56" s="1"/>
  <c r="B45" i="41"/>
  <c r="D44" i="41"/>
  <c r="H45" i="41"/>
  <c r="J40" i="41"/>
  <c r="H52" i="41"/>
  <c r="H25" i="56" s="1"/>
  <c r="J44" i="41"/>
  <c r="G43" i="41"/>
  <c r="G40" i="41"/>
  <c r="E52" i="41"/>
  <c r="E25" i="56" s="1"/>
  <c r="E45" i="41"/>
  <c r="G44" i="41"/>
  <c r="D43" i="41"/>
  <c r="J41" i="41"/>
  <c r="H53" i="41"/>
  <c r="H26" i="56" s="1"/>
  <c r="J64" i="41" l="1"/>
  <c r="E4" i="81"/>
  <c r="E6" i="81" s="1"/>
  <c r="E7" i="81" s="1"/>
  <c r="E8" i="81" s="1"/>
  <c r="K4" i="81"/>
  <c r="K6" i="81" s="1"/>
  <c r="K7" i="81" s="1"/>
  <c r="K8" i="81" s="1"/>
  <c r="H4" i="81"/>
  <c r="H6" i="81" s="1"/>
  <c r="H7" i="81" s="1"/>
  <c r="H8" i="81" s="1"/>
  <c r="B4" i="81"/>
  <c r="B6" i="81" s="1"/>
  <c r="B7" i="81" s="1"/>
  <c r="B8" i="81" s="1"/>
  <c r="C4" i="81"/>
  <c r="C6" i="81" s="1"/>
  <c r="C7" i="81" s="1"/>
  <c r="C8" i="81" s="1"/>
  <c r="I4" i="81"/>
  <c r="I6" i="81" s="1"/>
  <c r="I7" i="81" s="1"/>
  <c r="I8" i="81" s="1"/>
  <c r="F4" i="81"/>
  <c r="F6" i="81" s="1"/>
  <c r="F7" i="81" s="1"/>
  <c r="F8" i="81" s="1"/>
  <c r="L4" i="81"/>
  <c r="L6" i="81" s="1"/>
  <c r="L7" i="81" s="1"/>
  <c r="L8" i="81" s="1"/>
  <c r="L55" i="41"/>
  <c r="L28" i="56" s="1"/>
  <c r="R28" i="56"/>
  <c r="X25" i="56"/>
  <c r="Z30" i="56"/>
  <c r="S30" i="56"/>
  <c r="V30" i="56"/>
  <c r="R26" i="56"/>
  <c r="W30" i="56"/>
  <c r="AA27" i="56"/>
  <c r="R29" i="56"/>
  <c r="D4" i="81" s="1"/>
  <c r="D6" i="81" s="1"/>
  <c r="D7" i="81" s="1"/>
  <c r="D8" i="81" s="1"/>
  <c r="U28" i="56"/>
  <c r="X27" i="56"/>
  <c r="P30" i="56"/>
  <c r="U27" i="56"/>
  <c r="K62" i="41"/>
  <c r="M62" i="41" s="1"/>
  <c r="R25" i="56"/>
  <c r="U26" i="56"/>
  <c r="R27" i="56"/>
  <c r="Y30" i="56"/>
  <c r="U29" i="56"/>
  <c r="G4" i="81" s="1"/>
  <c r="G6" i="81" s="1"/>
  <c r="G7" i="81" s="1"/>
  <c r="G8" i="81" s="1"/>
  <c r="X28" i="56"/>
  <c r="AA29" i="56"/>
  <c r="M4" i="81" s="1"/>
  <c r="M6" i="81" s="1"/>
  <c r="M7" i="81" s="1"/>
  <c r="M8" i="81" s="1"/>
  <c r="AA25" i="56"/>
  <c r="X26" i="56"/>
  <c r="X29" i="56"/>
  <c r="J4" i="81" s="1"/>
  <c r="J6" i="81" s="1"/>
  <c r="J7" i="81" s="1"/>
  <c r="J8" i="81" s="1"/>
  <c r="Q30" i="56"/>
  <c r="T30" i="56"/>
  <c r="AA26" i="56"/>
  <c r="L62" i="41"/>
  <c r="M53" i="41"/>
  <c r="M26" i="56" s="1"/>
  <c r="K26" i="56"/>
  <c r="F64" i="41"/>
  <c r="G64" i="41" s="1"/>
  <c r="F27" i="56"/>
  <c r="K55" i="41"/>
  <c r="K28" i="56" s="1"/>
  <c r="M45" i="41"/>
  <c r="K63" i="41"/>
  <c r="C64" i="41"/>
  <c r="D64" i="41" s="1"/>
  <c r="C27" i="56"/>
  <c r="M52" i="41"/>
  <c r="M25" i="56" s="1"/>
  <c r="L25" i="56"/>
  <c r="G45" i="41"/>
  <c r="U25" i="56"/>
  <c r="D45" i="41"/>
  <c r="G53" i="41"/>
  <c r="G26" i="56" s="1"/>
  <c r="E63" i="41"/>
  <c r="J53" i="41"/>
  <c r="J26" i="56" s="1"/>
  <c r="H63" i="41"/>
  <c r="J52" i="41"/>
  <c r="J25" i="56" s="1"/>
  <c r="H62" i="41"/>
  <c r="H55" i="41"/>
  <c r="H28" i="56" s="1"/>
  <c r="C55" i="41"/>
  <c r="C28" i="56" s="1"/>
  <c r="C62" i="41"/>
  <c r="F62" i="41"/>
  <c r="F55" i="41"/>
  <c r="F28" i="56" s="1"/>
  <c r="G52" i="41"/>
  <c r="G25" i="56" s="1"/>
  <c r="E62" i="41"/>
  <c r="E55" i="41"/>
  <c r="E28" i="56" s="1"/>
  <c r="J45" i="41"/>
  <c r="B62" i="41"/>
  <c r="B55" i="41"/>
  <c r="B28" i="56" s="1"/>
  <c r="D52" i="41"/>
  <c r="D25" i="56" s="1"/>
  <c r="B63" i="41"/>
  <c r="D53" i="41"/>
  <c r="D26" i="56" s="1"/>
  <c r="G54" i="41"/>
  <c r="G27" i="56" s="1"/>
  <c r="I62" i="41"/>
  <c r="I55" i="41"/>
  <c r="I28" i="56" s="1"/>
  <c r="M55" i="41" l="1"/>
  <c r="M28" i="56" s="1"/>
  <c r="U30" i="56"/>
  <c r="G46" i="41"/>
  <c r="G47" i="41" s="1"/>
  <c r="AA30" i="56"/>
  <c r="M46" i="41"/>
  <c r="M47" i="41" s="1"/>
  <c r="X30" i="56"/>
  <c r="J46" i="41"/>
  <c r="J47" i="41" s="1"/>
  <c r="R30" i="56"/>
  <c r="D46" i="41"/>
  <c r="D47" i="41" s="1"/>
  <c r="K65" i="41"/>
  <c r="L63" i="41"/>
  <c r="L65" i="41" s="1"/>
  <c r="G55" i="41"/>
  <c r="G28" i="56" s="1"/>
  <c r="M63" i="41"/>
  <c r="B65" i="41"/>
  <c r="D62" i="41"/>
  <c r="F63" i="41"/>
  <c r="G63" i="41" s="1"/>
  <c r="C63" i="41"/>
  <c r="E65" i="41"/>
  <c r="G62" i="41"/>
  <c r="I63" i="41"/>
  <c r="J55" i="41"/>
  <c r="J28" i="56" s="1"/>
  <c r="D55" i="41"/>
  <c r="D28" i="56" s="1"/>
  <c r="J62" i="41"/>
  <c r="H65" i="41"/>
  <c r="M65" i="41" l="1"/>
  <c r="I65" i="41"/>
  <c r="D63" i="41"/>
  <c r="F65" i="41"/>
  <c r="C65" i="41"/>
  <c r="J63" i="41"/>
  <c r="J65" i="41" l="1"/>
  <c r="G65" i="41"/>
  <c r="D65" i="41"/>
  <c r="B3" i="2" l="1"/>
  <c r="C3" i="2" s="1"/>
  <c r="A59" i="2" l="1"/>
  <c r="A49" i="2"/>
  <c r="A11" i="56" s="1"/>
  <c r="A37" i="2"/>
  <c r="O11" i="56" s="1"/>
  <c r="E30" i="2" l="1"/>
  <c r="C30" i="2"/>
  <c r="C4" i="2"/>
  <c r="B4" i="2"/>
  <c r="L40" i="2" l="1"/>
  <c r="Z14" i="56" s="1"/>
  <c r="Z102" i="56" s="1"/>
  <c r="K40" i="2"/>
  <c r="Y14" i="56" s="1"/>
  <c r="Y102" i="56" s="1"/>
  <c r="Y112" i="56" l="1"/>
  <c r="Z112" i="56"/>
  <c r="L52" i="2"/>
  <c r="L14" i="56" s="1"/>
  <c r="L102" i="56" s="1"/>
  <c r="M40" i="2"/>
  <c r="AA14" i="56" s="1"/>
  <c r="K52" i="2"/>
  <c r="K14" i="56" s="1"/>
  <c r="K102" i="56" s="1"/>
  <c r="C33" i="2"/>
  <c r="B54" i="2" s="1"/>
  <c r="E34" i="2"/>
  <c r="AA102" i="56" l="1"/>
  <c r="AA112" i="56" s="1"/>
  <c r="K112" i="56"/>
  <c r="L112" i="56"/>
  <c r="L16" i="56"/>
  <c r="L104" i="56" s="1"/>
  <c r="K16" i="56"/>
  <c r="K104" i="56" s="1"/>
  <c r="M52" i="2"/>
  <c r="M14" i="56" s="1"/>
  <c r="K62" i="2"/>
  <c r="L62" i="2"/>
  <c r="C40" i="2"/>
  <c r="Q14" i="56" s="1"/>
  <c r="Q102" i="56" s="1"/>
  <c r="F40" i="2"/>
  <c r="T14" i="56" s="1"/>
  <c r="T102" i="56" s="1"/>
  <c r="B40" i="2"/>
  <c r="P14" i="56" s="1"/>
  <c r="P102" i="56" s="1"/>
  <c r="H40" i="2"/>
  <c r="V14" i="56" s="1"/>
  <c r="V102" i="56" s="1"/>
  <c r="I40" i="2"/>
  <c r="W14" i="56" s="1"/>
  <c r="W102" i="56" s="1"/>
  <c r="E40" i="2"/>
  <c r="S14" i="56" s="1"/>
  <c r="S102" i="56" s="1"/>
  <c r="K64" i="2"/>
  <c r="C34" i="2"/>
  <c r="E54" i="2" s="1"/>
  <c r="F54" i="2" s="1"/>
  <c r="G54" i="2" s="1"/>
  <c r="C35" i="2"/>
  <c r="H54" i="2" s="1"/>
  <c r="I54" i="2" s="1"/>
  <c r="J54" i="2" s="1"/>
  <c r="M112" i="56" l="1"/>
  <c r="W112" i="56"/>
  <c r="Q112" i="56"/>
  <c r="T112" i="56"/>
  <c r="S112" i="56"/>
  <c r="V112" i="56"/>
  <c r="K114" i="56"/>
  <c r="L114" i="56"/>
  <c r="C54" i="2"/>
  <c r="C16" i="56" s="1"/>
  <c r="C104" i="56" s="1"/>
  <c r="B16" i="56"/>
  <c r="B104" i="56" s="1"/>
  <c r="F16" i="56"/>
  <c r="F104" i="56" s="1"/>
  <c r="E16" i="56"/>
  <c r="E104" i="56" s="1"/>
  <c r="I16" i="56"/>
  <c r="I104" i="56" s="1"/>
  <c r="H16" i="56"/>
  <c r="H104" i="56" s="1"/>
  <c r="X102" i="56"/>
  <c r="X112" i="56" s="1"/>
  <c r="U102" i="56"/>
  <c r="U112" i="56" s="1"/>
  <c r="B64" i="2"/>
  <c r="M62" i="2"/>
  <c r="F52" i="2"/>
  <c r="I52" i="2"/>
  <c r="C52" i="2"/>
  <c r="L64" i="2"/>
  <c r="J40" i="2"/>
  <c r="X14" i="56" s="1"/>
  <c r="H52" i="2"/>
  <c r="H14" i="56" s="1"/>
  <c r="H102" i="56" s="1"/>
  <c r="D40" i="2"/>
  <c r="R14" i="56" s="1"/>
  <c r="B52" i="2"/>
  <c r="B14" i="56" s="1"/>
  <c r="B102" i="56" s="1"/>
  <c r="C16" i="2"/>
  <c r="I44" i="2"/>
  <c r="W18" i="56" s="1"/>
  <c r="C44" i="2"/>
  <c r="Q18" i="56" s="1"/>
  <c r="F44" i="2"/>
  <c r="T18" i="56" s="1"/>
  <c r="B44" i="2"/>
  <c r="P18" i="56" s="1"/>
  <c r="E44" i="2"/>
  <c r="S18" i="56" s="1"/>
  <c r="H44" i="2"/>
  <c r="V18" i="56" s="1"/>
  <c r="G40" i="2"/>
  <c r="U14" i="56" s="1"/>
  <c r="E52" i="2"/>
  <c r="E14" i="56" s="1"/>
  <c r="E102" i="56" s="1"/>
  <c r="C14" i="2"/>
  <c r="H42" i="2"/>
  <c r="V16" i="56" s="1"/>
  <c r="V104" i="56" s="1"/>
  <c r="C42" i="2"/>
  <c r="Q16" i="56" s="1"/>
  <c r="Q104" i="56" s="1"/>
  <c r="F42" i="2"/>
  <c r="T16" i="56" s="1"/>
  <c r="T104" i="56" s="1"/>
  <c r="I42" i="2"/>
  <c r="W16" i="56" s="1"/>
  <c r="W104" i="56" s="1"/>
  <c r="B42" i="2"/>
  <c r="P16" i="56" s="1"/>
  <c r="P104" i="56" s="1"/>
  <c r="E42" i="2"/>
  <c r="S16" i="56" s="1"/>
  <c r="S104" i="56" s="1"/>
  <c r="C15" i="2"/>
  <c r="F43" i="2"/>
  <c r="T17" i="56" s="1"/>
  <c r="T105" i="56" s="1"/>
  <c r="I43" i="2"/>
  <c r="W17" i="56" s="1"/>
  <c r="W105" i="56" s="1"/>
  <c r="C43" i="2"/>
  <c r="Q17" i="56" s="1"/>
  <c r="Q105" i="56" s="1"/>
  <c r="B43" i="2"/>
  <c r="P17" i="56" s="1"/>
  <c r="P105" i="56" s="1"/>
  <c r="E43" i="2"/>
  <c r="S17" i="56" s="1"/>
  <c r="S105" i="56" s="1"/>
  <c r="H43" i="2"/>
  <c r="V17" i="56" s="1"/>
  <c r="V105" i="56" s="1"/>
  <c r="M16" i="56"/>
  <c r="H64" i="2"/>
  <c r="E64" i="2"/>
  <c r="F64" i="2"/>
  <c r="P106" i="56" l="1"/>
  <c r="B13" i="81"/>
  <c r="B15" i="81" s="1"/>
  <c r="B18" i="81" s="1"/>
  <c r="F13" i="81"/>
  <c r="F15" i="81" s="1"/>
  <c r="F18" i="81" s="1"/>
  <c r="T106" i="56"/>
  <c r="C13" i="81"/>
  <c r="C15" i="81" s="1"/>
  <c r="C18" i="81" s="1"/>
  <c r="Q106" i="56"/>
  <c r="Q116" i="56" s="1"/>
  <c r="E13" i="81"/>
  <c r="E15" i="81" s="1"/>
  <c r="E18" i="81" s="1"/>
  <c r="S106" i="56"/>
  <c r="S116" i="56" s="1"/>
  <c r="I13" i="81"/>
  <c r="I15" i="81" s="1"/>
  <c r="I18" i="81" s="1"/>
  <c r="W106" i="56"/>
  <c r="W116" i="56" s="1"/>
  <c r="H13" i="81"/>
  <c r="H15" i="81" s="1"/>
  <c r="H18" i="81" s="1"/>
  <c r="V106" i="56"/>
  <c r="V116" i="56" s="1"/>
  <c r="R102" i="56"/>
  <c r="R112" i="56" s="1"/>
  <c r="E112" i="56"/>
  <c r="B112" i="56"/>
  <c r="P112" i="56"/>
  <c r="H112" i="56"/>
  <c r="G104" i="56"/>
  <c r="Q115" i="56"/>
  <c r="V114" i="56"/>
  <c r="W114" i="56"/>
  <c r="T115" i="56"/>
  <c r="V115" i="56"/>
  <c r="R105" i="56"/>
  <c r="R115" i="56" s="1"/>
  <c r="T114" i="56"/>
  <c r="P116" i="56"/>
  <c r="S114" i="56"/>
  <c r="P114" i="56"/>
  <c r="Q114" i="56"/>
  <c r="D54" i="2"/>
  <c r="D16" i="56" s="1"/>
  <c r="C64" i="2"/>
  <c r="D64" i="2" s="1"/>
  <c r="F114" i="56"/>
  <c r="M114" i="56"/>
  <c r="H114" i="56"/>
  <c r="I114" i="56"/>
  <c r="E114" i="56"/>
  <c r="B114" i="56"/>
  <c r="C114" i="56"/>
  <c r="C62" i="2"/>
  <c r="C14" i="56"/>
  <c r="C102" i="56" s="1"/>
  <c r="F62" i="2"/>
  <c r="F14" i="56"/>
  <c r="F102" i="56" s="1"/>
  <c r="I62" i="2"/>
  <c r="I14" i="56"/>
  <c r="I102" i="56" s="1"/>
  <c r="M102" i="56"/>
  <c r="R104" i="56"/>
  <c r="M64" i="2"/>
  <c r="G64" i="2"/>
  <c r="I64" i="2"/>
  <c r="K43" i="2"/>
  <c r="Y17" i="56" s="1"/>
  <c r="Y105" i="56" s="1"/>
  <c r="L43" i="2"/>
  <c r="Z17" i="56" s="1"/>
  <c r="Z105" i="56" s="1"/>
  <c r="G42" i="2"/>
  <c r="U16" i="56" s="1"/>
  <c r="L44" i="2"/>
  <c r="Z18" i="56" s="1"/>
  <c r="K44" i="2"/>
  <c r="Y18" i="56" s="1"/>
  <c r="J43" i="2"/>
  <c r="X17" i="56" s="1"/>
  <c r="D43" i="2"/>
  <c r="R17" i="56" s="1"/>
  <c r="G44" i="2"/>
  <c r="U18" i="56" s="1"/>
  <c r="E41" i="2"/>
  <c r="S15" i="56" s="1"/>
  <c r="S103" i="56" s="1"/>
  <c r="H41" i="2"/>
  <c r="V15" i="56" s="1"/>
  <c r="V103" i="56" s="1"/>
  <c r="C41" i="2"/>
  <c r="Q15" i="56" s="1"/>
  <c r="Q103" i="56" s="1"/>
  <c r="F41" i="2"/>
  <c r="T15" i="56" s="1"/>
  <c r="T103" i="56" s="1"/>
  <c r="I41" i="2"/>
  <c r="W15" i="56" s="1"/>
  <c r="W103" i="56" s="1"/>
  <c r="B41" i="2"/>
  <c r="P15" i="56" s="1"/>
  <c r="P103" i="56" s="1"/>
  <c r="D44" i="2"/>
  <c r="R18" i="56" s="1"/>
  <c r="G52" i="2"/>
  <c r="G14" i="56" s="1"/>
  <c r="E62" i="2"/>
  <c r="G43" i="2"/>
  <c r="U17" i="56" s="1"/>
  <c r="D52" i="2"/>
  <c r="D14" i="56" s="1"/>
  <c r="B62" i="2"/>
  <c r="J42" i="2"/>
  <c r="X16" i="56" s="1"/>
  <c r="J52" i="2"/>
  <c r="J14" i="56" s="1"/>
  <c r="H62" i="2"/>
  <c r="D42" i="2"/>
  <c r="R16" i="56" s="1"/>
  <c r="J44" i="2"/>
  <c r="X18" i="56" s="1"/>
  <c r="K42" i="2"/>
  <c r="Y16" i="56" s="1"/>
  <c r="Y104" i="56" s="1"/>
  <c r="L42" i="2"/>
  <c r="Z16" i="56" s="1"/>
  <c r="Z104" i="56" s="1"/>
  <c r="C13" i="2"/>
  <c r="G16" i="56"/>
  <c r="J16" i="56"/>
  <c r="J13" i="81" l="1"/>
  <c r="J15" i="81" s="1"/>
  <c r="G13" i="81"/>
  <c r="G15" i="81" s="1"/>
  <c r="D13" i="81"/>
  <c r="D15" i="81" s="1"/>
  <c r="K13" i="81"/>
  <c r="K15" i="81" s="1"/>
  <c r="K18" i="81" s="1"/>
  <c r="Y106" i="56"/>
  <c r="L13" i="81"/>
  <c r="L15" i="81" s="1"/>
  <c r="L18" i="81" s="1"/>
  <c r="Z106" i="56"/>
  <c r="Z116" i="56" s="1"/>
  <c r="W113" i="56"/>
  <c r="Q119" i="56"/>
  <c r="Q120" i="56"/>
  <c r="T119" i="56"/>
  <c r="Q113" i="56"/>
  <c r="I112" i="56"/>
  <c r="F112" i="56"/>
  <c r="C112" i="56"/>
  <c r="V120" i="56"/>
  <c r="V119" i="56"/>
  <c r="U106" i="56"/>
  <c r="U116" i="56" s="1"/>
  <c r="U104" i="56"/>
  <c r="U114" i="56" s="1"/>
  <c r="P115" i="56"/>
  <c r="P120" i="56" s="1"/>
  <c r="T116" i="56"/>
  <c r="T120" i="56" s="1"/>
  <c r="X106" i="56"/>
  <c r="X116" i="56" s="1"/>
  <c r="U105" i="56"/>
  <c r="U115" i="56" s="1"/>
  <c r="R106" i="56"/>
  <c r="R116" i="56" s="1"/>
  <c r="T113" i="56"/>
  <c r="X104" i="56"/>
  <c r="X114" i="56" s="1"/>
  <c r="S115" i="56"/>
  <c r="S119" i="56" s="1"/>
  <c r="Y114" i="56"/>
  <c r="Z115" i="56"/>
  <c r="Y115" i="56"/>
  <c r="X105" i="56"/>
  <c r="X115" i="56" s="1"/>
  <c r="W115" i="56"/>
  <c r="W120" i="56" s="1"/>
  <c r="V113" i="56"/>
  <c r="S113" i="56"/>
  <c r="R114" i="56"/>
  <c r="J114" i="56"/>
  <c r="G114" i="56"/>
  <c r="D114" i="56"/>
  <c r="M104" i="56"/>
  <c r="J64" i="2"/>
  <c r="F53" i="2"/>
  <c r="C53" i="2"/>
  <c r="I53" i="2"/>
  <c r="J41" i="2"/>
  <c r="H53" i="2"/>
  <c r="H15" i="56" s="1"/>
  <c r="H103" i="56" s="1"/>
  <c r="H105" i="56" s="1"/>
  <c r="K41" i="2"/>
  <c r="L41" i="2"/>
  <c r="M42" i="2"/>
  <c r="AA16" i="56" s="1"/>
  <c r="E53" i="2"/>
  <c r="E15" i="56" s="1"/>
  <c r="E103" i="56" s="1"/>
  <c r="E105" i="56" s="1"/>
  <c r="G41" i="2"/>
  <c r="J62" i="2"/>
  <c r="D41" i="2"/>
  <c r="R15" i="56" s="1"/>
  <c r="B53" i="2"/>
  <c r="B15" i="56" s="1"/>
  <c r="B103" i="56" s="1"/>
  <c r="B105" i="56" s="1"/>
  <c r="G62" i="2"/>
  <c r="M43" i="2"/>
  <c r="AA17" i="56" s="1"/>
  <c r="M44" i="2"/>
  <c r="AA18" i="56" s="1"/>
  <c r="D62" i="2"/>
  <c r="D112" i="56" l="1"/>
  <c r="G112" i="56"/>
  <c r="J112" i="56"/>
  <c r="P119" i="56"/>
  <c r="G18" i="81"/>
  <c r="G19" i="81" s="1"/>
  <c r="G16" i="81"/>
  <c r="J18" i="81"/>
  <c r="J19" i="81" s="1"/>
  <c r="J16" i="81"/>
  <c r="M13" i="81"/>
  <c r="M15" i="81" s="1"/>
  <c r="D18" i="81"/>
  <c r="D19" i="81" s="1"/>
  <c r="D16" i="81"/>
  <c r="S120" i="56"/>
  <c r="X120" i="56"/>
  <c r="X119" i="56"/>
  <c r="U120" i="56"/>
  <c r="U119" i="56"/>
  <c r="W119" i="56"/>
  <c r="R119" i="56"/>
  <c r="R120" i="56"/>
  <c r="Y119" i="56"/>
  <c r="AA104" i="56"/>
  <c r="AA114" i="56" s="1"/>
  <c r="AA106" i="56"/>
  <c r="AA116" i="56" s="1"/>
  <c r="Y116" i="56"/>
  <c r="Y120" i="56" s="1"/>
  <c r="Z114" i="56"/>
  <c r="AA105" i="56"/>
  <c r="AA115" i="56" s="1"/>
  <c r="P113" i="56"/>
  <c r="I55" i="2"/>
  <c r="I17" i="56" s="1"/>
  <c r="I15" i="56"/>
  <c r="I103" i="56" s="1"/>
  <c r="I105" i="56" s="1"/>
  <c r="C55" i="2"/>
  <c r="C17" i="56" s="1"/>
  <c r="C15" i="56"/>
  <c r="C103" i="56" s="1"/>
  <c r="C105" i="56" s="1"/>
  <c r="F55" i="2"/>
  <c r="F17" i="56" s="1"/>
  <c r="F15" i="56"/>
  <c r="F103" i="56" s="1"/>
  <c r="F105" i="56" s="1"/>
  <c r="R103" i="56"/>
  <c r="D53" i="2"/>
  <c r="X103" i="56"/>
  <c r="U103" i="56"/>
  <c r="J104" i="56"/>
  <c r="D104" i="56"/>
  <c r="J102" i="56"/>
  <c r="D102" i="56"/>
  <c r="L45" i="2"/>
  <c r="Z19" i="56" s="1"/>
  <c r="Z15" i="56"/>
  <c r="Z103" i="56" s="1"/>
  <c r="K45" i="2"/>
  <c r="Y19" i="56" s="1"/>
  <c r="Y15" i="56"/>
  <c r="Y103" i="56" s="1"/>
  <c r="J45" i="2"/>
  <c r="X19" i="56" s="1"/>
  <c r="X15" i="56"/>
  <c r="G45" i="2"/>
  <c r="U19" i="56" s="1"/>
  <c r="U15" i="56"/>
  <c r="G102" i="56"/>
  <c r="D45" i="2"/>
  <c r="R19" i="56" s="1"/>
  <c r="J53" i="2"/>
  <c r="H55" i="2"/>
  <c r="H17" i="56" s="1"/>
  <c r="B55" i="2"/>
  <c r="B17" i="56" s="1"/>
  <c r="G53" i="2"/>
  <c r="E55" i="2"/>
  <c r="E17" i="56" s="1"/>
  <c r="L53" i="2"/>
  <c r="K53" i="2"/>
  <c r="K15" i="56" s="1"/>
  <c r="K103" i="56" s="1"/>
  <c r="K105" i="56" s="1"/>
  <c r="M41" i="2"/>
  <c r="C45" i="2"/>
  <c r="Q19" i="56" s="1"/>
  <c r="I45" i="2"/>
  <c r="W19" i="56" s="1"/>
  <c r="H45" i="2"/>
  <c r="V19" i="56" s="1"/>
  <c r="B45" i="2"/>
  <c r="P19" i="56" s="1"/>
  <c r="E45" i="2"/>
  <c r="S19" i="56" s="1"/>
  <c r="S107" i="56" l="1"/>
  <c r="S117" i="56" s="1"/>
  <c r="V107" i="56"/>
  <c r="V117" i="56" s="1"/>
  <c r="W107" i="56"/>
  <c r="W117" i="56" s="1"/>
  <c r="P107" i="56"/>
  <c r="P117" i="56" s="1"/>
  <c r="Q107" i="56"/>
  <c r="Q117" i="56" s="1"/>
  <c r="M18" i="81"/>
  <c r="M19" i="81" s="1"/>
  <c r="M16" i="81"/>
  <c r="AA119" i="56"/>
  <c r="AA120" i="56"/>
  <c r="Y113" i="56"/>
  <c r="Z119" i="56"/>
  <c r="Z120" i="56"/>
  <c r="U113" i="56"/>
  <c r="Z113" i="56"/>
  <c r="Z107" i="56"/>
  <c r="X113" i="56"/>
  <c r="E113" i="56"/>
  <c r="R113" i="56"/>
  <c r="B113" i="56"/>
  <c r="H113" i="56"/>
  <c r="D55" i="2"/>
  <c r="D17" i="56" s="1"/>
  <c r="D15" i="56"/>
  <c r="L55" i="2"/>
  <c r="L17" i="56" s="1"/>
  <c r="L15" i="56"/>
  <c r="L103" i="56" s="1"/>
  <c r="L105" i="56" s="1"/>
  <c r="B63" i="2"/>
  <c r="C63" i="2" s="1"/>
  <c r="H63" i="2"/>
  <c r="H65" i="2" s="1"/>
  <c r="J15" i="56"/>
  <c r="E63" i="2"/>
  <c r="E65" i="2" s="1"/>
  <c r="G15" i="56"/>
  <c r="M45" i="2"/>
  <c r="AA19" i="56" s="1"/>
  <c r="AA15" i="56"/>
  <c r="M53" i="2"/>
  <c r="K55" i="2"/>
  <c r="K17" i="56" s="1"/>
  <c r="J55" i="2"/>
  <c r="J17" i="56" s="1"/>
  <c r="G55" i="2"/>
  <c r="G17" i="56" s="1"/>
  <c r="F63" i="2"/>
  <c r="F45" i="2"/>
  <c r="T19" i="56" s="1"/>
  <c r="B115" i="56" l="1"/>
  <c r="AD26" i="56"/>
  <c r="AE26" i="56" s="1"/>
  <c r="AF26" i="56" s="1"/>
  <c r="AD15" i="56"/>
  <c r="AD59" i="56"/>
  <c r="AE59" i="56" s="1"/>
  <c r="AF59" i="56" s="1"/>
  <c r="AD48" i="56"/>
  <c r="AD70" i="56"/>
  <c r="AD92" i="56"/>
  <c r="AE92" i="56" s="1"/>
  <c r="AF92" i="56" s="1"/>
  <c r="AD81" i="56"/>
  <c r="AE81" i="56" s="1"/>
  <c r="AF81" i="56" s="1"/>
  <c r="AD37" i="56"/>
  <c r="AE37" i="56" s="1"/>
  <c r="AF37" i="56" s="1"/>
  <c r="H115" i="56"/>
  <c r="AJ37" i="56"/>
  <c r="AK37" i="56" s="1"/>
  <c r="AL37" i="56" s="1"/>
  <c r="AJ26" i="56"/>
  <c r="AK26" i="56" s="1"/>
  <c r="AL26" i="56" s="1"/>
  <c r="AJ48" i="56"/>
  <c r="AK48" i="56" s="1"/>
  <c r="AL48" i="56" s="1"/>
  <c r="AJ15" i="56"/>
  <c r="AJ70" i="56"/>
  <c r="AK70" i="56" s="1"/>
  <c r="AL70" i="56" s="1"/>
  <c r="AJ81" i="56"/>
  <c r="AJ59" i="56"/>
  <c r="AJ92" i="56"/>
  <c r="AK92" i="56" s="1"/>
  <c r="AL92" i="56" s="1"/>
  <c r="E115" i="56"/>
  <c r="AG26" i="56"/>
  <c r="AG15" i="56"/>
  <c r="AG59" i="56"/>
  <c r="AH59" i="56" s="1"/>
  <c r="AI59" i="56" s="1"/>
  <c r="AG37" i="56"/>
  <c r="AG48" i="56"/>
  <c r="AH48" i="56" s="1"/>
  <c r="AI48" i="56" s="1"/>
  <c r="AG70" i="56"/>
  <c r="AH70" i="56" s="1"/>
  <c r="AI70" i="56" s="1"/>
  <c r="AG81" i="56"/>
  <c r="AG92" i="56"/>
  <c r="R107" i="56"/>
  <c r="R117" i="56" s="1"/>
  <c r="X107" i="56"/>
  <c r="X117" i="56" s="1"/>
  <c r="T107" i="56"/>
  <c r="T117" i="56" s="1"/>
  <c r="Y107" i="56"/>
  <c r="Y117" i="56" s="1"/>
  <c r="C113" i="56"/>
  <c r="C115" i="56" s="1"/>
  <c r="I63" i="2"/>
  <c r="J63" i="2" s="1"/>
  <c r="J65" i="2" s="1"/>
  <c r="K113" i="56"/>
  <c r="F113" i="56"/>
  <c r="F115" i="56" s="1"/>
  <c r="I113" i="56"/>
  <c r="I115" i="56" s="1"/>
  <c r="B65" i="2"/>
  <c r="K63" i="2"/>
  <c r="K65" i="2" s="1"/>
  <c r="M15" i="56"/>
  <c r="Z117" i="56"/>
  <c r="AA103" i="56"/>
  <c r="F65" i="2"/>
  <c r="I65" i="2"/>
  <c r="M55" i="2"/>
  <c r="M17" i="56" s="1"/>
  <c r="G63" i="2"/>
  <c r="D63" i="2"/>
  <c r="C65" i="2"/>
  <c r="AK81" i="56" l="1"/>
  <c r="AL81" i="56"/>
  <c r="AG113" i="56"/>
  <c r="AH37" i="56"/>
  <c r="AI37" i="56" s="1"/>
  <c r="AD113" i="56"/>
  <c r="AE70" i="56"/>
  <c r="AF70" i="56" s="1"/>
  <c r="AH92" i="56"/>
  <c r="AI92" i="56"/>
  <c r="AE15" i="56"/>
  <c r="AF15" i="56"/>
  <c r="AH81" i="56"/>
  <c r="AI81" i="56"/>
  <c r="AK15" i="56"/>
  <c r="AL15" i="56" s="1"/>
  <c r="AH15" i="56"/>
  <c r="AI15" i="56"/>
  <c r="AI113" i="56" s="1"/>
  <c r="AE48" i="56"/>
  <c r="AF48" i="56"/>
  <c r="AH26" i="56"/>
  <c r="AI26" i="56"/>
  <c r="K115" i="56"/>
  <c r="AM48" i="56"/>
  <c r="AN48" i="56" s="1"/>
  <c r="AO48" i="56" s="1"/>
  <c r="AM70" i="56"/>
  <c r="AN70" i="56" s="1"/>
  <c r="AO70" i="56" s="1"/>
  <c r="AM15" i="56"/>
  <c r="AM37" i="56"/>
  <c r="AN37" i="56" s="1"/>
  <c r="AO37" i="56" s="1"/>
  <c r="AM26" i="56"/>
  <c r="AN26" i="56" s="1"/>
  <c r="AO26" i="56" s="1"/>
  <c r="AM81" i="56"/>
  <c r="AM59" i="56"/>
  <c r="AN59" i="56" s="1"/>
  <c r="AO59" i="56" s="1"/>
  <c r="AM92" i="56"/>
  <c r="AJ113" i="56"/>
  <c r="AK59" i="56"/>
  <c r="AL59" i="56" s="1"/>
  <c r="U107" i="56"/>
  <c r="U117" i="56" s="1"/>
  <c r="D113" i="56"/>
  <c r="G113" i="56"/>
  <c r="L63" i="2"/>
  <c r="M63" i="2" s="1"/>
  <c r="J113" i="56"/>
  <c r="L113" i="56"/>
  <c r="L115" i="56" s="1"/>
  <c r="AA113" i="56"/>
  <c r="AA107" i="56"/>
  <c r="AA117" i="56" s="1"/>
  <c r="D65" i="2"/>
  <c r="G65" i="2"/>
  <c r="AL113" i="56" l="1"/>
  <c r="AL114" i="56" s="1"/>
  <c r="AN15" i="56"/>
  <c r="AO15" i="56"/>
  <c r="AM113" i="56"/>
  <c r="AH113" i="56"/>
  <c r="AK113" i="56"/>
  <c r="AN92" i="56"/>
  <c r="AO92" i="56"/>
  <c r="AN81" i="56"/>
  <c r="AO81" i="56" s="1"/>
  <c r="AI114" i="56"/>
  <c r="AF113" i="56"/>
  <c r="AF114" i="56"/>
  <c r="AE113" i="56"/>
  <c r="L65" i="2"/>
  <c r="M113" i="56"/>
  <c r="G103" i="56"/>
  <c r="D103" i="56"/>
  <c r="J103" i="56"/>
  <c r="M65" i="2"/>
  <c r="AO113" i="56" l="1"/>
  <c r="AO114" i="56" s="1"/>
  <c r="AN113" i="56"/>
  <c r="M103" i="56"/>
  <c r="D115" i="56"/>
  <c r="G115" i="56"/>
  <c r="J115" i="56"/>
  <c r="M115" i="56"/>
  <c r="D105" i="56"/>
  <c r="G105" i="56"/>
  <c r="J105" i="56"/>
  <c r="M105" i="56"/>
</calcChain>
</file>

<file path=xl/sharedStrings.xml><?xml version="1.0" encoding="utf-8"?>
<sst xmlns="http://schemas.openxmlformats.org/spreadsheetml/2006/main" count="1421" uniqueCount="99">
  <si>
    <t>Total</t>
  </si>
  <si>
    <t>Auto</t>
  </si>
  <si>
    <t>Taxi</t>
  </si>
  <si>
    <t>Bus</t>
  </si>
  <si>
    <t>Subway</t>
  </si>
  <si>
    <t>Walk/Other</t>
  </si>
  <si>
    <t>Trips</t>
  </si>
  <si>
    <t>AM</t>
  </si>
  <si>
    <t>MD</t>
  </si>
  <si>
    <t>PM</t>
  </si>
  <si>
    <t>SAT MD</t>
  </si>
  <si>
    <t xml:space="preserve">Weekday </t>
  </si>
  <si>
    <t>Saturday</t>
  </si>
  <si>
    <t>In</t>
  </si>
  <si>
    <t>Out</t>
  </si>
  <si>
    <t>Truck</t>
  </si>
  <si>
    <t>Midday</t>
  </si>
  <si>
    <t>Total Vehicle Trips</t>
  </si>
  <si>
    <t>Walk</t>
  </si>
  <si>
    <t>SAT</t>
  </si>
  <si>
    <t>Weekday</t>
  </si>
  <si>
    <t>Units (1,000 SF)</t>
  </si>
  <si>
    <t xml:space="preserve">Auto </t>
  </si>
  <si>
    <t xml:space="preserve">Taxi </t>
  </si>
  <si>
    <t>Truck Deliveries</t>
  </si>
  <si>
    <t>Daily Rate (1)</t>
  </si>
  <si>
    <t>Temporal Distribution (1)</t>
  </si>
  <si>
    <t>Directional Split ("Ins") (2)</t>
  </si>
  <si>
    <t>Vehicle Occupancy (2)</t>
  </si>
  <si>
    <t>Sources:</t>
  </si>
  <si>
    <t>Directional Split ("Ins") (1)</t>
  </si>
  <si>
    <t>Modal Split (2)</t>
  </si>
  <si>
    <t>Total Person Trips</t>
  </si>
  <si>
    <t>Use: Residential</t>
  </si>
  <si>
    <t>Use: Local Retail</t>
  </si>
  <si>
    <t>Directional Split ("Ins") (3)</t>
  </si>
  <si>
    <r>
      <t xml:space="preserve">(1) </t>
    </r>
    <r>
      <rPr>
        <i/>
        <sz val="10"/>
        <rFont val="Arial"/>
        <family val="2"/>
      </rPr>
      <t>CEQR Technical Manual</t>
    </r>
    <r>
      <rPr>
        <sz val="10"/>
        <rFont val="Arial"/>
        <family val="2"/>
      </rPr>
      <t>, 2014</t>
    </r>
  </si>
  <si>
    <t>DU</t>
  </si>
  <si>
    <t>ksf</t>
  </si>
  <si>
    <t>Linkage</t>
  </si>
  <si>
    <t>Vehicle Occupancy (1)</t>
  </si>
  <si>
    <t>Proposed</t>
  </si>
  <si>
    <t>Modal Split (1)</t>
  </si>
  <si>
    <t>Subway/Rail</t>
  </si>
  <si>
    <t>Units (DUs)</t>
  </si>
  <si>
    <t>Use: Medical Office</t>
  </si>
  <si>
    <t xml:space="preserve">With Action Increment: </t>
  </si>
  <si>
    <t>AM/MD/PM</t>
  </si>
  <si>
    <t>(1) Based on data provided by NYCDOT</t>
  </si>
  <si>
    <t>Lower Concourse EIS</t>
  </si>
  <si>
    <t xml:space="preserve">2000 CTPP </t>
  </si>
  <si>
    <t>(3) Lower Concourse Rezoning FEIS, 2009</t>
  </si>
  <si>
    <t>(2) ACS 2009 - 2014, Bronx Census Tracts 51, 59.02, 61, and 63</t>
  </si>
  <si>
    <t>(2) Lower Concourse Rezoning FEIS, 2009</t>
  </si>
  <si>
    <t>Use: Open Space (Passive)</t>
  </si>
  <si>
    <t>Units (per acre)</t>
  </si>
  <si>
    <t>Use: Open Space (Active)</t>
  </si>
  <si>
    <t>acres</t>
  </si>
  <si>
    <t>Taxi Credit</t>
  </si>
  <si>
    <t>Modal Split (3)</t>
  </si>
  <si>
    <t>Vehicle Occupancy (3)</t>
  </si>
  <si>
    <t>(2) East New York Rezoning FEIS, 2016</t>
  </si>
  <si>
    <t>(3) FRESH Text Amendment EAS, 2009, based on 1331 Jerome Avenue site</t>
  </si>
  <si>
    <t>Daily Rate (2)</t>
  </si>
  <si>
    <t>Temporal Distribution (2)</t>
  </si>
  <si>
    <t>Lower Concourse EIS (office)</t>
  </si>
  <si>
    <t>Use: Office</t>
  </si>
  <si>
    <t>Units (ksf)</t>
  </si>
  <si>
    <t>(2) NYC DCP Tabulation of 2006-2010 CTPP Data, Bronx Census Tracts 51, 59.02, 61, and 63</t>
  </si>
  <si>
    <t>AM/PM/SAT</t>
  </si>
  <si>
    <t>Modal Split (2, 3)</t>
  </si>
  <si>
    <t>(3) East New York Rezoning FEIS, 2016</t>
  </si>
  <si>
    <t>Use: Food Store (FRESH)</t>
  </si>
  <si>
    <t>Use: Destination Retail</t>
  </si>
  <si>
    <t>(2) Gateway Center at Bronx Terminal Market FEIS, 2005</t>
  </si>
  <si>
    <t>Local Retail</t>
  </si>
  <si>
    <t>Food Store</t>
  </si>
  <si>
    <t>w/o Linkage</t>
  </si>
  <si>
    <t>Linked Trips</t>
  </si>
  <si>
    <t>Linked Walk-Only Trips</t>
  </si>
  <si>
    <t>Anchor Walk-Only Trips</t>
  </si>
  <si>
    <t>Residential</t>
  </si>
  <si>
    <t>Office</t>
  </si>
  <si>
    <t>Medical Office</t>
  </si>
  <si>
    <t>Percent Linked</t>
  </si>
  <si>
    <t>Taxi Balancing</t>
  </si>
  <si>
    <t>Balanced</t>
  </si>
  <si>
    <t>Adjusted</t>
  </si>
  <si>
    <t>(3) Gateway Estates II FEIS, 2009</t>
  </si>
  <si>
    <t>Total Subway</t>
  </si>
  <si>
    <t>Dest Walk</t>
  </si>
  <si>
    <t>Local Walk</t>
  </si>
  <si>
    <t>Res Walk</t>
  </si>
  <si>
    <t>Office Walk</t>
  </si>
  <si>
    <t>Res Bus</t>
  </si>
  <si>
    <t>Office Bus</t>
  </si>
  <si>
    <t>Local Bus</t>
  </si>
  <si>
    <t>Dest Bus</t>
  </si>
  <si>
    <t>Total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</si>
</sst>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u/>
      <sz val="10"/>
      <color indexed="8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Up"/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/>
    <xf numFmtId="0" fontId="3" fillId="0" borderId="0"/>
  </cellStyleXfs>
  <cellXfs count="21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6" fillId="0" borderId="0" xfId="0" applyFont="1"/>
    <xf numFmtId="0" fontId="6" fillId="0" borderId="13" xfId="0" applyFont="1" applyBorder="1"/>
    <xf numFmtId="9" fontId="4" fillId="0" borderId="0" xfId="2" applyFont="1"/>
    <xf numFmtId="4" fontId="4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1" fontId="4" fillId="0" borderId="22" xfId="0" applyNumberFormat="1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1" fontId="4" fillId="0" borderId="26" xfId="0" applyNumberFormat="1" applyFont="1" applyBorder="1" applyAlignment="1">
      <alignment horizontal="center"/>
    </xf>
    <xf numFmtId="1" fontId="4" fillId="0" borderId="27" xfId="0" applyNumberFormat="1" applyFont="1" applyBorder="1" applyAlignment="1">
      <alignment horizontal="center"/>
    </xf>
    <xf numFmtId="1" fontId="4" fillId="0" borderId="28" xfId="0" applyNumberFormat="1" applyFont="1" applyBorder="1" applyAlignment="1">
      <alignment horizontal="center"/>
    </xf>
    <xf numFmtId="1" fontId="4" fillId="0" borderId="29" xfId="0" applyNumberFormat="1" applyFont="1" applyBorder="1" applyAlignment="1">
      <alignment horizontal="center"/>
    </xf>
    <xf numFmtId="1" fontId="4" fillId="0" borderId="30" xfId="0" applyNumberFormat="1" applyFont="1" applyBorder="1" applyAlignment="1">
      <alignment horizontal="center"/>
    </xf>
    <xf numFmtId="1" fontId="4" fillId="0" borderId="31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8" fillId="0" borderId="0" xfId="1" applyFont="1"/>
    <xf numFmtId="0" fontId="8" fillId="0" borderId="32" xfId="1" applyFont="1" applyBorder="1" applyAlignment="1">
      <alignment horizontal="center" wrapText="1"/>
    </xf>
    <xf numFmtId="0" fontId="8" fillId="0" borderId="33" xfId="1" applyFont="1" applyBorder="1" applyAlignment="1">
      <alignment wrapText="1"/>
    </xf>
    <xf numFmtId="0" fontId="8" fillId="0" borderId="5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10" xfId="1" applyFont="1" applyBorder="1"/>
    <xf numFmtId="1" fontId="8" fillId="0" borderId="19" xfId="1" applyNumberFormat="1" applyFont="1" applyBorder="1" applyAlignment="1">
      <alignment horizontal="center"/>
    </xf>
    <xf numFmtId="1" fontId="8" fillId="0" borderId="20" xfId="1" applyNumberFormat="1" applyFont="1" applyBorder="1" applyAlignment="1">
      <alignment horizontal="center"/>
    </xf>
    <xf numFmtId="1" fontId="8" fillId="0" borderId="21" xfId="1" applyNumberFormat="1" applyFont="1" applyBorder="1" applyAlignment="1">
      <alignment horizontal="center"/>
    </xf>
    <xf numFmtId="1" fontId="8" fillId="0" borderId="22" xfId="1" applyNumberFormat="1" applyFont="1" applyBorder="1" applyAlignment="1">
      <alignment horizontal="center"/>
    </xf>
    <xf numFmtId="1" fontId="8" fillId="0" borderId="23" xfId="1" applyNumberFormat="1" applyFont="1" applyBorder="1" applyAlignment="1">
      <alignment horizontal="center"/>
    </xf>
    <xf numFmtId="0" fontId="8" fillId="0" borderId="11" xfId="1" applyFont="1" applyBorder="1"/>
    <xf numFmtId="1" fontId="8" fillId="0" borderId="3" xfId="1" applyNumberFormat="1" applyFont="1" applyBorder="1" applyAlignment="1">
      <alignment horizontal="center"/>
    </xf>
    <xf numFmtId="1" fontId="8" fillId="0" borderId="24" xfId="1" applyNumberFormat="1" applyFont="1" applyBorder="1" applyAlignment="1">
      <alignment horizontal="center"/>
    </xf>
    <xf numFmtId="1" fontId="8" fillId="0" borderId="4" xfId="1" applyNumberFormat="1" applyFont="1" applyBorder="1" applyAlignment="1">
      <alignment horizontal="center"/>
    </xf>
    <xf numFmtId="1" fontId="8" fillId="0" borderId="25" xfId="1" applyNumberFormat="1" applyFont="1" applyBorder="1" applyAlignment="1">
      <alignment horizontal="center"/>
    </xf>
    <xf numFmtId="1" fontId="8" fillId="0" borderId="26" xfId="1" applyNumberFormat="1" applyFont="1" applyBorder="1" applyAlignment="1">
      <alignment horizontal="center"/>
    </xf>
    <xf numFmtId="0" fontId="8" fillId="0" borderId="12" xfId="1" applyFont="1" applyBorder="1"/>
    <xf numFmtId="1" fontId="8" fillId="0" borderId="27" xfId="1" applyNumberFormat="1" applyFont="1" applyBorder="1" applyAlignment="1">
      <alignment horizontal="center"/>
    </xf>
    <xf numFmtId="1" fontId="8" fillId="0" borderId="28" xfId="1" applyNumberFormat="1" applyFont="1" applyBorder="1" applyAlignment="1">
      <alignment horizontal="center"/>
    </xf>
    <xf numFmtId="1" fontId="8" fillId="0" borderId="29" xfId="1" applyNumberFormat="1" applyFont="1" applyBorder="1" applyAlignment="1">
      <alignment horizontal="center"/>
    </xf>
    <xf numFmtId="1" fontId="8" fillId="0" borderId="30" xfId="1" applyNumberFormat="1" applyFont="1" applyBorder="1" applyAlignment="1">
      <alignment horizontal="center"/>
    </xf>
    <xf numFmtId="1" fontId="8" fillId="0" borderId="31" xfId="1" applyNumberFormat="1" applyFont="1" applyBorder="1" applyAlignment="1">
      <alignment horizontal="center"/>
    </xf>
    <xf numFmtId="0" fontId="8" fillId="0" borderId="13" xfId="1" applyFont="1" applyBorder="1"/>
    <xf numFmtId="1" fontId="8" fillId="0" borderId="14" xfId="1" applyNumberFormat="1" applyFont="1" applyBorder="1" applyAlignment="1">
      <alignment horizontal="center"/>
    </xf>
    <xf numFmtId="1" fontId="8" fillId="0" borderId="15" xfId="1" applyNumberFormat="1" applyFont="1" applyBorder="1" applyAlignment="1">
      <alignment horizontal="center"/>
    </xf>
    <xf numFmtId="1" fontId="8" fillId="0" borderId="16" xfId="1" applyNumberFormat="1" applyFont="1" applyBorder="1" applyAlignment="1">
      <alignment horizontal="center"/>
    </xf>
    <xf numFmtId="1" fontId="8" fillId="0" borderId="17" xfId="1" applyNumberFormat="1" applyFont="1" applyBorder="1" applyAlignment="1">
      <alignment horizontal="center"/>
    </xf>
    <xf numFmtId="1" fontId="8" fillId="0" borderId="18" xfId="1" applyNumberFormat="1" applyFont="1" applyBorder="1" applyAlignment="1">
      <alignment horizontal="center"/>
    </xf>
    <xf numFmtId="0" fontId="10" fillId="0" borderId="0" xfId="1" applyFont="1"/>
    <xf numFmtId="0" fontId="8" fillId="0" borderId="0" xfId="2" applyNumberFormat="1" applyFont="1"/>
    <xf numFmtId="9" fontId="8" fillId="0" borderId="0" xfId="1" applyNumberFormat="1" applyFont="1"/>
    <xf numFmtId="9" fontId="8" fillId="0" borderId="0" xfId="2" applyFont="1"/>
    <xf numFmtId="2" fontId="8" fillId="0" borderId="0" xfId="2" applyNumberFormat="1" applyFont="1"/>
    <xf numFmtId="1" fontId="8" fillId="0" borderId="0" xfId="1" applyNumberFormat="1" applyFont="1"/>
    <xf numFmtId="0" fontId="7" fillId="0" borderId="5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8" fillId="0" borderId="0" xfId="1" applyFont="1" applyAlignment="1"/>
    <xf numFmtId="1" fontId="8" fillId="0" borderId="2" xfId="1" applyNumberFormat="1" applyFont="1" applyBorder="1" applyAlignment="1">
      <alignment horizontal="center"/>
    </xf>
    <xf numFmtId="0" fontId="4" fillId="0" borderId="0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7" fillId="0" borderId="32" xfId="1" applyFont="1" applyBorder="1" applyAlignment="1">
      <alignment horizontal="center" wrapText="1"/>
    </xf>
    <xf numFmtId="0" fontId="7" fillId="0" borderId="33" xfId="1" applyFont="1" applyBorder="1" applyAlignment="1">
      <alignment wrapText="1"/>
    </xf>
    <xf numFmtId="0" fontId="7" fillId="0" borderId="10" xfId="1" applyFont="1" applyBorder="1"/>
    <xf numFmtId="0" fontId="7" fillId="0" borderId="11" xfId="1" applyFont="1" applyBorder="1"/>
    <xf numFmtId="0" fontId="7" fillId="0" borderId="12" xfId="1" applyFont="1" applyBorder="1"/>
    <xf numFmtId="0" fontId="7" fillId="0" borderId="13" xfId="1" applyFont="1" applyBorder="1"/>
    <xf numFmtId="0" fontId="7" fillId="0" borderId="0" xfId="1" applyFont="1"/>
    <xf numFmtId="0" fontId="3" fillId="0" borderId="0" xfId="0" applyFont="1"/>
    <xf numFmtId="0" fontId="3" fillId="0" borderId="0" xfId="0" applyFont="1" applyFill="1" applyBorder="1"/>
    <xf numFmtId="0" fontId="8" fillId="0" borderId="0" xfId="1" applyFont="1" applyBorder="1"/>
    <xf numFmtId="1" fontId="8" fillId="0" borderId="0" xfId="1" applyNumberFormat="1" applyFont="1" applyBorder="1" applyAlignment="1">
      <alignment horizontal="center"/>
    </xf>
    <xf numFmtId="0" fontId="3" fillId="0" borderId="0" xfId="0" applyFont="1" applyBorder="1"/>
    <xf numFmtId="0" fontId="6" fillId="0" borderId="0" xfId="0" quotePrefix="1" applyFont="1"/>
    <xf numFmtId="164" fontId="4" fillId="0" borderId="0" xfId="0" applyNumberFormat="1" applyFont="1"/>
    <xf numFmtId="0" fontId="3" fillId="0" borderId="0" xfId="0" applyFont="1" applyAlignment="1">
      <alignment horizontal="left"/>
    </xf>
    <xf numFmtId="0" fontId="8" fillId="0" borderId="0" xfId="1" applyNumberFormat="1" applyFont="1" applyAlignment="1">
      <alignment horizontal="left"/>
    </xf>
    <xf numFmtId="3" fontId="4" fillId="2" borderId="0" xfId="0" applyNumberFormat="1" applyFont="1" applyFill="1" applyAlignment="1">
      <alignment horizontal="right"/>
    </xf>
    <xf numFmtId="3" fontId="8" fillId="2" borderId="0" xfId="1" applyNumberFormat="1" applyFont="1" applyFill="1" applyAlignment="1">
      <alignment horizontal="right"/>
    </xf>
    <xf numFmtId="0" fontId="8" fillId="0" borderId="34" xfId="1" applyFont="1" applyBorder="1" applyAlignment="1"/>
    <xf numFmtId="0" fontId="7" fillId="0" borderId="34" xfId="1" applyFont="1" applyBorder="1" applyAlignment="1"/>
    <xf numFmtId="4" fontId="8" fillId="0" borderId="0" xfId="1" applyNumberFormat="1" applyFont="1"/>
    <xf numFmtId="164" fontId="4" fillId="0" borderId="0" xfId="0" applyNumberFormat="1" applyFont="1" applyFill="1"/>
    <xf numFmtId="1" fontId="6" fillId="0" borderId="19" xfId="0" applyNumberFormat="1" applyFont="1" applyBorder="1" applyAlignment="1">
      <alignment horizontal="center"/>
    </xf>
    <xf numFmtId="1" fontId="6" fillId="0" borderId="20" xfId="0" applyNumberFormat="1" applyFont="1" applyBorder="1" applyAlignment="1">
      <alignment horizontal="center"/>
    </xf>
    <xf numFmtId="1" fontId="6" fillId="0" borderId="21" xfId="0" applyNumberFormat="1" applyFont="1" applyBorder="1" applyAlignment="1">
      <alignment horizontal="center"/>
    </xf>
    <xf numFmtId="1" fontId="6" fillId="0" borderId="22" xfId="0" applyNumberFormat="1" applyFont="1" applyBorder="1" applyAlignment="1">
      <alignment horizontal="center"/>
    </xf>
    <xf numFmtId="1" fontId="6" fillId="0" borderId="23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25" xfId="0" applyNumberFormat="1" applyFont="1" applyBorder="1" applyAlignment="1">
      <alignment horizontal="center"/>
    </xf>
    <xf numFmtId="1" fontId="6" fillId="0" borderId="26" xfId="0" applyNumberFormat="1" applyFont="1" applyBorder="1" applyAlignment="1">
      <alignment horizontal="center"/>
    </xf>
    <xf numFmtId="1" fontId="6" fillId="0" borderId="27" xfId="0" applyNumberFormat="1" applyFont="1" applyBorder="1" applyAlignment="1">
      <alignment horizontal="center"/>
    </xf>
    <xf numFmtId="1" fontId="6" fillId="0" borderId="28" xfId="0" applyNumberFormat="1" applyFont="1" applyBorder="1" applyAlignment="1">
      <alignment horizontal="center"/>
    </xf>
    <xf numFmtId="1" fontId="6" fillId="0" borderId="29" xfId="0" applyNumberFormat="1" applyFont="1" applyBorder="1" applyAlignment="1">
      <alignment horizontal="center"/>
    </xf>
    <xf numFmtId="1" fontId="6" fillId="0" borderId="30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1" fontId="7" fillId="0" borderId="19" xfId="1" applyNumberFormat="1" applyFont="1" applyBorder="1" applyAlignment="1">
      <alignment horizontal="center"/>
    </xf>
    <xf numFmtId="1" fontId="7" fillId="0" borderId="20" xfId="1" applyNumberFormat="1" applyFont="1" applyBorder="1" applyAlignment="1">
      <alignment horizontal="center"/>
    </xf>
    <xf numFmtId="1" fontId="7" fillId="0" borderId="21" xfId="1" applyNumberFormat="1" applyFont="1" applyBorder="1" applyAlignment="1">
      <alignment horizontal="center"/>
    </xf>
    <xf numFmtId="1" fontId="7" fillId="0" borderId="22" xfId="1" applyNumberFormat="1" applyFont="1" applyBorder="1" applyAlignment="1">
      <alignment horizontal="center"/>
    </xf>
    <xf numFmtId="1" fontId="7" fillId="0" borderId="23" xfId="1" applyNumberFormat="1" applyFont="1" applyBorder="1" applyAlignment="1">
      <alignment horizontal="center"/>
    </xf>
    <xf numFmtId="1" fontId="7" fillId="0" borderId="2" xfId="1" applyNumberFormat="1" applyFont="1" applyBorder="1" applyAlignment="1">
      <alignment horizontal="center"/>
    </xf>
    <xf numFmtId="1" fontId="7" fillId="0" borderId="3" xfId="1" applyNumberFormat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1" fontId="7" fillId="0" borderId="4" xfId="1" applyNumberFormat="1" applyFont="1" applyBorder="1" applyAlignment="1">
      <alignment horizontal="center"/>
    </xf>
    <xf numFmtId="1" fontId="7" fillId="0" borderId="26" xfId="1" applyNumberFormat="1" applyFont="1" applyBorder="1" applyAlignment="1">
      <alignment horizontal="center"/>
    </xf>
    <xf numFmtId="1" fontId="7" fillId="0" borderId="25" xfId="1" applyNumberFormat="1" applyFont="1" applyBorder="1" applyAlignment="1">
      <alignment horizontal="center"/>
    </xf>
    <xf numFmtId="1" fontId="7" fillId="0" borderId="27" xfId="1" applyNumberFormat="1" applyFont="1" applyBorder="1" applyAlignment="1">
      <alignment horizontal="center"/>
    </xf>
    <xf numFmtId="1" fontId="7" fillId="0" borderId="28" xfId="1" applyNumberFormat="1" applyFont="1" applyBorder="1" applyAlignment="1">
      <alignment horizontal="center"/>
    </xf>
    <xf numFmtId="1" fontId="7" fillId="0" borderId="29" xfId="1" applyNumberFormat="1" applyFont="1" applyBorder="1" applyAlignment="1">
      <alignment horizontal="center"/>
    </xf>
    <xf numFmtId="1" fontId="7" fillId="0" borderId="30" xfId="1" applyNumberFormat="1" applyFont="1" applyBorder="1" applyAlignment="1">
      <alignment horizontal="center"/>
    </xf>
    <xf numFmtId="1" fontId="7" fillId="0" borderId="31" xfId="1" applyNumberFormat="1" applyFont="1" applyBorder="1" applyAlignment="1">
      <alignment horizontal="center"/>
    </xf>
    <xf numFmtId="1" fontId="7" fillId="0" borderId="14" xfId="1" applyNumberFormat="1" applyFont="1" applyBorder="1" applyAlignment="1">
      <alignment horizontal="center"/>
    </xf>
    <xf numFmtId="1" fontId="7" fillId="0" borderId="15" xfId="1" applyNumberFormat="1" applyFont="1" applyBorder="1" applyAlignment="1">
      <alignment horizontal="center"/>
    </xf>
    <xf numFmtId="1" fontId="7" fillId="0" borderId="16" xfId="1" applyNumberFormat="1" applyFont="1" applyBorder="1" applyAlignment="1">
      <alignment horizontal="center"/>
    </xf>
    <xf numFmtId="1" fontId="7" fillId="0" borderId="17" xfId="1" applyNumberFormat="1" applyFont="1" applyBorder="1" applyAlignment="1">
      <alignment horizontal="center"/>
    </xf>
    <xf numFmtId="1" fontId="7" fillId="0" borderId="18" xfId="1" applyNumberFormat="1" applyFont="1" applyBorder="1" applyAlignment="1">
      <alignment horizontal="center"/>
    </xf>
    <xf numFmtId="164" fontId="3" fillId="0" borderId="0" xfId="0" applyNumberFormat="1" applyFont="1"/>
    <xf numFmtId="0" fontId="8" fillId="0" borderId="34" xfId="1" applyFont="1" applyBorder="1" applyAlignment="1"/>
    <xf numFmtId="0" fontId="7" fillId="0" borderId="34" xfId="1" applyFont="1" applyBorder="1" applyAlignment="1"/>
    <xf numFmtId="165" fontId="8" fillId="2" borderId="0" xfId="1" applyNumberFormat="1" applyFont="1" applyFill="1" applyAlignment="1">
      <alignment horizontal="right"/>
    </xf>
    <xf numFmtId="0" fontId="8" fillId="0" borderId="34" xfId="1" applyFont="1" applyBorder="1" applyAlignment="1"/>
    <xf numFmtId="0" fontId="7" fillId="0" borderId="34" xfId="1" applyFont="1" applyBorder="1" applyAlignment="1"/>
    <xf numFmtId="9" fontId="6" fillId="0" borderId="0" xfId="0" applyNumberFormat="1" applyFont="1"/>
    <xf numFmtId="164" fontId="8" fillId="0" borderId="0" xfId="2" applyNumberFormat="1" applyFont="1"/>
    <xf numFmtId="0" fontId="8" fillId="0" borderId="34" xfId="1" applyFont="1" applyBorder="1" applyAlignment="1"/>
    <xf numFmtId="0" fontId="7" fillId="0" borderId="34" xfId="1" applyFont="1" applyBorder="1" applyAlignment="1"/>
    <xf numFmtId="1" fontId="4" fillId="0" borderId="0" xfId="0" applyNumberFormat="1" applyFont="1"/>
    <xf numFmtId="0" fontId="8" fillId="0" borderId="34" xfId="1" applyFont="1" applyBorder="1" applyAlignment="1"/>
    <xf numFmtId="0" fontId="7" fillId="0" borderId="34" xfId="1" applyFont="1" applyBorder="1" applyAlignment="1"/>
    <xf numFmtId="9" fontId="8" fillId="0" borderId="16" xfId="1" applyNumberFormat="1" applyFont="1" applyBorder="1" applyAlignment="1">
      <alignment horizontal="center"/>
    </xf>
    <xf numFmtId="9" fontId="8" fillId="0" borderId="18" xfId="1" applyNumberFormat="1" applyFont="1" applyBorder="1" applyAlignment="1">
      <alignment horizontal="center"/>
    </xf>
    <xf numFmtId="9" fontId="8" fillId="3" borderId="14" xfId="1" applyNumberFormat="1" applyFont="1" applyFill="1" applyBorder="1" applyAlignment="1">
      <alignment horizontal="center"/>
    </xf>
    <xf numFmtId="9" fontId="8" fillId="3" borderId="15" xfId="1" applyNumberFormat="1" applyFont="1" applyFill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8" fillId="0" borderId="43" xfId="1" applyFont="1" applyBorder="1"/>
    <xf numFmtId="1" fontId="8" fillId="0" borderId="5" xfId="1" applyNumberFormat="1" applyFont="1" applyBorder="1" applyAlignment="1">
      <alignment horizontal="center"/>
    </xf>
    <xf numFmtId="1" fontId="8" fillId="0" borderId="7" xfId="1" applyNumberFormat="1" applyFont="1" applyBorder="1" applyAlignment="1">
      <alignment horizontal="center"/>
    </xf>
    <xf numFmtId="1" fontId="8" fillId="0" borderId="6" xfId="1" applyNumberFormat="1" applyFont="1" applyBorder="1" applyAlignment="1">
      <alignment horizontal="center"/>
    </xf>
    <xf numFmtId="1" fontId="8" fillId="0" borderId="9" xfId="1" applyNumberFormat="1" applyFont="1" applyBorder="1" applyAlignment="1">
      <alignment horizontal="center"/>
    </xf>
    <xf numFmtId="1" fontId="8" fillId="0" borderId="8" xfId="1" applyNumberFormat="1" applyFont="1" applyBorder="1" applyAlignment="1">
      <alignment horizontal="center"/>
    </xf>
    <xf numFmtId="1" fontId="7" fillId="0" borderId="0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8" xfId="1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" fontId="3" fillId="0" borderId="5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7" fillId="0" borderId="1" xfId="1" applyFont="1" applyBorder="1" applyAlignment="1">
      <alignment horizontal="center" wrapText="1"/>
    </xf>
    <xf numFmtId="0" fontId="7" fillId="0" borderId="36" xfId="1" applyFont="1" applyBorder="1" applyAlignment="1">
      <alignment horizontal="center" wrapText="1"/>
    </xf>
    <xf numFmtId="0" fontId="7" fillId="0" borderId="2" xfId="1" applyFont="1" applyBorder="1" applyAlignment="1">
      <alignment horizontal="center" wrapText="1"/>
    </xf>
    <xf numFmtId="0" fontId="7" fillId="0" borderId="35" xfId="1" applyFont="1" applyBorder="1" applyAlignment="1">
      <alignment horizontal="center"/>
    </xf>
    <xf numFmtId="0" fontId="7" fillId="0" borderId="36" xfId="1" applyFont="1" applyBorder="1" applyAlignment="1">
      <alignment horizontal="center"/>
    </xf>
    <xf numFmtId="0" fontId="7" fillId="0" borderId="37" xfId="1" applyFont="1" applyBorder="1" applyAlignment="1">
      <alignment horizontal="center"/>
    </xf>
    <xf numFmtId="0" fontId="8" fillId="0" borderId="34" xfId="1" applyFont="1" applyBorder="1" applyAlignment="1"/>
    <xf numFmtId="0" fontId="6" fillId="0" borderId="39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35" xfId="1" applyFont="1" applyBorder="1" applyAlignment="1">
      <alignment horizontal="center"/>
    </xf>
    <xf numFmtId="0" fontId="8" fillId="0" borderId="36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 wrapText="1"/>
    </xf>
    <xf numFmtId="0" fontId="8" fillId="0" borderId="36" xfId="1" applyFont="1" applyBorder="1" applyAlignment="1">
      <alignment horizontal="center" wrapText="1"/>
    </xf>
    <xf numFmtId="0" fontId="8" fillId="0" borderId="2" xfId="1" applyFont="1" applyBorder="1" applyAlignment="1">
      <alignment horizontal="center" wrapText="1"/>
    </xf>
    <xf numFmtId="0" fontId="8" fillId="0" borderId="37" xfId="1" applyFont="1" applyBorder="1" applyAlignment="1">
      <alignment horizontal="center"/>
    </xf>
    <xf numFmtId="0" fontId="7" fillId="0" borderId="38" xfId="1" applyFont="1" applyBorder="1" applyAlignment="1">
      <alignment horizontal="center"/>
    </xf>
    <xf numFmtId="0" fontId="7" fillId="0" borderId="39" xfId="1" applyFont="1" applyBorder="1" applyAlignment="1">
      <alignment horizontal="center"/>
    </xf>
    <xf numFmtId="0" fontId="7" fillId="0" borderId="40" xfId="1" applyFont="1" applyBorder="1" applyAlignment="1">
      <alignment horizontal="center"/>
    </xf>
    <xf numFmtId="0" fontId="7" fillId="0" borderId="38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40" xfId="1" applyFont="1" applyBorder="1" applyAlignment="1">
      <alignment horizontal="center" wrapText="1"/>
    </xf>
    <xf numFmtId="0" fontId="7" fillId="0" borderId="34" xfId="1" applyFont="1" applyBorder="1" applyAlignment="1"/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</cellXfs>
  <cellStyles count="7">
    <cellStyle name="Normal" xfId="0" builtinId="0"/>
    <cellStyle name="Normal 2" xfId="5"/>
    <cellStyle name="Normal 3" xfId="6"/>
    <cellStyle name="Normal_Retail Trip Gen" xfId="1"/>
    <cellStyle name="Percent" xfId="2" builtinId="5"/>
    <cellStyle name="Percent 2" xfId="3"/>
    <cellStyle name="Percent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M71"/>
  <sheetViews>
    <sheetView topLeftCell="A46" zoomScaleNormal="100" workbookViewId="0">
      <selection activeCell="B63" sqref="B63:D63"/>
    </sheetView>
  </sheetViews>
  <sheetFormatPr defaultColWidth="9.109375" defaultRowHeight="13.2" x14ac:dyDescent="0.25"/>
  <cols>
    <col min="1" max="1" width="18.6640625" style="1" customWidth="1"/>
    <col min="2" max="2" width="9.88671875" style="1" customWidth="1"/>
    <col min="3" max="3" width="9.5546875" style="1" customWidth="1"/>
    <col min="4" max="16384" width="9.109375" style="1"/>
  </cols>
  <sheetData>
    <row r="1" spans="1:12" x14ac:dyDescent="0.25">
      <c r="B1" s="12" t="s">
        <v>11</v>
      </c>
      <c r="C1" s="12" t="s">
        <v>12</v>
      </c>
      <c r="K1" s="12" t="s">
        <v>33</v>
      </c>
    </row>
    <row r="2" spans="1:12" x14ac:dyDescent="0.25">
      <c r="A2" s="2" t="s">
        <v>25</v>
      </c>
      <c r="B2" s="1">
        <v>8.0749999999999993</v>
      </c>
      <c r="C2" s="1">
        <v>9.6</v>
      </c>
      <c r="K2" s="104">
        <v>1045</v>
      </c>
      <c r="L2" s="102" t="s">
        <v>37</v>
      </c>
    </row>
    <row r="3" spans="1:12" x14ac:dyDescent="0.25">
      <c r="A3" s="95" t="s">
        <v>44</v>
      </c>
      <c r="B3" s="1">
        <f>K2</f>
        <v>1045</v>
      </c>
      <c r="C3" s="1">
        <f>B3</f>
        <v>1045</v>
      </c>
      <c r="K3" s="95" t="s">
        <v>41</v>
      </c>
    </row>
    <row r="4" spans="1:12" x14ac:dyDescent="0.25">
      <c r="A4" s="1" t="s">
        <v>6</v>
      </c>
      <c r="B4" s="1">
        <f>ROUND(B2*B3,0)</f>
        <v>8438</v>
      </c>
      <c r="C4" s="1">
        <f>ROUND(C2*C3,0)</f>
        <v>10032</v>
      </c>
    </row>
    <row r="6" spans="1:12" x14ac:dyDescent="0.25">
      <c r="A6" s="69" t="s">
        <v>26</v>
      </c>
    </row>
    <row r="7" spans="1:12" x14ac:dyDescent="0.25">
      <c r="A7" s="1" t="s">
        <v>7</v>
      </c>
      <c r="B7" s="14">
        <v>0.1</v>
      </c>
    </row>
    <row r="8" spans="1:12" x14ac:dyDescent="0.25">
      <c r="A8" s="1" t="s">
        <v>8</v>
      </c>
      <c r="B8" s="14">
        <v>0.05</v>
      </c>
      <c r="C8" s="14">
        <v>0.08</v>
      </c>
    </row>
    <row r="9" spans="1:12" x14ac:dyDescent="0.25">
      <c r="A9" s="1" t="s">
        <v>9</v>
      </c>
      <c r="B9" s="14">
        <v>0.11</v>
      </c>
    </row>
    <row r="10" spans="1:12" x14ac:dyDescent="0.25">
      <c r="B10" s="14"/>
    </row>
    <row r="11" spans="1:12" x14ac:dyDescent="0.25">
      <c r="A11" s="2" t="s">
        <v>31</v>
      </c>
      <c r="B11" s="95" t="s">
        <v>47</v>
      </c>
      <c r="C11" s="95" t="s">
        <v>19</v>
      </c>
      <c r="F11" s="95" t="s">
        <v>49</v>
      </c>
      <c r="G11" s="95"/>
    </row>
    <row r="12" spans="1:12" x14ac:dyDescent="0.25">
      <c r="A12" s="1" t="s">
        <v>1</v>
      </c>
      <c r="B12" s="101">
        <v>0.152</v>
      </c>
      <c r="C12" s="101">
        <f>B12</f>
        <v>0.152</v>
      </c>
      <c r="F12" s="101">
        <v>0.22</v>
      </c>
      <c r="G12" s="101"/>
    </row>
    <row r="13" spans="1:12" x14ac:dyDescent="0.25">
      <c r="A13" s="1" t="s">
        <v>2</v>
      </c>
      <c r="B13" s="109">
        <v>8.0000000000000002E-3</v>
      </c>
      <c r="C13" s="101">
        <f>B13</f>
        <v>8.0000000000000002E-3</v>
      </c>
      <c r="F13" s="109">
        <v>0</v>
      </c>
      <c r="G13" s="101"/>
    </row>
    <row r="14" spans="1:12" x14ac:dyDescent="0.25">
      <c r="A14" s="1" t="s">
        <v>3</v>
      </c>
      <c r="B14" s="109">
        <v>0.21</v>
      </c>
      <c r="C14" s="101">
        <f>B14</f>
        <v>0.21</v>
      </c>
      <c r="F14" s="109">
        <v>0.15</v>
      </c>
      <c r="G14" s="101"/>
    </row>
    <row r="15" spans="1:12" x14ac:dyDescent="0.25">
      <c r="A15" s="95" t="s">
        <v>43</v>
      </c>
      <c r="B15" s="109">
        <v>0.53100000000000003</v>
      </c>
      <c r="C15" s="101">
        <f>B15</f>
        <v>0.53100000000000003</v>
      </c>
      <c r="F15" s="109">
        <v>0.51</v>
      </c>
      <c r="G15" s="101"/>
    </row>
    <row r="16" spans="1:12" x14ac:dyDescent="0.25">
      <c r="A16" s="1" t="s">
        <v>5</v>
      </c>
      <c r="B16" s="109">
        <v>9.9000000000000005E-2</v>
      </c>
      <c r="C16" s="101">
        <f>B16</f>
        <v>9.9000000000000005E-2</v>
      </c>
      <c r="F16" s="109">
        <v>0.12</v>
      </c>
      <c r="G16" s="151"/>
    </row>
    <row r="17" spans="1:7" x14ac:dyDescent="0.25">
      <c r="F17" s="95" t="s">
        <v>50</v>
      </c>
      <c r="G17" s="95"/>
    </row>
    <row r="18" spans="1:7" x14ac:dyDescent="0.25">
      <c r="A18" s="2" t="s">
        <v>28</v>
      </c>
    </row>
    <row r="19" spans="1:7" x14ac:dyDescent="0.25">
      <c r="A19" s="1" t="s">
        <v>1</v>
      </c>
      <c r="B19" s="15">
        <v>1.18</v>
      </c>
      <c r="F19" s="15">
        <v>1.5</v>
      </c>
    </row>
    <row r="20" spans="1:7" x14ac:dyDescent="0.25">
      <c r="A20" s="1" t="s">
        <v>2</v>
      </c>
      <c r="B20" s="15">
        <v>1.18</v>
      </c>
      <c r="F20" s="15">
        <v>1.4</v>
      </c>
    </row>
    <row r="22" spans="1:7" x14ac:dyDescent="0.25">
      <c r="A22" s="2" t="s">
        <v>35</v>
      </c>
      <c r="B22" s="14"/>
    </row>
    <row r="23" spans="1:7" x14ac:dyDescent="0.25">
      <c r="A23" s="1" t="s">
        <v>7</v>
      </c>
      <c r="B23" s="14">
        <v>0.15</v>
      </c>
    </row>
    <row r="24" spans="1:7" x14ac:dyDescent="0.25">
      <c r="A24" s="1" t="s">
        <v>8</v>
      </c>
      <c r="B24" s="14">
        <v>0.5</v>
      </c>
      <c r="C24" s="14">
        <v>0.5</v>
      </c>
    </row>
    <row r="25" spans="1:7" x14ac:dyDescent="0.25">
      <c r="A25" s="1" t="s">
        <v>9</v>
      </c>
      <c r="B25" s="14">
        <v>0.7</v>
      </c>
    </row>
    <row r="26" spans="1:7" x14ac:dyDescent="0.25">
      <c r="B26" s="14"/>
    </row>
    <row r="28" spans="1:7" x14ac:dyDescent="0.25">
      <c r="A28" s="12" t="s">
        <v>24</v>
      </c>
    </row>
    <row r="29" spans="1:7" x14ac:dyDescent="0.25">
      <c r="A29" s="12"/>
      <c r="B29" s="200" t="s">
        <v>20</v>
      </c>
      <c r="C29" s="200"/>
      <c r="D29" s="200" t="s">
        <v>12</v>
      </c>
      <c r="E29" s="200"/>
    </row>
    <row r="30" spans="1:7" x14ac:dyDescent="0.25">
      <c r="A30" s="2" t="s">
        <v>25</v>
      </c>
      <c r="B30" s="1">
        <v>0.06</v>
      </c>
      <c r="C30" s="16">
        <f>ROUND(B30*B3,0)</f>
        <v>63</v>
      </c>
      <c r="D30" s="1">
        <v>0.02</v>
      </c>
      <c r="E30" s="16">
        <f>ROUND(D30*C3,0)</f>
        <v>21</v>
      </c>
    </row>
    <row r="31" spans="1:7" x14ac:dyDescent="0.25">
      <c r="C31" s="16"/>
      <c r="E31" s="16"/>
    </row>
    <row r="32" spans="1:7" x14ac:dyDescent="0.25">
      <c r="A32" s="2" t="s">
        <v>26</v>
      </c>
      <c r="C32" s="16"/>
      <c r="E32" s="16"/>
    </row>
    <row r="33" spans="1:13" x14ac:dyDescent="0.25">
      <c r="A33" s="1" t="s">
        <v>7</v>
      </c>
      <c r="B33" s="14">
        <v>0.12</v>
      </c>
      <c r="C33" s="16">
        <f>B33*C30</f>
        <v>7.56</v>
      </c>
    </row>
    <row r="34" spans="1:13" x14ac:dyDescent="0.25">
      <c r="A34" s="1" t="s">
        <v>8</v>
      </c>
      <c r="B34" s="14">
        <v>0.09</v>
      </c>
      <c r="C34" s="16">
        <f>B34*C30</f>
        <v>5.67</v>
      </c>
      <c r="D34" s="14">
        <v>0.09</v>
      </c>
      <c r="E34" s="16">
        <f>E30*D34</f>
        <v>1.89</v>
      </c>
    </row>
    <row r="35" spans="1:13" x14ac:dyDescent="0.25">
      <c r="A35" s="1" t="s">
        <v>9</v>
      </c>
      <c r="B35" s="14">
        <v>0.02</v>
      </c>
      <c r="C35" s="16">
        <f>B35*C30</f>
        <v>1.26</v>
      </c>
    </row>
    <row r="37" spans="1:13" ht="13.8" thickBot="1" x14ac:dyDescent="0.3">
      <c r="A37" s="194" t="str">
        <f>RIGHT(K1,LEN(K1)-5) &amp;" Person Trips"</f>
        <v>Residential Person Trips</v>
      </c>
      <c r="B37" s="194"/>
      <c r="C37" s="194"/>
      <c r="D37" s="194"/>
      <c r="E37" s="194"/>
      <c r="F37" s="80"/>
      <c r="G37" s="80"/>
      <c r="H37" s="80"/>
      <c r="I37" s="80"/>
      <c r="J37" s="80"/>
      <c r="K37" s="80"/>
      <c r="L37" s="80"/>
      <c r="M37" s="80"/>
    </row>
    <row r="38" spans="1:13" x14ac:dyDescent="0.25">
      <c r="A38" s="38"/>
      <c r="B38" s="188" t="s">
        <v>7</v>
      </c>
      <c r="C38" s="189"/>
      <c r="D38" s="190"/>
      <c r="E38" s="191" t="s">
        <v>8</v>
      </c>
      <c r="F38" s="192"/>
      <c r="G38" s="193"/>
      <c r="H38" s="199" t="s">
        <v>9</v>
      </c>
      <c r="I38" s="192"/>
      <c r="J38" s="198"/>
      <c r="K38" s="191" t="s">
        <v>19</v>
      </c>
      <c r="L38" s="192"/>
      <c r="M38" s="198"/>
    </row>
    <row r="39" spans="1:13" ht="13.8" thickBot="1" x14ac:dyDescent="0.3">
      <c r="A39" s="39"/>
      <c r="B39" s="75" t="s">
        <v>13</v>
      </c>
      <c r="C39" s="76" t="s">
        <v>14</v>
      </c>
      <c r="D39" s="77" t="s">
        <v>0</v>
      </c>
      <c r="E39" s="78" t="s">
        <v>13</v>
      </c>
      <c r="F39" s="76" t="s">
        <v>14</v>
      </c>
      <c r="G39" s="79" t="s">
        <v>0</v>
      </c>
      <c r="H39" s="75" t="s">
        <v>13</v>
      </c>
      <c r="I39" s="76" t="s">
        <v>14</v>
      </c>
      <c r="J39" s="77" t="s">
        <v>0</v>
      </c>
      <c r="K39" s="78" t="s">
        <v>13</v>
      </c>
      <c r="L39" s="76" t="s">
        <v>14</v>
      </c>
      <c r="M39" s="77" t="s">
        <v>0</v>
      </c>
    </row>
    <row r="40" spans="1:13" x14ac:dyDescent="0.25">
      <c r="A40" s="45" t="s">
        <v>1</v>
      </c>
      <c r="B40" s="46">
        <f>ROUND($B$4*$B$7*$B12*$B$23,0)</f>
        <v>19</v>
      </c>
      <c r="C40" s="47">
        <f>ROUND($B$4*$B$7*$B12*(1-$B$23),0)</f>
        <v>109</v>
      </c>
      <c r="D40" s="48">
        <f>SUM(B40:C40)</f>
        <v>128</v>
      </c>
      <c r="E40" s="49">
        <f>ROUND($B$4*$B$8*$B12*$B$24,0)</f>
        <v>32</v>
      </c>
      <c r="F40" s="47">
        <f>ROUND($B$4*$B$8*$B12*(1-$B$24),0)</f>
        <v>32</v>
      </c>
      <c r="G40" s="50">
        <f>SUM(E40:F40)</f>
        <v>64</v>
      </c>
      <c r="H40" s="46">
        <f>ROUND($B$4*$B$9*$B12*$B$25,0)</f>
        <v>99</v>
      </c>
      <c r="I40" s="47">
        <f>ROUND($B$4*$B$9*$B12*(1-$B$25),0)</f>
        <v>42</v>
      </c>
      <c r="J40" s="81">
        <f>SUM(H40:I40)</f>
        <v>141</v>
      </c>
      <c r="K40" s="49">
        <f>ROUND($C$4*$C$8*$C12*$C$24,0)</f>
        <v>61</v>
      </c>
      <c r="L40" s="47">
        <f>ROUND($C$4*$C$8*$C12*(1-$C$24),0)</f>
        <v>61</v>
      </c>
      <c r="M40" s="48">
        <f>SUM(K40:L40)</f>
        <v>122</v>
      </c>
    </row>
    <row r="41" spans="1:13" x14ac:dyDescent="0.25">
      <c r="A41" s="51" t="s">
        <v>2</v>
      </c>
      <c r="B41" s="52">
        <f>ROUND($B$4*$B$7*$B13*$B$23,0)</f>
        <v>1</v>
      </c>
      <c r="C41" s="53">
        <f>ROUND($B$4*$B$7*$B13*(1-$B$23),0)</f>
        <v>6</v>
      </c>
      <c r="D41" s="54">
        <f>SUM(B41:C41)</f>
        <v>7</v>
      </c>
      <c r="E41" s="49">
        <f>ROUND($B$4*$B$8*$B13*$B$24,0)</f>
        <v>2</v>
      </c>
      <c r="F41" s="53">
        <f>ROUND($B$4*$B$8*$B13*(1-$B$24),0)</f>
        <v>2</v>
      </c>
      <c r="G41" s="56">
        <f>SUM(E41:F41)</f>
        <v>4</v>
      </c>
      <c r="H41" s="52">
        <f>ROUND($B$4*$B$9*$B13*$B$25,0)</f>
        <v>5</v>
      </c>
      <c r="I41" s="53">
        <f>ROUND($B$4*$B$9*$B13*(1-$B$25),0)</f>
        <v>2</v>
      </c>
      <c r="J41" s="54">
        <f>SUM(H41:I41)</f>
        <v>7</v>
      </c>
      <c r="K41" s="55">
        <f>ROUND($C$4*$C$8*$C13*$C$24,0)</f>
        <v>3</v>
      </c>
      <c r="L41" s="53">
        <f>ROUND($C$4*$C$8*$C13*(1-$C$24),0)</f>
        <v>3</v>
      </c>
      <c r="M41" s="54">
        <f>SUM(K41:L41)</f>
        <v>6</v>
      </c>
    </row>
    <row r="42" spans="1:13" x14ac:dyDescent="0.25">
      <c r="A42" s="51" t="s">
        <v>3</v>
      </c>
      <c r="B42" s="52">
        <f>ROUND($B$4*$B$7*$B14*$B$23,0)</f>
        <v>27</v>
      </c>
      <c r="C42" s="53">
        <f>ROUND($B$4*$B$7*$B14*(1-$B$23),0)</f>
        <v>151</v>
      </c>
      <c r="D42" s="54">
        <f>SUM(B42:C42)</f>
        <v>178</v>
      </c>
      <c r="E42" s="49">
        <f>ROUND($B$4*$B$8*$B14*$B$24,0)</f>
        <v>44</v>
      </c>
      <c r="F42" s="53">
        <f>ROUND($B$4*$B$8*$B14*(1-$B$24),0)</f>
        <v>44</v>
      </c>
      <c r="G42" s="56">
        <f>SUM(E42:F42)</f>
        <v>88</v>
      </c>
      <c r="H42" s="52">
        <f>ROUND($B$4*$B$9*$B14*$B$25,0)</f>
        <v>136</v>
      </c>
      <c r="I42" s="53">
        <f>ROUND($B$4*$B$9*$B14*(1-$B$25),0)</f>
        <v>58</v>
      </c>
      <c r="J42" s="54">
        <f>SUM(H42:I42)</f>
        <v>194</v>
      </c>
      <c r="K42" s="55">
        <f>ROUND($C$4*$C$8*$C14*$C$24,0)</f>
        <v>84</v>
      </c>
      <c r="L42" s="53">
        <f>ROUND($C$4*$C$8*$C14*(1-$C$24),0)</f>
        <v>84</v>
      </c>
      <c r="M42" s="54">
        <f>SUM(K42:L42)</f>
        <v>168</v>
      </c>
    </row>
    <row r="43" spans="1:13" x14ac:dyDescent="0.25">
      <c r="A43" s="51" t="s">
        <v>4</v>
      </c>
      <c r="B43" s="52">
        <f>ROUND($B$4*$B$7*$B15*$B$23,0)</f>
        <v>67</v>
      </c>
      <c r="C43" s="53">
        <f>ROUND($B$4*$B$7*$B15*(1-$B$23),0)</f>
        <v>381</v>
      </c>
      <c r="D43" s="54">
        <f>SUM(B43:C43)</f>
        <v>448</v>
      </c>
      <c r="E43" s="49">
        <f>ROUND($B$4*$B$8*$B15*$B$24,0)</f>
        <v>112</v>
      </c>
      <c r="F43" s="53">
        <f>ROUND($B$4*$B$8*$B15*(1-$B$24),0)</f>
        <v>112</v>
      </c>
      <c r="G43" s="56">
        <f>SUM(E43:F43)</f>
        <v>224</v>
      </c>
      <c r="H43" s="52">
        <f>ROUND($B$4*$B$9*$B15*$B$25,0)</f>
        <v>345</v>
      </c>
      <c r="I43" s="53">
        <f>ROUND($B$4*$B$9*$B15*(1-$B$25),0)</f>
        <v>148</v>
      </c>
      <c r="J43" s="54">
        <f>SUM(H43:I43)</f>
        <v>493</v>
      </c>
      <c r="K43" s="55">
        <f>ROUND($C$4*$C$8*$C15*$C$24,0)</f>
        <v>213</v>
      </c>
      <c r="L43" s="53">
        <f>ROUND($C$4*$C$8*$C15*(1-$C$24),0)</f>
        <v>213</v>
      </c>
      <c r="M43" s="54">
        <f>SUM(K43:L43)</f>
        <v>426</v>
      </c>
    </row>
    <row r="44" spans="1:13" ht="13.8" thickBot="1" x14ac:dyDescent="0.3">
      <c r="A44" s="57" t="s">
        <v>18</v>
      </c>
      <c r="B44" s="58">
        <f>ROUND($B$4*$B$7*$B16*$B$23,0)</f>
        <v>13</v>
      </c>
      <c r="C44" s="59">
        <f>ROUND($B$4*$B$7*$B16*(1-$B$23),0)</f>
        <v>71</v>
      </c>
      <c r="D44" s="60">
        <f>SUM(B44:C44)</f>
        <v>84</v>
      </c>
      <c r="E44" s="61">
        <f>ROUND($B$4*$B$8*$B16*$B$24,0)</f>
        <v>21</v>
      </c>
      <c r="F44" s="59">
        <f>ROUND($B$4*$B$8*$B16*(1-$B$24),0)</f>
        <v>21</v>
      </c>
      <c r="G44" s="62">
        <f>SUM(E44:F44)</f>
        <v>42</v>
      </c>
      <c r="H44" s="58">
        <f>ROUND($B$4*$B$9*$B16*$B$25,0)</f>
        <v>64</v>
      </c>
      <c r="I44" s="59">
        <f>ROUND($B$4*$B$9*$B16*(1-$B$25),0)</f>
        <v>28</v>
      </c>
      <c r="J44" s="60">
        <f>SUM(H44:I44)</f>
        <v>92</v>
      </c>
      <c r="K44" s="61">
        <f>ROUND($C$4*$C$8*$C16*$C$24,0)</f>
        <v>40</v>
      </c>
      <c r="L44" s="59">
        <f>ROUND($C$4*$C$8*$C16*(1-$C$24),0)</f>
        <v>40</v>
      </c>
      <c r="M44" s="60">
        <f>SUM(K44:L44)</f>
        <v>80</v>
      </c>
    </row>
    <row r="45" spans="1:13" ht="13.8" thickBot="1" x14ac:dyDescent="0.3">
      <c r="A45" s="63" t="s">
        <v>0</v>
      </c>
      <c r="B45" s="64">
        <f t="shared" ref="B45:M45" si="0">SUM(B40:B44)</f>
        <v>127</v>
      </c>
      <c r="C45" s="65">
        <f t="shared" si="0"/>
        <v>718</v>
      </c>
      <c r="D45" s="66">
        <f t="shared" si="0"/>
        <v>845</v>
      </c>
      <c r="E45" s="67">
        <f t="shared" si="0"/>
        <v>211</v>
      </c>
      <c r="F45" s="65">
        <f t="shared" si="0"/>
        <v>211</v>
      </c>
      <c r="G45" s="68">
        <f t="shared" si="0"/>
        <v>422</v>
      </c>
      <c r="H45" s="64">
        <f t="shared" si="0"/>
        <v>649</v>
      </c>
      <c r="I45" s="65">
        <f t="shared" si="0"/>
        <v>278</v>
      </c>
      <c r="J45" s="66">
        <f t="shared" si="0"/>
        <v>927</v>
      </c>
      <c r="K45" s="67">
        <f>SUM(K40:K44)</f>
        <v>401</v>
      </c>
      <c r="L45" s="65">
        <f>SUM(L40:L44)</f>
        <v>401</v>
      </c>
      <c r="M45" s="66">
        <f t="shared" si="0"/>
        <v>802</v>
      </c>
    </row>
    <row r="49" spans="1:13" ht="13.8" thickBot="1" x14ac:dyDescent="0.3">
      <c r="A49" s="1" t="str">
        <f>RIGHT(K1,LEN(K1)-5) &amp;" Vehicle Trips - Before balancing"</f>
        <v>Residential Vehicle Trips - Before balancing</v>
      </c>
    </row>
    <row r="50" spans="1:13" x14ac:dyDescent="0.25">
      <c r="A50" s="186"/>
      <c r="B50" s="196" t="s">
        <v>7</v>
      </c>
      <c r="C50" s="195"/>
      <c r="D50" s="197"/>
      <c r="E50" s="195" t="s">
        <v>16</v>
      </c>
      <c r="F50" s="195"/>
      <c r="G50" s="195"/>
      <c r="H50" s="196" t="s">
        <v>9</v>
      </c>
      <c r="I50" s="195"/>
      <c r="J50" s="197"/>
      <c r="K50" s="196" t="s">
        <v>10</v>
      </c>
      <c r="L50" s="195"/>
      <c r="M50" s="197"/>
    </row>
    <row r="51" spans="1:13" ht="13.8" thickBot="1" x14ac:dyDescent="0.3">
      <c r="A51" s="187"/>
      <c r="B51" s="5" t="s">
        <v>13</v>
      </c>
      <c r="C51" s="3" t="s">
        <v>14</v>
      </c>
      <c r="D51" s="6" t="s">
        <v>0</v>
      </c>
      <c r="E51" s="7" t="s">
        <v>13</v>
      </c>
      <c r="F51" s="3" t="s">
        <v>14</v>
      </c>
      <c r="G51" s="4" t="s">
        <v>0</v>
      </c>
      <c r="H51" s="5" t="s">
        <v>13</v>
      </c>
      <c r="I51" s="3" t="s">
        <v>14</v>
      </c>
      <c r="J51" s="6" t="s">
        <v>0</v>
      </c>
      <c r="K51" s="5" t="s">
        <v>13</v>
      </c>
      <c r="L51" s="3" t="s">
        <v>14</v>
      </c>
      <c r="M51" s="6" t="s">
        <v>0</v>
      </c>
    </row>
    <row r="52" spans="1:13" x14ac:dyDescent="0.25">
      <c r="A52" s="8" t="s">
        <v>1</v>
      </c>
      <c r="B52" s="17">
        <f>ROUND(B40/$B$19,0)</f>
        <v>16</v>
      </c>
      <c r="C52" s="18">
        <f>ROUND(C40/$B$19,0)</f>
        <v>92</v>
      </c>
      <c r="D52" s="19">
        <f>SUM(B52:C52)</f>
        <v>108</v>
      </c>
      <c r="E52" s="20">
        <f>ROUND(E40/$B$19,0)</f>
        <v>27</v>
      </c>
      <c r="F52" s="18">
        <f>ROUND(F40/$B$19,0)</f>
        <v>27</v>
      </c>
      <c r="G52" s="21">
        <f>SUM(E52:F52)</f>
        <v>54</v>
      </c>
      <c r="H52" s="17">
        <f>ROUND(H40/$B$19,0)</f>
        <v>84</v>
      </c>
      <c r="I52" s="18">
        <f>ROUND(I40/$B$19,0)</f>
        <v>36</v>
      </c>
      <c r="J52" s="19">
        <f>SUM(H52:I52)</f>
        <v>120</v>
      </c>
      <c r="K52" s="17">
        <f>ROUND(K40/$B$19,0)</f>
        <v>52</v>
      </c>
      <c r="L52" s="18">
        <f>ROUND(L40/$B$19,0)</f>
        <v>52</v>
      </c>
      <c r="M52" s="19">
        <f>SUM(K52:L52)</f>
        <v>104</v>
      </c>
    </row>
    <row r="53" spans="1:13" x14ac:dyDescent="0.25">
      <c r="A53" s="9" t="s">
        <v>2</v>
      </c>
      <c r="B53" s="22">
        <f>ROUND(B41/$B$20,0)</f>
        <v>1</v>
      </c>
      <c r="C53" s="23">
        <f>ROUND(C41/$B$20,0)</f>
        <v>5</v>
      </c>
      <c r="D53" s="24">
        <f>B53+C53</f>
        <v>6</v>
      </c>
      <c r="E53" s="25">
        <f>ROUND(E41/$B$20,0)</f>
        <v>2</v>
      </c>
      <c r="F53" s="23">
        <f>ROUND(F41/$B$20,0)</f>
        <v>2</v>
      </c>
      <c r="G53" s="26">
        <f>E53+F53</f>
        <v>4</v>
      </c>
      <c r="H53" s="22">
        <f>ROUND(H41/$B$20,0)</f>
        <v>4</v>
      </c>
      <c r="I53" s="23">
        <f>ROUND(I41/$B$20,0)</f>
        <v>2</v>
      </c>
      <c r="J53" s="24">
        <f>H53+I53</f>
        <v>6</v>
      </c>
      <c r="K53" s="22">
        <f>ROUND(K41/$B$20,0)</f>
        <v>3</v>
      </c>
      <c r="L53" s="23">
        <f>ROUND(L41/$B$20,0)</f>
        <v>3</v>
      </c>
      <c r="M53" s="24">
        <f>K53+L53</f>
        <v>6</v>
      </c>
    </row>
    <row r="54" spans="1:13" ht="13.8" thickBot="1" x14ac:dyDescent="0.3">
      <c r="A54" s="10" t="s">
        <v>15</v>
      </c>
      <c r="B54" s="27">
        <f>ROUND(C33/2,0)</f>
        <v>4</v>
      </c>
      <c r="C54" s="28">
        <f>B54</f>
        <v>4</v>
      </c>
      <c r="D54" s="29">
        <f>B54+C54</f>
        <v>8</v>
      </c>
      <c r="E54" s="30">
        <f>ROUND(C34/2,0)</f>
        <v>3</v>
      </c>
      <c r="F54" s="28">
        <f t="shared" ref="F54" si="1">E54</f>
        <v>3</v>
      </c>
      <c r="G54" s="31">
        <f t="shared" ref="G54" si="2">E54+F54</f>
        <v>6</v>
      </c>
      <c r="H54" s="27">
        <f>ROUND(C35/2,0)</f>
        <v>1</v>
      </c>
      <c r="I54" s="28">
        <f t="shared" ref="I54" si="3">H54</f>
        <v>1</v>
      </c>
      <c r="J54" s="29">
        <f t="shared" ref="J54" si="4">H54+I54</f>
        <v>2</v>
      </c>
      <c r="K54" s="27">
        <f>ROUND(D34/2,0)</f>
        <v>0</v>
      </c>
      <c r="L54" s="28">
        <f t="shared" ref="L54" si="5">K54</f>
        <v>0</v>
      </c>
      <c r="M54" s="29">
        <f t="shared" ref="M54" si="6">K54+L54</f>
        <v>0</v>
      </c>
    </row>
    <row r="55" spans="1:13" ht="13.8" thickBot="1" x14ac:dyDescent="0.3">
      <c r="A55" s="11" t="s">
        <v>0</v>
      </c>
      <c r="B55" s="32">
        <f t="shared" ref="B55:M55" si="7">SUM(B52:B54)</f>
        <v>21</v>
      </c>
      <c r="C55" s="33">
        <f t="shared" si="7"/>
        <v>101</v>
      </c>
      <c r="D55" s="34">
        <f t="shared" si="7"/>
        <v>122</v>
      </c>
      <c r="E55" s="35">
        <f t="shared" si="7"/>
        <v>32</v>
      </c>
      <c r="F55" s="33">
        <f t="shared" si="7"/>
        <v>32</v>
      </c>
      <c r="G55" s="36">
        <f t="shared" si="7"/>
        <v>64</v>
      </c>
      <c r="H55" s="32">
        <f t="shared" si="7"/>
        <v>89</v>
      </c>
      <c r="I55" s="33">
        <f t="shared" si="7"/>
        <v>39</v>
      </c>
      <c r="J55" s="34">
        <f t="shared" si="7"/>
        <v>128</v>
      </c>
      <c r="K55" s="32">
        <f>SUM(K52:K54)</f>
        <v>55</v>
      </c>
      <c r="L55" s="33">
        <f>SUM(L52:L54)</f>
        <v>55</v>
      </c>
      <c r="M55" s="34">
        <f t="shared" si="7"/>
        <v>110</v>
      </c>
    </row>
    <row r="59" spans="1:13" ht="13.8" thickBot="1" x14ac:dyDescent="0.3">
      <c r="A59" s="1" t="str">
        <f>RIGHT(K1,LEN(K1)-5) &amp;" Vehicle Trips (Balanced for Taxis)"</f>
        <v>Residential Vehicle Trips (Balanced for Taxis)</v>
      </c>
    </row>
    <row r="60" spans="1:13" x14ac:dyDescent="0.25">
      <c r="A60" s="186"/>
      <c r="B60" s="196" t="s">
        <v>7</v>
      </c>
      <c r="C60" s="195"/>
      <c r="D60" s="197"/>
      <c r="E60" s="195" t="s">
        <v>16</v>
      </c>
      <c r="F60" s="195"/>
      <c r="G60" s="195"/>
      <c r="H60" s="196" t="s">
        <v>9</v>
      </c>
      <c r="I60" s="195"/>
      <c r="J60" s="197"/>
      <c r="K60" s="196" t="s">
        <v>10</v>
      </c>
      <c r="L60" s="195"/>
      <c r="M60" s="197"/>
    </row>
    <row r="61" spans="1:13" ht="13.8" thickBot="1" x14ac:dyDescent="0.3">
      <c r="A61" s="187"/>
      <c r="B61" s="5" t="s">
        <v>13</v>
      </c>
      <c r="C61" s="3" t="s">
        <v>14</v>
      </c>
      <c r="D61" s="6" t="s">
        <v>0</v>
      </c>
      <c r="E61" s="7" t="s">
        <v>13</v>
      </c>
      <c r="F61" s="3" t="s">
        <v>14</v>
      </c>
      <c r="G61" s="4" t="s">
        <v>0</v>
      </c>
      <c r="H61" s="5" t="s">
        <v>13</v>
      </c>
      <c r="I61" s="3" t="s">
        <v>14</v>
      </c>
      <c r="J61" s="6" t="s">
        <v>0</v>
      </c>
      <c r="K61" s="5" t="s">
        <v>13</v>
      </c>
      <c r="L61" s="3" t="s">
        <v>14</v>
      </c>
      <c r="M61" s="6" t="s">
        <v>0</v>
      </c>
    </row>
    <row r="62" spans="1:13" x14ac:dyDescent="0.25">
      <c r="A62" s="8" t="s">
        <v>1</v>
      </c>
      <c r="B62" s="17">
        <f>ROUND(B52,0)</f>
        <v>16</v>
      </c>
      <c r="C62" s="18">
        <f>ROUND(C52,0)</f>
        <v>92</v>
      </c>
      <c r="D62" s="19">
        <f>B62+C62</f>
        <v>108</v>
      </c>
      <c r="E62" s="20">
        <f>ROUND(E52,0)</f>
        <v>27</v>
      </c>
      <c r="F62" s="18">
        <f>ROUND(F52,0)</f>
        <v>27</v>
      </c>
      <c r="G62" s="21">
        <f>E62+F62</f>
        <v>54</v>
      </c>
      <c r="H62" s="17">
        <f>ROUND(H52,0)</f>
        <v>84</v>
      </c>
      <c r="I62" s="18">
        <f>ROUND(I52,0)</f>
        <v>36</v>
      </c>
      <c r="J62" s="19">
        <f>H62+I62</f>
        <v>120</v>
      </c>
      <c r="K62" s="17">
        <f>ROUND(K52,0)</f>
        <v>52</v>
      </c>
      <c r="L62" s="18">
        <f>ROUND(L52,0)</f>
        <v>52</v>
      </c>
      <c r="M62" s="19">
        <f>K62+L62</f>
        <v>104</v>
      </c>
    </row>
    <row r="63" spans="1:13" x14ac:dyDescent="0.25">
      <c r="A63" s="9" t="s">
        <v>2</v>
      </c>
      <c r="B63" s="22">
        <f>ROUND(D53,0)</f>
        <v>6</v>
      </c>
      <c r="C63" s="23">
        <f>B63</f>
        <v>6</v>
      </c>
      <c r="D63" s="24">
        <f>B63+C63</f>
        <v>12</v>
      </c>
      <c r="E63" s="22">
        <f>ROUND(G53,0)</f>
        <v>4</v>
      </c>
      <c r="F63" s="23">
        <f>E63</f>
        <v>4</v>
      </c>
      <c r="G63" s="24">
        <f>E63+F63</f>
        <v>8</v>
      </c>
      <c r="H63" s="22">
        <f>ROUND(J53,0)</f>
        <v>6</v>
      </c>
      <c r="I63" s="23">
        <f>H63</f>
        <v>6</v>
      </c>
      <c r="J63" s="24">
        <f>H63+I63</f>
        <v>12</v>
      </c>
      <c r="K63" s="22">
        <f>ROUND(M53,0)</f>
        <v>6</v>
      </c>
      <c r="L63" s="23">
        <f>K63</f>
        <v>6</v>
      </c>
      <c r="M63" s="24">
        <f>K63+L63</f>
        <v>12</v>
      </c>
    </row>
    <row r="64" spans="1:13" ht="13.8" thickBot="1" x14ac:dyDescent="0.3">
      <c r="A64" s="10" t="s">
        <v>15</v>
      </c>
      <c r="B64" s="27">
        <f>ROUND(B54,0)</f>
        <v>4</v>
      </c>
      <c r="C64" s="28">
        <f>ROUND(C54,0)</f>
        <v>4</v>
      </c>
      <c r="D64" s="29">
        <f>B64+C64</f>
        <v>8</v>
      </c>
      <c r="E64" s="30">
        <f>ROUND(E54,0)</f>
        <v>3</v>
      </c>
      <c r="F64" s="28">
        <f>ROUND(F54,0)</f>
        <v>3</v>
      </c>
      <c r="G64" s="31">
        <f>E64+F64</f>
        <v>6</v>
      </c>
      <c r="H64" s="27">
        <f>ROUND(H54,0)</f>
        <v>1</v>
      </c>
      <c r="I64" s="28">
        <f>ROUND(I54,0)</f>
        <v>1</v>
      </c>
      <c r="J64" s="29">
        <f>H64+I64</f>
        <v>2</v>
      </c>
      <c r="K64" s="27">
        <f>ROUND(K54,0)</f>
        <v>0</v>
      </c>
      <c r="L64" s="28">
        <f>ROUND(L54,0)</f>
        <v>0</v>
      </c>
      <c r="M64" s="29">
        <f>K64+L64</f>
        <v>0</v>
      </c>
    </row>
    <row r="65" spans="1:13" ht="13.8" thickBot="1" x14ac:dyDescent="0.3">
      <c r="A65" s="11" t="s">
        <v>0</v>
      </c>
      <c r="B65" s="32">
        <f t="shared" ref="B65:J65" si="8">SUM(B62:B64)</f>
        <v>26</v>
      </c>
      <c r="C65" s="33">
        <f t="shared" si="8"/>
        <v>102</v>
      </c>
      <c r="D65" s="34">
        <f t="shared" si="8"/>
        <v>128</v>
      </c>
      <c r="E65" s="35">
        <f t="shared" si="8"/>
        <v>34</v>
      </c>
      <c r="F65" s="33">
        <f t="shared" si="8"/>
        <v>34</v>
      </c>
      <c r="G65" s="36">
        <f t="shared" si="8"/>
        <v>68</v>
      </c>
      <c r="H65" s="32">
        <f t="shared" si="8"/>
        <v>91</v>
      </c>
      <c r="I65" s="33">
        <f t="shared" si="8"/>
        <v>43</v>
      </c>
      <c r="J65" s="34">
        <f t="shared" si="8"/>
        <v>134</v>
      </c>
      <c r="K65" s="32">
        <f>SUM(K62:K64)</f>
        <v>58</v>
      </c>
      <c r="L65" s="33">
        <f>SUM(L62:L64)</f>
        <v>58</v>
      </c>
      <c r="M65" s="34">
        <f>SUM(M62:M64)</f>
        <v>116</v>
      </c>
    </row>
    <row r="68" spans="1:13" x14ac:dyDescent="0.25">
      <c r="A68" s="82" t="s">
        <v>29</v>
      </c>
    </row>
    <row r="69" spans="1:13" x14ac:dyDescent="0.25">
      <c r="A69" s="96" t="s">
        <v>36</v>
      </c>
    </row>
    <row r="70" spans="1:13" x14ac:dyDescent="0.25">
      <c r="A70" s="95" t="s">
        <v>52</v>
      </c>
    </row>
    <row r="71" spans="1:13" x14ac:dyDescent="0.25">
      <c r="A71" s="95" t="s">
        <v>51</v>
      </c>
    </row>
  </sheetData>
  <mergeCells count="17">
    <mergeCell ref="K38:M38"/>
    <mergeCell ref="H38:J38"/>
    <mergeCell ref="K60:M60"/>
    <mergeCell ref="B29:C29"/>
    <mergeCell ref="D29:E29"/>
    <mergeCell ref="B60:D60"/>
    <mergeCell ref="E60:G60"/>
    <mergeCell ref="H60:J60"/>
    <mergeCell ref="K50:M50"/>
    <mergeCell ref="H50:J50"/>
    <mergeCell ref="A60:A61"/>
    <mergeCell ref="A50:A51"/>
    <mergeCell ref="B38:D38"/>
    <mergeCell ref="E38:G38"/>
    <mergeCell ref="A37:E37"/>
    <mergeCell ref="E50:G50"/>
    <mergeCell ref="B50:D50"/>
  </mergeCells>
  <phoneticPr fontId="9" type="noConversion"/>
  <pageMargins left="0.7" right="0.7" top="0.75" bottom="0.75" header="0.3" footer="0.3"/>
  <pageSetup paperSize="195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M19"/>
  <sheetViews>
    <sheetView workbookViewId="0">
      <selection activeCell="F14" sqref="F14"/>
    </sheetView>
  </sheetViews>
  <sheetFormatPr defaultRowHeight="13.2" x14ac:dyDescent="0.25"/>
  <cols>
    <col min="1" max="1" width="15.109375" bestFit="1" customWidth="1"/>
  </cols>
  <sheetData>
    <row r="1" spans="1:13" ht="13.8" thickBot="1" x14ac:dyDescent="0.3">
      <c r="A1" s="163" t="s">
        <v>79</v>
      </c>
      <c r="B1" s="162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x14ac:dyDescent="0.25">
      <c r="A2" s="38"/>
      <c r="B2" s="212" t="s">
        <v>7</v>
      </c>
      <c r="C2" s="213"/>
      <c r="D2" s="214"/>
      <c r="E2" s="209" t="s">
        <v>8</v>
      </c>
      <c r="F2" s="210"/>
      <c r="G2" s="211"/>
      <c r="H2" s="209" t="s">
        <v>9</v>
      </c>
      <c r="I2" s="210"/>
      <c r="J2" s="211"/>
      <c r="K2" s="209" t="s">
        <v>19</v>
      </c>
      <c r="L2" s="210"/>
      <c r="M2" s="211"/>
    </row>
    <row r="3" spans="1:13" ht="13.8" thickBot="1" x14ac:dyDescent="0.3">
      <c r="A3" s="39" t="str">
        <f>"Credit = "&amp;'Local Retail'!B3</f>
        <v>Credit = 0.05</v>
      </c>
      <c r="B3" s="75" t="s">
        <v>13</v>
      </c>
      <c r="C3" s="76" t="s">
        <v>14</v>
      </c>
      <c r="D3" s="77" t="s">
        <v>0</v>
      </c>
      <c r="E3" s="78" t="s">
        <v>13</v>
      </c>
      <c r="F3" s="76" t="s">
        <v>14</v>
      </c>
      <c r="G3" s="79" t="s">
        <v>0</v>
      </c>
      <c r="H3" s="75" t="s">
        <v>13</v>
      </c>
      <c r="I3" s="76" t="s">
        <v>14</v>
      </c>
      <c r="J3" s="77" t="s">
        <v>0</v>
      </c>
      <c r="K3" s="78" t="s">
        <v>13</v>
      </c>
      <c r="L3" s="76" t="s">
        <v>14</v>
      </c>
      <c r="M3" s="77" t="s">
        <v>0</v>
      </c>
    </row>
    <row r="4" spans="1:13" x14ac:dyDescent="0.25">
      <c r="A4" s="45" t="s">
        <v>75</v>
      </c>
      <c r="B4" s="46">
        <f>' Trip Gen Summary Proposed'!P29</f>
        <v>58</v>
      </c>
      <c r="C4" s="47">
        <f>' Trip Gen Summary Proposed'!Q29</f>
        <v>58</v>
      </c>
      <c r="D4" s="48">
        <f>' Trip Gen Summary Proposed'!R29</f>
        <v>116</v>
      </c>
      <c r="E4" s="49">
        <f>' Trip Gen Summary Proposed'!S29</f>
        <v>370</v>
      </c>
      <c r="F4" s="47">
        <f>' Trip Gen Summary Proposed'!T29</f>
        <v>370</v>
      </c>
      <c r="G4" s="50">
        <f>' Trip Gen Summary Proposed'!U29</f>
        <v>740</v>
      </c>
      <c r="H4" s="46">
        <f>' Trip Gen Summary Proposed'!V29</f>
        <v>195</v>
      </c>
      <c r="I4" s="47">
        <f>' Trip Gen Summary Proposed'!W29</f>
        <v>195</v>
      </c>
      <c r="J4" s="81">
        <f>' Trip Gen Summary Proposed'!X29</f>
        <v>390</v>
      </c>
      <c r="K4" s="49">
        <f>' Trip Gen Summary Proposed'!Y29</f>
        <v>228</v>
      </c>
      <c r="L4" s="47">
        <f>' Trip Gen Summary Proposed'!Z29</f>
        <v>228</v>
      </c>
      <c r="M4" s="48">
        <f>' Trip Gen Summary Proposed'!AA29</f>
        <v>456</v>
      </c>
    </row>
    <row r="5" spans="1:13" ht="13.8" thickBot="1" x14ac:dyDescent="0.3">
      <c r="A5" s="51" t="s">
        <v>76</v>
      </c>
      <c r="B5" s="52">
        <f>' Trip Gen Summary Proposed'!P40</f>
        <v>98</v>
      </c>
      <c r="C5" s="53">
        <f>' Trip Gen Summary Proposed'!Q40</f>
        <v>74</v>
      </c>
      <c r="D5" s="54">
        <f>' Trip Gen Summary Proposed'!R40</f>
        <v>172</v>
      </c>
      <c r="E5" s="49">
        <f>' Trip Gen Summary Proposed'!S40</f>
        <v>103</v>
      </c>
      <c r="F5" s="53">
        <f>' Trip Gen Summary Proposed'!T40</f>
        <v>103</v>
      </c>
      <c r="G5" s="56">
        <f>' Trip Gen Summary Proposed'!U40</f>
        <v>206</v>
      </c>
      <c r="H5" s="52">
        <f>' Trip Gen Summary Proposed'!V40</f>
        <v>179</v>
      </c>
      <c r="I5" s="53">
        <f>' Trip Gen Summary Proposed'!W40</f>
        <v>166</v>
      </c>
      <c r="J5" s="54">
        <f>' Trip Gen Summary Proposed'!X40</f>
        <v>345</v>
      </c>
      <c r="K5" s="55">
        <f>' Trip Gen Summary Proposed'!Y40</f>
        <v>213</v>
      </c>
      <c r="L5" s="53">
        <f>' Trip Gen Summary Proposed'!Z40</f>
        <v>197</v>
      </c>
      <c r="M5" s="54">
        <f>' Trip Gen Summary Proposed'!AA40</f>
        <v>410</v>
      </c>
    </row>
    <row r="6" spans="1:13" ht="13.8" thickBot="1" x14ac:dyDescent="0.3">
      <c r="A6" s="63" t="s">
        <v>0</v>
      </c>
      <c r="B6" s="64">
        <f>B4+B5</f>
        <v>156</v>
      </c>
      <c r="C6" s="65">
        <f t="shared" ref="C6:M6" si="0">C4+C5</f>
        <v>132</v>
      </c>
      <c r="D6" s="66">
        <f t="shared" si="0"/>
        <v>288</v>
      </c>
      <c r="E6" s="67">
        <f t="shared" si="0"/>
        <v>473</v>
      </c>
      <c r="F6" s="65">
        <f t="shared" si="0"/>
        <v>473</v>
      </c>
      <c r="G6" s="68">
        <f t="shared" si="0"/>
        <v>946</v>
      </c>
      <c r="H6" s="64">
        <f t="shared" si="0"/>
        <v>374</v>
      </c>
      <c r="I6" s="65">
        <f t="shared" si="0"/>
        <v>361</v>
      </c>
      <c r="J6" s="66">
        <f t="shared" si="0"/>
        <v>735</v>
      </c>
      <c r="K6" s="67">
        <f t="shared" si="0"/>
        <v>441</v>
      </c>
      <c r="L6" s="65">
        <f t="shared" si="0"/>
        <v>425</v>
      </c>
      <c r="M6" s="66">
        <f t="shared" si="0"/>
        <v>866</v>
      </c>
    </row>
    <row r="7" spans="1:13" ht="13.8" thickBot="1" x14ac:dyDescent="0.3">
      <c r="A7" s="63" t="s">
        <v>77</v>
      </c>
      <c r="B7" s="64">
        <f>ROUND(B6/(1-'Local Retail'!$B$3),0)</f>
        <v>164</v>
      </c>
      <c r="C7" s="65">
        <f>ROUND(C6/(1-'Local Retail'!$B$3),0)</f>
        <v>139</v>
      </c>
      <c r="D7" s="66">
        <f>ROUND(D6/(1-'Local Retail'!$B$3),0)</f>
        <v>303</v>
      </c>
      <c r="E7" s="67">
        <f>ROUND(E6/(1-'Local Retail'!$B$3),0)</f>
        <v>498</v>
      </c>
      <c r="F7" s="65">
        <f>ROUND(F6/(1-'Local Retail'!$B$3),0)</f>
        <v>498</v>
      </c>
      <c r="G7" s="68">
        <f>ROUND(G6/(1-'Local Retail'!$B$3),0)</f>
        <v>996</v>
      </c>
      <c r="H7" s="64">
        <f>ROUND(H6/(1-'Local Retail'!$B$3),0)</f>
        <v>394</v>
      </c>
      <c r="I7" s="65">
        <f>ROUND(I6/(1-'Local Retail'!$B$3),0)</f>
        <v>380</v>
      </c>
      <c r="J7" s="66">
        <f>ROUND(J6/(1-'Local Retail'!$B$3),0)</f>
        <v>774</v>
      </c>
      <c r="K7" s="67">
        <f>ROUND(K6/(1-'Local Retail'!$B$3),0)</f>
        <v>464</v>
      </c>
      <c r="L7" s="65">
        <f>ROUND(L6/(1-'Local Retail'!$B$3),0)</f>
        <v>447</v>
      </c>
      <c r="M7" s="66">
        <f>ROUND(M6/(1-'Local Retail'!$B$3),0)</f>
        <v>912</v>
      </c>
    </row>
    <row r="8" spans="1:13" ht="13.8" thickBot="1" x14ac:dyDescent="0.3">
      <c r="A8" s="63" t="s">
        <v>78</v>
      </c>
      <c r="B8" s="64">
        <f>B7-B6</f>
        <v>8</v>
      </c>
      <c r="C8" s="65">
        <f t="shared" ref="C8:M8" si="1">C7-C6</f>
        <v>7</v>
      </c>
      <c r="D8" s="66">
        <f t="shared" si="1"/>
        <v>15</v>
      </c>
      <c r="E8" s="67">
        <f t="shared" si="1"/>
        <v>25</v>
      </c>
      <c r="F8" s="65">
        <f t="shared" si="1"/>
        <v>25</v>
      </c>
      <c r="G8" s="68">
        <f t="shared" si="1"/>
        <v>50</v>
      </c>
      <c r="H8" s="64">
        <f t="shared" si="1"/>
        <v>20</v>
      </c>
      <c r="I8" s="65">
        <f t="shared" si="1"/>
        <v>19</v>
      </c>
      <c r="J8" s="66">
        <f t="shared" si="1"/>
        <v>39</v>
      </c>
      <c r="K8" s="67">
        <f t="shared" si="1"/>
        <v>23</v>
      </c>
      <c r="L8" s="65">
        <f t="shared" si="1"/>
        <v>22</v>
      </c>
      <c r="M8" s="66">
        <f t="shared" si="1"/>
        <v>46</v>
      </c>
    </row>
    <row r="10" spans="1:13" ht="13.8" thickBot="1" x14ac:dyDescent="0.3">
      <c r="A10" s="163" t="s">
        <v>80</v>
      </c>
      <c r="B10" s="162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3" x14ac:dyDescent="0.25">
      <c r="A11" s="38"/>
      <c r="B11" s="212" t="s">
        <v>7</v>
      </c>
      <c r="C11" s="213"/>
      <c r="D11" s="214"/>
      <c r="E11" s="209" t="s">
        <v>8</v>
      </c>
      <c r="F11" s="210"/>
      <c r="G11" s="211"/>
      <c r="H11" s="209" t="s">
        <v>9</v>
      </c>
      <c r="I11" s="210"/>
      <c r="J11" s="211"/>
      <c r="K11" s="209" t="s">
        <v>19</v>
      </c>
      <c r="L11" s="210"/>
      <c r="M11" s="211"/>
    </row>
    <row r="12" spans="1:13" ht="13.8" thickBot="1" x14ac:dyDescent="0.3">
      <c r="A12" s="39"/>
      <c r="B12" s="75" t="s">
        <v>13</v>
      </c>
      <c r="C12" s="76" t="s">
        <v>14</v>
      </c>
      <c r="D12" s="77" t="s">
        <v>0</v>
      </c>
      <c r="E12" s="78" t="s">
        <v>13</v>
      </c>
      <c r="F12" s="76" t="s">
        <v>14</v>
      </c>
      <c r="G12" s="79" t="s">
        <v>0</v>
      </c>
      <c r="H12" s="75" t="s">
        <v>13</v>
      </c>
      <c r="I12" s="76" t="s">
        <v>14</v>
      </c>
      <c r="J12" s="77" t="s">
        <v>0</v>
      </c>
      <c r="K12" s="78" t="s">
        <v>13</v>
      </c>
      <c r="L12" s="76" t="s">
        <v>14</v>
      </c>
      <c r="M12" s="77" t="s">
        <v>0</v>
      </c>
    </row>
    <row r="13" spans="1:13" x14ac:dyDescent="0.25">
      <c r="A13" s="45" t="s">
        <v>81</v>
      </c>
      <c r="B13" s="46">
        <f>' Trip Gen Summary Proposed'!P18</f>
        <v>13</v>
      </c>
      <c r="C13" s="47">
        <f>' Trip Gen Summary Proposed'!Q18</f>
        <v>71</v>
      </c>
      <c r="D13" s="48">
        <f>' Trip Gen Summary Proposed'!R18</f>
        <v>84</v>
      </c>
      <c r="E13" s="49">
        <f>' Trip Gen Summary Proposed'!S18</f>
        <v>21</v>
      </c>
      <c r="F13" s="47">
        <f>' Trip Gen Summary Proposed'!T18</f>
        <v>21</v>
      </c>
      <c r="G13" s="50">
        <f>' Trip Gen Summary Proposed'!U18</f>
        <v>42</v>
      </c>
      <c r="H13" s="46">
        <f>' Trip Gen Summary Proposed'!V18</f>
        <v>64</v>
      </c>
      <c r="I13" s="47">
        <f>' Trip Gen Summary Proposed'!W18</f>
        <v>28</v>
      </c>
      <c r="J13" s="81">
        <f>' Trip Gen Summary Proposed'!X18</f>
        <v>92</v>
      </c>
      <c r="K13" s="49">
        <f>' Trip Gen Summary Proposed'!Y18</f>
        <v>40</v>
      </c>
      <c r="L13" s="47">
        <f>' Trip Gen Summary Proposed'!Z18</f>
        <v>40</v>
      </c>
      <c r="M13" s="48">
        <f>' Trip Gen Summary Proposed'!AA18</f>
        <v>80</v>
      </c>
    </row>
    <row r="14" spans="1:13" ht="13.8" thickBot="1" x14ac:dyDescent="0.3">
      <c r="A14" s="51" t="s">
        <v>82</v>
      </c>
      <c r="B14" s="52">
        <f>' Trip Gen Summary Proposed'!P84</f>
        <v>9</v>
      </c>
      <c r="C14" s="53">
        <f>' Trip Gen Summary Proposed'!Q84</f>
        <v>0</v>
      </c>
      <c r="D14" s="54">
        <f>' Trip Gen Summary Proposed'!R84</f>
        <v>9</v>
      </c>
      <c r="E14" s="49">
        <f>' Trip Gen Summary Proposed'!S84</f>
        <v>44</v>
      </c>
      <c r="F14" s="53">
        <f>' Trip Gen Summary Proposed'!T84</f>
        <v>68</v>
      </c>
      <c r="G14" s="56">
        <f>' Trip Gen Summary Proposed'!U84</f>
        <v>112</v>
      </c>
      <c r="H14" s="52">
        <f>' Trip Gen Summary Proposed'!V84</f>
        <v>1</v>
      </c>
      <c r="I14" s="53">
        <f>' Trip Gen Summary Proposed'!W84</f>
        <v>10</v>
      </c>
      <c r="J14" s="54">
        <f>' Trip Gen Summary Proposed'!X84</f>
        <v>11</v>
      </c>
      <c r="K14" s="55">
        <f>' Trip Gen Summary Proposed'!Y84</f>
        <v>2</v>
      </c>
      <c r="L14" s="53">
        <f>' Trip Gen Summary Proposed'!Z84</f>
        <v>1</v>
      </c>
      <c r="M14" s="54">
        <f>' Trip Gen Summary Proposed'!AA84</f>
        <v>3</v>
      </c>
    </row>
    <row r="15" spans="1:13" ht="13.8" thickBot="1" x14ac:dyDescent="0.3">
      <c r="A15" s="63" t="s">
        <v>0</v>
      </c>
      <c r="B15" s="64">
        <f>B13+B14</f>
        <v>22</v>
      </c>
      <c r="C15" s="65">
        <f t="shared" ref="C15" si="2">C13+C14</f>
        <v>71</v>
      </c>
      <c r="D15" s="66">
        <f t="shared" ref="D15" si="3">D13+D14</f>
        <v>93</v>
      </c>
      <c r="E15" s="67">
        <f t="shared" ref="E15" si="4">E13+E14</f>
        <v>65</v>
      </c>
      <c r="F15" s="65">
        <f t="shared" ref="F15" si="5">F13+F14</f>
        <v>89</v>
      </c>
      <c r="G15" s="68">
        <f t="shared" ref="G15" si="6">G13+G14</f>
        <v>154</v>
      </c>
      <c r="H15" s="64">
        <f t="shared" ref="H15" si="7">H13+H14</f>
        <v>65</v>
      </c>
      <c r="I15" s="65">
        <f t="shared" ref="I15" si="8">I13+I14</f>
        <v>38</v>
      </c>
      <c r="J15" s="66">
        <f t="shared" ref="J15" si="9">J13+J14</f>
        <v>103</v>
      </c>
      <c r="K15" s="67">
        <f t="shared" ref="K15" si="10">K13+K14</f>
        <v>42</v>
      </c>
      <c r="L15" s="65">
        <f t="shared" ref="L15" si="11">L13+L14</f>
        <v>41</v>
      </c>
      <c r="M15" s="66">
        <f t="shared" ref="M15" si="12">M13+M14</f>
        <v>83</v>
      </c>
    </row>
    <row r="16" spans="1:13" ht="13.8" thickBot="1" x14ac:dyDescent="0.3">
      <c r="A16" s="63" t="s">
        <v>84</v>
      </c>
      <c r="B16" s="166"/>
      <c r="C16" s="167"/>
      <c r="D16" s="164">
        <f t="shared" ref="D16:M16" si="13">D8/D15</f>
        <v>0.16129032258064516</v>
      </c>
      <c r="E16" s="166"/>
      <c r="F16" s="167"/>
      <c r="G16" s="165">
        <f t="shared" si="13"/>
        <v>0.32467532467532467</v>
      </c>
      <c r="H16" s="166"/>
      <c r="I16" s="167"/>
      <c r="J16" s="164">
        <f t="shared" si="13"/>
        <v>0.37864077669902912</v>
      </c>
      <c r="K16" s="166"/>
      <c r="L16" s="167"/>
      <c r="M16" s="164">
        <f t="shared" si="13"/>
        <v>0.55421686746987953</v>
      </c>
    </row>
    <row r="17" spans="1:13" ht="13.8" thickBot="1" x14ac:dyDescent="0.3">
      <c r="A17" s="63" t="s">
        <v>83</v>
      </c>
      <c r="B17" s="64">
        <f>' Trip Gen Summary Proposed'!P51</f>
        <v>19</v>
      </c>
      <c r="C17" s="65">
        <f>' Trip Gen Summary Proposed'!Q51</f>
        <v>2</v>
      </c>
      <c r="D17" s="66">
        <f>' Trip Gen Summary Proposed'!R51</f>
        <v>21</v>
      </c>
      <c r="E17" s="67">
        <f>' Trip Gen Summary Proposed'!S51</f>
        <v>30</v>
      </c>
      <c r="F17" s="65">
        <f>' Trip Gen Summary Proposed'!T51</f>
        <v>29</v>
      </c>
      <c r="G17" s="68">
        <f>' Trip Gen Summary Proposed'!U51</f>
        <v>59</v>
      </c>
      <c r="H17" s="64">
        <f>' Trip Gen Summary Proposed'!V51</f>
        <v>31</v>
      </c>
      <c r="I17" s="65">
        <f>' Trip Gen Summary Proposed'!W51</f>
        <v>34</v>
      </c>
      <c r="J17" s="66">
        <f>' Trip Gen Summary Proposed'!X51</f>
        <v>65</v>
      </c>
      <c r="K17" s="67">
        <f>' Trip Gen Summary Proposed'!Y51</f>
        <v>24</v>
      </c>
      <c r="L17" s="65">
        <f>' Trip Gen Summary Proposed'!Z51</f>
        <v>35</v>
      </c>
      <c r="M17" s="66">
        <f>' Trip Gen Summary Proposed'!AA51</f>
        <v>59</v>
      </c>
    </row>
    <row r="18" spans="1:13" ht="13.8" thickBot="1" x14ac:dyDescent="0.3">
      <c r="A18" s="63" t="s">
        <v>0</v>
      </c>
      <c r="B18" s="64">
        <f>B15+B17</f>
        <v>41</v>
      </c>
      <c r="C18" s="65">
        <f t="shared" ref="C18:M18" si="14">C15+C17</f>
        <v>73</v>
      </c>
      <c r="D18" s="66">
        <f t="shared" si="14"/>
        <v>114</v>
      </c>
      <c r="E18" s="67">
        <f t="shared" si="14"/>
        <v>95</v>
      </c>
      <c r="F18" s="65">
        <f t="shared" si="14"/>
        <v>118</v>
      </c>
      <c r="G18" s="68">
        <f t="shared" si="14"/>
        <v>213</v>
      </c>
      <c r="H18" s="64">
        <f t="shared" si="14"/>
        <v>96</v>
      </c>
      <c r="I18" s="65">
        <f t="shared" si="14"/>
        <v>72</v>
      </c>
      <c r="J18" s="66">
        <f t="shared" si="14"/>
        <v>168</v>
      </c>
      <c r="K18" s="67">
        <f t="shared" si="14"/>
        <v>66</v>
      </c>
      <c r="L18" s="65">
        <f t="shared" si="14"/>
        <v>76</v>
      </c>
      <c r="M18" s="66">
        <f t="shared" si="14"/>
        <v>142</v>
      </c>
    </row>
    <row r="19" spans="1:13" ht="13.8" thickBot="1" x14ac:dyDescent="0.3">
      <c r="A19" s="63" t="s">
        <v>84</v>
      </c>
      <c r="B19" s="166"/>
      <c r="C19" s="167"/>
      <c r="D19" s="164">
        <f>D8/D18</f>
        <v>0.13157894736842105</v>
      </c>
      <c r="E19" s="166"/>
      <c r="F19" s="167"/>
      <c r="G19" s="165">
        <f>G8/G18</f>
        <v>0.23474178403755869</v>
      </c>
      <c r="H19" s="166"/>
      <c r="I19" s="167"/>
      <c r="J19" s="164">
        <f>J8/J18</f>
        <v>0.23214285714285715</v>
      </c>
      <c r="K19" s="166"/>
      <c r="L19" s="167"/>
      <c r="M19" s="164">
        <f>M8/M18</f>
        <v>0.323943661971831</v>
      </c>
    </row>
  </sheetData>
  <mergeCells count="8">
    <mergeCell ref="B2:D2"/>
    <mergeCell ref="E2:G2"/>
    <mergeCell ref="H2:J2"/>
    <mergeCell ref="K2:M2"/>
    <mergeCell ref="B11:D11"/>
    <mergeCell ref="E11:G11"/>
    <mergeCell ref="H11:J11"/>
    <mergeCell ref="K11:M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71"/>
  <sheetViews>
    <sheetView zoomScaleNormal="100" workbookViewId="0">
      <selection activeCell="B3" sqref="B3"/>
    </sheetView>
  </sheetViews>
  <sheetFormatPr defaultColWidth="9.109375" defaultRowHeight="13.2" x14ac:dyDescent="0.25"/>
  <cols>
    <col min="1" max="1" width="18.6640625" style="37" customWidth="1"/>
    <col min="2" max="2" width="9.5546875" style="37" customWidth="1"/>
    <col min="3" max="3" width="9.109375" style="37"/>
    <col min="4" max="4" width="8.88671875" style="37" customWidth="1"/>
    <col min="5" max="16384" width="9.109375" style="37"/>
  </cols>
  <sheetData>
    <row r="1" spans="1:12" x14ac:dyDescent="0.25">
      <c r="B1" s="69" t="s">
        <v>20</v>
      </c>
      <c r="C1" s="69" t="s">
        <v>12</v>
      </c>
      <c r="K1" s="94" t="s">
        <v>34</v>
      </c>
    </row>
    <row r="2" spans="1:12" x14ac:dyDescent="0.25">
      <c r="A2" s="69" t="s">
        <v>25</v>
      </c>
      <c r="B2" s="37">
        <v>205</v>
      </c>
      <c r="C2" s="70">
        <v>240</v>
      </c>
      <c r="K2" s="105">
        <v>25</v>
      </c>
      <c r="L2" s="103" t="s">
        <v>38</v>
      </c>
    </row>
    <row r="3" spans="1:12" x14ac:dyDescent="0.25">
      <c r="A3" s="37" t="s">
        <v>39</v>
      </c>
      <c r="B3" s="71">
        <v>0.05</v>
      </c>
      <c r="K3" s="37" t="s">
        <v>41</v>
      </c>
    </row>
    <row r="4" spans="1:12" x14ac:dyDescent="0.25">
      <c r="A4" s="37" t="s">
        <v>21</v>
      </c>
      <c r="B4" s="108">
        <f>K2</f>
        <v>25</v>
      </c>
    </row>
    <row r="5" spans="1:12" x14ac:dyDescent="0.25">
      <c r="A5" s="37" t="s">
        <v>6</v>
      </c>
      <c r="B5" s="37">
        <f>ROUND(B4*(B2*(1-B3)),0)</f>
        <v>4869</v>
      </c>
      <c r="C5" s="37">
        <f>ROUND(B4*(C2*(1-B3)),0)</f>
        <v>5700</v>
      </c>
    </row>
    <row r="6" spans="1:12" x14ac:dyDescent="0.25">
      <c r="A6" s="69" t="s">
        <v>26</v>
      </c>
    </row>
    <row r="7" spans="1:12" x14ac:dyDescent="0.25">
      <c r="A7" s="37" t="s">
        <v>7</v>
      </c>
      <c r="B7" s="72">
        <v>0.03</v>
      </c>
    </row>
    <row r="8" spans="1:12" x14ac:dyDescent="0.25">
      <c r="A8" s="37" t="s">
        <v>8</v>
      </c>
      <c r="B8" s="72">
        <v>0.19</v>
      </c>
      <c r="C8" s="71">
        <v>0.1</v>
      </c>
    </row>
    <row r="9" spans="1:12" x14ac:dyDescent="0.25">
      <c r="A9" s="37" t="s">
        <v>9</v>
      </c>
      <c r="B9" s="72">
        <v>0.1</v>
      </c>
    </row>
    <row r="10" spans="1:12" s="1" customFormat="1" x14ac:dyDescent="0.25">
      <c r="B10" s="14"/>
    </row>
    <row r="11" spans="1:12" x14ac:dyDescent="0.25">
      <c r="A11" s="2" t="s">
        <v>31</v>
      </c>
    </row>
    <row r="12" spans="1:12" x14ac:dyDescent="0.25">
      <c r="A12" s="37" t="s">
        <v>1</v>
      </c>
      <c r="B12" s="72">
        <v>0.03</v>
      </c>
    </row>
    <row r="13" spans="1:12" x14ac:dyDescent="0.25">
      <c r="A13" s="37" t="s">
        <v>2</v>
      </c>
      <c r="B13" s="72">
        <v>0.02</v>
      </c>
    </row>
    <row r="14" spans="1:12" x14ac:dyDescent="0.25">
      <c r="A14" s="37" t="s">
        <v>3</v>
      </c>
      <c r="B14" s="72">
        <v>0.1</v>
      </c>
    </row>
    <row r="15" spans="1:12" x14ac:dyDescent="0.25">
      <c r="A15" s="37" t="s">
        <v>4</v>
      </c>
      <c r="B15" s="72">
        <v>0.05</v>
      </c>
    </row>
    <row r="16" spans="1:12" x14ac:dyDescent="0.25">
      <c r="A16" s="37" t="s">
        <v>18</v>
      </c>
      <c r="B16" s="72">
        <v>0.8</v>
      </c>
    </row>
    <row r="17" spans="1:5" x14ac:dyDescent="0.25">
      <c r="B17" s="72"/>
    </row>
    <row r="18" spans="1:5" x14ac:dyDescent="0.25">
      <c r="A18" s="2" t="s">
        <v>28</v>
      </c>
      <c r="B18" s="72"/>
    </row>
    <row r="19" spans="1:5" x14ac:dyDescent="0.25">
      <c r="A19" s="37" t="s">
        <v>22</v>
      </c>
      <c r="B19" s="73">
        <v>1.6</v>
      </c>
    </row>
    <row r="20" spans="1:5" x14ac:dyDescent="0.25">
      <c r="A20" s="37" t="s">
        <v>23</v>
      </c>
      <c r="B20" s="73">
        <v>1.2</v>
      </c>
    </row>
    <row r="21" spans="1:5" x14ac:dyDescent="0.25">
      <c r="B21" s="73"/>
    </row>
    <row r="22" spans="1:5" s="1" customFormat="1" x14ac:dyDescent="0.25">
      <c r="A22" s="2" t="s">
        <v>27</v>
      </c>
      <c r="B22" s="14"/>
    </row>
    <row r="23" spans="1:5" s="1" customFormat="1" x14ac:dyDescent="0.25">
      <c r="A23" s="1" t="s">
        <v>7</v>
      </c>
      <c r="B23" s="14">
        <v>0.5</v>
      </c>
    </row>
    <row r="24" spans="1:5" s="1" customFormat="1" x14ac:dyDescent="0.25">
      <c r="A24" s="1" t="s">
        <v>8</v>
      </c>
      <c r="B24" s="14">
        <v>0.5</v>
      </c>
      <c r="C24" s="14">
        <v>0.5</v>
      </c>
    </row>
    <row r="25" spans="1:5" s="1" customFormat="1" x14ac:dyDescent="0.25">
      <c r="A25" s="1" t="s">
        <v>9</v>
      </c>
      <c r="B25" s="14">
        <v>0.5</v>
      </c>
    </row>
    <row r="26" spans="1:5" s="1" customFormat="1" x14ac:dyDescent="0.25">
      <c r="B26" s="14"/>
    </row>
    <row r="27" spans="1:5" x14ac:dyDescent="0.25">
      <c r="B27" s="72"/>
    </row>
    <row r="28" spans="1:5" x14ac:dyDescent="0.25">
      <c r="A28" s="12" t="s">
        <v>24</v>
      </c>
      <c r="B28" s="1"/>
      <c r="C28" s="1"/>
      <c r="D28" s="1"/>
      <c r="E28" s="1"/>
    </row>
    <row r="29" spans="1:5" x14ac:dyDescent="0.25">
      <c r="A29" s="12"/>
      <c r="B29" s="200" t="s">
        <v>20</v>
      </c>
      <c r="C29" s="200"/>
      <c r="D29" s="200" t="s">
        <v>12</v>
      </c>
      <c r="E29" s="200"/>
    </row>
    <row r="30" spans="1:5" x14ac:dyDescent="0.25">
      <c r="A30" s="2" t="s">
        <v>25</v>
      </c>
      <c r="B30" s="37">
        <v>0.35</v>
      </c>
      <c r="C30" s="37">
        <f>ROUND(B30*B4,0)</f>
        <v>9</v>
      </c>
      <c r="D30" s="37">
        <v>0.04</v>
      </c>
      <c r="E30" s="37">
        <f>ROUND(D30*B4,0)</f>
        <v>1</v>
      </c>
    </row>
    <row r="32" spans="1:5" x14ac:dyDescent="0.25">
      <c r="A32" s="2" t="s">
        <v>26</v>
      </c>
    </row>
    <row r="33" spans="1:13" x14ac:dyDescent="0.25">
      <c r="A33" s="1" t="s">
        <v>7</v>
      </c>
      <c r="B33" s="71">
        <v>0.08</v>
      </c>
      <c r="C33" s="37">
        <f>B33*C30</f>
        <v>0.72</v>
      </c>
    </row>
    <row r="34" spans="1:13" x14ac:dyDescent="0.25">
      <c r="A34" s="1" t="s">
        <v>8</v>
      </c>
      <c r="B34" s="71">
        <v>0.11</v>
      </c>
      <c r="C34" s="37">
        <f>B34*C30</f>
        <v>0.99</v>
      </c>
      <c r="D34" s="71">
        <v>0.11</v>
      </c>
      <c r="E34" s="37">
        <f>E30*D34</f>
        <v>0.11</v>
      </c>
    </row>
    <row r="35" spans="1:13" x14ac:dyDescent="0.25">
      <c r="A35" s="1" t="s">
        <v>9</v>
      </c>
      <c r="B35" s="71">
        <v>0.02</v>
      </c>
      <c r="C35" s="37">
        <f>B35*C30</f>
        <v>0.18</v>
      </c>
    </row>
    <row r="36" spans="1:13" x14ac:dyDescent="0.25">
      <c r="A36" s="1"/>
      <c r="B36" s="71"/>
    </row>
    <row r="37" spans="1:13" ht="30" customHeight="1" thickBot="1" x14ac:dyDescent="0.3">
      <c r="A37" s="194" t="str">
        <f>RIGHT(K1,LEN(K1)-5) &amp;" Person Trips"</f>
        <v>Local Retail Person Trips</v>
      </c>
      <c r="B37" s="194"/>
      <c r="C37" s="194"/>
      <c r="D37" s="194"/>
      <c r="E37" s="194"/>
    </row>
    <row r="38" spans="1:13" ht="17.25" customHeight="1" x14ac:dyDescent="0.25">
      <c r="A38" s="38"/>
      <c r="B38" s="205" t="s">
        <v>7</v>
      </c>
      <c r="C38" s="206"/>
      <c r="D38" s="207"/>
      <c r="E38" s="201" t="s">
        <v>8</v>
      </c>
      <c r="F38" s="202"/>
      <c r="G38" s="208"/>
      <c r="H38" s="204" t="s">
        <v>9</v>
      </c>
      <c r="I38" s="202"/>
      <c r="J38" s="203"/>
      <c r="K38" s="201" t="s">
        <v>19</v>
      </c>
      <c r="L38" s="202"/>
      <c r="M38" s="203"/>
    </row>
    <row r="39" spans="1:13" ht="13.8" thickBot="1" x14ac:dyDescent="0.3">
      <c r="A39" s="39"/>
      <c r="B39" s="40" t="s">
        <v>13</v>
      </c>
      <c r="C39" s="41" t="s">
        <v>14</v>
      </c>
      <c r="D39" s="42" t="s">
        <v>0</v>
      </c>
      <c r="E39" s="43" t="s">
        <v>13</v>
      </c>
      <c r="F39" s="41" t="s">
        <v>14</v>
      </c>
      <c r="G39" s="44" t="s">
        <v>0</v>
      </c>
      <c r="H39" s="40" t="s">
        <v>13</v>
      </c>
      <c r="I39" s="41" t="s">
        <v>14</v>
      </c>
      <c r="J39" s="42" t="s">
        <v>0</v>
      </c>
      <c r="K39" s="43" t="s">
        <v>13</v>
      </c>
      <c r="L39" s="41" t="s">
        <v>14</v>
      </c>
      <c r="M39" s="42" t="s">
        <v>0</v>
      </c>
    </row>
    <row r="40" spans="1:13" x14ac:dyDescent="0.25">
      <c r="A40" s="45" t="s">
        <v>1</v>
      </c>
      <c r="B40" s="46">
        <f>ROUND($B$5*$B$7*$B12*$B$23,0)</f>
        <v>2</v>
      </c>
      <c r="C40" s="47">
        <f>ROUND($B$5*$B$7*$B12*(1-$B$23),0)</f>
        <v>2</v>
      </c>
      <c r="D40" s="48">
        <f>SUM(B40:C40)</f>
        <v>4</v>
      </c>
      <c r="E40" s="49">
        <f>ROUND($B$5*$B$8*$B12*$B$24,0)</f>
        <v>14</v>
      </c>
      <c r="F40" s="47">
        <f>ROUND($B$5*$B$8*$B12*(1-$B$24),0)</f>
        <v>14</v>
      </c>
      <c r="G40" s="50">
        <f>SUM(E40:F40)</f>
        <v>28</v>
      </c>
      <c r="H40" s="46">
        <f>ROUND($B$5*$B$9*$B12*$B$25,0)</f>
        <v>7</v>
      </c>
      <c r="I40" s="47">
        <f>ROUND($B$5*$B$9*$B12*(1-$B$25),0)</f>
        <v>7</v>
      </c>
      <c r="J40" s="48">
        <f>SUM(H40:I40)</f>
        <v>14</v>
      </c>
      <c r="K40" s="49">
        <f>ROUND($C$5*$C$8*$B12*$C$24,0)</f>
        <v>9</v>
      </c>
      <c r="L40" s="47">
        <f>ROUND($C$5*$C$8*$B12*(1-$C$24),0)</f>
        <v>9</v>
      </c>
      <c r="M40" s="48">
        <f>SUM(K40:L40)</f>
        <v>18</v>
      </c>
    </row>
    <row r="41" spans="1:13" x14ac:dyDescent="0.25">
      <c r="A41" s="51" t="s">
        <v>2</v>
      </c>
      <c r="B41" s="52">
        <f>ROUND($B$5*$B$7*$B13*$B$23,0)</f>
        <v>1</v>
      </c>
      <c r="C41" s="53">
        <f>ROUND($B$5*$B$7*$B13*(1-$B$23),0)</f>
        <v>1</v>
      </c>
      <c r="D41" s="54">
        <f>SUM(B41:C41)</f>
        <v>2</v>
      </c>
      <c r="E41" s="55">
        <f>ROUND($B$5*$B$8*$B13*$B$24,0)</f>
        <v>9</v>
      </c>
      <c r="F41" s="53">
        <f>ROUND($B$5*$B$8*$B13*(1-$B$24),0)</f>
        <v>9</v>
      </c>
      <c r="G41" s="56">
        <f>SUM(E41:F41)</f>
        <v>18</v>
      </c>
      <c r="H41" s="52">
        <f>ROUND($B$5*$B$9*$B13*$B$25,0)</f>
        <v>5</v>
      </c>
      <c r="I41" s="53">
        <f>ROUND($B$5*$B$9*$B13*(1-$B$25),0)</f>
        <v>5</v>
      </c>
      <c r="J41" s="54">
        <f>SUM(H41:I41)</f>
        <v>10</v>
      </c>
      <c r="K41" s="55">
        <f>ROUND($C$5*$C$8*$B13*$C$24,0)</f>
        <v>6</v>
      </c>
      <c r="L41" s="53">
        <f>ROUND($C$5*$C$8*$B13*(1-$C$24),0)</f>
        <v>6</v>
      </c>
      <c r="M41" s="54">
        <f>SUM(K41:L41)</f>
        <v>12</v>
      </c>
    </row>
    <row r="42" spans="1:13" x14ac:dyDescent="0.25">
      <c r="A42" s="51" t="s">
        <v>3</v>
      </c>
      <c r="B42" s="52">
        <f>ROUND($B$5*$B$7*$B14*$B$23,0)</f>
        <v>7</v>
      </c>
      <c r="C42" s="53">
        <f>ROUND($B$5*$B$7*$B14*(1-$B$23),0)</f>
        <v>7</v>
      </c>
      <c r="D42" s="54">
        <f>SUM(B42:C42)</f>
        <v>14</v>
      </c>
      <c r="E42" s="55">
        <f>ROUND($B$5*$B$8*$B14*$B$24,0)</f>
        <v>46</v>
      </c>
      <c r="F42" s="53">
        <f>ROUND($B$5*$B$8*$B14*(1-$B$24),0)</f>
        <v>46</v>
      </c>
      <c r="G42" s="56">
        <f>SUM(E42:F42)</f>
        <v>92</v>
      </c>
      <c r="H42" s="52">
        <f>ROUND($B$5*$B$9*$B14*$B$25,0)</f>
        <v>24</v>
      </c>
      <c r="I42" s="53">
        <f>ROUND($B$5*$B$9*$B14*(1-$B$25),0)</f>
        <v>24</v>
      </c>
      <c r="J42" s="54">
        <f>SUM(H42:I42)</f>
        <v>48</v>
      </c>
      <c r="K42" s="55">
        <f>ROUND($C$5*$C$8*$B14*$C$24,0)</f>
        <v>29</v>
      </c>
      <c r="L42" s="53">
        <f>ROUND($C$5*$C$8*$B14*(1-$C$24),0)</f>
        <v>29</v>
      </c>
      <c r="M42" s="54">
        <f>SUM(K42:L42)</f>
        <v>58</v>
      </c>
    </row>
    <row r="43" spans="1:13" x14ac:dyDescent="0.25">
      <c r="A43" s="51" t="s">
        <v>4</v>
      </c>
      <c r="B43" s="52">
        <f>ROUND($B$5*$B$7*$B15*$B$23,0)</f>
        <v>4</v>
      </c>
      <c r="C43" s="53">
        <f>ROUND($B$5*$B$7*$B15*(1-$B$23),0)</f>
        <v>4</v>
      </c>
      <c r="D43" s="54">
        <f>SUM(B43:C43)</f>
        <v>8</v>
      </c>
      <c r="E43" s="55">
        <f>ROUND($B$5*$B$8*$B15*$B$24,0)</f>
        <v>23</v>
      </c>
      <c r="F43" s="53">
        <f>ROUND($B$5*$B$8*$B15*(1-$B$24),0)</f>
        <v>23</v>
      </c>
      <c r="G43" s="56">
        <f>SUM(E43:F43)</f>
        <v>46</v>
      </c>
      <c r="H43" s="52">
        <f>ROUND($B$5*$B$9*$B15*$B$25,0)</f>
        <v>12</v>
      </c>
      <c r="I43" s="53">
        <f>ROUND($B$5*$B$9*$B15*(1-$B$25),0)</f>
        <v>12</v>
      </c>
      <c r="J43" s="54">
        <f>SUM(H43:I43)</f>
        <v>24</v>
      </c>
      <c r="K43" s="55">
        <f>ROUND($C$5*$C$8*$B15*$C$24,0)</f>
        <v>14</v>
      </c>
      <c r="L43" s="53">
        <f>ROUND($C$5*$C$8*$B15*(1-$C$24),0)</f>
        <v>14</v>
      </c>
      <c r="M43" s="54">
        <f>SUM(K43:L43)</f>
        <v>28</v>
      </c>
    </row>
    <row r="44" spans="1:13" ht="13.8" thickBot="1" x14ac:dyDescent="0.3">
      <c r="A44" s="57" t="s">
        <v>18</v>
      </c>
      <c r="B44" s="58">
        <f>ROUND($B$5*$B$7*$B16*$B$23,0)</f>
        <v>58</v>
      </c>
      <c r="C44" s="59">
        <f>ROUND($B$5*$B$7*$B16*(1-$B$23),0)</f>
        <v>58</v>
      </c>
      <c r="D44" s="60">
        <f>SUM(B44:C44)</f>
        <v>116</v>
      </c>
      <c r="E44" s="61">
        <f>ROUND($B$5*$B$8*$B16*$B$24,0)</f>
        <v>370</v>
      </c>
      <c r="F44" s="59">
        <f>ROUND($B$5*$B$8*$B16*(1-$B$24),0)</f>
        <v>370</v>
      </c>
      <c r="G44" s="62">
        <f>SUM(E44:F44)</f>
        <v>740</v>
      </c>
      <c r="H44" s="58">
        <f>ROUND($B$5*$B$9*$B16*$B$25,0)</f>
        <v>195</v>
      </c>
      <c r="I44" s="59">
        <f>ROUND($B$5*$B$9*$B16*(1-$B$25),0)</f>
        <v>195</v>
      </c>
      <c r="J44" s="60">
        <f>SUM(H44:I44)</f>
        <v>390</v>
      </c>
      <c r="K44" s="61">
        <f>ROUND($C$5*$C$8*$B16*$C$24,0)</f>
        <v>228</v>
      </c>
      <c r="L44" s="59">
        <f>ROUND($C$5*$C$8*$B16*(1-$C$24),0)</f>
        <v>228</v>
      </c>
      <c r="M44" s="60">
        <f>SUM(K44:L44)</f>
        <v>456</v>
      </c>
    </row>
    <row r="45" spans="1:13" ht="13.8" thickBot="1" x14ac:dyDescent="0.3">
      <c r="A45" s="63" t="s">
        <v>0</v>
      </c>
      <c r="B45" s="64">
        <f t="shared" ref="B45:M45" si="0">SUM(B40:B44)</f>
        <v>72</v>
      </c>
      <c r="C45" s="65">
        <f t="shared" si="0"/>
        <v>72</v>
      </c>
      <c r="D45" s="66">
        <f t="shared" si="0"/>
        <v>144</v>
      </c>
      <c r="E45" s="67">
        <f t="shared" si="0"/>
        <v>462</v>
      </c>
      <c r="F45" s="65">
        <f t="shared" si="0"/>
        <v>462</v>
      </c>
      <c r="G45" s="68">
        <f t="shared" si="0"/>
        <v>924</v>
      </c>
      <c r="H45" s="64">
        <f t="shared" si="0"/>
        <v>243</v>
      </c>
      <c r="I45" s="65">
        <f t="shared" si="0"/>
        <v>243</v>
      </c>
      <c r="J45" s="66">
        <f t="shared" si="0"/>
        <v>486</v>
      </c>
      <c r="K45" s="67">
        <f t="shared" si="0"/>
        <v>286</v>
      </c>
      <c r="L45" s="65">
        <f t="shared" si="0"/>
        <v>286</v>
      </c>
      <c r="M45" s="66">
        <f t="shared" si="0"/>
        <v>572</v>
      </c>
    </row>
    <row r="46" spans="1:13" x14ac:dyDescent="0.25">
      <c r="D46" s="37">
        <f>ROUND(D45/(1-$B$3),0)</f>
        <v>152</v>
      </c>
      <c r="G46" s="37">
        <f>ROUND(G45/(1-$B$3),0)</f>
        <v>973</v>
      </c>
      <c r="J46" s="37">
        <f>ROUND(J45/(1-$B$3),0)</f>
        <v>512</v>
      </c>
      <c r="M46" s="37">
        <f>ROUND(M45/(1-$B$3),0)</f>
        <v>602</v>
      </c>
    </row>
    <row r="47" spans="1:13" x14ac:dyDescent="0.25">
      <c r="D47" s="37">
        <f>ROUND(D46-D45,0)</f>
        <v>8</v>
      </c>
      <c r="G47" s="37">
        <f>ROUND(G46-G45,0)</f>
        <v>49</v>
      </c>
      <c r="J47" s="37">
        <f>ROUND(J46-J45,0)</f>
        <v>26</v>
      </c>
      <c r="M47" s="37">
        <f>ROUND(M46-M45,0)</f>
        <v>30</v>
      </c>
    </row>
    <row r="49" spans="1:13" ht="13.8" thickBot="1" x14ac:dyDescent="0.3">
      <c r="A49" s="95" t="str">
        <f>RIGHT(K1,LEN(K1)-5) &amp;" Vehicle Trips - Before balancing"</f>
        <v>Local Retail Vehicle Trips - Before balancing</v>
      </c>
    </row>
    <row r="50" spans="1:13" x14ac:dyDescent="0.25">
      <c r="A50" s="186"/>
      <c r="B50" s="196" t="s">
        <v>7</v>
      </c>
      <c r="C50" s="195"/>
      <c r="D50" s="197"/>
      <c r="E50" s="195" t="s">
        <v>8</v>
      </c>
      <c r="F50" s="195"/>
      <c r="G50" s="195"/>
      <c r="H50" s="196" t="s">
        <v>9</v>
      </c>
      <c r="I50" s="195"/>
      <c r="J50" s="197"/>
      <c r="K50" s="196" t="s">
        <v>19</v>
      </c>
      <c r="L50" s="195"/>
      <c r="M50" s="197"/>
    </row>
    <row r="51" spans="1:13" ht="13.8" thickBot="1" x14ac:dyDescent="0.3">
      <c r="A51" s="187"/>
      <c r="B51" s="5" t="s">
        <v>13</v>
      </c>
      <c r="C51" s="3" t="s">
        <v>14</v>
      </c>
      <c r="D51" s="6" t="s">
        <v>0</v>
      </c>
      <c r="E51" s="7" t="s">
        <v>13</v>
      </c>
      <c r="F51" s="3" t="s">
        <v>14</v>
      </c>
      <c r="G51" s="4" t="s">
        <v>0</v>
      </c>
      <c r="H51" s="5" t="s">
        <v>13</v>
      </c>
      <c r="I51" s="3" t="s">
        <v>14</v>
      </c>
      <c r="J51" s="6" t="s">
        <v>0</v>
      </c>
      <c r="K51" s="5" t="s">
        <v>13</v>
      </c>
      <c r="L51" s="3" t="s">
        <v>14</v>
      </c>
      <c r="M51" s="6" t="s">
        <v>0</v>
      </c>
    </row>
    <row r="52" spans="1:13" x14ac:dyDescent="0.25">
      <c r="A52" s="8" t="s">
        <v>1</v>
      </c>
      <c r="B52" s="17">
        <f>ROUND(B40/$B$19,0)</f>
        <v>1</v>
      </c>
      <c r="C52" s="18">
        <f>ROUND(C40/$B$19,0)</f>
        <v>1</v>
      </c>
      <c r="D52" s="19">
        <f>B52+C52</f>
        <v>2</v>
      </c>
      <c r="E52" s="20">
        <f>ROUND(E40/$B$19,0)</f>
        <v>9</v>
      </c>
      <c r="F52" s="18">
        <f>ROUND(F40/$B$19,0)</f>
        <v>9</v>
      </c>
      <c r="G52" s="21">
        <f>E52+F52</f>
        <v>18</v>
      </c>
      <c r="H52" s="17">
        <f>ROUND(H40/$B$19,0)</f>
        <v>4</v>
      </c>
      <c r="I52" s="18">
        <f>ROUND(I40/$B$19,0)</f>
        <v>4</v>
      </c>
      <c r="J52" s="19">
        <f>H52+I52</f>
        <v>8</v>
      </c>
      <c r="K52" s="17">
        <f>ROUND(K40/$B$19,0)</f>
        <v>6</v>
      </c>
      <c r="L52" s="18">
        <f>ROUND(L40/$B$19,0)</f>
        <v>6</v>
      </c>
      <c r="M52" s="19">
        <f>K52+L52</f>
        <v>12</v>
      </c>
    </row>
    <row r="53" spans="1:13" x14ac:dyDescent="0.25">
      <c r="A53" s="9" t="s">
        <v>2</v>
      </c>
      <c r="B53" s="22">
        <f>ROUND(B41/$B$20,0)</f>
        <v>1</v>
      </c>
      <c r="C53" s="23">
        <f>ROUND(C41/$B$20,0)</f>
        <v>1</v>
      </c>
      <c r="D53" s="24">
        <f>B53+C53</f>
        <v>2</v>
      </c>
      <c r="E53" s="25">
        <f>ROUND(E41/$B$20,0)</f>
        <v>8</v>
      </c>
      <c r="F53" s="23">
        <f>ROUND(F41/$B$20,0)</f>
        <v>8</v>
      </c>
      <c r="G53" s="26">
        <f>E53+F53</f>
        <v>16</v>
      </c>
      <c r="H53" s="22">
        <f>ROUND(H41/$B$20,0)</f>
        <v>4</v>
      </c>
      <c r="I53" s="23">
        <f>ROUND(I41/$B$20,0)</f>
        <v>4</v>
      </c>
      <c r="J53" s="24">
        <f>H53+I53</f>
        <v>8</v>
      </c>
      <c r="K53" s="22">
        <f>ROUND(K41/$B$20,0)</f>
        <v>5</v>
      </c>
      <c r="L53" s="23">
        <f>ROUND(L41/$B$20,0)</f>
        <v>5</v>
      </c>
      <c r="M53" s="24">
        <f>K53+L53</f>
        <v>10</v>
      </c>
    </row>
    <row r="54" spans="1:13" ht="13.8" thickBot="1" x14ac:dyDescent="0.3">
      <c r="A54" s="10" t="s">
        <v>15</v>
      </c>
      <c r="B54" s="27">
        <f>ROUND(C33/2,0)</f>
        <v>0</v>
      </c>
      <c r="C54" s="28">
        <f>B54</f>
        <v>0</v>
      </c>
      <c r="D54" s="29">
        <f>B54+C54</f>
        <v>0</v>
      </c>
      <c r="E54" s="30">
        <f>ROUND(C34/2,0)</f>
        <v>0</v>
      </c>
      <c r="F54" s="28">
        <f>E54</f>
        <v>0</v>
      </c>
      <c r="G54" s="31">
        <f>E54+F54</f>
        <v>0</v>
      </c>
      <c r="H54" s="27">
        <f>ROUND(C35/2,0)</f>
        <v>0</v>
      </c>
      <c r="I54" s="28">
        <f>H54</f>
        <v>0</v>
      </c>
      <c r="J54" s="29">
        <f>H54+I54</f>
        <v>0</v>
      </c>
      <c r="K54" s="27">
        <f>ROUND(E34/2,0)</f>
        <v>0</v>
      </c>
      <c r="L54" s="28">
        <f>K54</f>
        <v>0</v>
      </c>
      <c r="M54" s="29">
        <f>K54+L54</f>
        <v>0</v>
      </c>
    </row>
    <row r="55" spans="1:13" ht="13.8" thickBot="1" x14ac:dyDescent="0.3">
      <c r="A55" s="11" t="s">
        <v>0</v>
      </c>
      <c r="B55" s="32">
        <f>SUM(B52:B54)</f>
        <v>2</v>
      </c>
      <c r="C55" s="33">
        <f>SUM(C52:C54)</f>
        <v>2</v>
      </c>
      <c r="D55" s="34">
        <f>B55+C55</f>
        <v>4</v>
      </c>
      <c r="E55" s="35">
        <f>SUM(E52:E54)</f>
        <v>17</v>
      </c>
      <c r="F55" s="33">
        <f>SUM(F52:F54)</f>
        <v>17</v>
      </c>
      <c r="G55" s="36">
        <f>E55+F55</f>
        <v>34</v>
      </c>
      <c r="H55" s="32">
        <f>SUM(H52:H54)</f>
        <v>8</v>
      </c>
      <c r="I55" s="33">
        <f>SUM(I52:I54)</f>
        <v>8</v>
      </c>
      <c r="J55" s="34">
        <f>H55+I55</f>
        <v>16</v>
      </c>
      <c r="K55" s="32">
        <f>SUM(K52:K54)</f>
        <v>11</v>
      </c>
      <c r="L55" s="33">
        <f>SUM(L52:L54)</f>
        <v>11</v>
      </c>
      <c r="M55" s="34">
        <f>K55+L55</f>
        <v>22</v>
      </c>
    </row>
    <row r="56" spans="1:13" x14ac:dyDescent="0.25">
      <c r="A56" s="86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</row>
    <row r="59" spans="1:13" ht="13.8" thickBot="1" x14ac:dyDescent="0.3">
      <c r="A59" s="95" t="str">
        <f>RIGHT(K1,LEN(K1)-5) &amp;" Vehicle Trips (Balanced for Taxis)"</f>
        <v>Local Retail Vehicle Trips (Balanced for Taxis)</v>
      </c>
    </row>
    <row r="60" spans="1:13" x14ac:dyDescent="0.25">
      <c r="A60" s="186"/>
      <c r="B60" s="196" t="s">
        <v>7</v>
      </c>
      <c r="C60" s="195"/>
      <c r="D60" s="197"/>
      <c r="E60" s="195" t="s">
        <v>8</v>
      </c>
      <c r="F60" s="195"/>
      <c r="G60" s="195"/>
      <c r="H60" s="196" t="s">
        <v>9</v>
      </c>
      <c r="I60" s="195"/>
      <c r="J60" s="197"/>
      <c r="K60" s="196" t="s">
        <v>19</v>
      </c>
      <c r="L60" s="195"/>
      <c r="M60" s="197"/>
    </row>
    <row r="61" spans="1:13" ht="13.8" thickBot="1" x14ac:dyDescent="0.3">
      <c r="A61" s="187"/>
      <c r="B61" s="5" t="s">
        <v>13</v>
      </c>
      <c r="C61" s="3" t="s">
        <v>14</v>
      </c>
      <c r="D61" s="6" t="s">
        <v>0</v>
      </c>
      <c r="E61" s="7" t="s">
        <v>13</v>
      </c>
      <c r="F61" s="3" t="s">
        <v>14</v>
      </c>
      <c r="G61" s="4" t="s">
        <v>0</v>
      </c>
      <c r="H61" s="5" t="s">
        <v>13</v>
      </c>
      <c r="I61" s="3" t="s">
        <v>14</v>
      </c>
      <c r="J61" s="6" t="s">
        <v>0</v>
      </c>
      <c r="K61" s="5" t="s">
        <v>13</v>
      </c>
      <c r="L61" s="3" t="s">
        <v>14</v>
      </c>
      <c r="M61" s="6" t="s">
        <v>0</v>
      </c>
    </row>
    <row r="62" spans="1:13" x14ac:dyDescent="0.25">
      <c r="A62" s="8" t="s">
        <v>1</v>
      </c>
      <c r="B62" s="17">
        <f>ROUND(B52,0)</f>
        <v>1</v>
      </c>
      <c r="C62" s="18">
        <f>ROUND(C52,0)</f>
        <v>1</v>
      </c>
      <c r="D62" s="19">
        <f>B62+C62</f>
        <v>2</v>
      </c>
      <c r="E62" s="20">
        <f>ROUND(E52,0)</f>
        <v>9</v>
      </c>
      <c r="F62" s="18">
        <f>ROUND(F52,0)</f>
        <v>9</v>
      </c>
      <c r="G62" s="21">
        <f>E62+F62</f>
        <v>18</v>
      </c>
      <c r="H62" s="17">
        <f>ROUND(H52,0)</f>
        <v>4</v>
      </c>
      <c r="I62" s="18">
        <f>ROUND(I52,0)</f>
        <v>4</v>
      </c>
      <c r="J62" s="19">
        <f>H62+I62</f>
        <v>8</v>
      </c>
      <c r="K62" s="17">
        <f>ROUND(K52,0)</f>
        <v>6</v>
      </c>
      <c r="L62" s="18">
        <f>ROUND(L52,0)</f>
        <v>6</v>
      </c>
      <c r="M62" s="19">
        <f>K62+L62</f>
        <v>12</v>
      </c>
    </row>
    <row r="63" spans="1:13" x14ac:dyDescent="0.25">
      <c r="A63" s="9" t="s">
        <v>2</v>
      </c>
      <c r="B63" s="22">
        <f>ROUND(B53+C53,0)</f>
        <v>2</v>
      </c>
      <c r="C63" s="23">
        <f>B63</f>
        <v>2</v>
      </c>
      <c r="D63" s="24">
        <f>B63+C63</f>
        <v>4</v>
      </c>
      <c r="E63" s="25">
        <f>ROUND(E53+F53,0)</f>
        <v>16</v>
      </c>
      <c r="F63" s="23">
        <f>E63</f>
        <v>16</v>
      </c>
      <c r="G63" s="26">
        <f>E63+F63</f>
        <v>32</v>
      </c>
      <c r="H63" s="22">
        <f>ROUND(H53+I53,0)</f>
        <v>8</v>
      </c>
      <c r="I63" s="23">
        <f>H63</f>
        <v>8</v>
      </c>
      <c r="J63" s="24">
        <f>H63+I63</f>
        <v>16</v>
      </c>
      <c r="K63" s="22">
        <f>ROUND(K53+L53,0)</f>
        <v>10</v>
      </c>
      <c r="L63" s="23">
        <f>K63</f>
        <v>10</v>
      </c>
      <c r="M63" s="24">
        <f>K63+L63</f>
        <v>20</v>
      </c>
    </row>
    <row r="64" spans="1:13" ht="13.8" thickBot="1" x14ac:dyDescent="0.3">
      <c r="A64" s="10" t="s">
        <v>15</v>
      </c>
      <c r="B64" s="27">
        <f>ROUND(B54,0)</f>
        <v>0</v>
      </c>
      <c r="C64" s="28">
        <f>ROUND(C54,0)</f>
        <v>0</v>
      </c>
      <c r="D64" s="29">
        <f>B64+C64</f>
        <v>0</v>
      </c>
      <c r="E64" s="30">
        <f>ROUND(E54,0)</f>
        <v>0</v>
      </c>
      <c r="F64" s="28">
        <f>ROUND(F54,0)</f>
        <v>0</v>
      </c>
      <c r="G64" s="31">
        <f>E64+F64</f>
        <v>0</v>
      </c>
      <c r="H64" s="27">
        <f>ROUND(H54,0)</f>
        <v>0</v>
      </c>
      <c r="I64" s="28">
        <f>ROUND(I54,0)</f>
        <v>0</v>
      </c>
      <c r="J64" s="29">
        <f>H64+I64</f>
        <v>0</v>
      </c>
      <c r="K64" s="27">
        <f>ROUND(K54,0)</f>
        <v>0</v>
      </c>
      <c r="L64" s="28">
        <f>ROUND(L54,0)</f>
        <v>0</v>
      </c>
      <c r="M64" s="29">
        <f>K64+L64</f>
        <v>0</v>
      </c>
    </row>
    <row r="65" spans="1:13" ht="13.8" thickBot="1" x14ac:dyDescent="0.3">
      <c r="A65" s="11" t="s">
        <v>0</v>
      </c>
      <c r="B65" s="32">
        <f>SUM(B62:B64)</f>
        <v>3</v>
      </c>
      <c r="C65" s="33">
        <f>SUM(C62:C64)</f>
        <v>3</v>
      </c>
      <c r="D65" s="34">
        <f>B65+C65</f>
        <v>6</v>
      </c>
      <c r="E65" s="35">
        <f>SUM(E62:E64)</f>
        <v>25</v>
      </c>
      <c r="F65" s="33">
        <f>SUM(F62:F64)</f>
        <v>25</v>
      </c>
      <c r="G65" s="36">
        <f>E65+F65</f>
        <v>50</v>
      </c>
      <c r="H65" s="32">
        <f>SUM(H62:H64)</f>
        <v>12</v>
      </c>
      <c r="I65" s="33">
        <f>SUM(I62:I64)</f>
        <v>12</v>
      </c>
      <c r="J65" s="34">
        <f>H65+I65</f>
        <v>24</v>
      </c>
      <c r="K65" s="32">
        <f>SUM(K62:K64)</f>
        <v>16</v>
      </c>
      <c r="L65" s="33">
        <f>SUM(L62:L64)</f>
        <v>16</v>
      </c>
      <c r="M65" s="34">
        <f>K65+L65</f>
        <v>32</v>
      </c>
    </row>
    <row r="67" spans="1:13" x14ac:dyDescent="0.25">
      <c r="A67" s="82" t="s">
        <v>29</v>
      </c>
    </row>
    <row r="68" spans="1:13" x14ac:dyDescent="0.25">
      <c r="A68" s="96" t="s">
        <v>36</v>
      </c>
    </row>
    <row r="69" spans="1:13" x14ac:dyDescent="0.25">
      <c r="A69" s="95" t="s">
        <v>53</v>
      </c>
    </row>
    <row r="70" spans="1:13" x14ac:dyDescent="0.25">
      <c r="A70" s="95"/>
    </row>
    <row r="71" spans="1:13" x14ac:dyDescent="0.25">
      <c r="D71" s="74"/>
      <c r="G71" s="74"/>
      <c r="J71" s="74"/>
      <c r="M71" s="74"/>
    </row>
  </sheetData>
  <mergeCells count="17">
    <mergeCell ref="B29:C29"/>
    <mergeCell ref="D29:E29"/>
    <mergeCell ref="A37:E37"/>
    <mergeCell ref="B38:D38"/>
    <mergeCell ref="E38:G38"/>
    <mergeCell ref="K38:M38"/>
    <mergeCell ref="A50:A51"/>
    <mergeCell ref="B50:D50"/>
    <mergeCell ref="E50:G50"/>
    <mergeCell ref="H50:J50"/>
    <mergeCell ref="K50:M50"/>
    <mergeCell ref="H38:J38"/>
    <mergeCell ref="A60:A61"/>
    <mergeCell ref="B60:D60"/>
    <mergeCell ref="E60:G60"/>
    <mergeCell ref="H60:J60"/>
    <mergeCell ref="K60:M60"/>
  </mergeCells>
  <pageMargins left="0.7" right="0.7" top="0.75" bottom="0.75" header="0.3" footer="0.3"/>
  <pageSetup paperSize="195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71"/>
  <sheetViews>
    <sheetView zoomScaleNormal="100" workbookViewId="0">
      <selection activeCell="B4" sqref="B4"/>
    </sheetView>
  </sheetViews>
  <sheetFormatPr defaultColWidth="9.109375" defaultRowHeight="13.2" x14ac:dyDescent="0.25"/>
  <cols>
    <col min="1" max="1" width="18.6640625" style="37" customWidth="1"/>
    <col min="2" max="2" width="9.5546875" style="37" customWidth="1"/>
    <col min="3" max="3" width="9.109375" style="37"/>
    <col min="4" max="4" width="8.88671875" style="37" customWidth="1"/>
    <col min="5" max="16384" width="9.109375" style="37"/>
  </cols>
  <sheetData>
    <row r="1" spans="1:12" x14ac:dyDescent="0.25">
      <c r="B1" s="69" t="s">
        <v>20</v>
      </c>
      <c r="C1" s="69" t="s">
        <v>12</v>
      </c>
      <c r="K1" s="94" t="s">
        <v>72</v>
      </c>
    </row>
    <row r="2" spans="1:12" x14ac:dyDescent="0.25">
      <c r="A2" s="69" t="s">
        <v>25</v>
      </c>
      <c r="B2" s="37">
        <v>175</v>
      </c>
      <c r="C2" s="70">
        <v>231</v>
      </c>
      <c r="K2" s="105">
        <v>25</v>
      </c>
      <c r="L2" s="103" t="s">
        <v>38</v>
      </c>
    </row>
    <row r="3" spans="1:12" x14ac:dyDescent="0.25">
      <c r="A3" s="37" t="s">
        <v>39</v>
      </c>
      <c r="B3" s="71">
        <f>'Local Retail'!B3</f>
        <v>0.05</v>
      </c>
      <c r="K3" s="37" t="s">
        <v>41</v>
      </c>
    </row>
    <row r="4" spans="1:12" x14ac:dyDescent="0.25">
      <c r="A4" s="37" t="s">
        <v>21</v>
      </c>
      <c r="B4" s="108">
        <f>K2</f>
        <v>25</v>
      </c>
    </row>
    <row r="5" spans="1:12" x14ac:dyDescent="0.25">
      <c r="A5" s="37" t="s">
        <v>6</v>
      </c>
      <c r="B5" s="37">
        <f>ROUND(B4*(B2*(1-B3)),0)</f>
        <v>4156</v>
      </c>
      <c r="C5" s="37">
        <f>ROUND(B4*(C2*(1-B3)),0)</f>
        <v>5486</v>
      </c>
    </row>
    <row r="6" spans="1:12" x14ac:dyDescent="0.25">
      <c r="A6" s="69" t="s">
        <v>26</v>
      </c>
    </row>
    <row r="7" spans="1:12" x14ac:dyDescent="0.25">
      <c r="A7" s="37" t="s">
        <v>7</v>
      </c>
      <c r="B7" s="72">
        <v>0.05</v>
      </c>
    </row>
    <row r="8" spans="1:12" x14ac:dyDescent="0.25">
      <c r="A8" s="37" t="s">
        <v>8</v>
      </c>
      <c r="B8" s="72">
        <v>0.06</v>
      </c>
      <c r="C8" s="71">
        <v>0.09</v>
      </c>
    </row>
    <row r="9" spans="1:12" x14ac:dyDescent="0.25">
      <c r="A9" s="37" t="s">
        <v>9</v>
      </c>
      <c r="B9" s="72">
        <v>0.1</v>
      </c>
    </row>
    <row r="10" spans="1:12" s="1" customFormat="1" x14ac:dyDescent="0.25">
      <c r="B10" s="14"/>
    </row>
    <row r="11" spans="1:12" x14ac:dyDescent="0.25">
      <c r="A11" s="2" t="s">
        <v>59</v>
      </c>
    </row>
    <row r="12" spans="1:12" x14ac:dyDescent="0.25">
      <c r="A12" s="37" t="s">
        <v>1</v>
      </c>
      <c r="B12" s="72">
        <v>0.04</v>
      </c>
      <c r="C12" s="72"/>
      <c r="D12" s="72"/>
      <c r="E12" s="72"/>
    </row>
    <row r="13" spans="1:12" x14ac:dyDescent="0.25">
      <c r="A13" s="37" t="s">
        <v>2</v>
      </c>
      <c r="B13" s="72">
        <v>0.03</v>
      </c>
      <c r="C13" s="72"/>
      <c r="D13" s="72"/>
      <c r="E13" s="72"/>
    </row>
    <row r="14" spans="1:12" x14ac:dyDescent="0.25">
      <c r="A14" s="37" t="s">
        <v>3</v>
      </c>
      <c r="B14" s="72">
        <v>0.05</v>
      </c>
      <c r="C14" s="72"/>
      <c r="D14" s="72"/>
      <c r="E14" s="72"/>
    </row>
    <row r="15" spans="1:12" x14ac:dyDescent="0.25">
      <c r="A15" s="37" t="s">
        <v>4</v>
      </c>
      <c r="B15" s="72">
        <v>0.05</v>
      </c>
      <c r="C15" s="72"/>
      <c r="D15" s="72"/>
      <c r="E15" s="72"/>
    </row>
    <row r="16" spans="1:12" x14ac:dyDescent="0.25">
      <c r="A16" s="37" t="s">
        <v>18</v>
      </c>
      <c r="B16" s="72">
        <v>0.83</v>
      </c>
      <c r="C16" s="72"/>
      <c r="D16" s="72"/>
      <c r="E16" s="72"/>
    </row>
    <row r="17" spans="1:5" x14ac:dyDescent="0.25">
      <c r="B17" s="72"/>
    </row>
    <row r="18" spans="1:5" x14ac:dyDescent="0.25">
      <c r="A18" s="2" t="s">
        <v>60</v>
      </c>
    </row>
    <row r="19" spans="1:5" x14ac:dyDescent="0.25">
      <c r="A19" s="37" t="s">
        <v>22</v>
      </c>
      <c r="B19" s="73">
        <v>1.65</v>
      </c>
      <c r="C19" s="73"/>
      <c r="D19" s="73"/>
      <c r="E19" s="73"/>
    </row>
    <row r="20" spans="1:5" x14ac:dyDescent="0.25">
      <c r="A20" s="37" t="s">
        <v>23</v>
      </c>
      <c r="B20" s="73">
        <v>1.4</v>
      </c>
      <c r="C20" s="73"/>
      <c r="D20" s="73"/>
      <c r="E20" s="73"/>
    </row>
    <row r="21" spans="1:5" x14ac:dyDescent="0.25">
      <c r="B21" s="73"/>
    </row>
    <row r="22" spans="1:5" s="1" customFormat="1" x14ac:dyDescent="0.25">
      <c r="A22" s="2" t="s">
        <v>27</v>
      </c>
      <c r="B22" s="14"/>
    </row>
    <row r="23" spans="1:5" s="1" customFormat="1" x14ac:dyDescent="0.25">
      <c r="A23" s="1" t="s">
        <v>7</v>
      </c>
      <c r="B23" s="14">
        <v>0.56999999999999995</v>
      </c>
    </row>
    <row r="24" spans="1:5" s="1" customFormat="1" x14ac:dyDescent="0.25">
      <c r="A24" s="1" t="s">
        <v>8</v>
      </c>
      <c r="B24" s="14">
        <v>0.5</v>
      </c>
      <c r="C24" s="14">
        <v>0.52</v>
      </c>
    </row>
    <row r="25" spans="1:5" s="1" customFormat="1" x14ac:dyDescent="0.25">
      <c r="A25" s="1" t="s">
        <v>9</v>
      </c>
      <c r="B25" s="14">
        <v>0.52</v>
      </c>
    </row>
    <row r="26" spans="1:5" s="1" customFormat="1" x14ac:dyDescent="0.25">
      <c r="B26" s="14"/>
    </row>
    <row r="27" spans="1:5" x14ac:dyDescent="0.25">
      <c r="B27" s="72"/>
    </row>
    <row r="28" spans="1:5" x14ac:dyDescent="0.25">
      <c r="A28" s="12" t="s">
        <v>24</v>
      </c>
      <c r="B28" s="1"/>
      <c r="C28" s="1"/>
      <c r="D28" s="1"/>
      <c r="E28" s="1"/>
    </row>
    <row r="29" spans="1:5" x14ac:dyDescent="0.25">
      <c r="A29" s="12"/>
      <c r="B29" s="200" t="s">
        <v>20</v>
      </c>
      <c r="C29" s="200"/>
      <c r="D29" s="200" t="s">
        <v>12</v>
      </c>
      <c r="E29" s="200"/>
    </row>
    <row r="30" spans="1:5" x14ac:dyDescent="0.25">
      <c r="A30" s="2" t="s">
        <v>63</v>
      </c>
      <c r="B30" s="37">
        <v>0.35</v>
      </c>
      <c r="C30" s="37">
        <f>ROUND(B30*B4,0)</f>
        <v>9</v>
      </c>
      <c r="D30" s="37">
        <v>0.04</v>
      </c>
      <c r="E30" s="37">
        <f>ROUND(D30*B4,0)</f>
        <v>1</v>
      </c>
    </row>
    <row r="32" spans="1:5" x14ac:dyDescent="0.25">
      <c r="A32" s="2" t="s">
        <v>64</v>
      </c>
    </row>
    <row r="33" spans="1:13" x14ac:dyDescent="0.25">
      <c r="A33" s="1" t="s">
        <v>7</v>
      </c>
      <c r="B33" s="71">
        <v>0.1</v>
      </c>
      <c r="C33" s="37">
        <f>B33*C30</f>
        <v>0.9</v>
      </c>
    </row>
    <row r="34" spans="1:13" x14ac:dyDescent="0.25">
      <c r="A34" s="1" t="s">
        <v>8</v>
      </c>
      <c r="B34" s="71">
        <v>0.08</v>
      </c>
      <c r="C34" s="37">
        <f>B34*C30</f>
        <v>0.72</v>
      </c>
      <c r="D34" s="71">
        <v>0.1</v>
      </c>
      <c r="E34" s="37">
        <f>E30*D34</f>
        <v>0.1</v>
      </c>
    </row>
    <row r="35" spans="1:13" x14ac:dyDescent="0.25">
      <c r="A35" s="1" t="s">
        <v>9</v>
      </c>
      <c r="B35" s="71">
        <v>0.05</v>
      </c>
      <c r="C35" s="37">
        <f>B35*C30</f>
        <v>0.45</v>
      </c>
    </row>
    <row r="36" spans="1:13" x14ac:dyDescent="0.25">
      <c r="A36" s="1"/>
      <c r="B36" s="71"/>
    </row>
    <row r="37" spans="1:13" ht="30" customHeight="1" thickBot="1" x14ac:dyDescent="0.3">
      <c r="A37" s="194" t="str">
        <f>RIGHT(K1,LEN(K1)-5) &amp;" Person Trips"</f>
        <v>Food Store (FRESH) Person Trips</v>
      </c>
      <c r="B37" s="194"/>
      <c r="C37" s="194"/>
      <c r="D37" s="194"/>
      <c r="E37" s="194"/>
    </row>
    <row r="38" spans="1:13" ht="17.25" customHeight="1" x14ac:dyDescent="0.25">
      <c r="A38" s="38"/>
      <c r="B38" s="205" t="s">
        <v>7</v>
      </c>
      <c r="C38" s="206"/>
      <c r="D38" s="207"/>
      <c r="E38" s="201" t="s">
        <v>8</v>
      </c>
      <c r="F38" s="202"/>
      <c r="G38" s="208"/>
      <c r="H38" s="204" t="s">
        <v>9</v>
      </c>
      <c r="I38" s="202"/>
      <c r="J38" s="203"/>
      <c r="K38" s="201" t="s">
        <v>19</v>
      </c>
      <c r="L38" s="202"/>
      <c r="M38" s="203"/>
    </row>
    <row r="39" spans="1:13" ht="13.8" thickBot="1" x14ac:dyDescent="0.3">
      <c r="A39" s="39"/>
      <c r="B39" s="40" t="s">
        <v>13</v>
      </c>
      <c r="C39" s="41" t="s">
        <v>14</v>
      </c>
      <c r="D39" s="42" t="s">
        <v>0</v>
      </c>
      <c r="E39" s="43" t="s">
        <v>13</v>
      </c>
      <c r="F39" s="41" t="s">
        <v>14</v>
      </c>
      <c r="G39" s="44" t="s">
        <v>0</v>
      </c>
      <c r="H39" s="40" t="s">
        <v>13</v>
      </c>
      <c r="I39" s="41" t="s">
        <v>14</v>
      </c>
      <c r="J39" s="42" t="s">
        <v>0</v>
      </c>
      <c r="K39" s="43" t="s">
        <v>13</v>
      </c>
      <c r="L39" s="41" t="s">
        <v>14</v>
      </c>
      <c r="M39" s="42" t="s">
        <v>0</v>
      </c>
    </row>
    <row r="40" spans="1:13" x14ac:dyDescent="0.25">
      <c r="A40" s="45" t="s">
        <v>1</v>
      </c>
      <c r="B40" s="46">
        <f>ROUND($B$5*$B$7*$B12*$B$23,0)</f>
        <v>5</v>
      </c>
      <c r="C40" s="47">
        <f>ROUND($B$5*$B$7*$B12*(1-$B$23),0)</f>
        <v>4</v>
      </c>
      <c r="D40" s="48">
        <f>SUM(B40:C40)</f>
        <v>9</v>
      </c>
      <c r="E40" s="49">
        <f>ROUND($B$5*$B$8*$B12*$B$24,0)</f>
        <v>5</v>
      </c>
      <c r="F40" s="47">
        <f>ROUND($B$5*$B$8*$B12*(1-$B$24),0)</f>
        <v>5</v>
      </c>
      <c r="G40" s="50">
        <f>SUM(E40:F40)</f>
        <v>10</v>
      </c>
      <c r="H40" s="46">
        <f>ROUND($B$5*$B$9*$B12*$B$25,0)</f>
        <v>9</v>
      </c>
      <c r="I40" s="47">
        <f>ROUND($B$5*$B$9*$B12*(1-$B$25),0)</f>
        <v>8</v>
      </c>
      <c r="J40" s="48">
        <f>SUM(H40:I40)</f>
        <v>17</v>
      </c>
      <c r="K40" s="49">
        <f>ROUND($C$5*$C$8*$B12*$C$24,0)</f>
        <v>10</v>
      </c>
      <c r="L40" s="47">
        <f>ROUND($C$5*$C$8*$B12*(1-$C$24),0)</f>
        <v>9</v>
      </c>
      <c r="M40" s="48">
        <f>SUM(K40:L40)</f>
        <v>19</v>
      </c>
    </row>
    <row r="41" spans="1:13" x14ac:dyDescent="0.25">
      <c r="A41" s="51" t="s">
        <v>2</v>
      </c>
      <c r="B41" s="52">
        <f>ROUND($B$5*$B$7*$B13*$B$23,0)</f>
        <v>4</v>
      </c>
      <c r="C41" s="53">
        <f>ROUND($B$5*$B$7*$B13*(1-$B$23),0)</f>
        <v>3</v>
      </c>
      <c r="D41" s="54">
        <f>SUM(B41:C41)</f>
        <v>7</v>
      </c>
      <c r="E41" s="55">
        <f>ROUND($B$5*$B$8*$B13*$B$24,0)</f>
        <v>4</v>
      </c>
      <c r="F41" s="53">
        <f>ROUND($B$5*$B$8*$B13*(1-$B$24),0)</f>
        <v>4</v>
      </c>
      <c r="G41" s="56">
        <f>SUM(E41:F41)</f>
        <v>8</v>
      </c>
      <c r="H41" s="52">
        <f>ROUND($B$5*$B$9*$B13*$B$25,0)</f>
        <v>6</v>
      </c>
      <c r="I41" s="53">
        <f>ROUND($B$5*$B$9*$B13*(1-$B$25),0)</f>
        <v>6</v>
      </c>
      <c r="J41" s="54">
        <f>SUM(H41:I41)</f>
        <v>12</v>
      </c>
      <c r="K41" s="55">
        <f>ROUND($C$5*$C$8*$B13*$C$24,0)</f>
        <v>8</v>
      </c>
      <c r="L41" s="53">
        <f>ROUND($C$5*$C$8*$B13*(1-$C$24),0)</f>
        <v>7</v>
      </c>
      <c r="M41" s="54">
        <f>SUM(K41:L41)</f>
        <v>15</v>
      </c>
    </row>
    <row r="42" spans="1:13" x14ac:dyDescent="0.25">
      <c r="A42" s="51" t="s">
        <v>3</v>
      </c>
      <c r="B42" s="52">
        <f>ROUND($B$5*$B$7*$B14*$B$23,0)</f>
        <v>6</v>
      </c>
      <c r="C42" s="53">
        <f>ROUND($B$5*$B$7*$B14*(1-$B$23),0)</f>
        <v>4</v>
      </c>
      <c r="D42" s="54">
        <f>SUM(B42:C42)</f>
        <v>10</v>
      </c>
      <c r="E42" s="55">
        <f>ROUND($B$5*$B$8*$B14*$B$24,0)</f>
        <v>6</v>
      </c>
      <c r="F42" s="53">
        <f>ROUND($B$5*$B$8*$B14*(1-$B$24),0)</f>
        <v>6</v>
      </c>
      <c r="G42" s="56">
        <f>SUM(E42:F42)</f>
        <v>12</v>
      </c>
      <c r="H42" s="52">
        <f>ROUND($B$5*$B$9*$B14*$B$25,0)</f>
        <v>11</v>
      </c>
      <c r="I42" s="53">
        <f>ROUND($B$5*$B$9*$B14*(1-$B$25),0)</f>
        <v>10</v>
      </c>
      <c r="J42" s="54">
        <f>SUM(H42:I42)</f>
        <v>21</v>
      </c>
      <c r="K42" s="55">
        <f>ROUND($C$5*$C$8*$B14*$C$24,0)</f>
        <v>13</v>
      </c>
      <c r="L42" s="53">
        <f>ROUND($C$5*$C$8*$B14*(1-$C$24),0)</f>
        <v>12</v>
      </c>
      <c r="M42" s="54">
        <f>SUM(K42:L42)</f>
        <v>25</v>
      </c>
    </row>
    <row r="43" spans="1:13" x14ac:dyDescent="0.25">
      <c r="A43" s="51" t="s">
        <v>4</v>
      </c>
      <c r="B43" s="52">
        <f>ROUND($B$5*$B$7*$B15*$B$23,0)</f>
        <v>6</v>
      </c>
      <c r="C43" s="53">
        <f>ROUND($B$5*$B$7*$B15*(1-$B$23),0)</f>
        <v>4</v>
      </c>
      <c r="D43" s="54">
        <f>SUM(B43:C43)</f>
        <v>10</v>
      </c>
      <c r="E43" s="55">
        <f>ROUND($B$5*$B$8*$B15*$B$24,0)</f>
        <v>6</v>
      </c>
      <c r="F43" s="53">
        <f>ROUND($B$5*$B$8*$B15*(1-$B$24),0)</f>
        <v>6</v>
      </c>
      <c r="G43" s="56">
        <f>SUM(E43:F43)</f>
        <v>12</v>
      </c>
      <c r="H43" s="52">
        <f>ROUND($B$5*$B$9*$B15*$B$25,0)</f>
        <v>11</v>
      </c>
      <c r="I43" s="53">
        <f>ROUND($B$5*$B$9*$B15*(1-$B$25),0)</f>
        <v>10</v>
      </c>
      <c r="J43" s="54">
        <f>SUM(H43:I43)</f>
        <v>21</v>
      </c>
      <c r="K43" s="55">
        <f>ROUND($C$5*$C$8*$B15*$C$24,0)</f>
        <v>13</v>
      </c>
      <c r="L43" s="53">
        <f>ROUND($C$5*$C$8*$B15*(1-$C$24),0)</f>
        <v>12</v>
      </c>
      <c r="M43" s="54">
        <f>SUM(K43:L43)</f>
        <v>25</v>
      </c>
    </row>
    <row r="44" spans="1:13" ht="13.8" thickBot="1" x14ac:dyDescent="0.3">
      <c r="A44" s="57" t="s">
        <v>18</v>
      </c>
      <c r="B44" s="58">
        <f>ROUND($B$5*$B$7*$B16*$B$23,0)</f>
        <v>98</v>
      </c>
      <c r="C44" s="59">
        <f>ROUND($B$5*$B$7*$B16*(1-$B$23),0)</f>
        <v>74</v>
      </c>
      <c r="D44" s="60">
        <f>SUM(B44:C44)</f>
        <v>172</v>
      </c>
      <c r="E44" s="61">
        <f>ROUND($B$5*$B$8*$B16*$B$24,0)</f>
        <v>103</v>
      </c>
      <c r="F44" s="59">
        <f>ROUND($B$5*$B$8*$B16*(1-$B$24),0)</f>
        <v>103</v>
      </c>
      <c r="G44" s="62">
        <f>SUM(E44:F44)</f>
        <v>206</v>
      </c>
      <c r="H44" s="58">
        <f>ROUND($B$5*$B$9*$B16*$B$25,0)</f>
        <v>179</v>
      </c>
      <c r="I44" s="59">
        <f>ROUND($B$5*$B$9*$B16*(1-$B$25),0)</f>
        <v>166</v>
      </c>
      <c r="J44" s="60">
        <f>SUM(H44:I44)</f>
        <v>345</v>
      </c>
      <c r="K44" s="61">
        <f>ROUND($C$5*$C$8*$B16*$C$24,0)</f>
        <v>213</v>
      </c>
      <c r="L44" s="59">
        <f>ROUND($C$5*$C$8*$B16*(1-$C$24),0)</f>
        <v>197</v>
      </c>
      <c r="M44" s="60">
        <f>SUM(K44:L44)</f>
        <v>410</v>
      </c>
    </row>
    <row r="45" spans="1:13" ht="13.8" thickBot="1" x14ac:dyDescent="0.3">
      <c r="A45" s="63" t="s">
        <v>0</v>
      </c>
      <c r="B45" s="64">
        <f t="shared" ref="B45:M45" si="0">SUM(B40:B44)</f>
        <v>119</v>
      </c>
      <c r="C45" s="65">
        <f t="shared" si="0"/>
        <v>89</v>
      </c>
      <c r="D45" s="66">
        <f t="shared" si="0"/>
        <v>208</v>
      </c>
      <c r="E45" s="67">
        <f t="shared" si="0"/>
        <v>124</v>
      </c>
      <c r="F45" s="65">
        <f t="shared" si="0"/>
        <v>124</v>
      </c>
      <c r="G45" s="68">
        <f t="shared" si="0"/>
        <v>248</v>
      </c>
      <c r="H45" s="64">
        <f t="shared" si="0"/>
        <v>216</v>
      </c>
      <c r="I45" s="65">
        <f t="shared" si="0"/>
        <v>200</v>
      </c>
      <c r="J45" s="66">
        <f t="shared" si="0"/>
        <v>416</v>
      </c>
      <c r="K45" s="67">
        <f t="shared" si="0"/>
        <v>257</v>
      </c>
      <c r="L45" s="65">
        <f t="shared" si="0"/>
        <v>237</v>
      </c>
      <c r="M45" s="66">
        <f t="shared" si="0"/>
        <v>494</v>
      </c>
    </row>
    <row r="46" spans="1:13" x14ac:dyDescent="0.25">
      <c r="D46" s="37">
        <f>ROUND(D45/(1-$B$3),0)</f>
        <v>219</v>
      </c>
      <c r="G46" s="37">
        <f>ROUND(G45/(1-$B$3),0)</f>
        <v>261</v>
      </c>
      <c r="J46" s="37">
        <f>ROUND(J45/(1-$B$3),0)</f>
        <v>438</v>
      </c>
      <c r="M46" s="37">
        <f>ROUND(M45/(1-$B$3),0)</f>
        <v>520</v>
      </c>
    </row>
    <row r="47" spans="1:13" x14ac:dyDescent="0.25">
      <c r="D47" s="37">
        <f>ROUND(D46-D45,0)</f>
        <v>11</v>
      </c>
      <c r="G47" s="74">
        <f>ROUND(G46-G45,0)</f>
        <v>13</v>
      </c>
      <c r="J47" s="37">
        <f>ROUND(J46-J45,0)</f>
        <v>22</v>
      </c>
      <c r="M47" s="37">
        <f>ROUND(M46-M45,0)</f>
        <v>26</v>
      </c>
    </row>
    <row r="49" spans="1:13" ht="13.8" thickBot="1" x14ac:dyDescent="0.3">
      <c r="A49" s="95" t="str">
        <f>RIGHT(K1,LEN(K1)-5) &amp;" Vehicle Trips - Before balancing"</f>
        <v>Food Store (FRESH) Vehicle Trips - Before balancing</v>
      </c>
    </row>
    <row r="50" spans="1:13" x14ac:dyDescent="0.25">
      <c r="A50" s="186"/>
      <c r="B50" s="196" t="s">
        <v>7</v>
      </c>
      <c r="C50" s="195"/>
      <c r="D50" s="197"/>
      <c r="E50" s="195" t="s">
        <v>8</v>
      </c>
      <c r="F50" s="195"/>
      <c r="G50" s="195"/>
      <c r="H50" s="196" t="s">
        <v>9</v>
      </c>
      <c r="I50" s="195"/>
      <c r="J50" s="197"/>
      <c r="K50" s="196" t="s">
        <v>19</v>
      </c>
      <c r="L50" s="195"/>
      <c r="M50" s="197"/>
    </row>
    <row r="51" spans="1:13" ht="13.8" thickBot="1" x14ac:dyDescent="0.3">
      <c r="A51" s="187"/>
      <c r="B51" s="5" t="s">
        <v>13</v>
      </c>
      <c r="C51" s="3" t="s">
        <v>14</v>
      </c>
      <c r="D51" s="6" t="s">
        <v>0</v>
      </c>
      <c r="E51" s="7" t="s">
        <v>13</v>
      </c>
      <c r="F51" s="3" t="s">
        <v>14</v>
      </c>
      <c r="G51" s="4" t="s">
        <v>0</v>
      </c>
      <c r="H51" s="5" t="s">
        <v>13</v>
      </c>
      <c r="I51" s="3" t="s">
        <v>14</v>
      </c>
      <c r="J51" s="6" t="s">
        <v>0</v>
      </c>
      <c r="K51" s="5" t="s">
        <v>13</v>
      </c>
      <c r="L51" s="3" t="s">
        <v>14</v>
      </c>
      <c r="M51" s="6" t="s">
        <v>0</v>
      </c>
    </row>
    <row r="52" spans="1:13" x14ac:dyDescent="0.25">
      <c r="A52" s="8" t="s">
        <v>1</v>
      </c>
      <c r="B52" s="17">
        <f>ROUND(B40/$B$19,0)</f>
        <v>3</v>
      </c>
      <c r="C52" s="18">
        <f>ROUND(C40/$B$19,0)</f>
        <v>2</v>
      </c>
      <c r="D52" s="19">
        <f>B52+C52</f>
        <v>5</v>
      </c>
      <c r="E52" s="20">
        <f>ROUND(E40/$B$19,0)</f>
        <v>3</v>
      </c>
      <c r="F52" s="18">
        <f>ROUND(F40/$B$19,0)</f>
        <v>3</v>
      </c>
      <c r="G52" s="21">
        <f>E52+F52</f>
        <v>6</v>
      </c>
      <c r="H52" s="17">
        <f>ROUND(H40/$B$19,0)</f>
        <v>5</v>
      </c>
      <c r="I52" s="18">
        <f>ROUND(I40/$B$19,0)</f>
        <v>5</v>
      </c>
      <c r="J52" s="19">
        <f>H52+I52</f>
        <v>10</v>
      </c>
      <c r="K52" s="17">
        <f>ROUND(K40/$B$19,0)</f>
        <v>6</v>
      </c>
      <c r="L52" s="18">
        <f>ROUND(L40/$B$19,0)</f>
        <v>5</v>
      </c>
      <c r="M52" s="19">
        <f>K52+L52</f>
        <v>11</v>
      </c>
    </row>
    <row r="53" spans="1:13" x14ac:dyDescent="0.25">
      <c r="A53" s="9" t="s">
        <v>2</v>
      </c>
      <c r="B53" s="22">
        <f>ROUND(B41/$B$20,0)</f>
        <v>3</v>
      </c>
      <c r="C53" s="23">
        <f>ROUND(C41/$B$20,0)</f>
        <v>2</v>
      </c>
      <c r="D53" s="24">
        <f>B53+C53</f>
        <v>5</v>
      </c>
      <c r="E53" s="25">
        <f>ROUND(E41/$B$20,0)</f>
        <v>3</v>
      </c>
      <c r="F53" s="23">
        <f>ROUND(F41/$B$20,0)</f>
        <v>3</v>
      </c>
      <c r="G53" s="26">
        <f>E53+F53</f>
        <v>6</v>
      </c>
      <c r="H53" s="22">
        <f>ROUND(H41/$B$20,0)</f>
        <v>4</v>
      </c>
      <c r="I53" s="23">
        <f>ROUND(I41/$B$20,0)</f>
        <v>4</v>
      </c>
      <c r="J53" s="24">
        <f>H53+I53</f>
        <v>8</v>
      </c>
      <c r="K53" s="22">
        <f>ROUND(K41/$B$20,0)</f>
        <v>6</v>
      </c>
      <c r="L53" s="23">
        <f>ROUND(L41/$B$20,0)</f>
        <v>5</v>
      </c>
      <c r="M53" s="24">
        <f>K53+L53</f>
        <v>11</v>
      </c>
    </row>
    <row r="54" spans="1:13" ht="13.8" thickBot="1" x14ac:dyDescent="0.3">
      <c r="A54" s="10" t="s">
        <v>15</v>
      </c>
      <c r="B54" s="27">
        <f>ROUND(C33/2,0)</f>
        <v>0</v>
      </c>
      <c r="C54" s="28">
        <f>B54</f>
        <v>0</v>
      </c>
      <c r="D54" s="29">
        <f>B54+C54</f>
        <v>0</v>
      </c>
      <c r="E54" s="30">
        <f>ROUND(C34/2,0)</f>
        <v>0</v>
      </c>
      <c r="F54" s="28">
        <f>E54</f>
        <v>0</v>
      </c>
      <c r="G54" s="31">
        <f>E54+F54</f>
        <v>0</v>
      </c>
      <c r="H54" s="27">
        <f>ROUND(C35/2,0)</f>
        <v>0</v>
      </c>
      <c r="I54" s="28">
        <f>H54</f>
        <v>0</v>
      </c>
      <c r="J54" s="29">
        <f>H54+I54</f>
        <v>0</v>
      </c>
      <c r="K54" s="27">
        <f>ROUND(D34/2,0)</f>
        <v>0</v>
      </c>
      <c r="L54" s="28">
        <f>K54</f>
        <v>0</v>
      </c>
      <c r="M54" s="29">
        <f>K54+L54</f>
        <v>0</v>
      </c>
    </row>
    <row r="55" spans="1:13" ht="13.8" thickBot="1" x14ac:dyDescent="0.3">
      <c r="A55" s="11" t="s">
        <v>0</v>
      </c>
      <c r="B55" s="32">
        <f>SUM(B52:B54)</f>
        <v>6</v>
      </c>
      <c r="C55" s="33">
        <f>SUM(C52:C54)</f>
        <v>4</v>
      </c>
      <c r="D55" s="34">
        <f>B55+C55</f>
        <v>10</v>
      </c>
      <c r="E55" s="35">
        <f>SUM(E52:E54)</f>
        <v>6</v>
      </c>
      <c r="F55" s="33">
        <f>SUM(F52:F54)</f>
        <v>6</v>
      </c>
      <c r="G55" s="36">
        <f>E55+F55</f>
        <v>12</v>
      </c>
      <c r="H55" s="32">
        <f>SUM(H52:H54)</f>
        <v>9</v>
      </c>
      <c r="I55" s="33">
        <f>SUM(I52:I54)</f>
        <v>9</v>
      </c>
      <c r="J55" s="34">
        <f>H55+I55</f>
        <v>18</v>
      </c>
      <c r="K55" s="32">
        <f>SUM(K52:K54)</f>
        <v>12</v>
      </c>
      <c r="L55" s="33">
        <f>SUM(L52:L54)</f>
        <v>10</v>
      </c>
      <c r="M55" s="34">
        <f>K55+L55</f>
        <v>22</v>
      </c>
    </row>
    <row r="56" spans="1:13" x14ac:dyDescent="0.25">
      <c r="A56" s="86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</row>
    <row r="59" spans="1:13" ht="13.8" thickBot="1" x14ac:dyDescent="0.3">
      <c r="A59" s="95" t="str">
        <f>RIGHT(K1,LEN(K1)-5) &amp;" Vehicle Trips (Balanced for Taxis)"</f>
        <v>Food Store (FRESH) Vehicle Trips (Balanced for Taxis)</v>
      </c>
    </row>
    <row r="60" spans="1:13" x14ac:dyDescent="0.25">
      <c r="A60" s="186"/>
      <c r="B60" s="196" t="s">
        <v>7</v>
      </c>
      <c r="C60" s="195"/>
      <c r="D60" s="197"/>
      <c r="E60" s="195" t="s">
        <v>8</v>
      </c>
      <c r="F60" s="195"/>
      <c r="G60" s="195"/>
      <c r="H60" s="196" t="s">
        <v>9</v>
      </c>
      <c r="I60" s="195"/>
      <c r="J60" s="197"/>
      <c r="K60" s="196" t="s">
        <v>19</v>
      </c>
      <c r="L60" s="195"/>
      <c r="M60" s="197"/>
    </row>
    <row r="61" spans="1:13" ht="13.8" thickBot="1" x14ac:dyDescent="0.3">
      <c r="A61" s="187"/>
      <c r="B61" s="5" t="s">
        <v>13</v>
      </c>
      <c r="C61" s="3" t="s">
        <v>14</v>
      </c>
      <c r="D61" s="6" t="s">
        <v>0</v>
      </c>
      <c r="E61" s="7" t="s">
        <v>13</v>
      </c>
      <c r="F61" s="3" t="s">
        <v>14</v>
      </c>
      <c r="G61" s="4" t="s">
        <v>0</v>
      </c>
      <c r="H61" s="5" t="s">
        <v>13</v>
      </c>
      <c r="I61" s="3" t="s">
        <v>14</v>
      </c>
      <c r="J61" s="6" t="s">
        <v>0</v>
      </c>
      <c r="K61" s="5" t="s">
        <v>13</v>
      </c>
      <c r="L61" s="3" t="s">
        <v>14</v>
      </c>
      <c r="M61" s="6" t="s">
        <v>0</v>
      </c>
    </row>
    <row r="62" spans="1:13" x14ac:dyDescent="0.25">
      <c r="A62" s="8" t="s">
        <v>1</v>
      </c>
      <c r="B62" s="17">
        <f>ROUND(B52,0)</f>
        <v>3</v>
      </c>
      <c r="C62" s="18">
        <f>ROUND(C52,0)</f>
        <v>2</v>
      </c>
      <c r="D62" s="19">
        <f>B62+C62</f>
        <v>5</v>
      </c>
      <c r="E62" s="20">
        <f>ROUND(E52,0)</f>
        <v>3</v>
      </c>
      <c r="F62" s="18">
        <f>ROUND(F52,0)</f>
        <v>3</v>
      </c>
      <c r="G62" s="21">
        <f>E62+F62</f>
        <v>6</v>
      </c>
      <c r="H62" s="17">
        <f>ROUND(H52,0)</f>
        <v>5</v>
      </c>
      <c r="I62" s="18">
        <f>ROUND(I52,0)</f>
        <v>5</v>
      </c>
      <c r="J62" s="19">
        <f>H62+I62</f>
        <v>10</v>
      </c>
      <c r="K62" s="17">
        <f>ROUND(K52,0)</f>
        <v>6</v>
      </c>
      <c r="L62" s="18">
        <f>ROUND(L52,0)</f>
        <v>5</v>
      </c>
      <c r="M62" s="19">
        <f>K62+L62</f>
        <v>11</v>
      </c>
    </row>
    <row r="63" spans="1:13" x14ac:dyDescent="0.25">
      <c r="A63" s="9" t="s">
        <v>2</v>
      </c>
      <c r="B63" s="22">
        <f>ROUND(B53+C53,0)</f>
        <v>5</v>
      </c>
      <c r="C63" s="23">
        <f>B63</f>
        <v>5</v>
      </c>
      <c r="D63" s="24">
        <f>B63+C63</f>
        <v>10</v>
      </c>
      <c r="E63" s="25">
        <f>ROUND(E53+F53,0)</f>
        <v>6</v>
      </c>
      <c r="F63" s="23">
        <f>E63</f>
        <v>6</v>
      </c>
      <c r="G63" s="26">
        <f>E63+F63</f>
        <v>12</v>
      </c>
      <c r="H63" s="22">
        <f>ROUND(H53+I53,0)</f>
        <v>8</v>
      </c>
      <c r="I63" s="23">
        <f>H63</f>
        <v>8</v>
      </c>
      <c r="J63" s="24">
        <f>H63+I63</f>
        <v>16</v>
      </c>
      <c r="K63" s="22">
        <f>ROUND(K53+L53,0)</f>
        <v>11</v>
      </c>
      <c r="L63" s="23">
        <f>K63</f>
        <v>11</v>
      </c>
      <c r="M63" s="24">
        <f>K63+L63</f>
        <v>22</v>
      </c>
    </row>
    <row r="64" spans="1:13" ht="13.8" thickBot="1" x14ac:dyDescent="0.3">
      <c r="A64" s="10" t="s">
        <v>15</v>
      </c>
      <c r="B64" s="27">
        <f>ROUND(B54,0)</f>
        <v>0</v>
      </c>
      <c r="C64" s="28">
        <f>ROUND(C54,0)</f>
        <v>0</v>
      </c>
      <c r="D64" s="29">
        <f>B64+C64</f>
        <v>0</v>
      </c>
      <c r="E64" s="30">
        <f>ROUND(E54,0)</f>
        <v>0</v>
      </c>
      <c r="F64" s="28">
        <f>ROUND(F54,0)</f>
        <v>0</v>
      </c>
      <c r="G64" s="31">
        <f>E64+F64</f>
        <v>0</v>
      </c>
      <c r="H64" s="27">
        <f>ROUND(H54,0)</f>
        <v>0</v>
      </c>
      <c r="I64" s="28">
        <f>ROUND(I54,0)</f>
        <v>0</v>
      </c>
      <c r="J64" s="29">
        <f>H64+I64</f>
        <v>0</v>
      </c>
      <c r="K64" s="27">
        <f>ROUND(K54,0)</f>
        <v>0</v>
      </c>
      <c r="L64" s="28">
        <f>ROUND(L54,0)</f>
        <v>0</v>
      </c>
      <c r="M64" s="29">
        <f>K64+L64</f>
        <v>0</v>
      </c>
    </row>
    <row r="65" spans="1:13" ht="13.8" thickBot="1" x14ac:dyDescent="0.3">
      <c r="A65" s="11" t="s">
        <v>0</v>
      </c>
      <c r="B65" s="32">
        <f>SUM(B62:B64)</f>
        <v>8</v>
      </c>
      <c r="C65" s="33">
        <f>SUM(C62:C64)</f>
        <v>7</v>
      </c>
      <c r="D65" s="34">
        <f>B65+C65</f>
        <v>15</v>
      </c>
      <c r="E65" s="35">
        <f>SUM(E62:E64)</f>
        <v>9</v>
      </c>
      <c r="F65" s="33">
        <f>SUM(F62:F64)</f>
        <v>9</v>
      </c>
      <c r="G65" s="36">
        <f>E65+F65</f>
        <v>18</v>
      </c>
      <c r="H65" s="32">
        <f>SUM(H62:H64)</f>
        <v>13</v>
      </c>
      <c r="I65" s="33">
        <f>SUM(I62:I64)</f>
        <v>13</v>
      </c>
      <c r="J65" s="34">
        <f>H65+I65</f>
        <v>26</v>
      </c>
      <c r="K65" s="32">
        <f>SUM(K62:K64)</f>
        <v>17</v>
      </c>
      <c r="L65" s="33">
        <f>SUM(L62:L64)</f>
        <v>16</v>
      </c>
      <c r="M65" s="34">
        <f>K65+L65</f>
        <v>33</v>
      </c>
    </row>
    <row r="67" spans="1:13" x14ac:dyDescent="0.25">
      <c r="A67" s="82" t="s">
        <v>29</v>
      </c>
    </row>
    <row r="68" spans="1:13" x14ac:dyDescent="0.25">
      <c r="A68" s="96" t="s">
        <v>36</v>
      </c>
    </row>
    <row r="69" spans="1:13" x14ac:dyDescent="0.25">
      <c r="A69" s="96" t="s">
        <v>61</v>
      </c>
    </row>
    <row r="70" spans="1:13" x14ac:dyDescent="0.25">
      <c r="A70" s="95" t="s">
        <v>62</v>
      </c>
    </row>
    <row r="71" spans="1:13" x14ac:dyDescent="0.25">
      <c r="D71" s="74"/>
      <c r="G71" s="74"/>
      <c r="J71" s="74"/>
      <c r="M71" s="74"/>
    </row>
  </sheetData>
  <mergeCells count="17">
    <mergeCell ref="B29:C29"/>
    <mergeCell ref="D29:E29"/>
    <mergeCell ref="A37:E37"/>
    <mergeCell ref="B38:D38"/>
    <mergeCell ref="E38:G38"/>
    <mergeCell ref="K38:M38"/>
    <mergeCell ref="A50:A51"/>
    <mergeCell ref="B50:D50"/>
    <mergeCell ref="E50:G50"/>
    <mergeCell ref="H50:J50"/>
    <mergeCell ref="K50:M50"/>
    <mergeCell ref="H38:J38"/>
    <mergeCell ref="A60:A61"/>
    <mergeCell ref="B60:D60"/>
    <mergeCell ref="E60:G60"/>
    <mergeCell ref="H60:J60"/>
    <mergeCell ref="K60:M60"/>
  </mergeCells>
  <pageMargins left="0.7" right="0.7" top="0.75" bottom="0.75" header="0.3" footer="0.3"/>
  <pageSetup paperSize="195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71"/>
  <sheetViews>
    <sheetView topLeftCell="A40" zoomScaleNormal="100" workbookViewId="0"/>
  </sheetViews>
  <sheetFormatPr defaultColWidth="9.109375" defaultRowHeight="13.2" x14ac:dyDescent="0.25"/>
  <cols>
    <col min="1" max="1" width="18.6640625" style="37" customWidth="1"/>
    <col min="2" max="2" width="9.5546875" style="37" customWidth="1"/>
    <col min="3" max="3" width="9.109375" style="37"/>
    <col min="4" max="4" width="8.88671875" style="37" customWidth="1"/>
    <col min="5" max="16384" width="9.109375" style="37"/>
  </cols>
  <sheetData>
    <row r="1" spans="1:12" x14ac:dyDescent="0.25">
      <c r="B1" s="69" t="s">
        <v>20</v>
      </c>
      <c r="C1" s="69" t="s">
        <v>12</v>
      </c>
      <c r="K1" s="94" t="s">
        <v>45</v>
      </c>
    </row>
    <row r="2" spans="1:12" x14ac:dyDescent="0.25">
      <c r="A2" s="69" t="s">
        <v>25</v>
      </c>
      <c r="B2" s="37">
        <v>127</v>
      </c>
      <c r="C2" s="70">
        <v>127</v>
      </c>
      <c r="K2" s="105">
        <v>25</v>
      </c>
      <c r="L2" s="103" t="s">
        <v>38</v>
      </c>
    </row>
    <row r="3" spans="1:12" x14ac:dyDescent="0.25">
      <c r="A3" s="37" t="s">
        <v>39</v>
      </c>
      <c r="B3" s="71">
        <v>0</v>
      </c>
      <c r="K3" s="95" t="s">
        <v>41</v>
      </c>
    </row>
    <row r="4" spans="1:12" x14ac:dyDescent="0.25">
      <c r="A4" s="37" t="s">
        <v>21</v>
      </c>
      <c r="B4" s="108">
        <f>K2</f>
        <v>25</v>
      </c>
    </row>
    <row r="5" spans="1:12" x14ac:dyDescent="0.25">
      <c r="A5" s="37" t="s">
        <v>6</v>
      </c>
      <c r="B5" s="37">
        <f>ROUND(B4*(B2*(1-B3)),0)</f>
        <v>3175</v>
      </c>
      <c r="C5" s="37">
        <f>ROUND(B4*(C2*(1-B3)),0)</f>
        <v>3175</v>
      </c>
    </row>
    <row r="6" spans="1:12" x14ac:dyDescent="0.25">
      <c r="A6" s="69" t="s">
        <v>26</v>
      </c>
    </row>
    <row r="7" spans="1:12" x14ac:dyDescent="0.25">
      <c r="A7" s="37" t="s">
        <v>7</v>
      </c>
      <c r="B7" s="72">
        <v>0.04</v>
      </c>
    </row>
    <row r="8" spans="1:12" x14ac:dyDescent="0.25">
      <c r="A8" s="37" t="s">
        <v>8</v>
      </c>
      <c r="B8" s="72">
        <v>0.11</v>
      </c>
      <c r="C8" s="71">
        <v>0.11</v>
      </c>
    </row>
    <row r="9" spans="1:12" x14ac:dyDescent="0.25">
      <c r="A9" s="37" t="s">
        <v>9</v>
      </c>
      <c r="B9" s="72">
        <v>0.12</v>
      </c>
    </row>
    <row r="10" spans="1:12" s="1" customFormat="1" x14ac:dyDescent="0.25">
      <c r="B10" s="14"/>
    </row>
    <row r="11" spans="1:12" x14ac:dyDescent="0.25">
      <c r="A11" s="2" t="s">
        <v>42</v>
      </c>
    </row>
    <row r="12" spans="1:12" x14ac:dyDescent="0.25">
      <c r="A12" s="37" t="s">
        <v>1</v>
      </c>
      <c r="B12" s="72">
        <v>0.3</v>
      </c>
    </row>
    <row r="13" spans="1:12" x14ac:dyDescent="0.25">
      <c r="A13" s="37" t="s">
        <v>2</v>
      </c>
      <c r="B13" s="72">
        <v>0.02</v>
      </c>
    </row>
    <row r="14" spans="1:12" x14ac:dyDescent="0.25">
      <c r="A14" s="37" t="s">
        <v>3</v>
      </c>
      <c r="B14" s="72">
        <v>0.18</v>
      </c>
    </row>
    <row r="15" spans="1:12" x14ac:dyDescent="0.25">
      <c r="A15" s="37" t="s">
        <v>4</v>
      </c>
      <c r="B15" s="72">
        <v>0.33</v>
      </c>
    </row>
    <row r="16" spans="1:12" x14ac:dyDescent="0.25">
      <c r="A16" s="37" t="s">
        <v>18</v>
      </c>
      <c r="B16" s="72">
        <v>0.17</v>
      </c>
    </row>
    <row r="17" spans="1:5" x14ac:dyDescent="0.25">
      <c r="B17" s="72"/>
    </row>
    <row r="18" spans="1:5" x14ac:dyDescent="0.25">
      <c r="A18" s="2" t="s">
        <v>40</v>
      </c>
      <c r="B18" s="72" t="s">
        <v>47</v>
      </c>
      <c r="C18" s="37" t="s">
        <v>19</v>
      </c>
    </row>
    <row r="19" spans="1:5" x14ac:dyDescent="0.25">
      <c r="A19" s="37" t="s">
        <v>22</v>
      </c>
      <c r="B19" s="73">
        <v>1.5</v>
      </c>
      <c r="C19" s="37">
        <v>2.6</v>
      </c>
    </row>
    <row r="20" spans="1:5" x14ac:dyDescent="0.25">
      <c r="A20" s="37" t="s">
        <v>23</v>
      </c>
      <c r="B20" s="73">
        <v>1.5</v>
      </c>
      <c r="C20" s="37">
        <v>2.6</v>
      </c>
    </row>
    <row r="21" spans="1:5" x14ac:dyDescent="0.25">
      <c r="B21" s="73"/>
    </row>
    <row r="22" spans="1:5" s="1" customFormat="1" x14ac:dyDescent="0.25">
      <c r="A22" s="2" t="s">
        <v>30</v>
      </c>
      <c r="B22" s="14"/>
    </row>
    <row r="23" spans="1:5" s="1" customFormat="1" x14ac:dyDescent="0.25">
      <c r="A23" s="1" t="s">
        <v>7</v>
      </c>
      <c r="B23" s="14">
        <v>0.89</v>
      </c>
    </row>
    <row r="24" spans="1:5" s="1" customFormat="1" x14ac:dyDescent="0.25">
      <c r="A24" s="1" t="s">
        <v>8</v>
      </c>
      <c r="B24" s="14">
        <v>0.51</v>
      </c>
      <c r="C24" s="14">
        <v>0.41</v>
      </c>
    </row>
    <row r="25" spans="1:5" s="1" customFormat="1" x14ac:dyDescent="0.25">
      <c r="A25" s="1" t="s">
        <v>9</v>
      </c>
      <c r="B25" s="14">
        <v>0.48</v>
      </c>
    </row>
    <row r="26" spans="1:5" s="1" customFormat="1" x14ac:dyDescent="0.25">
      <c r="B26" s="14"/>
    </row>
    <row r="27" spans="1:5" x14ac:dyDescent="0.25">
      <c r="B27" s="72"/>
    </row>
    <row r="28" spans="1:5" x14ac:dyDescent="0.25">
      <c r="A28" s="12" t="s">
        <v>24</v>
      </c>
      <c r="B28" s="1"/>
      <c r="C28" s="1"/>
      <c r="D28" s="1"/>
      <c r="E28" s="1"/>
    </row>
    <row r="29" spans="1:5" x14ac:dyDescent="0.25">
      <c r="A29" s="12"/>
      <c r="B29" s="200" t="s">
        <v>20</v>
      </c>
      <c r="C29" s="200"/>
      <c r="D29" s="200" t="s">
        <v>12</v>
      </c>
      <c r="E29" s="200"/>
    </row>
    <row r="30" spans="1:5" x14ac:dyDescent="0.25">
      <c r="A30" s="2" t="s">
        <v>25</v>
      </c>
      <c r="B30" s="37">
        <v>0.28999999999999998</v>
      </c>
      <c r="C30" s="37">
        <f>ROUND(B30*B4,0)</f>
        <v>7</v>
      </c>
      <c r="D30" s="37">
        <v>0.28999999999999998</v>
      </c>
      <c r="E30" s="37">
        <f>ROUND(D30*B4,0)</f>
        <v>7</v>
      </c>
    </row>
    <row r="32" spans="1:5" x14ac:dyDescent="0.25">
      <c r="A32" s="2" t="s">
        <v>26</v>
      </c>
    </row>
    <row r="33" spans="1:13" x14ac:dyDescent="0.25">
      <c r="A33" s="1" t="s">
        <v>7</v>
      </c>
      <c r="B33" s="71">
        <v>0.03</v>
      </c>
      <c r="C33" s="37">
        <f>B33*C30</f>
        <v>0.21</v>
      </c>
    </row>
    <row r="34" spans="1:13" x14ac:dyDescent="0.25">
      <c r="A34" s="1" t="s">
        <v>8</v>
      </c>
      <c r="B34" s="71">
        <v>0.11</v>
      </c>
      <c r="C34" s="37">
        <f>B34*C30</f>
        <v>0.77</v>
      </c>
      <c r="D34" s="71">
        <v>0</v>
      </c>
      <c r="E34" s="37">
        <f>E30*D34</f>
        <v>0</v>
      </c>
    </row>
    <row r="35" spans="1:13" x14ac:dyDescent="0.25">
      <c r="A35" s="1" t="s">
        <v>9</v>
      </c>
      <c r="B35" s="71">
        <v>0.01</v>
      </c>
      <c r="C35" s="37">
        <f>B35*C30</f>
        <v>7.0000000000000007E-2</v>
      </c>
    </row>
    <row r="36" spans="1:13" x14ac:dyDescent="0.25">
      <c r="A36" s="1"/>
      <c r="B36" s="71"/>
    </row>
    <row r="37" spans="1:13" ht="30" customHeight="1" thickBot="1" x14ac:dyDescent="0.3">
      <c r="A37" s="194" t="str">
        <f>RIGHT(K1,LEN(K1)-5) &amp;" Person Trips"</f>
        <v>Medical Office Person Trips</v>
      </c>
      <c r="B37" s="194"/>
      <c r="C37" s="194"/>
      <c r="D37" s="194"/>
      <c r="E37" s="194"/>
    </row>
    <row r="38" spans="1:13" ht="17.25" customHeight="1" x14ac:dyDescent="0.25">
      <c r="A38" s="38"/>
      <c r="B38" s="205" t="s">
        <v>7</v>
      </c>
      <c r="C38" s="206"/>
      <c r="D38" s="207"/>
      <c r="E38" s="201" t="s">
        <v>8</v>
      </c>
      <c r="F38" s="202"/>
      <c r="G38" s="208"/>
      <c r="H38" s="204" t="s">
        <v>9</v>
      </c>
      <c r="I38" s="202"/>
      <c r="J38" s="203"/>
      <c r="K38" s="201" t="s">
        <v>19</v>
      </c>
      <c r="L38" s="202"/>
      <c r="M38" s="203"/>
    </row>
    <row r="39" spans="1:13" ht="13.8" thickBot="1" x14ac:dyDescent="0.3">
      <c r="A39" s="39"/>
      <c r="B39" s="40" t="s">
        <v>13</v>
      </c>
      <c r="C39" s="41" t="s">
        <v>14</v>
      </c>
      <c r="D39" s="42" t="s">
        <v>0</v>
      </c>
      <c r="E39" s="43" t="s">
        <v>13</v>
      </c>
      <c r="F39" s="41" t="s">
        <v>14</v>
      </c>
      <c r="G39" s="44" t="s">
        <v>0</v>
      </c>
      <c r="H39" s="40" t="s">
        <v>13</v>
      </c>
      <c r="I39" s="41" t="s">
        <v>14</v>
      </c>
      <c r="J39" s="42" t="s">
        <v>0</v>
      </c>
      <c r="K39" s="43" t="s">
        <v>13</v>
      </c>
      <c r="L39" s="41" t="s">
        <v>14</v>
      </c>
      <c r="M39" s="42" t="s">
        <v>0</v>
      </c>
    </row>
    <row r="40" spans="1:13" x14ac:dyDescent="0.25">
      <c r="A40" s="45" t="s">
        <v>1</v>
      </c>
      <c r="B40" s="46">
        <f>ROUND($B$5*$B$7*$B12*$B$23,0)</f>
        <v>34</v>
      </c>
      <c r="C40" s="47">
        <f>ROUND($B$5*$B$7*$B12*(1-$B$23),0)</f>
        <v>4</v>
      </c>
      <c r="D40" s="48">
        <f>SUM(B40:C40)</f>
        <v>38</v>
      </c>
      <c r="E40" s="49">
        <f>ROUND($B$5*$B$8*$B12*$B$24,0)</f>
        <v>53</v>
      </c>
      <c r="F40" s="47">
        <f>ROUND($B$5*$B$8*$B12*(1-$B$24),0)</f>
        <v>51</v>
      </c>
      <c r="G40" s="50">
        <f>SUM(E40:F40)</f>
        <v>104</v>
      </c>
      <c r="H40" s="46">
        <f>ROUND($B$5*$B$9*$B12*$B$25,0)</f>
        <v>55</v>
      </c>
      <c r="I40" s="47">
        <f>ROUND($B$5*$B$9*$B12*(1-$B$25),0)</f>
        <v>59</v>
      </c>
      <c r="J40" s="48">
        <f>SUM(H40:I40)</f>
        <v>114</v>
      </c>
      <c r="K40" s="49">
        <f>ROUND($C$5*$C$8*$B12*$C$24,0)</f>
        <v>43</v>
      </c>
      <c r="L40" s="47">
        <f>ROUND($C$5*$C$8*$B12*(1-$C$24),0)</f>
        <v>62</v>
      </c>
      <c r="M40" s="48">
        <f>SUM(K40:L40)</f>
        <v>105</v>
      </c>
    </row>
    <row r="41" spans="1:13" x14ac:dyDescent="0.25">
      <c r="A41" s="51" t="s">
        <v>2</v>
      </c>
      <c r="B41" s="52">
        <f>ROUND($B$5*$B$7*$B13*$B$23,0)</f>
        <v>2</v>
      </c>
      <c r="C41" s="53">
        <f>ROUND($B$5*$B$7*$B13*(1-$B$23),0)</f>
        <v>0</v>
      </c>
      <c r="D41" s="54">
        <f>SUM(B41:C41)</f>
        <v>2</v>
      </c>
      <c r="E41" s="55">
        <f>ROUND($B$5*$B$8*$B13*$B$24,0)</f>
        <v>4</v>
      </c>
      <c r="F41" s="53">
        <f>ROUND($B$5*$B$8*$B13*(1-$B$24),0)</f>
        <v>3</v>
      </c>
      <c r="G41" s="56">
        <f>SUM(E41:F41)</f>
        <v>7</v>
      </c>
      <c r="H41" s="52">
        <f>ROUND($B$5*$B$9*$B13*$B$25,0)</f>
        <v>4</v>
      </c>
      <c r="I41" s="53">
        <f>ROUND($B$5*$B$9*$B13*(1-$B$25),0)</f>
        <v>4</v>
      </c>
      <c r="J41" s="54">
        <f>SUM(H41:I41)</f>
        <v>8</v>
      </c>
      <c r="K41" s="55">
        <f>ROUND($C$5*$C$8*$B13*$C$24,0)</f>
        <v>3</v>
      </c>
      <c r="L41" s="53">
        <f>ROUND($C$5*$C$8*$B13*(1-$C$24),0)</f>
        <v>4</v>
      </c>
      <c r="M41" s="54">
        <f>SUM(K41:L41)</f>
        <v>7</v>
      </c>
    </row>
    <row r="42" spans="1:13" x14ac:dyDescent="0.25">
      <c r="A42" s="51" t="s">
        <v>3</v>
      </c>
      <c r="B42" s="52">
        <f>ROUND($B$5*$B$7*$B14*$B$23,0)</f>
        <v>20</v>
      </c>
      <c r="C42" s="53">
        <f>ROUND($B$5*$B$7*$B14*(1-$B$23),0)</f>
        <v>3</v>
      </c>
      <c r="D42" s="54">
        <f>SUM(B42:C42)</f>
        <v>23</v>
      </c>
      <c r="E42" s="55">
        <f>ROUND($B$5*$B$8*$B14*$B$24,0)</f>
        <v>32</v>
      </c>
      <c r="F42" s="53">
        <f>ROUND($B$5*$B$8*$B14*(1-$B$24),0)</f>
        <v>31</v>
      </c>
      <c r="G42" s="56">
        <f>SUM(E42:F42)</f>
        <v>63</v>
      </c>
      <c r="H42" s="52">
        <f>ROUND($B$5*$B$9*$B14*$B$25,0)</f>
        <v>33</v>
      </c>
      <c r="I42" s="53">
        <f>ROUND($B$5*$B$9*$B14*(1-$B$25),0)</f>
        <v>36</v>
      </c>
      <c r="J42" s="54">
        <f>SUM(H42:I42)</f>
        <v>69</v>
      </c>
      <c r="K42" s="55">
        <f>ROUND($C$5*$C$8*$B14*$C$24,0)</f>
        <v>26</v>
      </c>
      <c r="L42" s="53">
        <f>ROUND($C$5*$C$8*$B14*(1-$C$24),0)</f>
        <v>37</v>
      </c>
      <c r="M42" s="54">
        <f>SUM(K42:L42)</f>
        <v>63</v>
      </c>
    </row>
    <row r="43" spans="1:13" x14ac:dyDescent="0.25">
      <c r="A43" s="51" t="s">
        <v>4</v>
      </c>
      <c r="B43" s="52">
        <f>ROUND($B$5*$B$7*$B15*$B$23,0)</f>
        <v>37</v>
      </c>
      <c r="C43" s="53">
        <f>ROUND($B$5*$B$7*$B15*(1-$B$23),0)</f>
        <v>5</v>
      </c>
      <c r="D43" s="54">
        <f>SUM(B43:C43)</f>
        <v>42</v>
      </c>
      <c r="E43" s="55">
        <f>ROUND($B$5*$B$8*$B15*$B$24,0)</f>
        <v>59</v>
      </c>
      <c r="F43" s="53">
        <f>ROUND($B$5*$B$8*$B15*(1-$B$24),0)</f>
        <v>56</v>
      </c>
      <c r="G43" s="56">
        <f>SUM(E43:F43)</f>
        <v>115</v>
      </c>
      <c r="H43" s="52">
        <f>ROUND($B$5*$B$9*$B15*$B$25,0)</f>
        <v>60</v>
      </c>
      <c r="I43" s="53">
        <f>ROUND($B$5*$B$9*$B15*(1-$B$25),0)</f>
        <v>65</v>
      </c>
      <c r="J43" s="54">
        <f>SUM(H43:I43)</f>
        <v>125</v>
      </c>
      <c r="K43" s="55">
        <f>ROUND($C$5*$C$8*$B15*$C$24,0)</f>
        <v>47</v>
      </c>
      <c r="L43" s="53">
        <f>ROUND($C$5*$C$8*$B15*(1-$C$24),0)</f>
        <v>68</v>
      </c>
      <c r="M43" s="54">
        <f>SUM(K43:L43)</f>
        <v>115</v>
      </c>
    </row>
    <row r="44" spans="1:13" ht="13.8" thickBot="1" x14ac:dyDescent="0.3">
      <c r="A44" s="57" t="s">
        <v>18</v>
      </c>
      <c r="B44" s="58">
        <f>ROUND($B$5*$B$7*$B16*$B$23,0)</f>
        <v>19</v>
      </c>
      <c r="C44" s="59">
        <f>ROUND($B$5*$B$7*$B16*(1-$B$23),0)</f>
        <v>2</v>
      </c>
      <c r="D44" s="60">
        <f>SUM(B44:C44)</f>
        <v>21</v>
      </c>
      <c r="E44" s="61">
        <f>ROUND($B$5*$B$8*$B16*$B$24,0)</f>
        <v>30</v>
      </c>
      <c r="F44" s="59">
        <f>ROUND($B$5*$B$8*$B16*(1-$B$24),0)</f>
        <v>29</v>
      </c>
      <c r="G44" s="62">
        <f>SUM(E44:F44)</f>
        <v>59</v>
      </c>
      <c r="H44" s="58">
        <f>ROUND($B$5*$B$9*$B16*$B$25,0)</f>
        <v>31</v>
      </c>
      <c r="I44" s="59">
        <f>ROUND($B$5*$B$9*$B16*(1-$B$25),0)</f>
        <v>34</v>
      </c>
      <c r="J44" s="60">
        <f>SUM(H44:I44)</f>
        <v>65</v>
      </c>
      <c r="K44" s="61">
        <f>ROUND($C$5*$C$8*$B16*$C$24,0)</f>
        <v>24</v>
      </c>
      <c r="L44" s="59">
        <f>ROUND($C$5*$C$8*$B16*(1-$C$24),0)</f>
        <v>35</v>
      </c>
      <c r="M44" s="60">
        <f>SUM(K44:L44)</f>
        <v>59</v>
      </c>
    </row>
    <row r="45" spans="1:13" ht="13.8" thickBot="1" x14ac:dyDescent="0.3">
      <c r="A45" s="63" t="s">
        <v>0</v>
      </c>
      <c r="B45" s="64">
        <f t="shared" ref="B45:M45" si="0">SUM(B40:B44)</f>
        <v>112</v>
      </c>
      <c r="C45" s="65">
        <f t="shared" si="0"/>
        <v>14</v>
      </c>
      <c r="D45" s="66">
        <f t="shared" si="0"/>
        <v>126</v>
      </c>
      <c r="E45" s="67">
        <f t="shared" si="0"/>
        <v>178</v>
      </c>
      <c r="F45" s="65">
        <f t="shared" si="0"/>
        <v>170</v>
      </c>
      <c r="G45" s="68">
        <f t="shared" si="0"/>
        <v>348</v>
      </c>
      <c r="H45" s="64">
        <f t="shared" si="0"/>
        <v>183</v>
      </c>
      <c r="I45" s="65">
        <f t="shared" si="0"/>
        <v>198</v>
      </c>
      <c r="J45" s="66">
        <f t="shared" si="0"/>
        <v>381</v>
      </c>
      <c r="K45" s="67">
        <f t="shared" si="0"/>
        <v>143</v>
      </c>
      <c r="L45" s="65">
        <f t="shared" si="0"/>
        <v>206</v>
      </c>
      <c r="M45" s="66">
        <f t="shared" si="0"/>
        <v>349</v>
      </c>
    </row>
    <row r="49" spans="1:13" ht="13.8" thickBot="1" x14ac:dyDescent="0.3">
      <c r="A49" s="95" t="str">
        <f>RIGHT(K1,LEN(K1)-5) &amp;" Vehicle Trips - Before balancing"</f>
        <v>Medical Office Vehicle Trips - Before balancing</v>
      </c>
    </row>
    <row r="50" spans="1:13" x14ac:dyDescent="0.25">
      <c r="A50" s="186"/>
      <c r="B50" s="196" t="s">
        <v>7</v>
      </c>
      <c r="C50" s="195"/>
      <c r="D50" s="197"/>
      <c r="E50" s="195" t="s">
        <v>8</v>
      </c>
      <c r="F50" s="195"/>
      <c r="G50" s="195"/>
      <c r="H50" s="196" t="s">
        <v>9</v>
      </c>
      <c r="I50" s="195"/>
      <c r="J50" s="197"/>
      <c r="K50" s="196" t="s">
        <v>19</v>
      </c>
      <c r="L50" s="195"/>
      <c r="M50" s="197"/>
    </row>
    <row r="51" spans="1:13" ht="13.8" thickBot="1" x14ac:dyDescent="0.3">
      <c r="A51" s="187"/>
      <c r="B51" s="5" t="s">
        <v>13</v>
      </c>
      <c r="C51" s="3" t="s">
        <v>14</v>
      </c>
      <c r="D51" s="6" t="s">
        <v>0</v>
      </c>
      <c r="E51" s="7" t="s">
        <v>13</v>
      </c>
      <c r="F51" s="3" t="s">
        <v>14</v>
      </c>
      <c r="G51" s="4" t="s">
        <v>0</v>
      </c>
      <c r="H51" s="5" t="s">
        <v>13</v>
      </c>
      <c r="I51" s="3" t="s">
        <v>14</v>
      </c>
      <c r="J51" s="6" t="s">
        <v>0</v>
      </c>
      <c r="K51" s="5" t="s">
        <v>13</v>
      </c>
      <c r="L51" s="3" t="s">
        <v>14</v>
      </c>
      <c r="M51" s="6" t="s">
        <v>0</v>
      </c>
    </row>
    <row r="52" spans="1:13" x14ac:dyDescent="0.25">
      <c r="A52" s="8" t="s">
        <v>1</v>
      </c>
      <c r="B52" s="17">
        <f>ROUND(B40/$B$19,0)</f>
        <v>23</v>
      </c>
      <c r="C52" s="18">
        <f>ROUND(C40/$B$19,0)</f>
        <v>3</v>
      </c>
      <c r="D52" s="19">
        <f>B52+C52</f>
        <v>26</v>
      </c>
      <c r="E52" s="20">
        <f>ROUND(E40/$B$19,0)</f>
        <v>35</v>
      </c>
      <c r="F52" s="18">
        <f>ROUND(F40/$B$19,0)</f>
        <v>34</v>
      </c>
      <c r="G52" s="21">
        <f>E52+F52</f>
        <v>69</v>
      </c>
      <c r="H52" s="17">
        <f>ROUND(H40/$B$19,0)</f>
        <v>37</v>
      </c>
      <c r="I52" s="18">
        <f>ROUND(I40/$B$19,0)</f>
        <v>39</v>
      </c>
      <c r="J52" s="19">
        <f>H52+I52</f>
        <v>76</v>
      </c>
      <c r="K52" s="17">
        <f>ROUND(K40/$C$19,0)</f>
        <v>17</v>
      </c>
      <c r="L52" s="18">
        <f>ROUND(L40/$C$19,0)</f>
        <v>24</v>
      </c>
      <c r="M52" s="19">
        <f>K52+L52</f>
        <v>41</v>
      </c>
    </row>
    <row r="53" spans="1:13" x14ac:dyDescent="0.25">
      <c r="A53" s="9" t="s">
        <v>2</v>
      </c>
      <c r="B53" s="22">
        <f>ROUND(B41/$B$20,0)</f>
        <v>1</v>
      </c>
      <c r="C53" s="23">
        <f>ROUND(C41/$B$20,0)</f>
        <v>0</v>
      </c>
      <c r="D53" s="24">
        <f>B53+C53</f>
        <v>1</v>
      </c>
      <c r="E53" s="25">
        <f>ROUND(E41/$B$20,0)</f>
        <v>3</v>
      </c>
      <c r="F53" s="23">
        <f>ROUND(F41/$B$20,0)</f>
        <v>2</v>
      </c>
      <c r="G53" s="26">
        <f>E53+F53</f>
        <v>5</v>
      </c>
      <c r="H53" s="22">
        <f>ROUND(H41/$B$20,0)</f>
        <v>3</v>
      </c>
      <c r="I53" s="23">
        <f>ROUND(I41/$B$20,0)</f>
        <v>3</v>
      </c>
      <c r="J53" s="24">
        <f>H53+I53</f>
        <v>6</v>
      </c>
      <c r="K53" s="22">
        <f>ROUND(K41/$C$20,0)</f>
        <v>1</v>
      </c>
      <c r="L53" s="23">
        <f>ROUND(L41/$C$20,0)</f>
        <v>2</v>
      </c>
      <c r="M53" s="24">
        <f>K53+L53</f>
        <v>3</v>
      </c>
    </row>
    <row r="54" spans="1:13" ht="13.8" thickBot="1" x14ac:dyDescent="0.3">
      <c r="A54" s="10" t="s">
        <v>15</v>
      </c>
      <c r="B54" s="27">
        <f>ROUND(C33/2,0)</f>
        <v>0</v>
      </c>
      <c r="C54" s="28">
        <f>B54</f>
        <v>0</v>
      </c>
      <c r="D54" s="29">
        <f>B54+C54</f>
        <v>0</v>
      </c>
      <c r="E54" s="30">
        <f>ROUND(C34/2,0)</f>
        <v>0</v>
      </c>
      <c r="F54" s="28">
        <f>E54</f>
        <v>0</v>
      </c>
      <c r="G54" s="31">
        <f>E54+F54</f>
        <v>0</v>
      </c>
      <c r="H54" s="27">
        <f>ROUND(C35/2,0)</f>
        <v>0</v>
      </c>
      <c r="I54" s="28">
        <f>H54</f>
        <v>0</v>
      </c>
      <c r="J54" s="29">
        <f>H54+I54</f>
        <v>0</v>
      </c>
      <c r="K54" s="27">
        <f>ROUND(E34/2,0)</f>
        <v>0</v>
      </c>
      <c r="L54" s="28">
        <f>K54</f>
        <v>0</v>
      </c>
      <c r="M54" s="29">
        <f>K54+L54</f>
        <v>0</v>
      </c>
    </row>
    <row r="55" spans="1:13" ht="13.8" thickBot="1" x14ac:dyDescent="0.3">
      <c r="A55" s="11" t="s">
        <v>0</v>
      </c>
      <c r="B55" s="32">
        <f>SUM(B52:B54)</f>
        <v>24</v>
      </c>
      <c r="C55" s="33">
        <f>SUM(C52:C54)</f>
        <v>3</v>
      </c>
      <c r="D55" s="34">
        <f>B55+C55</f>
        <v>27</v>
      </c>
      <c r="E55" s="35">
        <f>SUM(E52:E54)</f>
        <v>38</v>
      </c>
      <c r="F55" s="33">
        <f>SUM(F52:F54)</f>
        <v>36</v>
      </c>
      <c r="G55" s="36">
        <f>E55+F55</f>
        <v>74</v>
      </c>
      <c r="H55" s="32">
        <f>SUM(H52:H54)</f>
        <v>40</v>
      </c>
      <c r="I55" s="33">
        <f>SUM(I52:I54)</f>
        <v>42</v>
      </c>
      <c r="J55" s="34">
        <f>H55+I55</f>
        <v>82</v>
      </c>
      <c r="K55" s="32">
        <f>SUM(K52:K54)</f>
        <v>18</v>
      </c>
      <c r="L55" s="33">
        <f>SUM(L52:L54)</f>
        <v>26</v>
      </c>
      <c r="M55" s="34">
        <f>K55+L55</f>
        <v>44</v>
      </c>
    </row>
    <row r="56" spans="1:13" x14ac:dyDescent="0.25">
      <c r="A56" s="86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</row>
    <row r="59" spans="1:13" ht="13.8" thickBot="1" x14ac:dyDescent="0.3">
      <c r="A59" s="95" t="str">
        <f>RIGHT(K1,LEN(K1)-5) &amp;" Vehicle Trips (Balanced for Taxis)"</f>
        <v>Medical Office Vehicle Trips (Balanced for Taxis)</v>
      </c>
    </row>
    <row r="60" spans="1:13" x14ac:dyDescent="0.25">
      <c r="A60" s="186"/>
      <c r="B60" s="196" t="s">
        <v>7</v>
      </c>
      <c r="C60" s="195"/>
      <c r="D60" s="197"/>
      <c r="E60" s="195" t="s">
        <v>8</v>
      </c>
      <c r="F60" s="195"/>
      <c r="G60" s="195"/>
      <c r="H60" s="196" t="s">
        <v>9</v>
      </c>
      <c r="I60" s="195"/>
      <c r="J60" s="197"/>
      <c r="K60" s="196" t="s">
        <v>19</v>
      </c>
      <c r="L60" s="195"/>
      <c r="M60" s="197"/>
    </row>
    <row r="61" spans="1:13" ht="13.8" thickBot="1" x14ac:dyDescent="0.3">
      <c r="A61" s="187"/>
      <c r="B61" s="5" t="s">
        <v>13</v>
      </c>
      <c r="C61" s="3" t="s">
        <v>14</v>
      </c>
      <c r="D61" s="6" t="s">
        <v>0</v>
      </c>
      <c r="E61" s="7" t="s">
        <v>13</v>
      </c>
      <c r="F61" s="3" t="s">
        <v>14</v>
      </c>
      <c r="G61" s="4" t="s">
        <v>0</v>
      </c>
      <c r="H61" s="5" t="s">
        <v>13</v>
      </c>
      <c r="I61" s="3" t="s">
        <v>14</v>
      </c>
      <c r="J61" s="6" t="s">
        <v>0</v>
      </c>
      <c r="K61" s="5" t="s">
        <v>13</v>
      </c>
      <c r="L61" s="3" t="s">
        <v>14</v>
      </c>
      <c r="M61" s="6" t="s">
        <v>0</v>
      </c>
    </row>
    <row r="62" spans="1:13" x14ac:dyDescent="0.25">
      <c r="A62" s="8" t="s">
        <v>1</v>
      </c>
      <c r="B62" s="17">
        <f>ROUND(B52,0)</f>
        <v>23</v>
      </c>
      <c r="C62" s="18">
        <f>ROUND(C52,0)</f>
        <v>3</v>
      </c>
      <c r="D62" s="19">
        <f>B62+C62</f>
        <v>26</v>
      </c>
      <c r="E62" s="20">
        <f>ROUND(E52,0)</f>
        <v>35</v>
      </c>
      <c r="F62" s="18">
        <f>ROUND(F52,0)</f>
        <v>34</v>
      </c>
      <c r="G62" s="21">
        <f>E62+F62</f>
        <v>69</v>
      </c>
      <c r="H62" s="17">
        <f>ROUND(H52,0)</f>
        <v>37</v>
      </c>
      <c r="I62" s="18">
        <f>ROUND(I52,0)</f>
        <v>39</v>
      </c>
      <c r="J62" s="19">
        <f>H62+I62</f>
        <v>76</v>
      </c>
      <c r="K62" s="17">
        <f>ROUND(K52,0)</f>
        <v>17</v>
      </c>
      <c r="L62" s="18">
        <f>ROUND(L52,0)</f>
        <v>24</v>
      </c>
      <c r="M62" s="19">
        <f>K62+L62</f>
        <v>41</v>
      </c>
    </row>
    <row r="63" spans="1:13" x14ac:dyDescent="0.25">
      <c r="A63" s="9" t="s">
        <v>2</v>
      </c>
      <c r="B63" s="22">
        <f>ROUND(B53+C53,0)</f>
        <v>1</v>
      </c>
      <c r="C63" s="23">
        <f>B63</f>
        <v>1</v>
      </c>
      <c r="D63" s="24">
        <f>B63+C63</f>
        <v>2</v>
      </c>
      <c r="E63" s="25">
        <f>ROUND(E53+F53,0)</f>
        <v>5</v>
      </c>
      <c r="F63" s="23">
        <f>E63</f>
        <v>5</v>
      </c>
      <c r="G63" s="26">
        <f>E63+F63</f>
        <v>10</v>
      </c>
      <c r="H63" s="22">
        <f>ROUND(H53+I53,0)</f>
        <v>6</v>
      </c>
      <c r="I63" s="23">
        <f>H63</f>
        <v>6</v>
      </c>
      <c r="J63" s="24">
        <f>H63+I63</f>
        <v>12</v>
      </c>
      <c r="K63" s="22">
        <f>ROUND(K53+L53,0)</f>
        <v>3</v>
      </c>
      <c r="L63" s="23">
        <f>K63</f>
        <v>3</v>
      </c>
      <c r="M63" s="24">
        <f>K63+L63</f>
        <v>6</v>
      </c>
    </row>
    <row r="64" spans="1:13" ht="13.8" thickBot="1" x14ac:dyDescent="0.3">
      <c r="A64" s="10" t="s">
        <v>15</v>
      </c>
      <c r="B64" s="27">
        <f>ROUND(B54,0)</f>
        <v>0</v>
      </c>
      <c r="C64" s="28">
        <f>ROUND(C54,0)</f>
        <v>0</v>
      </c>
      <c r="D64" s="29">
        <f>B64+C64</f>
        <v>0</v>
      </c>
      <c r="E64" s="30">
        <f>ROUND(E54,0)</f>
        <v>0</v>
      </c>
      <c r="F64" s="28">
        <f>ROUND(F54,0)</f>
        <v>0</v>
      </c>
      <c r="G64" s="31">
        <f>E64+F64</f>
        <v>0</v>
      </c>
      <c r="H64" s="27">
        <f>ROUND(H54,0)</f>
        <v>0</v>
      </c>
      <c r="I64" s="28">
        <f>ROUND(I54,0)</f>
        <v>0</v>
      </c>
      <c r="J64" s="29">
        <f>H64+I64</f>
        <v>0</v>
      </c>
      <c r="K64" s="27">
        <f>ROUND(K54,0)</f>
        <v>0</v>
      </c>
      <c r="L64" s="28">
        <f>ROUND(L54,0)</f>
        <v>0</v>
      </c>
      <c r="M64" s="29">
        <f>K64+L64</f>
        <v>0</v>
      </c>
    </row>
    <row r="65" spans="1:13" ht="13.8" thickBot="1" x14ac:dyDescent="0.3">
      <c r="A65" s="11" t="s">
        <v>0</v>
      </c>
      <c r="B65" s="32">
        <f>SUM(B62:B64)</f>
        <v>24</v>
      </c>
      <c r="C65" s="33">
        <f>SUM(C62:C64)</f>
        <v>4</v>
      </c>
      <c r="D65" s="34">
        <f>B65+C65</f>
        <v>28</v>
      </c>
      <c r="E65" s="35">
        <f>SUM(E62:E64)</f>
        <v>40</v>
      </c>
      <c r="F65" s="33">
        <f>SUM(F62:F64)</f>
        <v>39</v>
      </c>
      <c r="G65" s="36">
        <f>E65+F65</f>
        <v>79</v>
      </c>
      <c r="H65" s="32">
        <f>SUM(H62:H64)</f>
        <v>43</v>
      </c>
      <c r="I65" s="33">
        <f>SUM(I62:I64)</f>
        <v>45</v>
      </c>
      <c r="J65" s="34">
        <f>H65+I65</f>
        <v>88</v>
      </c>
      <c r="K65" s="32">
        <f>SUM(K62:K64)</f>
        <v>20</v>
      </c>
      <c r="L65" s="33">
        <f>SUM(L62:L64)</f>
        <v>27</v>
      </c>
      <c r="M65" s="34">
        <f>K65+L65</f>
        <v>47</v>
      </c>
    </row>
    <row r="67" spans="1:13" x14ac:dyDescent="0.25">
      <c r="A67" s="82" t="s">
        <v>29</v>
      </c>
    </row>
    <row r="68" spans="1:13" x14ac:dyDescent="0.25">
      <c r="A68" s="96" t="s">
        <v>48</v>
      </c>
    </row>
    <row r="69" spans="1:13" x14ac:dyDescent="0.25">
      <c r="A69" s="95"/>
    </row>
    <row r="70" spans="1:13" x14ac:dyDescent="0.25">
      <c r="A70" s="95"/>
    </row>
    <row r="71" spans="1:13" x14ac:dyDescent="0.25">
      <c r="D71" s="74"/>
      <c r="G71" s="74"/>
      <c r="J71" s="74"/>
      <c r="M71" s="74"/>
    </row>
  </sheetData>
  <mergeCells count="17">
    <mergeCell ref="B29:C29"/>
    <mergeCell ref="D29:E29"/>
    <mergeCell ref="A37:E37"/>
    <mergeCell ref="B38:D38"/>
    <mergeCell ref="E38:G38"/>
    <mergeCell ref="K38:M38"/>
    <mergeCell ref="A50:A51"/>
    <mergeCell ref="B50:D50"/>
    <mergeCell ref="E50:G50"/>
    <mergeCell ref="H50:J50"/>
    <mergeCell ref="K50:M50"/>
    <mergeCell ref="H38:J38"/>
    <mergeCell ref="A60:A61"/>
    <mergeCell ref="B60:D60"/>
    <mergeCell ref="E60:G60"/>
    <mergeCell ref="H60:J60"/>
    <mergeCell ref="K60:M60"/>
  </mergeCells>
  <pageMargins left="0.7" right="0.7" top="0.75" bottom="0.75" header="0.3" footer="0.3"/>
  <pageSetup paperSize="195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71"/>
  <sheetViews>
    <sheetView zoomScaleNormal="100" workbookViewId="0">
      <selection activeCell="K3" sqref="K3"/>
    </sheetView>
  </sheetViews>
  <sheetFormatPr defaultColWidth="9.109375" defaultRowHeight="13.2" x14ac:dyDescent="0.25"/>
  <cols>
    <col min="1" max="1" width="18.6640625" style="1" customWidth="1"/>
    <col min="2" max="2" width="9.88671875" style="1" customWidth="1"/>
    <col min="3" max="3" width="9.5546875" style="1" customWidth="1"/>
    <col min="4" max="16384" width="9.109375" style="1"/>
  </cols>
  <sheetData>
    <row r="1" spans="1:12" x14ac:dyDescent="0.25">
      <c r="B1" s="12" t="s">
        <v>11</v>
      </c>
      <c r="C1" s="12" t="s">
        <v>12</v>
      </c>
      <c r="K1" s="12" t="s">
        <v>54</v>
      </c>
    </row>
    <row r="2" spans="1:12" x14ac:dyDescent="0.25">
      <c r="A2" s="2" t="s">
        <v>25</v>
      </c>
      <c r="B2" s="1">
        <v>44</v>
      </c>
      <c r="C2" s="1">
        <v>62</v>
      </c>
      <c r="K2" s="154">
        <v>1.94</v>
      </c>
      <c r="L2" s="103" t="s">
        <v>57</v>
      </c>
    </row>
    <row r="3" spans="1:12" x14ac:dyDescent="0.25">
      <c r="A3" s="37" t="s">
        <v>39</v>
      </c>
      <c r="B3" s="71">
        <v>0.25</v>
      </c>
      <c r="K3" s="95" t="s">
        <v>41</v>
      </c>
    </row>
    <row r="4" spans="1:12" x14ac:dyDescent="0.25">
      <c r="A4" s="37" t="s">
        <v>55</v>
      </c>
      <c r="B4" s="1">
        <f>K2</f>
        <v>1.94</v>
      </c>
      <c r="C4" s="1">
        <f>B4</f>
        <v>1.94</v>
      </c>
    </row>
    <row r="5" spans="1:12" x14ac:dyDescent="0.25">
      <c r="A5" s="1" t="s">
        <v>6</v>
      </c>
      <c r="B5" s="37">
        <f>ROUND(B4*(B2*(1-B3)),0)</f>
        <v>64</v>
      </c>
      <c r="C5" s="37">
        <f>ROUND(B4*(C2*(1-B3)),0)</f>
        <v>90</v>
      </c>
    </row>
    <row r="6" spans="1:12" x14ac:dyDescent="0.25">
      <c r="A6" s="69" t="s">
        <v>26</v>
      </c>
    </row>
    <row r="7" spans="1:12" x14ac:dyDescent="0.25">
      <c r="A7" s="1" t="s">
        <v>7</v>
      </c>
      <c r="B7" s="14">
        <v>0.03</v>
      </c>
    </row>
    <row r="8" spans="1:12" x14ac:dyDescent="0.25">
      <c r="A8" s="1" t="s">
        <v>8</v>
      </c>
      <c r="B8" s="14">
        <v>0.05</v>
      </c>
      <c r="C8" s="14">
        <v>0.06</v>
      </c>
    </row>
    <row r="9" spans="1:12" x14ac:dyDescent="0.25">
      <c r="A9" s="1" t="s">
        <v>9</v>
      </c>
      <c r="B9" s="14">
        <v>0.06</v>
      </c>
    </row>
    <row r="10" spans="1:12" x14ac:dyDescent="0.25">
      <c r="B10" s="14"/>
    </row>
    <row r="11" spans="1:12" x14ac:dyDescent="0.25">
      <c r="A11" s="2" t="s">
        <v>31</v>
      </c>
      <c r="B11" s="95"/>
      <c r="C11" s="95"/>
      <c r="F11" s="95"/>
      <c r="G11" s="95"/>
    </row>
    <row r="12" spans="1:12" x14ac:dyDescent="0.25">
      <c r="A12" s="1" t="s">
        <v>1</v>
      </c>
      <c r="B12" s="101">
        <v>0.12</v>
      </c>
      <c r="C12" s="101"/>
      <c r="F12" s="101"/>
      <c r="G12" s="101"/>
    </row>
    <row r="13" spans="1:12" x14ac:dyDescent="0.25">
      <c r="A13" s="1" t="s">
        <v>2</v>
      </c>
      <c r="B13" s="109">
        <v>0</v>
      </c>
      <c r="C13" s="101"/>
      <c r="F13" s="109"/>
      <c r="G13" s="101"/>
    </row>
    <row r="14" spans="1:12" x14ac:dyDescent="0.25">
      <c r="A14" s="1" t="s">
        <v>3</v>
      </c>
      <c r="B14" s="109">
        <v>0.05</v>
      </c>
      <c r="C14" s="101"/>
      <c r="F14" s="109"/>
      <c r="G14" s="101"/>
    </row>
    <row r="15" spans="1:12" x14ac:dyDescent="0.25">
      <c r="A15" s="95" t="s">
        <v>43</v>
      </c>
      <c r="B15" s="109">
        <v>0.05</v>
      </c>
      <c r="C15" s="101"/>
      <c r="E15" s="95"/>
      <c r="F15" s="109"/>
      <c r="G15" s="101"/>
    </row>
    <row r="16" spans="1:12" x14ac:dyDescent="0.25">
      <c r="A16" s="1" t="s">
        <v>5</v>
      </c>
      <c r="B16" s="109">
        <v>0.78</v>
      </c>
      <c r="C16" s="101"/>
      <c r="E16" s="95"/>
      <c r="F16" s="109"/>
      <c r="G16" s="151"/>
    </row>
    <row r="17" spans="1:7" x14ac:dyDescent="0.25">
      <c r="F17" s="95"/>
      <c r="G17" s="95"/>
    </row>
    <row r="18" spans="1:7" x14ac:dyDescent="0.25">
      <c r="A18" s="2" t="s">
        <v>28</v>
      </c>
    </row>
    <row r="19" spans="1:7" x14ac:dyDescent="0.25">
      <c r="A19" s="1" t="s">
        <v>1</v>
      </c>
      <c r="B19" s="15">
        <v>2.8</v>
      </c>
    </row>
    <row r="20" spans="1:7" x14ac:dyDescent="0.25">
      <c r="A20" s="1" t="s">
        <v>2</v>
      </c>
      <c r="B20" s="15">
        <v>2.8</v>
      </c>
    </row>
    <row r="22" spans="1:7" x14ac:dyDescent="0.25">
      <c r="A22" s="2" t="s">
        <v>27</v>
      </c>
      <c r="B22" s="14"/>
    </row>
    <row r="23" spans="1:7" x14ac:dyDescent="0.25">
      <c r="A23" s="1" t="s">
        <v>7</v>
      </c>
      <c r="B23" s="14">
        <v>0.5</v>
      </c>
    </row>
    <row r="24" spans="1:7" x14ac:dyDescent="0.25">
      <c r="A24" s="1" t="s">
        <v>8</v>
      </c>
      <c r="B24" s="14">
        <v>0.45</v>
      </c>
      <c r="C24" s="14">
        <v>0.55000000000000004</v>
      </c>
    </row>
    <row r="25" spans="1:7" x14ac:dyDescent="0.25">
      <c r="A25" s="1" t="s">
        <v>9</v>
      </c>
      <c r="B25" s="14">
        <v>0.55000000000000004</v>
      </c>
    </row>
    <row r="26" spans="1:7" x14ac:dyDescent="0.25">
      <c r="B26" s="14"/>
    </row>
    <row r="28" spans="1:7" x14ac:dyDescent="0.25">
      <c r="A28" s="12" t="s">
        <v>24</v>
      </c>
    </row>
    <row r="29" spans="1:7" x14ac:dyDescent="0.25">
      <c r="A29" s="12"/>
      <c r="B29" s="200" t="s">
        <v>20</v>
      </c>
      <c r="C29" s="200"/>
      <c r="D29" s="200" t="s">
        <v>12</v>
      </c>
      <c r="E29" s="200"/>
    </row>
    <row r="30" spans="1:7" x14ac:dyDescent="0.25">
      <c r="A30" s="2" t="s">
        <v>63</v>
      </c>
      <c r="B30" s="1">
        <v>0</v>
      </c>
      <c r="C30" s="16">
        <f>ROUND(B30*B4,0)</f>
        <v>0</v>
      </c>
      <c r="D30" s="95">
        <v>0</v>
      </c>
      <c r="E30" s="16">
        <f>ROUND(D30*C4,0)</f>
        <v>0</v>
      </c>
    </row>
    <row r="31" spans="1:7" x14ac:dyDescent="0.25">
      <c r="C31" s="16"/>
      <c r="E31" s="16"/>
    </row>
    <row r="32" spans="1:7" x14ac:dyDescent="0.25">
      <c r="A32" s="2" t="s">
        <v>64</v>
      </c>
      <c r="C32" s="16"/>
      <c r="E32" s="16"/>
    </row>
    <row r="33" spans="1:13" x14ac:dyDescent="0.25">
      <c r="A33" s="1" t="s">
        <v>7</v>
      </c>
      <c r="B33" s="14">
        <v>0</v>
      </c>
      <c r="C33" s="16">
        <f>B33*C30</f>
        <v>0</v>
      </c>
    </row>
    <row r="34" spans="1:13" x14ac:dyDescent="0.25">
      <c r="A34" s="1" t="s">
        <v>8</v>
      </c>
      <c r="B34" s="14">
        <v>0</v>
      </c>
      <c r="C34" s="16">
        <f>B34*C30</f>
        <v>0</v>
      </c>
      <c r="D34" s="14">
        <v>0</v>
      </c>
      <c r="E34" s="16">
        <f>E30*D34</f>
        <v>0</v>
      </c>
    </row>
    <row r="35" spans="1:13" x14ac:dyDescent="0.25">
      <c r="A35" s="1" t="s">
        <v>9</v>
      </c>
      <c r="B35" s="14">
        <v>0</v>
      </c>
      <c r="C35" s="16">
        <f>B35*C30</f>
        <v>0</v>
      </c>
    </row>
    <row r="37" spans="1:13" ht="13.8" thickBot="1" x14ac:dyDescent="0.3">
      <c r="A37" s="194" t="str">
        <f>RIGHT(K1,LEN(K1)-5) &amp;" Person Trips"</f>
        <v>Open Space (Passive) Person Trips</v>
      </c>
      <c r="B37" s="194"/>
      <c r="C37" s="194"/>
      <c r="D37" s="194"/>
      <c r="E37" s="194"/>
      <c r="F37" s="80"/>
      <c r="G37" s="80"/>
      <c r="H37" s="80"/>
      <c r="I37" s="80"/>
      <c r="J37" s="80"/>
      <c r="K37" s="80"/>
      <c r="L37" s="80"/>
      <c r="M37" s="80"/>
    </row>
    <row r="38" spans="1:13" x14ac:dyDescent="0.25">
      <c r="A38" s="38"/>
      <c r="B38" s="188" t="s">
        <v>7</v>
      </c>
      <c r="C38" s="189"/>
      <c r="D38" s="190"/>
      <c r="E38" s="191" t="s">
        <v>8</v>
      </c>
      <c r="F38" s="192"/>
      <c r="G38" s="193"/>
      <c r="H38" s="199" t="s">
        <v>9</v>
      </c>
      <c r="I38" s="192"/>
      <c r="J38" s="198"/>
      <c r="K38" s="191" t="s">
        <v>19</v>
      </c>
      <c r="L38" s="192"/>
      <c r="M38" s="198"/>
    </row>
    <row r="39" spans="1:13" ht="13.8" thickBot="1" x14ac:dyDescent="0.3">
      <c r="A39" s="39"/>
      <c r="B39" s="75" t="s">
        <v>13</v>
      </c>
      <c r="C39" s="76" t="s">
        <v>14</v>
      </c>
      <c r="D39" s="77" t="s">
        <v>0</v>
      </c>
      <c r="E39" s="78" t="s">
        <v>13</v>
      </c>
      <c r="F39" s="76" t="s">
        <v>14</v>
      </c>
      <c r="G39" s="79" t="s">
        <v>0</v>
      </c>
      <c r="H39" s="75" t="s">
        <v>13</v>
      </c>
      <c r="I39" s="76" t="s">
        <v>14</v>
      </c>
      <c r="J39" s="77" t="s">
        <v>0</v>
      </c>
      <c r="K39" s="78" t="s">
        <v>13</v>
      </c>
      <c r="L39" s="76" t="s">
        <v>14</v>
      </c>
      <c r="M39" s="77" t="s">
        <v>0</v>
      </c>
    </row>
    <row r="40" spans="1:13" x14ac:dyDescent="0.25">
      <c r="A40" s="45" t="s">
        <v>1</v>
      </c>
      <c r="B40" s="46">
        <f>ROUND($B$5*$B$7*$B12*$B$23,0)</f>
        <v>0</v>
      </c>
      <c r="C40" s="47">
        <f>ROUND($B$5*$B$7*$B12*(1-$B$23),0)</f>
        <v>0</v>
      </c>
      <c r="D40" s="48">
        <f>SUM(B40:C40)</f>
        <v>0</v>
      </c>
      <c r="E40" s="49">
        <f>ROUND($B$5*$B$8*$B12*$B$24,0)</f>
        <v>0</v>
      </c>
      <c r="F40" s="47">
        <f>ROUND($B$5*$B$8*$B12*(1-$B$24),0)</f>
        <v>0</v>
      </c>
      <c r="G40" s="50">
        <f>SUM(E40:F40)</f>
        <v>0</v>
      </c>
      <c r="H40" s="46">
        <f>ROUND($B$5*$B$9*$B12*$B$25,0)</f>
        <v>0</v>
      </c>
      <c r="I40" s="47">
        <f>ROUND($B$5*$B$9*$B12*(1-$B$25),0)</f>
        <v>0</v>
      </c>
      <c r="J40" s="81">
        <f>SUM(H40:I40)</f>
        <v>0</v>
      </c>
      <c r="K40" s="49">
        <f>ROUND($C$5*$C$8*$B12*$C$24,0)</f>
        <v>0</v>
      </c>
      <c r="L40" s="47">
        <f>ROUND($C$5*$C$8*$B12*(1-$C$24),0)</f>
        <v>0</v>
      </c>
      <c r="M40" s="48">
        <f>SUM(K40:L40)</f>
        <v>0</v>
      </c>
    </row>
    <row r="41" spans="1:13" x14ac:dyDescent="0.25">
      <c r="A41" s="51" t="s">
        <v>2</v>
      </c>
      <c r="B41" s="52">
        <f>ROUND($B$5*$B$7*$B13*$B$23,0)</f>
        <v>0</v>
      </c>
      <c r="C41" s="53">
        <f>ROUND($B$5*$B$7*$B13*(1-$B$23),0)</f>
        <v>0</v>
      </c>
      <c r="D41" s="54">
        <f>SUM(B41:C41)</f>
        <v>0</v>
      </c>
      <c r="E41" s="49">
        <f>ROUND($B$5*$B$8*$B13*$B$24,0)</f>
        <v>0</v>
      </c>
      <c r="F41" s="53">
        <f>ROUND($B$5*$B$8*$B13*(1-$B$24),0)</f>
        <v>0</v>
      </c>
      <c r="G41" s="56">
        <f>SUM(E41:F41)</f>
        <v>0</v>
      </c>
      <c r="H41" s="52">
        <f>ROUND($B$5*$B$9*$B13*$B$25,0)</f>
        <v>0</v>
      </c>
      <c r="I41" s="53">
        <f>ROUND($B$5*$B$9*$B13*(1-$B$25),0)</f>
        <v>0</v>
      </c>
      <c r="J41" s="54">
        <f>SUM(H41:I41)</f>
        <v>0</v>
      </c>
      <c r="K41" s="55">
        <f>ROUND($C$5*$C$8*$B13*$C$24,0)</f>
        <v>0</v>
      </c>
      <c r="L41" s="53">
        <f>ROUND($C$5*$C$8*$B13*(1-$C$24),0)</f>
        <v>0</v>
      </c>
      <c r="M41" s="54">
        <f>SUM(K41:L41)</f>
        <v>0</v>
      </c>
    </row>
    <row r="42" spans="1:13" x14ac:dyDescent="0.25">
      <c r="A42" s="51" t="s">
        <v>3</v>
      </c>
      <c r="B42" s="52">
        <f>ROUND($B$5*$B$7*$B14*$B$23,0)</f>
        <v>0</v>
      </c>
      <c r="C42" s="53">
        <f>ROUND($B$5*$B$7*$B14*(1-$B$23),0)</f>
        <v>0</v>
      </c>
      <c r="D42" s="54">
        <f>SUM(B42:C42)</f>
        <v>0</v>
      </c>
      <c r="E42" s="49">
        <f>ROUND($B$5*$B$8*$B14*$B$24,0)</f>
        <v>0</v>
      </c>
      <c r="F42" s="53">
        <f>ROUND($B$5*$B$8*$B14*(1-$B$24),0)</f>
        <v>0</v>
      </c>
      <c r="G42" s="56">
        <f>SUM(E42:F42)</f>
        <v>0</v>
      </c>
      <c r="H42" s="52">
        <f>ROUND($B$5*$B$9*$B14*$B$25,0)</f>
        <v>0</v>
      </c>
      <c r="I42" s="53">
        <f>ROUND($B$5*$B$9*$B14*(1-$B$25),0)</f>
        <v>0</v>
      </c>
      <c r="J42" s="54">
        <f>SUM(H42:I42)</f>
        <v>0</v>
      </c>
      <c r="K42" s="55">
        <f>ROUND($C$5*$C$8*$B14*$C$24,0)</f>
        <v>0</v>
      </c>
      <c r="L42" s="53">
        <f>ROUND($C$5*$C$8*$B14*(1-$C$24),0)</f>
        <v>0</v>
      </c>
      <c r="M42" s="54">
        <f>SUM(K42:L42)</f>
        <v>0</v>
      </c>
    </row>
    <row r="43" spans="1:13" x14ac:dyDescent="0.25">
      <c r="A43" s="51" t="s">
        <v>4</v>
      </c>
      <c r="B43" s="52">
        <f>ROUND($B$5*$B$7*$B15*$B$23,0)</f>
        <v>0</v>
      </c>
      <c r="C43" s="53">
        <f>ROUND($B$5*$B$7*$B15*(1-$B$23),0)</f>
        <v>0</v>
      </c>
      <c r="D43" s="54">
        <f>SUM(B43:C43)</f>
        <v>0</v>
      </c>
      <c r="E43" s="49">
        <f>ROUND($B$5*$B$8*$B15*$B$24,0)</f>
        <v>0</v>
      </c>
      <c r="F43" s="53">
        <f>ROUND($B$5*$B$8*$B15*(1-$B$24),0)</f>
        <v>0</v>
      </c>
      <c r="G43" s="56">
        <f>SUM(E43:F43)</f>
        <v>0</v>
      </c>
      <c r="H43" s="52">
        <f>ROUND($B$5*$B$9*$B15*$B$25,0)</f>
        <v>0</v>
      </c>
      <c r="I43" s="53">
        <f>ROUND($B$5*$B$9*$B15*(1-$B$25),0)</f>
        <v>0</v>
      </c>
      <c r="J43" s="54">
        <f>SUM(H43:I43)</f>
        <v>0</v>
      </c>
      <c r="K43" s="55">
        <f>ROUND($C$5*$C$8*$B15*$C$24,0)</f>
        <v>0</v>
      </c>
      <c r="L43" s="53">
        <f>ROUND($C$5*$C$8*$B15*(1-$C$24),0)</f>
        <v>0</v>
      </c>
      <c r="M43" s="54">
        <f>SUM(K43:L43)</f>
        <v>0</v>
      </c>
    </row>
    <row r="44" spans="1:13" ht="13.8" thickBot="1" x14ac:dyDescent="0.3">
      <c r="A44" s="57" t="s">
        <v>18</v>
      </c>
      <c r="B44" s="58">
        <f>ROUND($B$5*$B$7*$B16*$B$23,0)</f>
        <v>1</v>
      </c>
      <c r="C44" s="59">
        <f>ROUND($B$5*$B$7*$B16*(1-$B$23),0)</f>
        <v>1</v>
      </c>
      <c r="D44" s="60">
        <f>SUM(B44:C44)</f>
        <v>2</v>
      </c>
      <c r="E44" s="61">
        <f>ROUND($B$5*$B$8*$B16*$B$24,0)</f>
        <v>1</v>
      </c>
      <c r="F44" s="59">
        <f>ROUND($B$5*$B$8*$B16*(1-$B$24),0)</f>
        <v>1</v>
      </c>
      <c r="G44" s="62">
        <f>SUM(E44:F44)</f>
        <v>2</v>
      </c>
      <c r="H44" s="58">
        <f>ROUND($B$5*$B$9*$B16*$B$25,0)</f>
        <v>2</v>
      </c>
      <c r="I44" s="59">
        <f>ROUND($B$5*$B$9*$B16*(1-$B$25),0)</f>
        <v>1</v>
      </c>
      <c r="J44" s="60">
        <f>SUM(H44:I44)</f>
        <v>3</v>
      </c>
      <c r="K44" s="61">
        <f>ROUND($C$5*$C$8*$B16*$C$24,0)</f>
        <v>2</v>
      </c>
      <c r="L44" s="59">
        <f>ROUND($C$5*$C$8*$B16*(1-$C$24),0)</f>
        <v>2</v>
      </c>
      <c r="M44" s="60">
        <f>SUM(K44:L44)</f>
        <v>4</v>
      </c>
    </row>
    <row r="45" spans="1:13" ht="13.8" thickBot="1" x14ac:dyDescent="0.3">
      <c r="A45" s="63" t="s">
        <v>0</v>
      </c>
      <c r="B45" s="64">
        <f t="shared" ref="B45:M45" si="0">SUM(B40:B44)</f>
        <v>1</v>
      </c>
      <c r="C45" s="65">
        <f t="shared" si="0"/>
        <v>1</v>
      </c>
      <c r="D45" s="66">
        <f t="shared" si="0"/>
        <v>2</v>
      </c>
      <c r="E45" s="67">
        <f t="shared" si="0"/>
        <v>1</v>
      </c>
      <c r="F45" s="65">
        <f t="shared" si="0"/>
        <v>1</v>
      </c>
      <c r="G45" s="68">
        <f t="shared" si="0"/>
        <v>2</v>
      </c>
      <c r="H45" s="64">
        <f t="shared" si="0"/>
        <v>2</v>
      </c>
      <c r="I45" s="65">
        <f t="shared" si="0"/>
        <v>1</v>
      </c>
      <c r="J45" s="66">
        <f t="shared" si="0"/>
        <v>3</v>
      </c>
      <c r="K45" s="67">
        <f>SUM(K40:K44)</f>
        <v>2</v>
      </c>
      <c r="L45" s="65">
        <f>SUM(L40:L44)</f>
        <v>2</v>
      </c>
      <c r="M45" s="66">
        <f t="shared" si="0"/>
        <v>4</v>
      </c>
    </row>
    <row r="49" spans="1:13" ht="13.8" thickBot="1" x14ac:dyDescent="0.3">
      <c r="A49" s="1" t="str">
        <f>RIGHT(K1,LEN(K1)-5) &amp;" Vehicle Trips - Before balancing"</f>
        <v>Open Space (Passive) Vehicle Trips - Before balancing</v>
      </c>
    </row>
    <row r="50" spans="1:13" x14ac:dyDescent="0.25">
      <c r="A50" s="186"/>
      <c r="B50" s="196" t="s">
        <v>7</v>
      </c>
      <c r="C50" s="195"/>
      <c r="D50" s="197"/>
      <c r="E50" s="195" t="s">
        <v>16</v>
      </c>
      <c r="F50" s="195"/>
      <c r="G50" s="195"/>
      <c r="H50" s="196" t="s">
        <v>9</v>
      </c>
      <c r="I50" s="195"/>
      <c r="J50" s="197"/>
      <c r="K50" s="196" t="s">
        <v>10</v>
      </c>
      <c r="L50" s="195"/>
      <c r="M50" s="197"/>
    </row>
    <row r="51" spans="1:13" ht="13.8" thickBot="1" x14ac:dyDescent="0.3">
      <c r="A51" s="187"/>
      <c r="B51" s="5" t="s">
        <v>13</v>
      </c>
      <c r="C51" s="3" t="s">
        <v>14</v>
      </c>
      <c r="D51" s="6" t="s">
        <v>0</v>
      </c>
      <c r="E51" s="7" t="s">
        <v>13</v>
      </c>
      <c r="F51" s="3" t="s">
        <v>14</v>
      </c>
      <c r="G51" s="4" t="s">
        <v>0</v>
      </c>
      <c r="H51" s="5" t="s">
        <v>13</v>
      </c>
      <c r="I51" s="3" t="s">
        <v>14</v>
      </c>
      <c r="J51" s="6" t="s">
        <v>0</v>
      </c>
      <c r="K51" s="5" t="s">
        <v>13</v>
      </c>
      <c r="L51" s="3" t="s">
        <v>14</v>
      </c>
      <c r="M51" s="6" t="s">
        <v>0</v>
      </c>
    </row>
    <row r="52" spans="1:13" x14ac:dyDescent="0.25">
      <c r="A52" s="8" t="s">
        <v>1</v>
      </c>
      <c r="B52" s="17">
        <f>ROUND(B40/$B$19,0)</f>
        <v>0</v>
      </c>
      <c r="C52" s="18">
        <f>ROUND(C40/$B$19,0)</f>
        <v>0</v>
      </c>
      <c r="D52" s="19">
        <f>SUM(B52:C52)</f>
        <v>0</v>
      </c>
      <c r="E52" s="20">
        <f>ROUND(E40/$B$19,0)</f>
        <v>0</v>
      </c>
      <c r="F52" s="18">
        <f>ROUND(F40/$B$19,0)</f>
        <v>0</v>
      </c>
      <c r="G52" s="21">
        <f>SUM(E52:F52)</f>
        <v>0</v>
      </c>
      <c r="H52" s="17">
        <f>ROUND(H40/$B$19,0)</f>
        <v>0</v>
      </c>
      <c r="I52" s="18">
        <f>ROUND(I40/$B$19,0)</f>
        <v>0</v>
      </c>
      <c r="J52" s="19">
        <f>SUM(H52:I52)</f>
        <v>0</v>
      </c>
      <c r="K52" s="17">
        <f>ROUND(K40/$B$19,0)</f>
        <v>0</v>
      </c>
      <c r="L52" s="18">
        <f>ROUND(L40/$B$19,0)</f>
        <v>0</v>
      </c>
      <c r="M52" s="19">
        <f>SUM(K52:L52)</f>
        <v>0</v>
      </c>
    </row>
    <row r="53" spans="1:13" x14ac:dyDescent="0.25">
      <c r="A53" s="9" t="s">
        <v>2</v>
      </c>
      <c r="B53" s="22">
        <f>ROUND(B41/$B$20,0)</f>
        <v>0</v>
      </c>
      <c r="C53" s="23">
        <f>ROUND(C41/$B$20,0)</f>
        <v>0</v>
      </c>
      <c r="D53" s="24">
        <f>B53+C53</f>
        <v>0</v>
      </c>
      <c r="E53" s="25">
        <f>ROUND(E41/$B$20,0)</f>
        <v>0</v>
      </c>
      <c r="F53" s="23">
        <f>ROUND(F41/$B$20,0)</f>
        <v>0</v>
      </c>
      <c r="G53" s="26">
        <f>E53+F53</f>
        <v>0</v>
      </c>
      <c r="H53" s="22">
        <f>ROUND(H41/$B$20,0)</f>
        <v>0</v>
      </c>
      <c r="I53" s="23">
        <f>ROUND(I41/$B$20,0)</f>
        <v>0</v>
      </c>
      <c r="J53" s="24">
        <f>H53+I53</f>
        <v>0</v>
      </c>
      <c r="K53" s="22">
        <f>ROUND(K41/$B$20,0)</f>
        <v>0</v>
      </c>
      <c r="L53" s="23">
        <f>ROUND(L41/$B$20,0)</f>
        <v>0</v>
      </c>
      <c r="M53" s="24">
        <f>K53+L53</f>
        <v>0</v>
      </c>
    </row>
    <row r="54" spans="1:13" ht="13.8" thickBot="1" x14ac:dyDescent="0.3">
      <c r="A54" s="10" t="s">
        <v>15</v>
      </c>
      <c r="B54" s="27">
        <f>ROUND(C33/2,0)</f>
        <v>0</v>
      </c>
      <c r="C54" s="28">
        <f>B54</f>
        <v>0</v>
      </c>
      <c r="D54" s="29">
        <f>B54+C54</f>
        <v>0</v>
      </c>
      <c r="E54" s="30">
        <f>ROUND(C34/2,0)</f>
        <v>0</v>
      </c>
      <c r="F54" s="28">
        <f t="shared" ref="F54" si="1">E54</f>
        <v>0</v>
      </c>
      <c r="G54" s="31">
        <f t="shared" ref="G54" si="2">E54+F54</f>
        <v>0</v>
      </c>
      <c r="H54" s="27">
        <f>ROUND(C35/2,0)</f>
        <v>0</v>
      </c>
      <c r="I54" s="28">
        <f t="shared" ref="I54" si="3">H54</f>
        <v>0</v>
      </c>
      <c r="J54" s="29">
        <f t="shared" ref="J54" si="4">H54+I54</f>
        <v>0</v>
      </c>
      <c r="K54" s="27">
        <f>ROUND(D34/2,0)</f>
        <v>0</v>
      </c>
      <c r="L54" s="28">
        <f t="shared" ref="L54" si="5">K54</f>
        <v>0</v>
      </c>
      <c r="M54" s="29">
        <f t="shared" ref="M54" si="6">K54+L54</f>
        <v>0</v>
      </c>
    </row>
    <row r="55" spans="1:13" ht="13.8" thickBot="1" x14ac:dyDescent="0.3">
      <c r="A55" s="11" t="s">
        <v>0</v>
      </c>
      <c r="B55" s="32">
        <f t="shared" ref="B55:M55" si="7">SUM(B52:B54)</f>
        <v>0</v>
      </c>
      <c r="C55" s="33">
        <f t="shared" si="7"/>
        <v>0</v>
      </c>
      <c r="D55" s="34">
        <f t="shared" si="7"/>
        <v>0</v>
      </c>
      <c r="E55" s="35">
        <f t="shared" si="7"/>
        <v>0</v>
      </c>
      <c r="F55" s="33">
        <f t="shared" si="7"/>
        <v>0</v>
      </c>
      <c r="G55" s="36">
        <f t="shared" si="7"/>
        <v>0</v>
      </c>
      <c r="H55" s="32">
        <f t="shared" si="7"/>
        <v>0</v>
      </c>
      <c r="I55" s="33">
        <f t="shared" si="7"/>
        <v>0</v>
      </c>
      <c r="J55" s="34">
        <f t="shared" si="7"/>
        <v>0</v>
      </c>
      <c r="K55" s="32">
        <f>SUM(K52:K54)</f>
        <v>0</v>
      </c>
      <c r="L55" s="33">
        <f>SUM(L52:L54)</f>
        <v>0</v>
      </c>
      <c r="M55" s="34">
        <f t="shared" si="7"/>
        <v>0</v>
      </c>
    </row>
    <row r="59" spans="1:13" ht="13.8" thickBot="1" x14ac:dyDescent="0.3">
      <c r="A59" s="1" t="str">
        <f>RIGHT(K1,LEN(K1)-5) &amp;" Vehicle Trips (Balanced for Taxis)"</f>
        <v>Open Space (Passive) Vehicle Trips (Balanced for Taxis)</v>
      </c>
    </row>
    <row r="60" spans="1:13" x14ac:dyDescent="0.25">
      <c r="A60" s="186"/>
      <c r="B60" s="196" t="s">
        <v>7</v>
      </c>
      <c r="C60" s="195"/>
      <c r="D60" s="197"/>
      <c r="E60" s="195" t="s">
        <v>16</v>
      </c>
      <c r="F60" s="195"/>
      <c r="G60" s="195"/>
      <c r="H60" s="196" t="s">
        <v>9</v>
      </c>
      <c r="I60" s="195"/>
      <c r="J60" s="197"/>
      <c r="K60" s="196" t="s">
        <v>10</v>
      </c>
      <c r="L60" s="195"/>
      <c r="M60" s="197"/>
    </row>
    <row r="61" spans="1:13" ht="13.8" thickBot="1" x14ac:dyDescent="0.3">
      <c r="A61" s="187"/>
      <c r="B61" s="5" t="s">
        <v>13</v>
      </c>
      <c r="C61" s="3" t="s">
        <v>14</v>
      </c>
      <c r="D61" s="6" t="s">
        <v>0</v>
      </c>
      <c r="E61" s="7" t="s">
        <v>13</v>
      </c>
      <c r="F61" s="3" t="s">
        <v>14</v>
      </c>
      <c r="G61" s="4" t="s">
        <v>0</v>
      </c>
      <c r="H61" s="5" t="s">
        <v>13</v>
      </c>
      <c r="I61" s="3" t="s">
        <v>14</v>
      </c>
      <c r="J61" s="6" t="s">
        <v>0</v>
      </c>
      <c r="K61" s="5" t="s">
        <v>13</v>
      </c>
      <c r="L61" s="3" t="s">
        <v>14</v>
      </c>
      <c r="M61" s="6" t="s">
        <v>0</v>
      </c>
    </row>
    <row r="62" spans="1:13" x14ac:dyDescent="0.25">
      <c r="A62" s="8" t="s">
        <v>1</v>
      </c>
      <c r="B62" s="17">
        <f>ROUND(B52,0)</f>
        <v>0</v>
      </c>
      <c r="C62" s="18">
        <f>ROUND(C52,0)</f>
        <v>0</v>
      </c>
      <c r="D62" s="19">
        <f>B62+C62</f>
        <v>0</v>
      </c>
      <c r="E62" s="20">
        <f>ROUND(E52,0)</f>
        <v>0</v>
      </c>
      <c r="F62" s="18">
        <f>ROUND(F52,0)</f>
        <v>0</v>
      </c>
      <c r="G62" s="21">
        <f>E62+F62</f>
        <v>0</v>
      </c>
      <c r="H62" s="17">
        <f>ROUND(H52,0)</f>
        <v>0</v>
      </c>
      <c r="I62" s="18">
        <f>ROUND(I52,0)</f>
        <v>0</v>
      </c>
      <c r="J62" s="19">
        <f>H62+I62</f>
        <v>0</v>
      </c>
      <c r="K62" s="17">
        <f>ROUND(K52,0)</f>
        <v>0</v>
      </c>
      <c r="L62" s="18">
        <f>ROUND(L52,0)</f>
        <v>0</v>
      </c>
      <c r="M62" s="19">
        <f>K62+L62</f>
        <v>0</v>
      </c>
    </row>
    <row r="63" spans="1:13" x14ac:dyDescent="0.25">
      <c r="A63" s="9" t="s">
        <v>2</v>
      </c>
      <c r="B63" s="22">
        <f>ROUND(D53,0)</f>
        <v>0</v>
      </c>
      <c r="C63" s="23">
        <f>B63</f>
        <v>0</v>
      </c>
      <c r="D63" s="24">
        <f>B63+C63</f>
        <v>0</v>
      </c>
      <c r="E63" s="22">
        <f>ROUND(G53,0)</f>
        <v>0</v>
      </c>
      <c r="F63" s="23">
        <f>E63</f>
        <v>0</v>
      </c>
      <c r="G63" s="24">
        <f>E63+F63</f>
        <v>0</v>
      </c>
      <c r="H63" s="22">
        <f>ROUND(J53,0)</f>
        <v>0</v>
      </c>
      <c r="I63" s="23">
        <f>H63</f>
        <v>0</v>
      </c>
      <c r="J63" s="24">
        <f>H63+I63</f>
        <v>0</v>
      </c>
      <c r="K63" s="22">
        <f>ROUND(M53,0)</f>
        <v>0</v>
      </c>
      <c r="L63" s="23">
        <f>K63</f>
        <v>0</v>
      </c>
      <c r="M63" s="24">
        <f>K63+L63</f>
        <v>0</v>
      </c>
    </row>
    <row r="64" spans="1:13" ht="13.8" thickBot="1" x14ac:dyDescent="0.3">
      <c r="A64" s="10" t="s">
        <v>15</v>
      </c>
      <c r="B64" s="27">
        <f>ROUND(B54,0)</f>
        <v>0</v>
      </c>
      <c r="C64" s="28">
        <f>ROUND(C54,0)</f>
        <v>0</v>
      </c>
      <c r="D64" s="29">
        <f>B64+C64</f>
        <v>0</v>
      </c>
      <c r="E64" s="30">
        <f>ROUND(E54,0)</f>
        <v>0</v>
      </c>
      <c r="F64" s="28">
        <f>ROUND(F54,0)</f>
        <v>0</v>
      </c>
      <c r="G64" s="31">
        <f>E64+F64</f>
        <v>0</v>
      </c>
      <c r="H64" s="27">
        <f>ROUND(H54,0)</f>
        <v>0</v>
      </c>
      <c r="I64" s="28">
        <f>ROUND(I54,0)</f>
        <v>0</v>
      </c>
      <c r="J64" s="29">
        <f>H64+I64</f>
        <v>0</v>
      </c>
      <c r="K64" s="27">
        <f>ROUND(K54,0)</f>
        <v>0</v>
      </c>
      <c r="L64" s="28">
        <f>ROUND(L54,0)</f>
        <v>0</v>
      </c>
      <c r="M64" s="29">
        <f>K64+L64</f>
        <v>0</v>
      </c>
    </row>
    <row r="65" spans="1:13" ht="13.8" thickBot="1" x14ac:dyDescent="0.3">
      <c r="A65" s="11" t="s">
        <v>0</v>
      </c>
      <c r="B65" s="32">
        <f t="shared" ref="B65:J65" si="8">SUM(B62:B64)</f>
        <v>0</v>
      </c>
      <c r="C65" s="33">
        <f t="shared" si="8"/>
        <v>0</v>
      </c>
      <c r="D65" s="34">
        <f t="shared" si="8"/>
        <v>0</v>
      </c>
      <c r="E65" s="35">
        <f t="shared" si="8"/>
        <v>0</v>
      </c>
      <c r="F65" s="33">
        <f t="shared" si="8"/>
        <v>0</v>
      </c>
      <c r="G65" s="36">
        <f t="shared" si="8"/>
        <v>0</v>
      </c>
      <c r="H65" s="32">
        <f t="shared" si="8"/>
        <v>0</v>
      </c>
      <c r="I65" s="33">
        <f t="shared" si="8"/>
        <v>0</v>
      </c>
      <c r="J65" s="34">
        <f t="shared" si="8"/>
        <v>0</v>
      </c>
      <c r="K65" s="32">
        <f>SUM(K62:K64)</f>
        <v>0</v>
      </c>
      <c r="L65" s="33">
        <f>SUM(L62:L64)</f>
        <v>0</v>
      </c>
      <c r="M65" s="34">
        <f>SUM(M62:M64)</f>
        <v>0</v>
      </c>
    </row>
    <row r="68" spans="1:13" x14ac:dyDescent="0.25">
      <c r="A68" s="82" t="s">
        <v>29</v>
      </c>
    </row>
    <row r="69" spans="1:13" x14ac:dyDescent="0.25">
      <c r="A69" s="96" t="s">
        <v>36</v>
      </c>
    </row>
    <row r="70" spans="1:13" x14ac:dyDescent="0.25">
      <c r="A70" s="95" t="s">
        <v>53</v>
      </c>
    </row>
    <row r="71" spans="1:13" x14ac:dyDescent="0.25">
      <c r="A71" s="95"/>
    </row>
  </sheetData>
  <mergeCells count="17">
    <mergeCell ref="B29:C29"/>
    <mergeCell ref="D29:E29"/>
    <mergeCell ref="A37:E37"/>
    <mergeCell ref="B38:D38"/>
    <mergeCell ref="E38:G38"/>
    <mergeCell ref="K38:M38"/>
    <mergeCell ref="A50:A51"/>
    <mergeCell ref="B50:D50"/>
    <mergeCell ref="E50:G50"/>
    <mergeCell ref="H50:J50"/>
    <mergeCell ref="K50:M50"/>
    <mergeCell ref="H38:J38"/>
    <mergeCell ref="A60:A61"/>
    <mergeCell ref="B60:D60"/>
    <mergeCell ref="E60:G60"/>
    <mergeCell ref="H60:J60"/>
    <mergeCell ref="K60:M60"/>
  </mergeCells>
  <pageMargins left="0.7" right="0.7" top="0.75" bottom="0.75" header="0.3" footer="0.3"/>
  <pageSetup paperSize="195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71"/>
  <sheetViews>
    <sheetView zoomScaleNormal="100" workbookViewId="0">
      <selection activeCell="K3" sqref="K3"/>
    </sheetView>
  </sheetViews>
  <sheetFormatPr defaultColWidth="9.109375" defaultRowHeight="13.2" x14ac:dyDescent="0.25"/>
  <cols>
    <col min="1" max="1" width="18.6640625" style="1" customWidth="1"/>
    <col min="2" max="2" width="9.88671875" style="1" customWidth="1"/>
    <col min="3" max="3" width="9.5546875" style="1" customWidth="1"/>
    <col min="4" max="16384" width="9.109375" style="1"/>
  </cols>
  <sheetData>
    <row r="1" spans="1:12" x14ac:dyDescent="0.25">
      <c r="B1" s="12" t="s">
        <v>11</v>
      </c>
      <c r="C1" s="12" t="s">
        <v>12</v>
      </c>
      <c r="K1" s="12" t="s">
        <v>56</v>
      </c>
    </row>
    <row r="2" spans="1:12" x14ac:dyDescent="0.25">
      <c r="A2" s="2" t="s">
        <v>25</v>
      </c>
      <c r="B2" s="1">
        <v>139</v>
      </c>
      <c r="C2" s="1">
        <v>196</v>
      </c>
      <c r="K2" s="154">
        <v>1.02</v>
      </c>
      <c r="L2" s="103" t="s">
        <v>57</v>
      </c>
    </row>
    <row r="3" spans="1:12" x14ac:dyDescent="0.25">
      <c r="A3" s="37" t="s">
        <v>39</v>
      </c>
      <c r="B3" s="71">
        <v>0.25</v>
      </c>
      <c r="K3" s="95" t="s">
        <v>41</v>
      </c>
    </row>
    <row r="4" spans="1:12" x14ac:dyDescent="0.25">
      <c r="A4" s="37" t="s">
        <v>55</v>
      </c>
      <c r="B4" s="1">
        <f>K2</f>
        <v>1.02</v>
      </c>
      <c r="C4" s="1">
        <f>B4</f>
        <v>1.02</v>
      </c>
    </row>
    <row r="5" spans="1:12" x14ac:dyDescent="0.25">
      <c r="A5" s="1" t="s">
        <v>6</v>
      </c>
      <c r="B5" s="37">
        <f>ROUND(B4*(B2*(1-B3)),0)</f>
        <v>106</v>
      </c>
      <c r="C5" s="37">
        <f>ROUND(B4*(C2*(1-B3)),0)</f>
        <v>150</v>
      </c>
    </row>
    <row r="6" spans="1:12" x14ac:dyDescent="0.25">
      <c r="A6" s="69" t="s">
        <v>26</v>
      </c>
    </row>
    <row r="7" spans="1:12" x14ac:dyDescent="0.25">
      <c r="A7" s="1" t="s">
        <v>7</v>
      </c>
      <c r="B7" s="14">
        <v>0.03</v>
      </c>
    </row>
    <row r="8" spans="1:12" x14ac:dyDescent="0.25">
      <c r="A8" s="1" t="s">
        <v>8</v>
      </c>
      <c r="B8" s="14">
        <v>0.05</v>
      </c>
      <c r="C8" s="14">
        <v>0.06</v>
      </c>
    </row>
    <row r="9" spans="1:12" x14ac:dyDescent="0.25">
      <c r="A9" s="1" t="s">
        <v>9</v>
      </c>
      <c r="B9" s="14">
        <v>0.06</v>
      </c>
    </row>
    <row r="10" spans="1:12" x14ac:dyDescent="0.25">
      <c r="B10" s="14"/>
    </row>
    <row r="11" spans="1:12" x14ac:dyDescent="0.25">
      <c r="A11" s="2" t="s">
        <v>31</v>
      </c>
      <c r="B11" s="95"/>
      <c r="C11" s="95"/>
      <c r="F11" s="95"/>
      <c r="G11" s="95"/>
    </row>
    <row r="12" spans="1:12" x14ac:dyDescent="0.25">
      <c r="A12" s="1" t="s">
        <v>1</v>
      </c>
      <c r="B12" s="101">
        <v>0.12</v>
      </c>
      <c r="C12" s="101"/>
      <c r="F12" s="101"/>
      <c r="G12" s="101"/>
    </row>
    <row r="13" spans="1:12" x14ac:dyDescent="0.25">
      <c r="A13" s="1" t="s">
        <v>2</v>
      </c>
      <c r="B13" s="109">
        <v>0</v>
      </c>
      <c r="C13" s="101"/>
      <c r="F13" s="109"/>
      <c r="G13" s="101"/>
    </row>
    <row r="14" spans="1:12" x14ac:dyDescent="0.25">
      <c r="A14" s="1" t="s">
        <v>3</v>
      </c>
      <c r="B14" s="109">
        <v>0.05</v>
      </c>
      <c r="C14" s="101"/>
      <c r="F14" s="109"/>
      <c r="G14" s="101"/>
    </row>
    <row r="15" spans="1:12" x14ac:dyDescent="0.25">
      <c r="A15" s="95" t="s">
        <v>43</v>
      </c>
      <c r="B15" s="109">
        <v>0.05</v>
      </c>
      <c r="C15" s="101"/>
      <c r="E15" s="95"/>
      <c r="F15" s="109"/>
      <c r="G15" s="101"/>
    </row>
    <row r="16" spans="1:12" x14ac:dyDescent="0.25">
      <c r="A16" s="1" t="s">
        <v>5</v>
      </c>
      <c r="B16" s="109">
        <v>0.78</v>
      </c>
      <c r="C16" s="101"/>
      <c r="E16" s="95"/>
      <c r="F16" s="109"/>
      <c r="G16" s="151"/>
    </row>
    <row r="17" spans="1:7" x14ac:dyDescent="0.25">
      <c r="F17" s="95"/>
      <c r="G17" s="95"/>
    </row>
    <row r="18" spans="1:7" x14ac:dyDescent="0.25">
      <c r="A18" s="2" t="s">
        <v>28</v>
      </c>
    </row>
    <row r="19" spans="1:7" x14ac:dyDescent="0.25">
      <c r="A19" s="1" t="s">
        <v>1</v>
      </c>
      <c r="B19" s="15">
        <v>2.8</v>
      </c>
    </row>
    <row r="20" spans="1:7" x14ac:dyDescent="0.25">
      <c r="A20" s="1" t="s">
        <v>2</v>
      </c>
      <c r="B20" s="15">
        <v>2.8</v>
      </c>
    </row>
    <row r="22" spans="1:7" x14ac:dyDescent="0.25">
      <c r="A22" s="2" t="s">
        <v>27</v>
      </c>
      <c r="B22" s="14"/>
    </row>
    <row r="23" spans="1:7" x14ac:dyDescent="0.25">
      <c r="A23" s="1" t="s">
        <v>7</v>
      </c>
      <c r="B23" s="14">
        <v>0.5</v>
      </c>
    </row>
    <row r="24" spans="1:7" x14ac:dyDescent="0.25">
      <c r="A24" s="1" t="s">
        <v>8</v>
      </c>
      <c r="B24" s="14">
        <v>0.45</v>
      </c>
      <c r="C24" s="14">
        <v>0.55000000000000004</v>
      </c>
    </row>
    <row r="25" spans="1:7" x14ac:dyDescent="0.25">
      <c r="A25" s="1" t="s">
        <v>9</v>
      </c>
      <c r="B25" s="14">
        <v>0.55000000000000004</v>
      </c>
    </row>
    <row r="26" spans="1:7" x14ac:dyDescent="0.25">
      <c r="B26" s="14"/>
    </row>
    <row r="28" spans="1:7" x14ac:dyDescent="0.25">
      <c r="A28" s="12" t="s">
        <v>24</v>
      </c>
    </row>
    <row r="29" spans="1:7" x14ac:dyDescent="0.25">
      <c r="A29" s="12"/>
      <c r="B29" s="200" t="s">
        <v>20</v>
      </c>
      <c r="C29" s="200"/>
      <c r="D29" s="200" t="s">
        <v>12</v>
      </c>
      <c r="E29" s="200"/>
    </row>
    <row r="30" spans="1:7" x14ac:dyDescent="0.25">
      <c r="A30" s="2" t="s">
        <v>63</v>
      </c>
      <c r="B30" s="1">
        <v>0</v>
      </c>
      <c r="C30" s="16">
        <f>ROUND(B30*B4,0)</f>
        <v>0</v>
      </c>
      <c r="D30" s="95">
        <v>0</v>
      </c>
      <c r="E30" s="16">
        <f>ROUND(D30*C4,0)</f>
        <v>0</v>
      </c>
    </row>
    <row r="31" spans="1:7" x14ac:dyDescent="0.25">
      <c r="C31" s="16"/>
      <c r="E31" s="16"/>
    </row>
    <row r="32" spans="1:7" x14ac:dyDescent="0.25">
      <c r="A32" s="2" t="s">
        <v>64</v>
      </c>
      <c r="C32" s="16"/>
      <c r="E32" s="16"/>
    </row>
    <row r="33" spans="1:13" x14ac:dyDescent="0.25">
      <c r="A33" s="1" t="s">
        <v>7</v>
      </c>
      <c r="B33" s="14">
        <v>0</v>
      </c>
      <c r="C33" s="16">
        <f>B33*C30</f>
        <v>0</v>
      </c>
    </row>
    <row r="34" spans="1:13" x14ac:dyDescent="0.25">
      <c r="A34" s="1" t="s">
        <v>8</v>
      </c>
      <c r="B34" s="14">
        <v>0</v>
      </c>
      <c r="C34" s="16">
        <f>B34*C30</f>
        <v>0</v>
      </c>
      <c r="D34" s="14">
        <v>0</v>
      </c>
      <c r="E34" s="16">
        <f>E30*D34</f>
        <v>0</v>
      </c>
    </row>
    <row r="35" spans="1:13" x14ac:dyDescent="0.25">
      <c r="A35" s="1" t="s">
        <v>9</v>
      </c>
      <c r="B35" s="14">
        <v>0</v>
      </c>
      <c r="C35" s="16">
        <f>B35*C30</f>
        <v>0</v>
      </c>
    </row>
    <row r="37" spans="1:13" ht="13.8" thickBot="1" x14ac:dyDescent="0.3">
      <c r="A37" s="194" t="str">
        <f>RIGHT(K1,LEN(K1)-5) &amp;" Person Trips"</f>
        <v>Open Space (Active) Person Trips</v>
      </c>
      <c r="B37" s="194"/>
      <c r="C37" s="194"/>
      <c r="D37" s="194"/>
      <c r="E37" s="194"/>
      <c r="F37" s="80"/>
      <c r="G37" s="80"/>
      <c r="H37" s="80"/>
      <c r="I37" s="80"/>
      <c r="J37" s="80"/>
      <c r="K37" s="80"/>
      <c r="L37" s="80"/>
      <c r="M37" s="80"/>
    </row>
    <row r="38" spans="1:13" x14ac:dyDescent="0.25">
      <c r="A38" s="38"/>
      <c r="B38" s="188" t="s">
        <v>7</v>
      </c>
      <c r="C38" s="189"/>
      <c r="D38" s="190"/>
      <c r="E38" s="191" t="s">
        <v>8</v>
      </c>
      <c r="F38" s="192"/>
      <c r="G38" s="193"/>
      <c r="H38" s="199" t="s">
        <v>9</v>
      </c>
      <c r="I38" s="192"/>
      <c r="J38" s="198"/>
      <c r="K38" s="191" t="s">
        <v>19</v>
      </c>
      <c r="L38" s="192"/>
      <c r="M38" s="198"/>
    </row>
    <row r="39" spans="1:13" ht="13.8" thickBot="1" x14ac:dyDescent="0.3">
      <c r="A39" s="39"/>
      <c r="B39" s="75" t="s">
        <v>13</v>
      </c>
      <c r="C39" s="76" t="s">
        <v>14</v>
      </c>
      <c r="D39" s="77" t="s">
        <v>0</v>
      </c>
      <c r="E39" s="78" t="s">
        <v>13</v>
      </c>
      <c r="F39" s="76" t="s">
        <v>14</v>
      </c>
      <c r="G39" s="79" t="s">
        <v>0</v>
      </c>
      <c r="H39" s="75" t="s">
        <v>13</v>
      </c>
      <c r="I39" s="76" t="s">
        <v>14</v>
      </c>
      <c r="J39" s="77" t="s">
        <v>0</v>
      </c>
      <c r="K39" s="78" t="s">
        <v>13</v>
      </c>
      <c r="L39" s="76" t="s">
        <v>14</v>
      </c>
      <c r="M39" s="77" t="s">
        <v>0</v>
      </c>
    </row>
    <row r="40" spans="1:13" x14ac:dyDescent="0.25">
      <c r="A40" s="45" t="s">
        <v>1</v>
      </c>
      <c r="B40" s="46">
        <f>ROUND($B$5*$B$7*$B12*$B$23,0)</f>
        <v>0</v>
      </c>
      <c r="C40" s="47">
        <f>ROUND($B$5*$B$7*$B12*(1-$B$23),0)</f>
        <v>0</v>
      </c>
      <c r="D40" s="48">
        <f>SUM(B40:C40)</f>
        <v>0</v>
      </c>
      <c r="E40" s="49">
        <f>ROUND($B$5*$B$8*$B12*$B$24,0)</f>
        <v>0</v>
      </c>
      <c r="F40" s="47">
        <f>ROUND($B$5*$B$8*$B12*(1-$B$24),0)</f>
        <v>0</v>
      </c>
      <c r="G40" s="50">
        <f>SUM(E40:F40)</f>
        <v>0</v>
      </c>
      <c r="H40" s="46">
        <f>ROUND($B$5*$B$9*$B12*$B$25,0)</f>
        <v>0</v>
      </c>
      <c r="I40" s="47">
        <f>ROUND($B$5*$B$9*$B12*(1-$B$25),0)</f>
        <v>0</v>
      </c>
      <c r="J40" s="81">
        <f>SUM(H40:I40)</f>
        <v>0</v>
      </c>
      <c r="K40" s="49">
        <f>ROUND($C$5*$C$8*$B12*$C$24,0)</f>
        <v>1</v>
      </c>
      <c r="L40" s="47">
        <f>ROUND($C$5*$C$8*$B12*(1-$C$24),0)</f>
        <v>0</v>
      </c>
      <c r="M40" s="48">
        <f>SUM(K40:L40)</f>
        <v>1</v>
      </c>
    </row>
    <row r="41" spans="1:13" x14ac:dyDescent="0.25">
      <c r="A41" s="51" t="s">
        <v>2</v>
      </c>
      <c r="B41" s="52">
        <f>ROUND($B$5*$B$7*$B13*$B$23,0)</f>
        <v>0</v>
      </c>
      <c r="C41" s="53">
        <f>ROUND($B$5*$B$7*$B13*(1-$B$23),0)</f>
        <v>0</v>
      </c>
      <c r="D41" s="54">
        <f>SUM(B41:C41)</f>
        <v>0</v>
      </c>
      <c r="E41" s="49">
        <f>ROUND($B$5*$B$8*$B13*$B$24,0)</f>
        <v>0</v>
      </c>
      <c r="F41" s="53">
        <f>ROUND($B$5*$B$8*$B13*(1-$B$24),0)</f>
        <v>0</v>
      </c>
      <c r="G41" s="56">
        <f>SUM(E41:F41)</f>
        <v>0</v>
      </c>
      <c r="H41" s="52">
        <f>ROUND($B$5*$B$9*$B13*$B$25,0)</f>
        <v>0</v>
      </c>
      <c r="I41" s="53">
        <f>ROUND($B$5*$B$9*$B13*(1-$B$25),0)</f>
        <v>0</v>
      </c>
      <c r="J41" s="54">
        <f>SUM(H41:I41)</f>
        <v>0</v>
      </c>
      <c r="K41" s="55">
        <f>ROUND($C$5*$C$8*$B13*$C$24,0)</f>
        <v>0</v>
      </c>
      <c r="L41" s="53">
        <f>ROUND($C$5*$C$8*$B13*(1-$C$24),0)</f>
        <v>0</v>
      </c>
      <c r="M41" s="54">
        <f>SUM(K41:L41)</f>
        <v>0</v>
      </c>
    </row>
    <row r="42" spans="1:13" x14ac:dyDescent="0.25">
      <c r="A42" s="51" t="s">
        <v>3</v>
      </c>
      <c r="B42" s="52">
        <f>ROUND($B$5*$B$7*$B14*$B$23,0)</f>
        <v>0</v>
      </c>
      <c r="C42" s="53">
        <f>ROUND($B$5*$B$7*$B14*(1-$B$23),0)</f>
        <v>0</v>
      </c>
      <c r="D42" s="54">
        <f>SUM(B42:C42)</f>
        <v>0</v>
      </c>
      <c r="E42" s="49">
        <f>ROUND($B$5*$B$8*$B14*$B$24,0)</f>
        <v>0</v>
      </c>
      <c r="F42" s="53">
        <f>ROUND($B$5*$B$8*$B14*(1-$B$24),0)</f>
        <v>0</v>
      </c>
      <c r="G42" s="56">
        <f>SUM(E42:F42)</f>
        <v>0</v>
      </c>
      <c r="H42" s="52">
        <f>ROUND($B$5*$B$9*$B14*$B$25,0)</f>
        <v>0</v>
      </c>
      <c r="I42" s="53">
        <f>ROUND($B$5*$B$9*$B14*(1-$B$25),0)</f>
        <v>0</v>
      </c>
      <c r="J42" s="54">
        <f>SUM(H42:I42)</f>
        <v>0</v>
      </c>
      <c r="K42" s="55">
        <f>ROUND($C$5*$C$8*$B14*$C$24,0)</f>
        <v>0</v>
      </c>
      <c r="L42" s="53">
        <f>ROUND($C$5*$C$8*$B14*(1-$C$24),0)</f>
        <v>0</v>
      </c>
      <c r="M42" s="54">
        <f>SUM(K42:L42)</f>
        <v>0</v>
      </c>
    </row>
    <row r="43" spans="1:13" x14ac:dyDescent="0.25">
      <c r="A43" s="51" t="s">
        <v>4</v>
      </c>
      <c r="B43" s="52">
        <f>ROUND($B$5*$B$7*$B15*$B$23,0)</f>
        <v>0</v>
      </c>
      <c r="C43" s="53">
        <f>ROUND($B$5*$B$7*$B15*(1-$B$23),0)</f>
        <v>0</v>
      </c>
      <c r="D43" s="54">
        <f>SUM(B43:C43)</f>
        <v>0</v>
      </c>
      <c r="E43" s="49">
        <f>ROUND($B$5*$B$8*$B15*$B$24,0)</f>
        <v>0</v>
      </c>
      <c r="F43" s="53">
        <f>ROUND($B$5*$B$8*$B15*(1-$B$24),0)</f>
        <v>0</v>
      </c>
      <c r="G43" s="56">
        <f>SUM(E43:F43)</f>
        <v>0</v>
      </c>
      <c r="H43" s="52">
        <f>ROUND($B$5*$B$9*$B15*$B$25,0)</f>
        <v>0</v>
      </c>
      <c r="I43" s="53">
        <f>ROUND($B$5*$B$9*$B15*(1-$B$25),0)</f>
        <v>0</v>
      </c>
      <c r="J43" s="54">
        <f>SUM(H43:I43)</f>
        <v>0</v>
      </c>
      <c r="K43" s="55">
        <f>ROUND($C$5*$C$8*$B15*$C$24,0)</f>
        <v>0</v>
      </c>
      <c r="L43" s="53">
        <f>ROUND($C$5*$C$8*$B15*(1-$C$24),0)</f>
        <v>0</v>
      </c>
      <c r="M43" s="54">
        <f>SUM(K43:L43)</f>
        <v>0</v>
      </c>
    </row>
    <row r="44" spans="1:13" ht="13.8" thickBot="1" x14ac:dyDescent="0.3">
      <c r="A44" s="57" t="s">
        <v>18</v>
      </c>
      <c r="B44" s="58">
        <f>ROUND($B$5*$B$7*$B16*$B$23,0)</f>
        <v>1</v>
      </c>
      <c r="C44" s="59">
        <f>ROUND($B$5*$B$7*$B16*(1-$B$23),0)</f>
        <v>1</v>
      </c>
      <c r="D44" s="60">
        <f>SUM(B44:C44)</f>
        <v>2</v>
      </c>
      <c r="E44" s="61">
        <f>ROUND($B$5*$B$8*$B16*$B$24,0)</f>
        <v>2</v>
      </c>
      <c r="F44" s="59">
        <f>ROUND($B$5*$B$8*$B16*(1-$B$24),0)</f>
        <v>2</v>
      </c>
      <c r="G44" s="62">
        <f>SUM(E44:F44)</f>
        <v>4</v>
      </c>
      <c r="H44" s="58">
        <f>ROUND($B$5*$B$9*$B16*$B$25,0)</f>
        <v>3</v>
      </c>
      <c r="I44" s="59">
        <f>ROUND($B$5*$B$9*$B16*(1-$B$25),0)</f>
        <v>2</v>
      </c>
      <c r="J44" s="60">
        <f>SUM(H44:I44)</f>
        <v>5</v>
      </c>
      <c r="K44" s="61">
        <f>ROUND($C$5*$C$8*$B16*$C$24,0)</f>
        <v>4</v>
      </c>
      <c r="L44" s="59">
        <f>ROUND($C$5*$C$8*$B16*(1-$C$24),0)</f>
        <v>3</v>
      </c>
      <c r="M44" s="60">
        <f>SUM(K44:L44)</f>
        <v>7</v>
      </c>
    </row>
    <row r="45" spans="1:13" ht="13.8" thickBot="1" x14ac:dyDescent="0.3">
      <c r="A45" s="63" t="s">
        <v>0</v>
      </c>
      <c r="B45" s="64">
        <f t="shared" ref="B45:M45" si="0">SUM(B40:B44)</f>
        <v>1</v>
      </c>
      <c r="C45" s="65">
        <f t="shared" si="0"/>
        <v>1</v>
      </c>
      <c r="D45" s="66">
        <f t="shared" si="0"/>
        <v>2</v>
      </c>
      <c r="E45" s="67">
        <f t="shared" si="0"/>
        <v>2</v>
      </c>
      <c r="F45" s="65">
        <f t="shared" si="0"/>
        <v>2</v>
      </c>
      <c r="G45" s="68">
        <f t="shared" si="0"/>
        <v>4</v>
      </c>
      <c r="H45" s="64">
        <f t="shared" si="0"/>
        <v>3</v>
      </c>
      <c r="I45" s="65">
        <f t="shared" si="0"/>
        <v>2</v>
      </c>
      <c r="J45" s="66">
        <f t="shared" si="0"/>
        <v>5</v>
      </c>
      <c r="K45" s="67">
        <f>SUM(K40:K44)</f>
        <v>5</v>
      </c>
      <c r="L45" s="65">
        <f>SUM(L40:L44)</f>
        <v>3</v>
      </c>
      <c r="M45" s="66">
        <f t="shared" si="0"/>
        <v>8</v>
      </c>
    </row>
    <row r="49" spans="1:13" ht="13.8" thickBot="1" x14ac:dyDescent="0.3">
      <c r="A49" s="1" t="str">
        <f>RIGHT(K1,LEN(K1)-5) &amp;" Vehicle Trips - Before balancing"</f>
        <v>Open Space (Active) Vehicle Trips - Before balancing</v>
      </c>
    </row>
    <row r="50" spans="1:13" x14ac:dyDescent="0.25">
      <c r="A50" s="186"/>
      <c r="B50" s="196" t="s">
        <v>7</v>
      </c>
      <c r="C50" s="195"/>
      <c r="D50" s="197"/>
      <c r="E50" s="195" t="s">
        <v>16</v>
      </c>
      <c r="F50" s="195"/>
      <c r="G50" s="195"/>
      <c r="H50" s="196" t="s">
        <v>9</v>
      </c>
      <c r="I50" s="195"/>
      <c r="J50" s="197"/>
      <c r="K50" s="196" t="s">
        <v>10</v>
      </c>
      <c r="L50" s="195"/>
      <c r="M50" s="197"/>
    </row>
    <row r="51" spans="1:13" ht="13.8" thickBot="1" x14ac:dyDescent="0.3">
      <c r="A51" s="187"/>
      <c r="B51" s="5" t="s">
        <v>13</v>
      </c>
      <c r="C51" s="3" t="s">
        <v>14</v>
      </c>
      <c r="D51" s="6" t="s">
        <v>0</v>
      </c>
      <c r="E51" s="7" t="s">
        <v>13</v>
      </c>
      <c r="F51" s="3" t="s">
        <v>14</v>
      </c>
      <c r="G51" s="4" t="s">
        <v>0</v>
      </c>
      <c r="H51" s="5" t="s">
        <v>13</v>
      </c>
      <c r="I51" s="3" t="s">
        <v>14</v>
      </c>
      <c r="J51" s="6" t="s">
        <v>0</v>
      </c>
      <c r="K51" s="5" t="s">
        <v>13</v>
      </c>
      <c r="L51" s="3" t="s">
        <v>14</v>
      </c>
      <c r="M51" s="6" t="s">
        <v>0</v>
      </c>
    </row>
    <row r="52" spans="1:13" x14ac:dyDescent="0.25">
      <c r="A52" s="8" t="s">
        <v>1</v>
      </c>
      <c r="B52" s="17">
        <f>ROUND(B40/$B$19,0)</f>
        <v>0</v>
      </c>
      <c r="C52" s="18">
        <f>ROUND(C40/$B$19,0)</f>
        <v>0</v>
      </c>
      <c r="D52" s="19">
        <f>SUM(B52:C52)</f>
        <v>0</v>
      </c>
      <c r="E52" s="20">
        <f>ROUND(E40/$B$19,0)</f>
        <v>0</v>
      </c>
      <c r="F52" s="18">
        <f>ROUND(F40/$B$19,0)</f>
        <v>0</v>
      </c>
      <c r="G52" s="21">
        <f>SUM(E52:F52)</f>
        <v>0</v>
      </c>
      <c r="H52" s="17">
        <f>ROUND(H40/$B$19,0)</f>
        <v>0</v>
      </c>
      <c r="I52" s="18">
        <f>ROUND(I40/$B$19,0)</f>
        <v>0</v>
      </c>
      <c r="J52" s="19">
        <f>SUM(H52:I52)</f>
        <v>0</v>
      </c>
      <c r="K52" s="17">
        <f>ROUND(K40/$B$19,0)</f>
        <v>0</v>
      </c>
      <c r="L52" s="18">
        <f>ROUND(L40/$B$19,0)</f>
        <v>0</v>
      </c>
      <c r="M52" s="19">
        <f>SUM(K52:L52)</f>
        <v>0</v>
      </c>
    </row>
    <row r="53" spans="1:13" x14ac:dyDescent="0.25">
      <c r="A53" s="9" t="s">
        <v>2</v>
      </c>
      <c r="B53" s="22">
        <f>ROUND(B41/$B$20,0)</f>
        <v>0</v>
      </c>
      <c r="C53" s="23">
        <f>ROUND(C41/$B$20,0)</f>
        <v>0</v>
      </c>
      <c r="D53" s="24">
        <f>B53+C53</f>
        <v>0</v>
      </c>
      <c r="E53" s="25">
        <f>ROUND(E41/$B$20,0)</f>
        <v>0</v>
      </c>
      <c r="F53" s="23">
        <f>ROUND(F41/$B$20,0)</f>
        <v>0</v>
      </c>
      <c r="G53" s="26">
        <f>E53+F53</f>
        <v>0</v>
      </c>
      <c r="H53" s="22">
        <f>ROUND(H41/$B$20,0)</f>
        <v>0</v>
      </c>
      <c r="I53" s="23">
        <f>ROUND(I41/$B$20,0)</f>
        <v>0</v>
      </c>
      <c r="J53" s="24">
        <f>H53+I53</f>
        <v>0</v>
      </c>
      <c r="K53" s="22">
        <f>ROUND(K41/$B$20,0)</f>
        <v>0</v>
      </c>
      <c r="L53" s="23">
        <f>ROUND(L41/$B$20,0)</f>
        <v>0</v>
      </c>
      <c r="M53" s="24">
        <f>K53+L53</f>
        <v>0</v>
      </c>
    </row>
    <row r="54" spans="1:13" ht="13.8" thickBot="1" x14ac:dyDescent="0.3">
      <c r="A54" s="10" t="s">
        <v>15</v>
      </c>
      <c r="B54" s="27">
        <f>ROUND(C33/2,0)</f>
        <v>0</v>
      </c>
      <c r="C54" s="28">
        <f>B54</f>
        <v>0</v>
      </c>
      <c r="D54" s="29">
        <f>B54+C54</f>
        <v>0</v>
      </c>
      <c r="E54" s="30">
        <f>ROUND(C34/2,0)</f>
        <v>0</v>
      </c>
      <c r="F54" s="28">
        <f t="shared" ref="F54" si="1">E54</f>
        <v>0</v>
      </c>
      <c r="G54" s="31">
        <f t="shared" ref="G54" si="2">E54+F54</f>
        <v>0</v>
      </c>
      <c r="H54" s="27">
        <f>ROUND(C35/2,0)</f>
        <v>0</v>
      </c>
      <c r="I54" s="28">
        <f t="shared" ref="I54" si="3">H54</f>
        <v>0</v>
      </c>
      <c r="J54" s="29">
        <f t="shared" ref="J54" si="4">H54+I54</f>
        <v>0</v>
      </c>
      <c r="K54" s="27">
        <f>ROUND(D34/2,0)</f>
        <v>0</v>
      </c>
      <c r="L54" s="28">
        <f t="shared" ref="L54" si="5">K54</f>
        <v>0</v>
      </c>
      <c r="M54" s="29">
        <f t="shared" ref="M54" si="6">K54+L54</f>
        <v>0</v>
      </c>
    </row>
    <row r="55" spans="1:13" ht="13.8" thickBot="1" x14ac:dyDescent="0.3">
      <c r="A55" s="11" t="s">
        <v>0</v>
      </c>
      <c r="B55" s="32">
        <f t="shared" ref="B55:M55" si="7">SUM(B52:B54)</f>
        <v>0</v>
      </c>
      <c r="C55" s="33">
        <f t="shared" si="7"/>
        <v>0</v>
      </c>
      <c r="D55" s="34">
        <f t="shared" si="7"/>
        <v>0</v>
      </c>
      <c r="E55" s="35">
        <f t="shared" si="7"/>
        <v>0</v>
      </c>
      <c r="F55" s="33">
        <f t="shared" si="7"/>
        <v>0</v>
      </c>
      <c r="G55" s="36">
        <f t="shared" si="7"/>
        <v>0</v>
      </c>
      <c r="H55" s="32">
        <f t="shared" si="7"/>
        <v>0</v>
      </c>
      <c r="I55" s="33">
        <f t="shared" si="7"/>
        <v>0</v>
      </c>
      <c r="J55" s="34">
        <f t="shared" si="7"/>
        <v>0</v>
      </c>
      <c r="K55" s="32">
        <f>SUM(K52:K54)</f>
        <v>0</v>
      </c>
      <c r="L55" s="33">
        <f>SUM(L52:L54)</f>
        <v>0</v>
      </c>
      <c r="M55" s="34">
        <f t="shared" si="7"/>
        <v>0</v>
      </c>
    </row>
    <row r="59" spans="1:13" ht="13.8" thickBot="1" x14ac:dyDescent="0.3">
      <c r="A59" s="1" t="str">
        <f>RIGHT(K1,LEN(K1)-5) &amp;" Vehicle Trips (Balanced for Taxis)"</f>
        <v>Open Space (Active) Vehicle Trips (Balanced for Taxis)</v>
      </c>
    </row>
    <row r="60" spans="1:13" x14ac:dyDescent="0.25">
      <c r="A60" s="186"/>
      <c r="B60" s="196" t="s">
        <v>7</v>
      </c>
      <c r="C60" s="195"/>
      <c r="D60" s="197"/>
      <c r="E60" s="195" t="s">
        <v>16</v>
      </c>
      <c r="F60" s="195"/>
      <c r="G60" s="195"/>
      <c r="H60" s="196" t="s">
        <v>9</v>
      </c>
      <c r="I60" s="195"/>
      <c r="J60" s="197"/>
      <c r="K60" s="196" t="s">
        <v>10</v>
      </c>
      <c r="L60" s="195"/>
      <c r="M60" s="197"/>
    </row>
    <row r="61" spans="1:13" ht="13.8" thickBot="1" x14ac:dyDescent="0.3">
      <c r="A61" s="187"/>
      <c r="B61" s="5" t="s">
        <v>13</v>
      </c>
      <c r="C61" s="3" t="s">
        <v>14</v>
      </c>
      <c r="D61" s="6" t="s">
        <v>0</v>
      </c>
      <c r="E61" s="7" t="s">
        <v>13</v>
      </c>
      <c r="F61" s="3" t="s">
        <v>14</v>
      </c>
      <c r="G61" s="4" t="s">
        <v>0</v>
      </c>
      <c r="H61" s="5" t="s">
        <v>13</v>
      </c>
      <c r="I61" s="3" t="s">
        <v>14</v>
      </c>
      <c r="J61" s="6" t="s">
        <v>0</v>
      </c>
      <c r="K61" s="5" t="s">
        <v>13</v>
      </c>
      <c r="L61" s="3" t="s">
        <v>14</v>
      </c>
      <c r="M61" s="6" t="s">
        <v>0</v>
      </c>
    </row>
    <row r="62" spans="1:13" x14ac:dyDescent="0.25">
      <c r="A62" s="8" t="s">
        <v>1</v>
      </c>
      <c r="B62" s="17">
        <f>ROUND(B52,0)</f>
        <v>0</v>
      </c>
      <c r="C62" s="18">
        <f>ROUND(C52,0)</f>
        <v>0</v>
      </c>
      <c r="D62" s="19">
        <f>B62+C62</f>
        <v>0</v>
      </c>
      <c r="E62" s="20">
        <f>ROUND(E52,0)</f>
        <v>0</v>
      </c>
      <c r="F62" s="18">
        <f>ROUND(F52,0)</f>
        <v>0</v>
      </c>
      <c r="G62" s="21">
        <f>E62+F62</f>
        <v>0</v>
      </c>
      <c r="H62" s="17">
        <f>ROUND(H52,0)</f>
        <v>0</v>
      </c>
      <c r="I62" s="18">
        <f>ROUND(I52,0)</f>
        <v>0</v>
      </c>
      <c r="J62" s="19">
        <f>H62+I62</f>
        <v>0</v>
      </c>
      <c r="K62" s="17">
        <f>ROUND(K52,0)</f>
        <v>0</v>
      </c>
      <c r="L62" s="18">
        <f>ROUND(L52,0)</f>
        <v>0</v>
      </c>
      <c r="M62" s="19">
        <f>K62+L62</f>
        <v>0</v>
      </c>
    </row>
    <row r="63" spans="1:13" x14ac:dyDescent="0.25">
      <c r="A63" s="9" t="s">
        <v>2</v>
      </c>
      <c r="B63" s="22">
        <f>ROUND(D53,0)</f>
        <v>0</v>
      </c>
      <c r="C63" s="23">
        <f>B63</f>
        <v>0</v>
      </c>
      <c r="D63" s="24">
        <f>B63+C63</f>
        <v>0</v>
      </c>
      <c r="E63" s="22">
        <f>ROUND(G53,0)</f>
        <v>0</v>
      </c>
      <c r="F63" s="23">
        <f>E63</f>
        <v>0</v>
      </c>
      <c r="G63" s="24">
        <f>E63+F63</f>
        <v>0</v>
      </c>
      <c r="H63" s="22">
        <f>ROUND(J53,0)</f>
        <v>0</v>
      </c>
      <c r="I63" s="23">
        <f>H63</f>
        <v>0</v>
      </c>
      <c r="J63" s="24">
        <f>H63+I63</f>
        <v>0</v>
      </c>
      <c r="K63" s="22">
        <f>ROUND(M53,0)</f>
        <v>0</v>
      </c>
      <c r="L63" s="23">
        <f>K63</f>
        <v>0</v>
      </c>
      <c r="M63" s="24">
        <f>K63+L63</f>
        <v>0</v>
      </c>
    </row>
    <row r="64" spans="1:13" ht="13.8" thickBot="1" x14ac:dyDescent="0.3">
      <c r="A64" s="10" t="s">
        <v>15</v>
      </c>
      <c r="B64" s="27">
        <f>ROUND(B54,0)</f>
        <v>0</v>
      </c>
      <c r="C64" s="28">
        <f>ROUND(C54,0)</f>
        <v>0</v>
      </c>
      <c r="D64" s="29">
        <f>B64+C64</f>
        <v>0</v>
      </c>
      <c r="E64" s="30">
        <f>ROUND(E54,0)</f>
        <v>0</v>
      </c>
      <c r="F64" s="28">
        <f>ROUND(F54,0)</f>
        <v>0</v>
      </c>
      <c r="G64" s="31">
        <f>E64+F64</f>
        <v>0</v>
      </c>
      <c r="H64" s="27">
        <f>ROUND(H54,0)</f>
        <v>0</v>
      </c>
      <c r="I64" s="28">
        <f>ROUND(I54,0)</f>
        <v>0</v>
      </c>
      <c r="J64" s="29">
        <f>H64+I64</f>
        <v>0</v>
      </c>
      <c r="K64" s="27">
        <f>ROUND(K54,0)</f>
        <v>0</v>
      </c>
      <c r="L64" s="28">
        <f>ROUND(L54,0)</f>
        <v>0</v>
      </c>
      <c r="M64" s="29">
        <f>K64+L64</f>
        <v>0</v>
      </c>
    </row>
    <row r="65" spans="1:13" ht="13.8" thickBot="1" x14ac:dyDescent="0.3">
      <c r="A65" s="11" t="s">
        <v>0</v>
      </c>
      <c r="B65" s="32">
        <f t="shared" ref="B65:J65" si="8">SUM(B62:B64)</f>
        <v>0</v>
      </c>
      <c r="C65" s="33">
        <f t="shared" si="8"/>
        <v>0</v>
      </c>
      <c r="D65" s="34">
        <f t="shared" si="8"/>
        <v>0</v>
      </c>
      <c r="E65" s="35">
        <f t="shared" si="8"/>
        <v>0</v>
      </c>
      <c r="F65" s="33">
        <f t="shared" si="8"/>
        <v>0</v>
      </c>
      <c r="G65" s="36">
        <f t="shared" si="8"/>
        <v>0</v>
      </c>
      <c r="H65" s="32">
        <f t="shared" si="8"/>
        <v>0</v>
      </c>
      <c r="I65" s="33">
        <f t="shared" si="8"/>
        <v>0</v>
      </c>
      <c r="J65" s="34">
        <f t="shared" si="8"/>
        <v>0</v>
      </c>
      <c r="K65" s="32">
        <f>SUM(K62:K64)</f>
        <v>0</v>
      </c>
      <c r="L65" s="33">
        <f>SUM(L62:L64)</f>
        <v>0</v>
      </c>
      <c r="M65" s="34">
        <f>SUM(M62:M64)</f>
        <v>0</v>
      </c>
    </row>
    <row r="68" spans="1:13" x14ac:dyDescent="0.25">
      <c r="A68" s="82" t="s">
        <v>29</v>
      </c>
    </row>
    <row r="69" spans="1:13" x14ac:dyDescent="0.25">
      <c r="A69" s="96" t="s">
        <v>36</v>
      </c>
    </row>
    <row r="70" spans="1:13" x14ac:dyDescent="0.25">
      <c r="A70" s="95" t="s">
        <v>53</v>
      </c>
    </row>
    <row r="71" spans="1:13" x14ac:dyDescent="0.25">
      <c r="A71" s="95"/>
    </row>
  </sheetData>
  <mergeCells count="17">
    <mergeCell ref="B29:C29"/>
    <mergeCell ref="D29:E29"/>
    <mergeCell ref="A37:E37"/>
    <mergeCell ref="B38:D38"/>
    <mergeCell ref="E38:G38"/>
    <mergeCell ref="K38:M38"/>
    <mergeCell ref="A50:A51"/>
    <mergeCell ref="B50:D50"/>
    <mergeCell ref="E50:G50"/>
    <mergeCell ref="H50:J50"/>
    <mergeCell ref="K50:M50"/>
    <mergeCell ref="H38:J38"/>
    <mergeCell ref="A60:A61"/>
    <mergeCell ref="B60:D60"/>
    <mergeCell ref="E60:G60"/>
    <mergeCell ref="H60:J60"/>
    <mergeCell ref="K60:M60"/>
  </mergeCells>
  <pageMargins left="0.7" right="0.7" top="0.75" bottom="0.75" header="0.3" footer="0.3"/>
  <pageSetup paperSize="195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71"/>
  <sheetViews>
    <sheetView zoomScaleNormal="100" workbookViewId="0">
      <selection activeCell="K3" sqref="K3"/>
    </sheetView>
  </sheetViews>
  <sheetFormatPr defaultColWidth="9.109375" defaultRowHeight="13.2" x14ac:dyDescent="0.25"/>
  <cols>
    <col min="1" max="1" width="18.6640625" style="37" customWidth="1"/>
    <col min="2" max="2" width="9.5546875" style="37" customWidth="1"/>
    <col min="3" max="3" width="9.109375" style="37"/>
    <col min="4" max="4" width="8.88671875" style="37" customWidth="1"/>
    <col min="5" max="16384" width="9.109375" style="37"/>
  </cols>
  <sheetData>
    <row r="1" spans="1:12" x14ac:dyDescent="0.25">
      <c r="B1" s="69" t="s">
        <v>20</v>
      </c>
      <c r="C1" s="69" t="s">
        <v>12</v>
      </c>
      <c r="K1" s="94" t="s">
        <v>66</v>
      </c>
    </row>
    <row r="2" spans="1:12" x14ac:dyDescent="0.25">
      <c r="A2" s="69" t="s">
        <v>25</v>
      </c>
      <c r="B2" s="37">
        <v>18</v>
      </c>
      <c r="C2" s="70">
        <v>3.9</v>
      </c>
      <c r="K2" s="105">
        <v>50</v>
      </c>
      <c r="L2" s="103" t="s">
        <v>38</v>
      </c>
    </row>
    <row r="3" spans="1:12" x14ac:dyDescent="0.25">
      <c r="A3" s="37" t="s">
        <v>39</v>
      </c>
      <c r="B3" s="71">
        <v>0</v>
      </c>
      <c r="K3" s="95" t="s">
        <v>41</v>
      </c>
    </row>
    <row r="4" spans="1:12" x14ac:dyDescent="0.25">
      <c r="A4" s="37" t="s">
        <v>67</v>
      </c>
      <c r="B4" s="108">
        <f>K2</f>
        <v>50</v>
      </c>
    </row>
    <row r="5" spans="1:12" x14ac:dyDescent="0.25">
      <c r="A5" s="37" t="s">
        <v>6</v>
      </c>
      <c r="B5" s="37">
        <f>ROUND(B4*(B2*(1-B3)),0)</f>
        <v>900</v>
      </c>
      <c r="C5" s="37">
        <f>ROUND(B4*(C2*(1-B3)),0)</f>
        <v>195</v>
      </c>
    </row>
    <row r="6" spans="1:12" x14ac:dyDescent="0.25">
      <c r="A6" s="69" t="s">
        <v>26</v>
      </c>
    </row>
    <row r="7" spans="1:12" x14ac:dyDescent="0.25">
      <c r="A7" s="37" t="s">
        <v>7</v>
      </c>
      <c r="B7" s="72">
        <v>0.12</v>
      </c>
    </row>
    <row r="8" spans="1:12" x14ac:dyDescent="0.25">
      <c r="A8" s="37" t="s">
        <v>8</v>
      </c>
      <c r="B8" s="72">
        <v>0.15</v>
      </c>
      <c r="C8" s="71">
        <v>0.17</v>
      </c>
    </row>
    <row r="9" spans="1:12" x14ac:dyDescent="0.25">
      <c r="A9" s="37" t="s">
        <v>9</v>
      </c>
      <c r="B9" s="72">
        <v>0.14000000000000001</v>
      </c>
    </row>
    <row r="10" spans="1:12" s="1" customFormat="1" x14ac:dyDescent="0.25">
      <c r="B10" s="14"/>
    </row>
    <row r="11" spans="1:12" x14ac:dyDescent="0.25">
      <c r="A11" s="2" t="s">
        <v>70</v>
      </c>
      <c r="B11" s="37" t="s">
        <v>69</v>
      </c>
      <c r="C11" s="37" t="s">
        <v>8</v>
      </c>
      <c r="F11" s="95" t="s">
        <v>65</v>
      </c>
    </row>
    <row r="12" spans="1:12" x14ac:dyDescent="0.25">
      <c r="A12" s="37" t="s">
        <v>1</v>
      </c>
      <c r="B12" s="158">
        <v>0.41299999999999998</v>
      </c>
      <c r="C12" s="72">
        <v>0.02</v>
      </c>
      <c r="F12" s="101">
        <v>0.46</v>
      </c>
    </row>
    <row r="13" spans="1:12" x14ac:dyDescent="0.25">
      <c r="A13" s="37" t="s">
        <v>2</v>
      </c>
      <c r="B13" s="158">
        <v>0.01</v>
      </c>
      <c r="C13" s="72">
        <v>0.03</v>
      </c>
      <c r="F13" s="109">
        <v>0.02</v>
      </c>
    </row>
    <row r="14" spans="1:12" x14ac:dyDescent="0.25">
      <c r="A14" s="37" t="s">
        <v>3</v>
      </c>
      <c r="B14" s="158">
        <v>0.19</v>
      </c>
      <c r="C14" s="72">
        <v>0.06</v>
      </c>
      <c r="F14" s="109">
        <v>0.16</v>
      </c>
    </row>
    <row r="15" spans="1:12" x14ac:dyDescent="0.25">
      <c r="A15" s="37" t="s">
        <v>4</v>
      </c>
      <c r="B15" s="158">
        <v>0.30099999999999999</v>
      </c>
      <c r="C15" s="72">
        <v>0.06</v>
      </c>
      <c r="F15" s="109">
        <v>0.28999999999999998</v>
      </c>
    </row>
    <row r="16" spans="1:12" x14ac:dyDescent="0.25">
      <c r="A16" s="37" t="s">
        <v>18</v>
      </c>
      <c r="B16" s="158">
        <v>8.5999999999999993E-2</v>
      </c>
      <c r="C16" s="72">
        <v>0.83</v>
      </c>
      <c r="F16" s="109">
        <v>7.0000000000000007E-2</v>
      </c>
    </row>
    <row r="17" spans="1:6" x14ac:dyDescent="0.25">
      <c r="B17" s="72"/>
      <c r="C17" s="72"/>
      <c r="F17" s="95" t="s">
        <v>50</v>
      </c>
    </row>
    <row r="18" spans="1:6" x14ac:dyDescent="0.25">
      <c r="A18" s="2" t="s">
        <v>28</v>
      </c>
      <c r="F18" s="1"/>
    </row>
    <row r="19" spans="1:6" x14ac:dyDescent="0.25">
      <c r="A19" s="37" t="s">
        <v>22</v>
      </c>
      <c r="B19" s="73">
        <v>1.3</v>
      </c>
      <c r="F19" s="15">
        <v>1.3</v>
      </c>
    </row>
    <row r="20" spans="1:6" x14ac:dyDescent="0.25">
      <c r="A20" s="37" t="s">
        <v>23</v>
      </c>
      <c r="B20" s="73">
        <v>1.3</v>
      </c>
      <c r="F20" s="15">
        <v>1.4</v>
      </c>
    </row>
    <row r="21" spans="1:6" x14ac:dyDescent="0.25">
      <c r="B21" s="73"/>
    </row>
    <row r="22" spans="1:6" s="1" customFormat="1" x14ac:dyDescent="0.25">
      <c r="A22" s="2" t="s">
        <v>35</v>
      </c>
      <c r="B22" s="14"/>
    </row>
    <row r="23" spans="1:6" s="1" customFormat="1" x14ac:dyDescent="0.25">
      <c r="A23" s="1" t="s">
        <v>7</v>
      </c>
      <c r="B23" s="14">
        <v>0.96</v>
      </c>
    </row>
    <row r="24" spans="1:6" s="1" customFormat="1" x14ac:dyDescent="0.25">
      <c r="A24" s="1" t="s">
        <v>8</v>
      </c>
      <c r="B24" s="14">
        <v>0.39</v>
      </c>
      <c r="C24" s="14">
        <v>0.6</v>
      </c>
    </row>
    <row r="25" spans="1:6" s="1" customFormat="1" x14ac:dyDescent="0.25">
      <c r="A25" s="1" t="s">
        <v>9</v>
      </c>
      <c r="B25" s="14">
        <v>0.05</v>
      </c>
    </row>
    <row r="26" spans="1:6" s="1" customFormat="1" x14ac:dyDescent="0.25">
      <c r="B26" s="14"/>
    </row>
    <row r="27" spans="1:6" x14ac:dyDescent="0.25">
      <c r="B27" s="72"/>
    </row>
    <row r="28" spans="1:6" x14ac:dyDescent="0.25">
      <c r="A28" s="12" t="s">
        <v>24</v>
      </c>
      <c r="B28" s="1"/>
      <c r="C28" s="1"/>
      <c r="D28" s="1"/>
      <c r="E28" s="1"/>
    </row>
    <row r="29" spans="1:6" x14ac:dyDescent="0.25">
      <c r="A29" s="12"/>
      <c r="B29" s="200" t="s">
        <v>20</v>
      </c>
      <c r="C29" s="200"/>
      <c r="D29" s="200" t="s">
        <v>12</v>
      </c>
      <c r="E29" s="200"/>
    </row>
    <row r="30" spans="1:6" x14ac:dyDescent="0.25">
      <c r="A30" s="2" t="s">
        <v>25</v>
      </c>
      <c r="B30" s="37">
        <v>0.32</v>
      </c>
      <c r="C30" s="37">
        <f>ROUND(B30*B4,0)</f>
        <v>16</v>
      </c>
      <c r="D30" s="37">
        <v>0.01</v>
      </c>
      <c r="E30" s="37">
        <f>ROUND(D30*B4,0)</f>
        <v>1</v>
      </c>
    </row>
    <row r="32" spans="1:6" x14ac:dyDescent="0.25">
      <c r="A32" s="2" t="s">
        <v>26</v>
      </c>
    </row>
    <row r="33" spans="1:13" x14ac:dyDescent="0.25">
      <c r="A33" s="1" t="s">
        <v>7</v>
      </c>
      <c r="B33" s="71">
        <v>0.1</v>
      </c>
      <c r="C33" s="37">
        <f>B33*C30</f>
        <v>1.6</v>
      </c>
    </row>
    <row r="34" spans="1:13" x14ac:dyDescent="0.25">
      <c r="A34" s="1" t="s">
        <v>8</v>
      </c>
      <c r="B34" s="71">
        <v>0.11</v>
      </c>
      <c r="C34" s="37">
        <f>B34*C30</f>
        <v>1.76</v>
      </c>
      <c r="D34" s="71">
        <v>0.11</v>
      </c>
      <c r="E34" s="37">
        <f>E30*D34</f>
        <v>0.11</v>
      </c>
    </row>
    <row r="35" spans="1:13" x14ac:dyDescent="0.25">
      <c r="A35" s="1" t="s">
        <v>9</v>
      </c>
      <c r="B35" s="71">
        <v>0.02</v>
      </c>
      <c r="C35" s="37">
        <f>B35*C30</f>
        <v>0.32</v>
      </c>
    </row>
    <row r="36" spans="1:13" x14ac:dyDescent="0.25">
      <c r="A36" s="1"/>
      <c r="B36" s="71"/>
    </row>
    <row r="37" spans="1:13" ht="30" customHeight="1" thickBot="1" x14ac:dyDescent="0.3">
      <c r="A37" s="194" t="str">
        <f>RIGHT(K1,LEN(K1)-5) &amp;" Person Trips"</f>
        <v>Office Person Trips</v>
      </c>
      <c r="B37" s="194"/>
      <c r="C37" s="194"/>
      <c r="D37" s="194"/>
      <c r="E37" s="194"/>
    </row>
    <row r="38" spans="1:13" ht="17.25" customHeight="1" x14ac:dyDescent="0.25">
      <c r="A38" s="38"/>
      <c r="B38" s="205" t="s">
        <v>7</v>
      </c>
      <c r="C38" s="206"/>
      <c r="D38" s="207"/>
      <c r="E38" s="201" t="s">
        <v>8</v>
      </c>
      <c r="F38" s="202"/>
      <c r="G38" s="208"/>
      <c r="H38" s="204" t="s">
        <v>9</v>
      </c>
      <c r="I38" s="202"/>
      <c r="J38" s="203"/>
      <c r="K38" s="201" t="s">
        <v>19</v>
      </c>
      <c r="L38" s="202"/>
      <c r="M38" s="203"/>
    </row>
    <row r="39" spans="1:13" ht="13.8" thickBot="1" x14ac:dyDescent="0.3">
      <c r="A39" s="39"/>
      <c r="B39" s="40" t="s">
        <v>13</v>
      </c>
      <c r="C39" s="41" t="s">
        <v>14</v>
      </c>
      <c r="D39" s="42" t="s">
        <v>0</v>
      </c>
      <c r="E39" s="43" t="s">
        <v>13</v>
      </c>
      <c r="F39" s="41" t="s">
        <v>14</v>
      </c>
      <c r="G39" s="44" t="s">
        <v>0</v>
      </c>
      <c r="H39" s="40" t="s">
        <v>13</v>
      </c>
      <c r="I39" s="41" t="s">
        <v>14</v>
      </c>
      <c r="J39" s="42" t="s">
        <v>0</v>
      </c>
      <c r="K39" s="43" t="s">
        <v>13</v>
      </c>
      <c r="L39" s="41" t="s">
        <v>14</v>
      </c>
      <c r="M39" s="42" t="s">
        <v>0</v>
      </c>
    </row>
    <row r="40" spans="1:13" x14ac:dyDescent="0.25">
      <c r="A40" s="45" t="s">
        <v>1</v>
      </c>
      <c r="B40" s="46">
        <f>ROUND($B$5*$B$7*$B12*$B$23,0)</f>
        <v>43</v>
      </c>
      <c r="C40" s="47">
        <f>ROUND($B$5*$B$7*$B12*(1-$B$23),0)</f>
        <v>2</v>
      </c>
      <c r="D40" s="48">
        <f>SUM(B40:C40)</f>
        <v>45</v>
      </c>
      <c r="E40" s="49">
        <f>ROUND($B$5*$B$8*$C12*$B$24,0)</f>
        <v>1</v>
      </c>
      <c r="F40" s="47">
        <f>ROUND($B$5*$B$8*$C12*(1-$B$24),0)</f>
        <v>2</v>
      </c>
      <c r="G40" s="50">
        <f>SUM(E40:F40)</f>
        <v>3</v>
      </c>
      <c r="H40" s="46">
        <f>ROUND($B$5*$B$9*$B12*$B$25,0)</f>
        <v>3</v>
      </c>
      <c r="I40" s="47">
        <f>ROUND($B$5*$B$9*$B12*(1-$B$25),0)</f>
        <v>49</v>
      </c>
      <c r="J40" s="48">
        <f>SUM(H40:I40)</f>
        <v>52</v>
      </c>
      <c r="K40" s="49">
        <f>ROUND($C$5*$C$8*$B12*$C$24,0)</f>
        <v>8</v>
      </c>
      <c r="L40" s="47">
        <f>ROUND($C$5*$C$8*$B12*(1-$C$24),0)</f>
        <v>5</v>
      </c>
      <c r="M40" s="48">
        <f>SUM(K40:L40)</f>
        <v>13</v>
      </c>
    </row>
    <row r="41" spans="1:13" x14ac:dyDescent="0.25">
      <c r="A41" s="51" t="s">
        <v>2</v>
      </c>
      <c r="B41" s="52">
        <f>ROUND($B$5*$B$7*$B13*$B$23,0)</f>
        <v>1</v>
      </c>
      <c r="C41" s="53">
        <f>ROUND($B$5*$B$7*$B13*(1-$B$23),0)</f>
        <v>0</v>
      </c>
      <c r="D41" s="54">
        <f>SUM(B41:C41)</f>
        <v>1</v>
      </c>
      <c r="E41" s="55">
        <f t="shared" ref="E41:E44" si="0">ROUND($B$5*$B$8*$C13*$B$24,0)</f>
        <v>2</v>
      </c>
      <c r="F41" s="53">
        <f t="shared" ref="F41:F44" si="1">ROUND($B$5*$B$8*$C13*(1-$B$24),0)</f>
        <v>2</v>
      </c>
      <c r="G41" s="56">
        <f>SUM(E41:F41)</f>
        <v>4</v>
      </c>
      <c r="H41" s="52">
        <f>ROUND($B$5*$B$9*$B13*$B$25,0)</f>
        <v>0</v>
      </c>
      <c r="I41" s="53">
        <f>ROUND($B$5*$B$9*$B13*(1-$B$25),0)</f>
        <v>1</v>
      </c>
      <c r="J41" s="54">
        <f>SUM(H41:I41)</f>
        <v>1</v>
      </c>
      <c r="K41" s="55">
        <f>ROUND($C$5*$C$8*$B13*$C$24,0)</f>
        <v>0</v>
      </c>
      <c r="L41" s="53">
        <f>ROUND($C$5*$C$8*$B13*(1-$C$24),0)</f>
        <v>0</v>
      </c>
      <c r="M41" s="54">
        <f>SUM(K41:L41)</f>
        <v>0</v>
      </c>
    </row>
    <row r="42" spans="1:13" x14ac:dyDescent="0.25">
      <c r="A42" s="51" t="s">
        <v>3</v>
      </c>
      <c r="B42" s="52">
        <f>ROUND($B$5*$B$7*$B14*$B$23,0)</f>
        <v>20</v>
      </c>
      <c r="C42" s="53">
        <f>ROUND($B$5*$B$7*$B14*(1-$B$23),0)</f>
        <v>1</v>
      </c>
      <c r="D42" s="54">
        <f>SUM(B42:C42)</f>
        <v>21</v>
      </c>
      <c r="E42" s="55">
        <f t="shared" si="0"/>
        <v>3</v>
      </c>
      <c r="F42" s="53">
        <f t="shared" si="1"/>
        <v>5</v>
      </c>
      <c r="G42" s="56">
        <f>SUM(E42:F42)</f>
        <v>8</v>
      </c>
      <c r="H42" s="52">
        <f>ROUND($B$5*$B$9*$B14*$B$25,0)</f>
        <v>1</v>
      </c>
      <c r="I42" s="53">
        <f>ROUND($B$5*$B$9*$B14*(1-$B$25),0)</f>
        <v>23</v>
      </c>
      <c r="J42" s="54">
        <f>SUM(H42:I42)</f>
        <v>24</v>
      </c>
      <c r="K42" s="55">
        <f>ROUND($C$5*$C$8*$B14*$C$24,0)</f>
        <v>4</v>
      </c>
      <c r="L42" s="53">
        <f>ROUND($C$5*$C$8*$B14*(1-$C$24),0)</f>
        <v>3</v>
      </c>
      <c r="M42" s="54">
        <f>SUM(K42:L42)</f>
        <v>7</v>
      </c>
    </row>
    <row r="43" spans="1:13" x14ac:dyDescent="0.25">
      <c r="A43" s="51" t="s">
        <v>4</v>
      </c>
      <c r="B43" s="52">
        <f>ROUND($B$5*$B$7*$B15*$B$23,0)</f>
        <v>31</v>
      </c>
      <c r="C43" s="53">
        <f>ROUND($B$5*$B$7*$B15*(1-$B$23),0)</f>
        <v>1</v>
      </c>
      <c r="D43" s="54">
        <f>SUM(B43:C43)</f>
        <v>32</v>
      </c>
      <c r="E43" s="55">
        <f t="shared" si="0"/>
        <v>3</v>
      </c>
      <c r="F43" s="53">
        <f t="shared" si="1"/>
        <v>5</v>
      </c>
      <c r="G43" s="56">
        <f>SUM(E43:F43)</f>
        <v>8</v>
      </c>
      <c r="H43" s="52">
        <f>ROUND($B$5*$B$9*$B15*$B$25,0)</f>
        <v>2</v>
      </c>
      <c r="I43" s="53">
        <f>ROUND($B$5*$B$9*$B15*(1-$B$25),0)</f>
        <v>36</v>
      </c>
      <c r="J43" s="54">
        <f>SUM(H43:I43)</f>
        <v>38</v>
      </c>
      <c r="K43" s="55">
        <f>ROUND($C$5*$C$8*$B15*$C$24,0)</f>
        <v>6</v>
      </c>
      <c r="L43" s="53">
        <f>ROUND($C$5*$C$8*$B15*(1-$C$24),0)</f>
        <v>4</v>
      </c>
      <c r="M43" s="54">
        <f>SUM(K43:L43)</f>
        <v>10</v>
      </c>
    </row>
    <row r="44" spans="1:13" ht="13.8" thickBot="1" x14ac:dyDescent="0.3">
      <c r="A44" s="57" t="s">
        <v>18</v>
      </c>
      <c r="B44" s="58">
        <f>ROUND($B$5*$B$7*$B16*$B$23,0)</f>
        <v>9</v>
      </c>
      <c r="C44" s="59">
        <f>ROUND($B$5*$B$7*$B16*(1-$B$23),0)</f>
        <v>0</v>
      </c>
      <c r="D44" s="60">
        <f>SUM(B44:C44)</f>
        <v>9</v>
      </c>
      <c r="E44" s="61">
        <f t="shared" si="0"/>
        <v>44</v>
      </c>
      <c r="F44" s="59">
        <f t="shared" si="1"/>
        <v>68</v>
      </c>
      <c r="G44" s="62">
        <f>SUM(E44:F44)</f>
        <v>112</v>
      </c>
      <c r="H44" s="58">
        <f>ROUND($B$5*$B$9*$B16*$B$25,0)</f>
        <v>1</v>
      </c>
      <c r="I44" s="59">
        <f>ROUND($B$5*$B$9*$B16*(1-$B$25),0)</f>
        <v>10</v>
      </c>
      <c r="J44" s="60">
        <f>SUM(H44:I44)</f>
        <v>11</v>
      </c>
      <c r="K44" s="61">
        <f>ROUND($C$5*$C$8*$B16*$C$24,0)</f>
        <v>2</v>
      </c>
      <c r="L44" s="59">
        <f>ROUND($C$5*$C$8*$B16*(1-$C$24),0)</f>
        <v>1</v>
      </c>
      <c r="M44" s="60">
        <f>SUM(K44:L44)</f>
        <v>3</v>
      </c>
    </row>
    <row r="45" spans="1:13" ht="13.8" thickBot="1" x14ac:dyDescent="0.3">
      <c r="A45" s="63" t="s">
        <v>0</v>
      </c>
      <c r="B45" s="64">
        <f t="shared" ref="B45:M45" si="2">SUM(B40:B44)</f>
        <v>104</v>
      </c>
      <c r="C45" s="65">
        <f t="shared" si="2"/>
        <v>4</v>
      </c>
      <c r="D45" s="66">
        <f t="shared" si="2"/>
        <v>108</v>
      </c>
      <c r="E45" s="67">
        <f t="shared" si="2"/>
        <v>53</v>
      </c>
      <c r="F45" s="65">
        <f t="shared" si="2"/>
        <v>82</v>
      </c>
      <c r="G45" s="68">
        <f t="shared" si="2"/>
        <v>135</v>
      </c>
      <c r="H45" s="64">
        <f t="shared" si="2"/>
        <v>7</v>
      </c>
      <c r="I45" s="65">
        <f t="shared" si="2"/>
        <v>119</v>
      </c>
      <c r="J45" s="66">
        <f t="shared" si="2"/>
        <v>126</v>
      </c>
      <c r="K45" s="67">
        <f t="shared" si="2"/>
        <v>20</v>
      </c>
      <c r="L45" s="65">
        <f t="shared" si="2"/>
        <v>13</v>
      </c>
      <c r="M45" s="66">
        <f t="shared" si="2"/>
        <v>33</v>
      </c>
    </row>
    <row r="49" spans="1:13" ht="13.8" thickBot="1" x14ac:dyDescent="0.3">
      <c r="A49" s="95" t="str">
        <f>RIGHT(K1,LEN(K1)-5) &amp;" Vehicle Trips - Before balancing"</f>
        <v>Office Vehicle Trips - Before balancing</v>
      </c>
    </row>
    <row r="50" spans="1:13" x14ac:dyDescent="0.25">
      <c r="A50" s="186"/>
      <c r="B50" s="196" t="s">
        <v>7</v>
      </c>
      <c r="C50" s="195"/>
      <c r="D50" s="197"/>
      <c r="E50" s="195" t="s">
        <v>8</v>
      </c>
      <c r="F50" s="195"/>
      <c r="G50" s="195"/>
      <c r="H50" s="196" t="s">
        <v>9</v>
      </c>
      <c r="I50" s="195"/>
      <c r="J50" s="197"/>
      <c r="K50" s="196" t="s">
        <v>19</v>
      </c>
      <c r="L50" s="195"/>
      <c r="M50" s="197"/>
    </row>
    <row r="51" spans="1:13" ht="13.8" thickBot="1" x14ac:dyDescent="0.3">
      <c r="A51" s="187"/>
      <c r="B51" s="5" t="s">
        <v>13</v>
      </c>
      <c r="C51" s="3" t="s">
        <v>14</v>
      </c>
      <c r="D51" s="6" t="s">
        <v>0</v>
      </c>
      <c r="E51" s="7" t="s">
        <v>13</v>
      </c>
      <c r="F51" s="3" t="s">
        <v>14</v>
      </c>
      <c r="G51" s="4" t="s">
        <v>0</v>
      </c>
      <c r="H51" s="5" t="s">
        <v>13</v>
      </c>
      <c r="I51" s="3" t="s">
        <v>14</v>
      </c>
      <c r="J51" s="6" t="s">
        <v>0</v>
      </c>
      <c r="K51" s="5" t="s">
        <v>13</v>
      </c>
      <c r="L51" s="3" t="s">
        <v>14</v>
      </c>
      <c r="M51" s="6" t="s">
        <v>0</v>
      </c>
    </row>
    <row r="52" spans="1:13" x14ac:dyDescent="0.25">
      <c r="A52" s="8" t="s">
        <v>1</v>
      </c>
      <c r="B52" s="17">
        <f>ROUND(B40/$B$19,0)</f>
        <v>33</v>
      </c>
      <c r="C52" s="18">
        <f>ROUND(C40/$B$19,0)</f>
        <v>2</v>
      </c>
      <c r="D52" s="19">
        <f>B52+C52</f>
        <v>35</v>
      </c>
      <c r="E52" s="20">
        <f>ROUND(E40/$B$19,0)</f>
        <v>1</v>
      </c>
      <c r="F52" s="18">
        <f>ROUND(F40/$B$19,0)</f>
        <v>2</v>
      </c>
      <c r="G52" s="21">
        <f>E52+F52</f>
        <v>3</v>
      </c>
      <c r="H52" s="17">
        <f>ROUND(H40/$B$19,0)</f>
        <v>2</v>
      </c>
      <c r="I52" s="18">
        <f>ROUND(I40/$B$19,0)</f>
        <v>38</v>
      </c>
      <c r="J52" s="19">
        <f>H52+I52</f>
        <v>40</v>
      </c>
      <c r="K52" s="17">
        <f>ROUND(K40/$B$19,0)</f>
        <v>6</v>
      </c>
      <c r="L52" s="18">
        <f>ROUND(L40/$B$19,0)</f>
        <v>4</v>
      </c>
      <c r="M52" s="19">
        <f>K52+L52</f>
        <v>10</v>
      </c>
    </row>
    <row r="53" spans="1:13" x14ac:dyDescent="0.25">
      <c r="A53" s="9" t="s">
        <v>2</v>
      </c>
      <c r="B53" s="22">
        <f>ROUND(B41/$B$20,0)</f>
        <v>1</v>
      </c>
      <c r="C53" s="23">
        <f>ROUND(C41/$B$20,0)</f>
        <v>0</v>
      </c>
      <c r="D53" s="24">
        <f>B53+C53</f>
        <v>1</v>
      </c>
      <c r="E53" s="25">
        <f>ROUND(E41/$B$20,0)</f>
        <v>2</v>
      </c>
      <c r="F53" s="23">
        <f>ROUND(F41/$B$20,0)</f>
        <v>2</v>
      </c>
      <c r="G53" s="26">
        <f>E53+F53</f>
        <v>4</v>
      </c>
      <c r="H53" s="22">
        <f>ROUND(H41/$B$20,0)</f>
        <v>0</v>
      </c>
      <c r="I53" s="23">
        <f>ROUND(I41/$B$20,0)</f>
        <v>1</v>
      </c>
      <c r="J53" s="24">
        <f>H53+I53</f>
        <v>1</v>
      </c>
      <c r="K53" s="22">
        <f>ROUND(K41/$B$20,0)</f>
        <v>0</v>
      </c>
      <c r="L53" s="23">
        <f>ROUND(L41/$B$20,0)</f>
        <v>0</v>
      </c>
      <c r="M53" s="24">
        <f>K53+L53</f>
        <v>0</v>
      </c>
    </row>
    <row r="54" spans="1:13" ht="13.8" thickBot="1" x14ac:dyDescent="0.3">
      <c r="A54" s="10" t="s">
        <v>15</v>
      </c>
      <c r="B54" s="27">
        <f>ROUND(C33/2,0)</f>
        <v>1</v>
      </c>
      <c r="C54" s="28">
        <f>B54</f>
        <v>1</v>
      </c>
      <c r="D54" s="29">
        <f>B54+C54</f>
        <v>2</v>
      </c>
      <c r="E54" s="30">
        <f>ROUND(C34/2,0)</f>
        <v>1</v>
      </c>
      <c r="F54" s="28">
        <f>E54</f>
        <v>1</v>
      </c>
      <c r="G54" s="31">
        <f>E54+F54</f>
        <v>2</v>
      </c>
      <c r="H54" s="27">
        <f>ROUND(C35/2,0)</f>
        <v>0</v>
      </c>
      <c r="I54" s="28">
        <f>H54</f>
        <v>0</v>
      </c>
      <c r="J54" s="29">
        <f>H54+I54</f>
        <v>0</v>
      </c>
      <c r="K54" s="27">
        <f>ROUND(E34/2,0)</f>
        <v>0</v>
      </c>
      <c r="L54" s="28">
        <f>K54</f>
        <v>0</v>
      </c>
      <c r="M54" s="29">
        <f>K54+L54</f>
        <v>0</v>
      </c>
    </row>
    <row r="55" spans="1:13" ht="13.8" thickBot="1" x14ac:dyDescent="0.3">
      <c r="A55" s="11" t="s">
        <v>0</v>
      </c>
      <c r="B55" s="32">
        <f>SUM(B52:B54)</f>
        <v>35</v>
      </c>
      <c r="C55" s="33">
        <f>SUM(C52:C54)</f>
        <v>3</v>
      </c>
      <c r="D55" s="34">
        <f>B55+C55</f>
        <v>38</v>
      </c>
      <c r="E55" s="35">
        <f>SUM(E52:E54)</f>
        <v>4</v>
      </c>
      <c r="F55" s="33">
        <f>SUM(F52:F54)</f>
        <v>5</v>
      </c>
      <c r="G55" s="36">
        <f>E55+F55</f>
        <v>9</v>
      </c>
      <c r="H55" s="32">
        <f>SUM(H52:H54)</f>
        <v>2</v>
      </c>
      <c r="I55" s="33">
        <f>SUM(I52:I54)</f>
        <v>39</v>
      </c>
      <c r="J55" s="34">
        <f>H55+I55</f>
        <v>41</v>
      </c>
      <c r="K55" s="32">
        <f>SUM(K52:K54)</f>
        <v>6</v>
      </c>
      <c r="L55" s="33">
        <f>SUM(L52:L54)</f>
        <v>4</v>
      </c>
      <c r="M55" s="34">
        <f>K55+L55</f>
        <v>10</v>
      </c>
    </row>
    <row r="56" spans="1:13" x14ac:dyDescent="0.25">
      <c r="A56" s="86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</row>
    <row r="59" spans="1:13" ht="13.8" thickBot="1" x14ac:dyDescent="0.3">
      <c r="A59" s="95" t="str">
        <f>RIGHT(K1,LEN(K1)-5) &amp;" Vehicle Trips (Balanced for Taxis)"</f>
        <v>Office Vehicle Trips (Balanced for Taxis)</v>
      </c>
    </row>
    <row r="60" spans="1:13" x14ac:dyDescent="0.25">
      <c r="A60" s="186"/>
      <c r="B60" s="196" t="s">
        <v>7</v>
      </c>
      <c r="C60" s="195"/>
      <c r="D60" s="197"/>
      <c r="E60" s="195" t="s">
        <v>8</v>
      </c>
      <c r="F60" s="195"/>
      <c r="G60" s="195"/>
      <c r="H60" s="196" t="s">
        <v>9</v>
      </c>
      <c r="I60" s="195"/>
      <c r="J60" s="197"/>
      <c r="K60" s="196" t="s">
        <v>19</v>
      </c>
      <c r="L60" s="195"/>
      <c r="M60" s="197"/>
    </row>
    <row r="61" spans="1:13" ht="13.8" thickBot="1" x14ac:dyDescent="0.3">
      <c r="A61" s="187"/>
      <c r="B61" s="5" t="s">
        <v>13</v>
      </c>
      <c r="C61" s="3" t="s">
        <v>14</v>
      </c>
      <c r="D61" s="6" t="s">
        <v>0</v>
      </c>
      <c r="E61" s="7" t="s">
        <v>13</v>
      </c>
      <c r="F61" s="3" t="s">
        <v>14</v>
      </c>
      <c r="G61" s="4" t="s">
        <v>0</v>
      </c>
      <c r="H61" s="5" t="s">
        <v>13</v>
      </c>
      <c r="I61" s="3" t="s">
        <v>14</v>
      </c>
      <c r="J61" s="6" t="s">
        <v>0</v>
      </c>
      <c r="K61" s="5" t="s">
        <v>13</v>
      </c>
      <c r="L61" s="3" t="s">
        <v>14</v>
      </c>
      <c r="M61" s="6" t="s">
        <v>0</v>
      </c>
    </row>
    <row r="62" spans="1:13" x14ac:dyDescent="0.25">
      <c r="A62" s="8" t="s">
        <v>1</v>
      </c>
      <c r="B62" s="17">
        <f>ROUND(B52,0)</f>
        <v>33</v>
      </c>
      <c r="C62" s="18">
        <f>ROUND(C52,0)</f>
        <v>2</v>
      </c>
      <c r="D62" s="19">
        <f>B62+C62</f>
        <v>35</v>
      </c>
      <c r="E62" s="20">
        <f>ROUND(E52,0)</f>
        <v>1</v>
      </c>
      <c r="F62" s="18">
        <f>ROUND(F52,0)</f>
        <v>2</v>
      </c>
      <c r="G62" s="21">
        <f>E62+F62</f>
        <v>3</v>
      </c>
      <c r="H62" s="17">
        <f>ROUND(H52,0)</f>
        <v>2</v>
      </c>
      <c r="I62" s="18">
        <f>ROUND(I52,0)</f>
        <v>38</v>
      </c>
      <c r="J62" s="19">
        <f>H62+I62</f>
        <v>40</v>
      </c>
      <c r="K62" s="17">
        <f>ROUND(K52,0)</f>
        <v>6</v>
      </c>
      <c r="L62" s="18">
        <f>ROUND(L52,0)</f>
        <v>4</v>
      </c>
      <c r="M62" s="19">
        <f>K62+L62</f>
        <v>10</v>
      </c>
    </row>
    <row r="63" spans="1:13" x14ac:dyDescent="0.25">
      <c r="A63" s="9" t="s">
        <v>2</v>
      </c>
      <c r="B63" s="22">
        <f>ROUND(B53+C53,0)</f>
        <v>1</v>
      </c>
      <c r="C63" s="23">
        <f>B63</f>
        <v>1</v>
      </c>
      <c r="D63" s="24">
        <f>B63+C63</f>
        <v>2</v>
      </c>
      <c r="E63" s="25">
        <f>ROUND(E53+F53,0)</f>
        <v>4</v>
      </c>
      <c r="F63" s="23">
        <f>E63</f>
        <v>4</v>
      </c>
      <c r="G63" s="26">
        <f>E63+F63</f>
        <v>8</v>
      </c>
      <c r="H63" s="22">
        <f>ROUND(H53+I53,0)</f>
        <v>1</v>
      </c>
      <c r="I63" s="23">
        <f>H63</f>
        <v>1</v>
      </c>
      <c r="J63" s="24">
        <f>H63+I63</f>
        <v>2</v>
      </c>
      <c r="K63" s="22">
        <f>ROUND(K53+L53,0)</f>
        <v>0</v>
      </c>
      <c r="L63" s="23">
        <f>K63</f>
        <v>0</v>
      </c>
      <c r="M63" s="24">
        <f>K63+L63</f>
        <v>0</v>
      </c>
    </row>
    <row r="64" spans="1:13" ht="13.8" thickBot="1" x14ac:dyDescent="0.3">
      <c r="A64" s="10" t="s">
        <v>15</v>
      </c>
      <c r="B64" s="27">
        <f>ROUND(B54,0)</f>
        <v>1</v>
      </c>
      <c r="C64" s="28">
        <f>ROUND(C54,0)</f>
        <v>1</v>
      </c>
      <c r="D64" s="29">
        <f>B64+C64</f>
        <v>2</v>
      </c>
      <c r="E64" s="30">
        <f>ROUND(E54,0)</f>
        <v>1</v>
      </c>
      <c r="F64" s="28">
        <f>ROUND(F54,0)</f>
        <v>1</v>
      </c>
      <c r="G64" s="31">
        <f>E64+F64</f>
        <v>2</v>
      </c>
      <c r="H64" s="27">
        <f>ROUND(H54,0)</f>
        <v>0</v>
      </c>
      <c r="I64" s="28">
        <f>ROUND(I54,0)</f>
        <v>0</v>
      </c>
      <c r="J64" s="29">
        <f>H64+I64</f>
        <v>0</v>
      </c>
      <c r="K64" s="27">
        <f>ROUND(K54,0)</f>
        <v>0</v>
      </c>
      <c r="L64" s="28">
        <f>ROUND(L54,0)</f>
        <v>0</v>
      </c>
      <c r="M64" s="29">
        <f>K64+L64</f>
        <v>0</v>
      </c>
    </row>
    <row r="65" spans="1:13" ht="13.8" thickBot="1" x14ac:dyDescent="0.3">
      <c r="A65" s="11" t="s">
        <v>0</v>
      </c>
      <c r="B65" s="32">
        <f>SUM(B62:B64)</f>
        <v>35</v>
      </c>
      <c r="C65" s="33">
        <f>SUM(C62:C64)</f>
        <v>4</v>
      </c>
      <c r="D65" s="34">
        <f>B65+C65</f>
        <v>39</v>
      </c>
      <c r="E65" s="35">
        <f>SUM(E62:E64)</f>
        <v>6</v>
      </c>
      <c r="F65" s="33">
        <f>SUM(F62:F64)</f>
        <v>7</v>
      </c>
      <c r="G65" s="36">
        <f>E65+F65</f>
        <v>13</v>
      </c>
      <c r="H65" s="32">
        <f>SUM(H62:H64)</f>
        <v>3</v>
      </c>
      <c r="I65" s="33">
        <f>SUM(I62:I64)</f>
        <v>39</v>
      </c>
      <c r="J65" s="34">
        <f>H65+I65</f>
        <v>42</v>
      </c>
      <c r="K65" s="32">
        <f>SUM(K62:K64)</f>
        <v>6</v>
      </c>
      <c r="L65" s="33">
        <f>SUM(L62:L64)</f>
        <v>4</v>
      </c>
      <c r="M65" s="34">
        <f>K65+L65</f>
        <v>10</v>
      </c>
    </row>
    <row r="67" spans="1:13" x14ac:dyDescent="0.25">
      <c r="A67" s="82" t="s">
        <v>29</v>
      </c>
    </row>
    <row r="68" spans="1:13" x14ac:dyDescent="0.25">
      <c r="A68" s="96" t="s">
        <v>36</v>
      </c>
    </row>
    <row r="69" spans="1:13" x14ac:dyDescent="0.25">
      <c r="A69" s="96" t="s">
        <v>68</v>
      </c>
    </row>
    <row r="70" spans="1:13" x14ac:dyDescent="0.25">
      <c r="A70" s="96" t="s">
        <v>71</v>
      </c>
    </row>
    <row r="71" spans="1:13" x14ac:dyDescent="0.25">
      <c r="D71" s="74"/>
      <c r="G71" s="74"/>
      <c r="J71" s="74"/>
      <c r="M71" s="74"/>
    </row>
  </sheetData>
  <mergeCells count="17">
    <mergeCell ref="A60:A61"/>
    <mergeCell ref="B60:D60"/>
    <mergeCell ref="E60:G60"/>
    <mergeCell ref="H60:J60"/>
    <mergeCell ref="K60:M60"/>
    <mergeCell ref="K38:M38"/>
    <mergeCell ref="A50:A51"/>
    <mergeCell ref="B50:D50"/>
    <mergeCell ref="E50:G50"/>
    <mergeCell ref="H50:J50"/>
    <mergeCell ref="K50:M50"/>
    <mergeCell ref="H38:J38"/>
    <mergeCell ref="B29:C29"/>
    <mergeCell ref="D29:E29"/>
    <mergeCell ref="A37:E37"/>
    <mergeCell ref="B38:D38"/>
    <mergeCell ref="E38:G38"/>
  </mergeCells>
  <pageMargins left="0.7" right="0.7" top="0.75" bottom="0.75" header="0.3" footer="0.3"/>
  <pageSetup paperSize="195"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71"/>
  <sheetViews>
    <sheetView topLeftCell="A45" zoomScaleNormal="100" workbookViewId="0">
      <selection activeCell="A71" sqref="A71"/>
    </sheetView>
  </sheetViews>
  <sheetFormatPr defaultColWidth="9.109375" defaultRowHeight="13.2" x14ac:dyDescent="0.25"/>
  <cols>
    <col min="1" max="1" width="18.6640625" style="37" customWidth="1"/>
    <col min="2" max="2" width="9.5546875" style="37" customWidth="1"/>
    <col min="3" max="3" width="9.109375" style="37"/>
    <col min="4" max="4" width="8.88671875" style="37" customWidth="1"/>
    <col min="5" max="16384" width="9.109375" style="37"/>
  </cols>
  <sheetData>
    <row r="1" spans="1:12" x14ac:dyDescent="0.25">
      <c r="B1" s="69" t="s">
        <v>20</v>
      </c>
      <c r="C1" s="69" t="s">
        <v>12</v>
      </c>
      <c r="K1" s="94" t="s">
        <v>73</v>
      </c>
    </row>
    <row r="2" spans="1:12" x14ac:dyDescent="0.25">
      <c r="A2" s="69" t="s">
        <v>25</v>
      </c>
      <c r="B2" s="37">
        <v>78.2</v>
      </c>
      <c r="C2" s="70">
        <v>92.5</v>
      </c>
      <c r="K2" s="105">
        <v>25</v>
      </c>
      <c r="L2" s="103" t="s">
        <v>38</v>
      </c>
    </row>
    <row r="3" spans="1:12" x14ac:dyDescent="0.25">
      <c r="A3" s="37" t="s">
        <v>39</v>
      </c>
      <c r="B3" s="71">
        <v>0</v>
      </c>
      <c r="K3" s="37" t="s">
        <v>41</v>
      </c>
    </row>
    <row r="4" spans="1:12" x14ac:dyDescent="0.25">
      <c r="A4" s="37" t="s">
        <v>21</v>
      </c>
      <c r="B4" s="108">
        <f>K2</f>
        <v>25</v>
      </c>
    </row>
    <row r="5" spans="1:12" x14ac:dyDescent="0.25">
      <c r="A5" s="37" t="s">
        <v>6</v>
      </c>
      <c r="B5" s="37">
        <f>ROUND(B4*(B2*(1-B3)),0)</f>
        <v>1955</v>
      </c>
      <c r="C5" s="37">
        <f>ROUND(B4*(C2*(1-B3)),0)</f>
        <v>2313</v>
      </c>
    </row>
    <row r="6" spans="1:12" x14ac:dyDescent="0.25">
      <c r="A6" s="69" t="s">
        <v>26</v>
      </c>
    </row>
    <row r="7" spans="1:12" x14ac:dyDescent="0.25">
      <c r="A7" s="37" t="s">
        <v>7</v>
      </c>
      <c r="B7" s="72">
        <v>0.03</v>
      </c>
    </row>
    <row r="8" spans="1:12" x14ac:dyDescent="0.25">
      <c r="A8" s="37" t="s">
        <v>8</v>
      </c>
      <c r="B8" s="72">
        <v>0.09</v>
      </c>
      <c r="C8" s="71">
        <v>0.11</v>
      </c>
    </row>
    <row r="9" spans="1:12" x14ac:dyDescent="0.25">
      <c r="A9" s="37" t="s">
        <v>9</v>
      </c>
      <c r="B9" s="72">
        <v>0.09</v>
      </c>
    </row>
    <row r="10" spans="1:12" s="1" customFormat="1" x14ac:dyDescent="0.25">
      <c r="B10" s="14"/>
    </row>
    <row r="11" spans="1:12" x14ac:dyDescent="0.25">
      <c r="A11" s="2" t="s">
        <v>31</v>
      </c>
    </row>
    <row r="12" spans="1:12" x14ac:dyDescent="0.25">
      <c r="A12" s="37" t="s">
        <v>1</v>
      </c>
      <c r="B12" s="72">
        <v>0.59</v>
      </c>
      <c r="C12" s="72">
        <v>0.59</v>
      </c>
    </row>
    <row r="13" spans="1:12" x14ac:dyDescent="0.25">
      <c r="A13" s="37" t="s">
        <v>2</v>
      </c>
      <c r="B13" s="72">
        <v>0.03</v>
      </c>
      <c r="C13" s="72">
        <v>0.05</v>
      </c>
    </row>
    <row r="14" spans="1:12" x14ac:dyDescent="0.25">
      <c r="A14" s="37" t="s">
        <v>3</v>
      </c>
      <c r="B14" s="72">
        <v>0.18</v>
      </c>
      <c r="C14" s="72">
        <v>0.18</v>
      </c>
    </row>
    <row r="15" spans="1:12" x14ac:dyDescent="0.25">
      <c r="A15" s="37" t="s">
        <v>4</v>
      </c>
      <c r="B15" s="72">
        <v>0.15</v>
      </c>
      <c r="C15" s="72">
        <v>0.13</v>
      </c>
    </row>
    <row r="16" spans="1:12" x14ac:dyDescent="0.25">
      <c r="A16" s="37" t="s">
        <v>18</v>
      </c>
      <c r="B16" s="72">
        <v>0.05</v>
      </c>
      <c r="C16" s="72">
        <v>0.05</v>
      </c>
    </row>
    <row r="17" spans="1:5" x14ac:dyDescent="0.25">
      <c r="B17" s="72"/>
    </row>
    <row r="18" spans="1:5" x14ac:dyDescent="0.25">
      <c r="A18" s="2" t="s">
        <v>60</v>
      </c>
      <c r="B18" s="72"/>
    </row>
    <row r="19" spans="1:5" x14ac:dyDescent="0.25">
      <c r="A19" s="37" t="s">
        <v>22</v>
      </c>
      <c r="B19" s="73">
        <v>1.4</v>
      </c>
      <c r="C19" s="73">
        <v>1.72</v>
      </c>
    </row>
    <row r="20" spans="1:5" x14ac:dyDescent="0.25">
      <c r="A20" s="37" t="s">
        <v>23</v>
      </c>
      <c r="B20" s="73">
        <v>1.65</v>
      </c>
      <c r="C20" s="73">
        <v>1.75</v>
      </c>
    </row>
    <row r="21" spans="1:5" x14ac:dyDescent="0.25">
      <c r="B21" s="73"/>
    </row>
    <row r="22" spans="1:5" s="1" customFormat="1" x14ac:dyDescent="0.25">
      <c r="A22" s="2" t="s">
        <v>27</v>
      </c>
      <c r="B22" s="14"/>
    </row>
    <row r="23" spans="1:5" s="1" customFormat="1" x14ac:dyDescent="0.25">
      <c r="A23" s="1" t="s">
        <v>7</v>
      </c>
      <c r="B23" s="14">
        <v>0.81799999999999995</v>
      </c>
    </row>
    <row r="24" spans="1:5" s="1" customFormat="1" x14ac:dyDescent="0.25">
      <c r="A24" s="1" t="s">
        <v>8</v>
      </c>
      <c r="B24" s="14">
        <v>0.51800000000000002</v>
      </c>
      <c r="C24" s="14">
        <v>0.50700000000000001</v>
      </c>
    </row>
    <row r="25" spans="1:5" s="1" customFormat="1" x14ac:dyDescent="0.25">
      <c r="A25" s="1" t="s">
        <v>9</v>
      </c>
      <c r="B25" s="14">
        <v>0.51800000000000002</v>
      </c>
    </row>
    <row r="26" spans="1:5" s="1" customFormat="1" x14ac:dyDescent="0.25">
      <c r="B26" s="14"/>
    </row>
    <row r="27" spans="1:5" x14ac:dyDescent="0.25">
      <c r="B27" s="72"/>
    </row>
    <row r="28" spans="1:5" x14ac:dyDescent="0.25">
      <c r="A28" s="12" t="s">
        <v>24</v>
      </c>
      <c r="B28" s="1"/>
      <c r="C28" s="1"/>
      <c r="D28" s="1"/>
      <c r="E28" s="1"/>
    </row>
    <row r="29" spans="1:5" x14ac:dyDescent="0.25">
      <c r="A29" s="12"/>
      <c r="B29" s="200" t="s">
        <v>20</v>
      </c>
      <c r="C29" s="200"/>
      <c r="D29" s="200" t="s">
        <v>12</v>
      </c>
      <c r="E29" s="200"/>
    </row>
    <row r="30" spans="1:5" x14ac:dyDescent="0.25">
      <c r="A30" s="2" t="s">
        <v>25</v>
      </c>
      <c r="B30" s="37">
        <v>0.35</v>
      </c>
      <c r="C30" s="37">
        <f>ROUND(B30*B4,0)</f>
        <v>9</v>
      </c>
      <c r="D30" s="37">
        <v>0.04</v>
      </c>
      <c r="E30" s="37">
        <f>ROUND(D30*B4,0)</f>
        <v>1</v>
      </c>
    </row>
    <row r="32" spans="1:5" x14ac:dyDescent="0.25">
      <c r="A32" s="2" t="s">
        <v>26</v>
      </c>
    </row>
    <row r="33" spans="1:13" x14ac:dyDescent="0.25">
      <c r="A33" s="1" t="s">
        <v>7</v>
      </c>
      <c r="B33" s="71">
        <v>0.08</v>
      </c>
      <c r="C33" s="37">
        <f>B33*C30</f>
        <v>0.72</v>
      </c>
    </row>
    <row r="34" spans="1:13" x14ac:dyDescent="0.25">
      <c r="A34" s="1" t="s">
        <v>8</v>
      </c>
      <c r="B34" s="71">
        <v>0.11</v>
      </c>
      <c r="C34" s="37">
        <f>B34*C30</f>
        <v>0.99</v>
      </c>
      <c r="D34" s="71">
        <v>0.11</v>
      </c>
      <c r="E34" s="37">
        <f>E30*D34</f>
        <v>0.11</v>
      </c>
    </row>
    <row r="35" spans="1:13" x14ac:dyDescent="0.25">
      <c r="A35" s="1" t="s">
        <v>9</v>
      </c>
      <c r="B35" s="71">
        <v>0.02</v>
      </c>
      <c r="C35" s="37">
        <f>B35*C30</f>
        <v>0.18</v>
      </c>
    </row>
    <row r="36" spans="1:13" x14ac:dyDescent="0.25">
      <c r="A36" s="1"/>
      <c r="B36" s="71"/>
    </row>
    <row r="37" spans="1:13" ht="30" customHeight="1" thickBot="1" x14ac:dyDescent="0.3">
      <c r="A37" s="194" t="str">
        <f>RIGHT(K1,LEN(K1)-5) &amp;" Person Trips"</f>
        <v>Destination Retail Person Trips</v>
      </c>
      <c r="B37" s="194"/>
      <c r="C37" s="194"/>
      <c r="D37" s="194"/>
      <c r="E37" s="194"/>
    </row>
    <row r="38" spans="1:13" ht="17.25" customHeight="1" x14ac:dyDescent="0.25">
      <c r="A38" s="38"/>
      <c r="B38" s="205" t="s">
        <v>7</v>
      </c>
      <c r="C38" s="206"/>
      <c r="D38" s="207"/>
      <c r="E38" s="201" t="s">
        <v>8</v>
      </c>
      <c r="F38" s="202"/>
      <c r="G38" s="208"/>
      <c r="H38" s="204" t="s">
        <v>9</v>
      </c>
      <c r="I38" s="202"/>
      <c r="J38" s="203"/>
      <c r="K38" s="201" t="s">
        <v>19</v>
      </c>
      <c r="L38" s="202"/>
      <c r="M38" s="203"/>
    </row>
    <row r="39" spans="1:13" ht="13.8" thickBot="1" x14ac:dyDescent="0.3">
      <c r="A39" s="39"/>
      <c r="B39" s="40" t="s">
        <v>13</v>
      </c>
      <c r="C39" s="41" t="s">
        <v>14</v>
      </c>
      <c r="D39" s="42" t="s">
        <v>0</v>
      </c>
      <c r="E39" s="43" t="s">
        <v>13</v>
      </c>
      <c r="F39" s="41" t="s">
        <v>14</v>
      </c>
      <c r="G39" s="44" t="s">
        <v>0</v>
      </c>
      <c r="H39" s="40" t="s">
        <v>13</v>
      </c>
      <c r="I39" s="41" t="s">
        <v>14</v>
      </c>
      <c r="J39" s="42" t="s">
        <v>0</v>
      </c>
      <c r="K39" s="43" t="s">
        <v>13</v>
      </c>
      <c r="L39" s="41" t="s">
        <v>14</v>
      </c>
      <c r="M39" s="42" t="s">
        <v>0</v>
      </c>
    </row>
    <row r="40" spans="1:13" x14ac:dyDescent="0.25">
      <c r="A40" s="45" t="s">
        <v>1</v>
      </c>
      <c r="B40" s="46">
        <f>ROUND($B$5*$B$7*$B12*$B$23,0)</f>
        <v>28</v>
      </c>
      <c r="C40" s="47">
        <f>ROUND($B$5*$B$7*$B12*(1-$B$23),0)</f>
        <v>6</v>
      </c>
      <c r="D40" s="48">
        <f>SUM(B40:C40)</f>
        <v>34</v>
      </c>
      <c r="E40" s="49">
        <f>ROUND($B$5*$B$8*$B12*$B$24,0)</f>
        <v>54</v>
      </c>
      <c r="F40" s="47">
        <f>ROUND($B$5*$B$8*$B12*(1-$B$24),0)</f>
        <v>50</v>
      </c>
      <c r="G40" s="50">
        <f>SUM(E40:F40)</f>
        <v>104</v>
      </c>
      <c r="H40" s="46">
        <f>ROUND($B$5*$B$9*$B12*$B$25,0)</f>
        <v>54</v>
      </c>
      <c r="I40" s="47">
        <f>ROUND($B$5*$B$9*$B12*(1-$B$25),0)</f>
        <v>50</v>
      </c>
      <c r="J40" s="48">
        <f>SUM(H40:I40)</f>
        <v>104</v>
      </c>
      <c r="K40" s="49">
        <f>ROUND($C$5*$C$8*$C12*$C$24,0)</f>
        <v>76</v>
      </c>
      <c r="L40" s="47">
        <f>ROUND($C$5*$C$8*$C12*(1-$C$24),0)</f>
        <v>74</v>
      </c>
      <c r="M40" s="48">
        <f>SUM(K40:L40)</f>
        <v>150</v>
      </c>
    </row>
    <row r="41" spans="1:13" x14ac:dyDescent="0.25">
      <c r="A41" s="51" t="s">
        <v>2</v>
      </c>
      <c r="B41" s="52">
        <f>ROUND($B$5*$B$7*$B13*$B$23,0)</f>
        <v>1</v>
      </c>
      <c r="C41" s="53">
        <f>ROUND($B$5*$B$7*$B13*(1-$B$23),0)</f>
        <v>0</v>
      </c>
      <c r="D41" s="54">
        <f>SUM(B41:C41)</f>
        <v>1</v>
      </c>
      <c r="E41" s="55">
        <f>ROUND($B$5*$B$8*$B13*$B$24,0)</f>
        <v>3</v>
      </c>
      <c r="F41" s="53">
        <f>ROUND($B$5*$B$8*$B13*(1-$B$24),0)</f>
        <v>3</v>
      </c>
      <c r="G41" s="56">
        <f>SUM(E41:F41)</f>
        <v>6</v>
      </c>
      <c r="H41" s="52">
        <f>ROUND($B$5*$B$9*$B13*$B$25,0)</f>
        <v>3</v>
      </c>
      <c r="I41" s="53">
        <f>ROUND($B$5*$B$9*$B13*(1-$B$25),0)</f>
        <v>3</v>
      </c>
      <c r="J41" s="54">
        <f>SUM(H41:I41)</f>
        <v>6</v>
      </c>
      <c r="K41" s="55">
        <f t="shared" ref="K41:K44" si="0">ROUND($C$5*$C$8*$C13*$C$24,0)</f>
        <v>6</v>
      </c>
      <c r="L41" s="47">
        <f t="shared" ref="L41:L44" si="1">ROUND($C$5*$C$8*$C13*(1-$C$24),0)</f>
        <v>6</v>
      </c>
      <c r="M41" s="54">
        <f>SUM(K41:L41)</f>
        <v>12</v>
      </c>
    </row>
    <row r="42" spans="1:13" x14ac:dyDescent="0.25">
      <c r="A42" s="51" t="s">
        <v>3</v>
      </c>
      <c r="B42" s="52">
        <f>ROUND($B$5*$B$7*$B14*$B$23,0)</f>
        <v>9</v>
      </c>
      <c r="C42" s="53">
        <f>ROUND($B$5*$B$7*$B14*(1-$B$23),0)</f>
        <v>2</v>
      </c>
      <c r="D42" s="54">
        <f>SUM(B42:C42)</f>
        <v>11</v>
      </c>
      <c r="E42" s="55">
        <f>ROUND($B$5*$B$8*$B14*$B$24,0)</f>
        <v>16</v>
      </c>
      <c r="F42" s="53">
        <f>ROUND($B$5*$B$8*$B14*(1-$B$24),0)</f>
        <v>15</v>
      </c>
      <c r="G42" s="56">
        <f>SUM(E42:F42)</f>
        <v>31</v>
      </c>
      <c r="H42" s="52">
        <f>ROUND($B$5*$B$9*$B14*$B$25,0)</f>
        <v>16</v>
      </c>
      <c r="I42" s="53">
        <f>ROUND($B$5*$B$9*$B14*(1-$B$25),0)</f>
        <v>15</v>
      </c>
      <c r="J42" s="54">
        <f>SUM(H42:I42)</f>
        <v>31</v>
      </c>
      <c r="K42" s="55">
        <f t="shared" si="0"/>
        <v>23</v>
      </c>
      <c r="L42" s="47">
        <f t="shared" si="1"/>
        <v>23</v>
      </c>
      <c r="M42" s="54">
        <f>SUM(K42:L42)</f>
        <v>46</v>
      </c>
    </row>
    <row r="43" spans="1:13" x14ac:dyDescent="0.25">
      <c r="A43" s="51" t="s">
        <v>4</v>
      </c>
      <c r="B43" s="52">
        <f>ROUND($B$5*$B$7*$B15*$B$23,0)</f>
        <v>7</v>
      </c>
      <c r="C43" s="53">
        <f>ROUND($B$5*$B$7*$B15*(1-$B$23),0)</f>
        <v>2</v>
      </c>
      <c r="D43" s="54">
        <f>SUM(B43:C43)</f>
        <v>9</v>
      </c>
      <c r="E43" s="55">
        <f>ROUND($B$5*$B$8*$B15*$B$24,0)</f>
        <v>14</v>
      </c>
      <c r="F43" s="53">
        <f>ROUND($B$5*$B$8*$B15*(1-$B$24),0)</f>
        <v>13</v>
      </c>
      <c r="G43" s="56">
        <f>SUM(E43:F43)</f>
        <v>27</v>
      </c>
      <c r="H43" s="52">
        <f>ROUND($B$5*$B$9*$B15*$B$25,0)</f>
        <v>14</v>
      </c>
      <c r="I43" s="53">
        <f>ROUND($B$5*$B$9*$B15*(1-$B$25),0)</f>
        <v>13</v>
      </c>
      <c r="J43" s="54">
        <f>SUM(H43:I43)</f>
        <v>27</v>
      </c>
      <c r="K43" s="55">
        <f t="shared" si="0"/>
        <v>17</v>
      </c>
      <c r="L43" s="47">
        <f t="shared" si="1"/>
        <v>16</v>
      </c>
      <c r="M43" s="54">
        <f>SUM(K43:L43)</f>
        <v>33</v>
      </c>
    </row>
    <row r="44" spans="1:13" ht="13.8" thickBot="1" x14ac:dyDescent="0.3">
      <c r="A44" s="57" t="s">
        <v>18</v>
      </c>
      <c r="B44" s="58">
        <f>ROUND($B$5*$B$7*$B16*$B$23,0)</f>
        <v>2</v>
      </c>
      <c r="C44" s="59">
        <f>ROUND($B$5*$B$7*$B16*(1-$B$23),0)</f>
        <v>1</v>
      </c>
      <c r="D44" s="60">
        <f>SUM(B44:C44)</f>
        <v>3</v>
      </c>
      <c r="E44" s="61">
        <f>ROUND($B$5*$B$8*$B16*$B$24,0)</f>
        <v>5</v>
      </c>
      <c r="F44" s="59">
        <f>ROUND($B$5*$B$8*$B16*(1-$B$24),0)</f>
        <v>4</v>
      </c>
      <c r="G44" s="62">
        <f>SUM(E44:F44)</f>
        <v>9</v>
      </c>
      <c r="H44" s="58">
        <f>ROUND($B$5*$B$9*$B16*$B$25,0)</f>
        <v>5</v>
      </c>
      <c r="I44" s="59">
        <f>ROUND($B$5*$B$9*$B16*(1-$B$25),0)</f>
        <v>4</v>
      </c>
      <c r="J44" s="60">
        <f>SUM(H44:I44)</f>
        <v>9</v>
      </c>
      <c r="K44" s="61">
        <f t="shared" si="0"/>
        <v>6</v>
      </c>
      <c r="L44" s="47">
        <f t="shared" si="1"/>
        <v>6</v>
      </c>
      <c r="M44" s="60">
        <f>SUM(K44:L44)</f>
        <v>12</v>
      </c>
    </row>
    <row r="45" spans="1:13" ht="13.8" thickBot="1" x14ac:dyDescent="0.3">
      <c r="A45" s="63" t="s">
        <v>0</v>
      </c>
      <c r="B45" s="64">
        <f t="shared" ref="B45:M45" si="2">SUM(B40:B44)</f>
        <v>47</v>
      </c>
      <c r="C45" s="65">
        <f t="shared" si="2"/>
        <v>11</v>
      </c>
      <c r="D45" s="66">
        <f t="shared" si="2"/>
        <v>58</v>
      </c>
      <c r="E45" s="67">
        <f t="shared" si="2"/>
        <v>92</v>
      </c>
      <c r="F45" s="65">
        <f t="shared" si="2"/>
        <v>85</v>
      </c>
      <c r="G45" s="68">
        <f t="shared" si="2"/>
        <v>177</v>
      </c>
      <c r="H45" s="64">
        <f t="shared" si="2"/>
        <v>92</v>
      </c>
      <c r="I45" s="65">
        <f t="shared" si="2"/>
        <v>85</v>
      </c>
      <c r="J45" s="66">
        <f t="shared" si="2"/>
        <v>177</v>
      </c>
      <c r="K45" s="67">
        <f t="shared" si="2"/>
        <v>128</v>
      </c>
      <c r="L45" s="65">
        <f t="shared" si="2"/>
        <v>125</v>
      </c>
      <c r="M45" s="66">
        <f t="shared" si="2"/>
        <v>253</v>
      </c>
    </row>
    <row r="49" spans="1:13" ht="13.8" thickBot="1" x14ac:dyDescent="0.3">
      <c r="A49" s="95" t="str">
        <f>RIGHT(K1,LEN(K1)-5) &amp;" Vehicle Trips - Before balancing"</f>
        <v>Destination Retail Vehicle Trips - Before balancing</v>
      </c>
    </row>
    <row r="50" spans="1:13" x14ac:dyDescent="0.25">
      <c r="A50" s="186"/>
      <c r="B50" s="196" t="s">
        <v>7</v>
      </c>
      <c r="C50" s="195"/>
      <c r="D50" s="197"/>
      <c r="E50" s="195" t="s">
        <v>8</v>
      </c>
      <c r="F50" s="195"/>
      <c r="G50" s="195"/>
      <c r="H50" s="196" t="s">
        <v>9</v>
      </c>
      <c r="I50" s="195"/>
      <c r="J50" s="197"/>
      <c r="K50" s="196" t="s">
        <v>19</v>
      </c>
      <c r="L50" s="195"/>
      <c r="M50" s="197"/>
    </row>
    <row r="51" spans="1:13" ht="13.8" thickBot="1" x14ac:dyDescent="0.3">
      <c r="A51" s="187"/>
      <c r="B51" s="5" t="s">
        <v>13</v>
      </c>
      <c r="C51" s="3" t="s">
        <v>14</v>
      </c>
      <c r="D51" s="6" t="s">
        <v>0</v>
      </c>
      <c r="E51" s="7" t="s">
        <v>13</v>
      </c>
      <c r="F51" s="3" t="s">
        <v>14</v>
      </c>
      <c r="G51" s="4" t="s">
        <v>0</v>
      </c>
      <c r="H51" s="5" t="s">
        <v>13</v>
      </c>
      <c r="I51" s="3" t="s">
        <v>14</v>
      </c>
      <c r="J51" s="6" t="s">
        <v>0</v>
      </c>
      <c r="K51" s="5" t="s">
        <v>13</v>
      </c>
      <c r="L51" s="3" t="s">
        <v>14</v>
      </c>
      <c r="M51" s="6" t="s">
        <v>0</v>
      </c>
    </row>
    <row r="52" spans="1:13" x14ac:dyDescent="0.25">
      <c r="A52" s="8" t="s">
        <v>1</v>
      </c>
      <c r="B52" s="17">
        <f>ROUND(B40/$B$19,0)</f>
        <v>20</v>
      </c>
      <c r="C52" s="18">
        <f>ROUND(C40/$B$19,0)</f>
        <v>4</v>
      </c>
      <c r="D52" s="19">
        <f>B52+C52</f>
        <v>24</v>
      </c>
      <c r="E52" s="20">
        <f>ROUND(E40/$B$19,0)</f>
        <v>39</v>
      </c>
      <c r="F52" s="18">
        <f>ROUND(F40/$B$19,0)</f>
        <v>36</v>
      </c>
      <c r="G52" s="21">
        <f>E52+F52</f>
        <v>75</v>
      </c>
      <c r="H52" s="17">
        <f>ROUND(H40/$B$19,0)</f>
        <v>39</v>
      </c>
      <c r="I52" s="18">
        <f>ROUND(I40/$B$19,0)</f>
        <v>36</v>
      </c>
      <c r="J52" s="19">
        <f>H52+I52</f>
        <v>75</v>
      </c>
      <c r="K52" s="17">
        <f>ROUND(K40/$C$19,0)</f>
        <v>44</v>
      </c>
      <c r="L52" s="18">
        <f>ROUND(L40/$C$19,0)</f>
        <v>43</v>
      </c>
      <c r="M52" s="19">
        <f>K52+L52</f>
        <v>87</v>
      </c>
    </row>
    <row r="53" spans="1:13" x14ac:dyDescent="0.25">
      <c r="A53" s="9" t="s">
        <v>2</v>
      </c>
      <c r="B53" s="22">
        <f>ROUND(B41/$B$20,0)</f>
        <v>1</v>
      </c>
      <c r="C53" s="23">
        <f>ROUND(C41/$B$20,0)</f>
        <v>0</v>
      </c>
      <c r="D53" s="24">
        <f>B53+C53</f>
        <v>1</v>
      </c>
      <c r="E53" s="25">
        <f>ROUND(E41/$B$20,0)</f>
        <v>2</v>
      </c>
      <c r="F53" s="23">
        <f>ROUND(F41/$B$20,0)</f>
        <v>2</v>
      </c>
      <c r="G53" s="26">
        <f>E53+F53</f>
        <v>4</v>
      </c>
      <c r="H53" s="22">
        <f>ROUND(H41/$B$20,0)</f>
        <v>2</v>
      </c>
      <c r="I53" s="23">
        <f>ROUND(I41/$B$20,0)</f>
        <v>2</v>
      </c>
      <c r="J53" s="24">
        <f>H53+I53</f>
        <v>4</v>
      </c>
      <c r="K53" s="22">
        <f>ROUND(K41/$C$20,0)</f>
        <v>3</v>
      </c>
      <c r="L53" s="23">
        <f>ROUND(L41/$C$20,0)</f>
        <v>3</v>
      </c>
      <c r="M53" s="24">
        <f>K53+L53</f>
        <v>6</v>
      </c>
    </row>
    <row r="54" spans="1:13" ht="13.8" thickBot="1" x14ac:dyDescent="0.3">
      <c r="A54" s="10" t="s">
        <v>15</v>
      </c>
      <c r="B54" s="27">
        <f>ROUND(C33/2,0)</f>
        <v>0</v>
      </c>
      <c r="C54" s="28">
        <f>B54</f>
        <v>0</v>
      </c>
      <c r="D54" s="29">
        <f>B54+C54</f>
        <v>0</v>
      </c>
      <c r="E54" s="30">
        <f>ROUND(C34/2,0)</f>
        <v>0</v>
      </c>
      <c r="F54" s="28">
        <f>E54</f>
        <v>0</v>
      </c>
      <c r="G54" s="31">
        <f>E54+F54</f>
        <v>0</v>
      </c>
      <c r="H54" s="27">
        <f>ROUND(C35/2,0)</f>
        <v>0</v>
      </c>
      <c r="I54" s="28">
        <f>H54</f>
        <v>0</v>
      </c>
      <c r="J54" s="29">
        <f>H54+I54</f>
        <v>0</v>
      </c>
      <c r="K54" s="27">
        <f>ROUND(E34/2,0)</f>
        <v>0</v>
      </c>
      <c r="L54" s="28">
        <f>K54</f>
        <v>0</v>
      </c>
      <c r="M54" s="29">
        <f>K54+L54</f>
        <v>0</v>
      </c>
    </row>
    <row r="55" spans="1:13" ht="13.8" thickBot="1" x14ac:dyDescent="0.3">
      <c r="A55" s="11" t="s">
        <v>0</v>
      </c>
      <c r="B55" s="32">
        <f>SUM(B52:B54)</f>
        <v>21</v>
      </c>
      <c r="C55" s="33">
        <f>SUM(C52:C54)</f>
        <v>4</v>
      </c>
      <c r="D55" s="34">
        <f>B55+C55</f>
        <v>25</v>
      </c>
      <c r="E55" s="35">
        <f>SUM(E52:E54)</f>
        <v>41</v>
      </c>
      <c r="F55" s="33">
        <f>SUM(F52:F54)</f>
        <v>38</v>
      </c>
      <c r="G55" s="36">
        <f>E55+F55</f>
        <v>79</v>
      </c>
      <c r="H55" s="32">
        <f>SUM(H52:H54)</f>
        <v>41</v>
      </c>
      <c r="I55" s="33">
        <f>SUM(I52:I54)</f>
        <v>38</v>
      </c>
      <c r="J55" s="34">
        <f>H55+I55</f>
        <v>79</v>
      </c>
      <c r="K55" s="32">
        <f>SUM(K52:K54)</f>
        <v>47</v>
      </c>
      <c r="L55" s="33">
        <f>SUM(L52:L54)</f>
        <v>46</v>
      </c>
      <c r="M55" s="34">
        <f>K55+L55</f>
        <v>93</v>
      </c>
    </row>
    <row r="56" spans="1:13" x14ac:dyDescent="0.25">
      <c r="A56" s="86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</row>
    <row r="59" spans="1:13" ht="13.8" thickBot="1" x14ac:dyDescent="0.3">
      <c r="A59" s="95" t="str">
        <f>RIGHT(K1,LEN(K1)-5) &amp;" Vehicle Trips (Balanced for Taxis)"</f>
        <v>Destination Retail Vehicle Trips (Balanced for Taxis)</v>
      </c>
    </row>
    <row r="60" spans="1:13" x14ac:dyDescent="0.25">
      <c r="A60" s="186"/>
      <c r="B60" s="196" t="s">
        <v>7</v>
      </c>
      <c r="C60" s="195"/>
      <c r="D60" s="197"/>
      <c r="E60" s="195" t="s">
        <v>8</v>
      </c>
      <c r="F60" s="195"/>
      <c r="G60" s="195"/>
      <c r="H60" s="196" t="s">
        <v>9</v>
      </c>
      <c r="I60" s="195"/>
      <c r="J60" s="197"/>
      <c r="K60" s="196" t="s">
        <v>19</v>
      </c>
      <c r="L60" s="195"/>
      <c r="M60" s="197"/>
    </row>
    <row r="61" spans="1:13" ht="13.8" thickBot="1" x14ac:dyDescent="0.3">
      <c r="A61" s="187"/>
      <c r="B61" s="5" t="s">
        <v>13</v>
      </c>
      <c r="C61" s="3" t="s">
        <v>14</v>
      </c>
      <c r="D61" s="6" t="s">
        <v>0</v>
      </c>
      <c r="E61" s="7" t="s">
        <v>13</v>
      </c>
      <c r="F61" s="3" t="s">
        <v>14</v>
      </c>
      <c r="G61" s="4" t="s">
        <v>0</v>
      </c>
      <c r="H61" s="5" t="s">
        <v>13</v>
      </c>
      <c r="I61" s="3" t="s">
        <v>14</v>
      </c>
      <c r="J61" s="6" t="s">
        <v>0</v>
      </c>
      <c r="K61" s="5" t="s">
        <v>13</v>
      </c>
      <c r="L61" s="3" t="s">
        <v>14</v>
      </c>
      <c r="M61" s="6" t="s">
        <v>0</v>
      </c>
    </row>
    <row r="62" spans="1:13" x14ac:dyDescent="0.25">
      <c r="A62" s="8" t="s">
        <v>1</v>
      </c>
      <c r="B62" s="17">
        <f>ROUND(B52,0)</f>
        <v>20</v>
      </c>
      <c r="C62" s="18">
        <f>ROUND(C52,0)</f>
        <v>4</v>
      </c>
      <c r="D62" s="19">
        <f>B62+C62</f>
        <v>24</v>
      </c>
      <c r="E62" s="20">
        <f>ROUND(E52,0)</f>
        <v>39</v>
      </c>
      <c r="F62" s="18">
        <f>ROUND(F52,0)</f>
        <v>36</v>
      </c>
      <c r="G62" s="21">
        <f>E62+F62</f>
        <v>75</v>
      </c>
      <c r="H62" s="17">
        <f>ROUND(H52,0)</f>
        <v>39</v>
      </c>
      <c r="I62" s="18">
        <f>ROUND(I52,0)</f>
        <v>36</v>
      </c>
      <c r="J62" s="19">
        <f>H62+I62</f>
        <v>75</v>
      </c>
      <c r="K62" s="17">
        <f>ROUND(K52,0)</f>
        <v>44</v>
      </c>
      <c r="L62" s="18">
        <f>ROUND(L52,0)</f>
        <v>43</v>
      </c>
      <c r="M62" s="19">
        <f>K62+L62</f>
        <v>87</v>
      </c>
    </row>
    <row r="63" spans="1:13" x14ac:dyDescent="0.25">
      <c r="A63" s="9" t="s">
        <v>2</v>
      </c>
      <c r="B63" s="22">
        <f>ROUND(B53+C53,0)</f>
        <v>1</v>
      </c>
      <c r="C63" s="23">
        <f>B63</f>
        <v>1</v>
      </c>
      <c r="D63" s="24">
        <f>B63+C63</f>
        <v>2</v>
      </c>
      <c r="E63" s="25">
        <f>ROUND(E53+F53,0)</f>
        <v>4</v>
      </c>
      <c r="F63" s="23">
        <f>E63</f>
        <v>4</v>
      </c>
      <c r="G63" s="26">
        <f>E63+F63</f>
        <v>8</v>
      </c>
      <c r="H63" s="22">
        <f>ROUND(H53+I53,0)</f>
        <v>4</v>
      </c>
      <c r="I63" s="23">
        <f>H63</f>
        <v>4</v>
      </c>
      <c r="J63" s="24">
        <f>H63+I63</f>
        <v>8</v>
      </c>
      <c r="K63" s="22">
        <f>ROUND(K53+L53,0)</f>
        <v>6</v>
      </c>
      <c r="L63" s="23">
        <f>K63</f>
        <v>6</v>
      </c>
      <c r="M63" s="24">
        <f>K63+L63</f>
        <v>12</v>
      </c>
    </row>
    <row r="64" spans="1:13" ht="13.8" thickBot="1" x14ac:dyDescent="0.3">
      <c r="A64" s="10" t="s">
        <v>15</v>
      </c>
      <c r="B64" s="27">
        <f>ROUND(B54,0)</f>
        <v>0</v>
      </c>
      <c r="C64" s="28">
        <f>ROUND(C54,0)</f>
        <v>0</v>
      </c>
      <c r="D64" s="29">
        <f>B64+C64</f>
        <v>0</v>
      </c>
      <c r="E64" s="30">
        <f>ROUND(E54,0)</f>
        <v>0</v>
      </c>
      <c r="F64" s="28">
        <f>ROUND(F54,0)</f>
        <v>0</v>
      </c>
      <c r="G64" s="31">
        <f>E64+F64</f>
        <v>0</v>
      </c>
      <c r="H64" s="27">
        <f>ROUND(H54,0)</f>
        <v>0</v>
      </c>
      <c r="I64" s="28">
        <f>ROUND(I54,0)</f>
        <v>0</v>
      </c>
      <c r="J64" s="29">
        <f>H64+I64</f>
        <v>0</v>
      </c>
      <c r="K64" s="27">
        <f>ROUND(K54,0)</f>
        <v>0</v>
      </c>
      <c r="L64" s="28">
        <f>ROUND(L54,0)</f>
        <v>0</v>
      </c>
      <c r="M64" s="29">
        <f>K64+L64</f>
        <v>0</v>
      </c>
    </row>
    <row r="65" spans="1:13" ht="13.8" thickBot="1" x14ac:dyDescent="0.3">
      <c r="A65" s="11" t="s">
        <v>0</v>
      </c>
      <c r="B65" s="32">
        <f>SUM(B62:B64)</f>
        <v>21</v>
      </c>
      <c r="C65" s="33">
        <f>SUM(C62:C64)</f>
        <v>5</v>
      </c>
      <c r="D65" s="34">
        <f>B65+C65</f>
        <v>26</v>
      </c>
      <c r="E65" s="35">
        <f>SUM(E62:E64)</f>
        <v>43</v>
      </c>
      <c r="F65" s="33">
        <f>SUM(F62:F64)</f>
        <v>40</v>
      </c>
      <c r="G65" s="36">
        <f>E65+F65</f>
        <v>83</v>
      </c>
      <c r="H65" s="32">
        <f>SUM(H62:H64)</f>
        <v>43</v>
      </c>
      <c r="I65" s="33">
        <f>SUM(I62:I64)</f>
        <v>40</v>
      </c>
      <c r="J65" s="34">
        <f>H65+I65</f>
        <v>83</v>
      </c>
      <c r="K65" s="32">
        <f>SUM(K62:K64)</f>
        <v>50</v>
      </c>
      <c r="L65" s="33">
        <f>SUM(L62:L64)</f>
        <v>49</v>
      </c>
      <c r="M65" s="34">
        <f>K65+L65</f>
        <v>99</v>
      </c>
    </row>
    <row r="67" spans="1:13" x14ac:dyDescent="0.25">
      <c r="A67" s="82" t="s">
        <v>29</v>
      </c>
    </row>
    <row r="68" spans="1:13" x14ac:dyDescent="0.25">
      <c r="A68" s="96" t="s">
        <v>36</v>
      </c>
    </row>
    <row r="69" spans="1:13" x14ac:dyDescent="0.25">
      <c r="A69" s="95" t="s">
        <v>74</v>
      </c>
    </row>
    <row r="70" spans="1:13" x14ac:dyDescent="0.25">
      <c r="A70" s="96" t="s">
        <v>88</v>
      </c>
    </row>
    <row r="71" spans="1:13" x14ac:dyDescent="0.25">
      <c r="D71" s="74"/>
      <c r="G71" s="74"/>
      <c r="J71" s="74"/>
      <c r="M71" s="74"/>
    </row>
  </sheetData>
  <mergeCells count="17">
    <mergeCell ref="B29:C29"/>
    <mergeCell ref="D29:E29"/>
    <mergeCell ref="A37:E37"/>
    <mergeCell ref="B38:D38"/>
    <mergeCell ref="E38:G38"/>
    <mergeCell ref="K38:M38"/>
    <mergeCell ref="A50:A51"/>
    <mergeCell ref="B50:D50"/>
    <mergeCell ref="E50:G50"/>
    <mergeCell ref="H50:J50"/>
    <mergeCell ref="K50:M50"/>
    <mergeCell ref="H38:J38"/>
    <mergeCell ref="A60:A61"/>
    <mergeCell ref="B60:D60"/>
    <mergeCell ref="E60:G60"/>
    <mergeCell ref="H60:J60"/>
    <mergeCell ref="K60:M60"/>
  </mergeCells>
  <pageMargins left="0.7" right="0.7" top="0.75" bottom="0.75" header="0.3" footer="0.3"/>
  <pageSetup paperSize="195" scale="7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P133"/>
  <sheetViews>
    <sheetView tabSelected="1" topLeftCell="A93" zoomScale="70" zoomScaleNormal="70" workbookViewId="0">
      <selection activeCell="Y133" sqref="Y133:AA133"/>
    </sheetView>
  </sheetViews>
  <sheetFormatPr defaultColWidth="9.109375" defaultRowHeight="13.2" x14ac:dyDescent="0.25"/>
  <cols>
    <col min="1" max="1" width="7" style="1" customWidth="1"/>
    <col min="2" max="2" width="5.5546875" style="1" customWidth="1"/>
    <col min="3" max="4" width="6.33203125" style="1" customWidth="1"/>
    <col min="5" max="6" width="6.109375" style="1" customWidth="1"/>
    <col min="7" max="7" width="6.5546875" style="1" customWidth="1"/>
    <col min="8" max="8" width="5.88671875" style="1" customWidth="1"/>
    <col min="9" max="9" width="5.5546875" style="1" customWidth="1"/>
    <col min="10" max="10" width="6.44140625" style="1" customWidth="1"/>
    <col min="11" max="11" width="6.109375" style="1" bestFit="1" customWidth="1"/>
    <col min="12" max="12" width="6" style="1" customWidth="1"/>
    <col min="13" max="13" width="6.44140625" style="1" customWidth="1"/>
    <col min="14" max="14" width="9.109375" style="1"/>
    <col min="15" max="15" width="11" style="1" customWidth="1"/>
    <col min="16" max="20" width="5.6640625" style="1" customWidth="1"/>
    <col min="21" max="21" width="6.5546875" style="1" bestFit="1" customWidth="1"/>
    <col min="22" max="23" width="5.6640625" style="1" customWidth="1"/>
    <col min="24" max="24" width="6.5546875" style="1" bestFit="1" customWidth="1"/>
    <col min="25" max="26" width="5.6640625" style="1" customWidth="1"/>
    <col min="27" max="27" width="6.5546875" style="1" bestFit="1" customWidth="1"/>
    <col min="28" max="16384" width="9.109375" style="1"/>
  </cols>
  <sheetData>
    <row r="1" spans="1:41" x14ac:dyDescent="0.25">
      <c r="A1" s="12" t="s">
        <v>46</v>
      </c>
    </row>
    <row r="2" spans="1:41" ht="12.75" customHeight="1" x14ac:dyDescent="0.25">
      <c r="A2" s="12" t="str">
        <f>Residential!K3&amp;" - "&amp;Residential!K2&amp;" "&amp;Residential!L2&amp;RIGHT(Residential!K1,LEN(Residential!K1)-4)</f>
        <v>Proposed - 1045 DU Residential</v>
      </c>
      <c r="B2" s="12"/>
    </row>
    <row r="3" spans="1:41" ht="12.75" customHeight="1" x14ac:dyDescent="0.25">
      <c r="A3" s="100" t="str">
        <f>'Local Retail'!K3&amp;" - "&amp;'Local Retail'!K2&amp;" "&amp;'Local Retail'!L2&amp;RIGHT('Local Retail'!K1,LEN('Local Retail'!K1)-4)</f>
        <v>Proposed - 25 ksf Local Retail</v>
      </c>
    </row>
    <row r="4" spans="1:41" ht="12.75" customHeight="1" x14ac:dyDescent="0.25">
      <c r="A4" s="100" t="str">
        <f>'Food Store'!K3&amp;" - "&amp;'Food Store'!K2&amp;" "&amp;'Food Store'!L2&amp;RIGHT('Food Store'!K1,LEN('Food Store'!K1)-4)</f>
        <v>Proposed - 25 ksf Food Store (FRESH)</v>
      </c>
    </row>
    <row r="5" spans="1:41" ht="12.75" customHeight="1" x14ac:dyDescent="0.25">
      <c r="A5" s="100" t="str">
        <f>'Medical Office'!K3&amp;" - "&amp;'Medical Office'!K2&amp;" "&amp;'Medical Office'!L2&amp;RIGHT('Medical Office'!K1,LEN('Medical Office'!K1)-4)</f>
        <v>Proposed - 25 ksf Medical Office</v>
      </c>
    </row>
    <row r="6" spans="1:41" ht="13.5" customHeight="1" x14ac:dyDescent="0.25">
      <c r="A6" s="100" t="str">
        <f>'Passive Space'!K3&amp;" - "&amp;'Passive Space'!K2&amp;" "&amp;'Passive Space'!L2&amp;RIGHT('Passive Space'!K1,LEN('Passive Space'!K1)-4)</f>
        <v>Proposed - 1.94 acres Open Space (Passive)</v>
      </c>
    </row>
    <row r="7" spans="1:41" ht="13.5" customHeight="1" x14ac:dyDescent="0.25">
      <c r="A7" s="100" t="str">
        <f>'Active Space'!K3&amp;" - "&amp;'Active Space'!K2&amp;" "&amp;'Active Space'!L2&amp;RIGHT('Active Space'!K1,LEN('Active Space'!K1)-4)</f>
        <v>Proposed - 1.02 acres Open Space (Active)</v>
      </c>
    </row>
    <row r="8" spans="1:41" ht="12.75" customHeight="1" x14ac:dyDescent="0.25">
      <c r="A8" s="100" t="str">
        <f>Office!K3&amp;" - "&amp;Office!K2&amp;" "&amp;Office!L2&amp;RIGHT(Office!K1,LEN(Office!K1)-4)</f>
        <v>Proposed - 50 ksf Office</v>
      </c>
    </row>
    <row r="9" spans="1:41" ht="12.75" customHeight="1" x14ac:dyDescent="0.25">
      <c r="A9" s="100" t="str">
        <f>'Dest Retail'!K3&amp;" - "&amp;'Dest Retail'!K2&amp;" "&amp;'Dest Retail'!L2&amp;RIGHT('Dest Retail'!K1,LEN('Dest Retail'!K1)-4)</f>
        <v>Proposed - 25 ksf Destination Retail</v>
      </c>
    </row>
    <row r="11" spans="1:41" ht="13.8" thickBot="1" x14ac:dyDescent="0.3">
      <c r="A11" s="12" t="str">
        <f>Residential!K3&amp;" - "&amp;Residential!A49</f>
        <v>Proposed - Residential Vehicle Trips - Before balancing</v>
      </c>
      <c r="O11" s="215" t="str">
        <f>Residential!A37</f>
        <v>Residential Person Trips</v>
      </c>
      <c r="P11" s="215"/>
      <c r="Q11" s="215"/>
      <c r="R11" s="215"/>
      <c r="S11" s="215"/>
      <c r="T11" s="80"/>
      <c r="U11" s="80"/>
      <c r="V11" s="80"/>
      <c r="W11" s="80"/>
      <c r="X11" s="80"/>
      <c r="Y11" s="80"/>
      <c r="Z11" s="80"/>
      <c r="AA11" s="80"/>
      <c r="AC11" s="95"/>
      <c r="AD11" s="12" t="s">
        <v>85</v>
      </c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</row>
    <row r="12" spans="1:41" x14ac:dyDescent="0.25">
      <c r="A12" s="216"/>
      <c r="B12" s="196" t="s">
        <v>7</v>
      </c>
      <c r="C12" s="195">
        <v>0</v>
      </c>
      <c r="D12" s="197">
        <v>0</v>
      </c>
      <c r="E12" s="196" t="s">
        <v>16</v>
      </c>
      <c r="F12" s="195">
        <v>0</v>
      </c>
      <c r="G12" s="197">
        <v>0</v>
      </c>
      <c r="H12" s="196" t="s">
        <v>9</v>
      </c>
      <c r="I12" s="195">
        <v>0</v>
      </c>
      <c r="J12" s="197">
        <v>0</v>
      </c>
      <c r="K12" s="196" t="s">
        <v>19</v>
      </c>
      <c r="L12" s="195">
        <v>0</v>
      </c>
      <c r="M12" s="197">
        <v>0</v>
      </c>
      <c r="O12" s="38"/>
      <c r="P12" s="212" t="s">
        <v>7</v>
      </c>
      <c r="Q12" s="213"/>
      <c r="R12" s="214"/>
      <c r="S12" s="209" t="s">
        <v>8</v>
      </c>
      <c r="T12" s="210"/>
      <c r="U12" s="211"/>
      <c r="V12" s="209" t="s">
        <v>9</v>
      </c>
      <c r="W12" s="210"/>
      <c r="X12" s="211"/>
      <c r="Y12" s="209" t="s">
        <v>19</v>
      </c>
      <c r="Z12" s="210"/>
      <c r="AA12" s="211"/>
      <c r="AC12" s="38"/>
      <c r="AD12" s="196">
        <f>P11</f>
        <v>0</v>
      </c>
      <c r="AE12" s="195"/>
      <c r="AF12" s="197"/>
      <c r="AG12" s="196">
        <f>S11</f>
        <v>0</v>
      </c>
      <c r="AH12" s="195"/>
      <c r="AI12" s="197"/>
      <c r="AJ12" s="196">
        <f>V11</f>
        <v>0</v>
      </c>
      <c r="AK12" s="195"/>
      <c r="AL12" s="197"/>
      <c r="AM12" s="196">
        <f>Y11</f>
        <v>0</v>
      </c>
      <c r="AN12" s="195"/>
      <c r="AO12" s="197"/>
    </row>
    <row r="13" spans="1:41" ht="13.8" thickBot="1" x14ac:dyDescent="0.3">
      <c r="A13" s="217"/>
      <c r="B13" s="5" t="s">
        <v>13</v>
      </c>
      <c r="C13" s="3" t="s">
        <v>14</v>
      </c>
      <c r="D13" s="6" t="s">
        <v>0</v>
      </c>
      <c r="E13" s="7" t="s">
        <v>13</v>
      </c>
      <c r="F13" s="3" t="s">
        <v>14</v>
      </c>
      <c r="G13" s="4" t="s">
        <v>0</v>
      </c>
      <c r="H13" s="5" t="s">
        <v>13</v>
      </c>
      <c r="I13" s="3" t="s">
        <v>14</v>
      </c>
      <c r="J13" s="6" t="s">
        <v>0</v>
      </c>
      <c r="K13" s="5" t="s">
        <v>13</v>
      </c>
      <c r="L13" s="3" t="s">
        <v>14</v>
      </c>
      <c r="M13" s="6" t="s">
        <v>0</v>
      </c>
      <c r="O13" s="39"/>
      <c r="P13" s="75" t="s">
        <v>13</v>
      </c>
      <c r="Q13" s="76" t="s">
        <v>14</v>
      </c>
      <c r="R13" s="77" t="s">
        <v>0</v>
      </c>
      <c r="S13" s="78" t="s">
        <v>13</v>
      </c>
      <c r="T13" s="76" t="s">
        <v>14</v>
      </c>
      <c r="U13" s="79" t="s">
        <v>0</v>
      </c>
      <c r="V13" s="75" t="s">
        <v>13</v>
      </c>
      <c r="W13" s="76" t="s">
        <v>14</v>
      </c>
      <c r="X13" s="77" t="s">
        <v>0</v>
      </c>
      <c r="Y13" s="78" t="s">
        <v>13</v>
      </c>
      <c r="Z13" s="76" t="s">
        <v>14</v>
      </c>
      <c r="AA13" s="77" t="s">
        <v>0</v>
      </c>
      <c r="AC13" s="39"/>
      <c r="AD13" s="75" t="s">
        <v>13</v>
      </c>
      <c r="AE13" s="76" t="s">
        <v>14</v>
      </c>
      <c r="AF13" s="77" t="s">
        <v>0</v>
      </c>
      <c r="AG13" s="78" t="s">
        <v>13</v>
      </c>
      <c r="AH13" s="76" t="s">
        <v>14</v>
      </c>
      <c r="AI13" s="79" t="s">
        <v>0</v>
      </c>
      <c r="AJ13" s="75" t="s">
        <v>13</v>
      </c>
      <c r="AK13" s="76" t="s">
        <v>14</v>
      </c>
      <c r="AL13" s="77" t="s">
        <v>0</v>
      </c>
      <c r="AM13" s="78" t="s">
        <v>13</v>
      </c>
      <c r="AN13" s="76" t="s">
        <v>14</v>
      </c>
      <c r="AO13" s="77" t="s">
        <v>0</v>
      </c>
    </row>
    <row r="14" spans="1:41" x14ac:dyDescent="0.25">
      <c r="A14" s="8" t="s">
        <v>1</v>
      </c>
      <c r="B14" s="17">
        <f>Residential!B52</f>
        <v>16</v>
      </c>
      <c r="C14" s="18">
        <f>Residential!C52</f>
        <v>92</v>
      </c>
      <c r="D14" s="19">
        <f>Residential!D52</f>
        <v>108</v>
      </c>
      <c r="E14" s="20">
        <f>Residential!E52</f>
        <v>27</v>
      </c>
      <c r="F14" s="18">
        <f>Residential!F52</f>
        <v>27</v>
      </c>
      <c r="G14" s="21">
        <f>Residential!G52</f>
        <v>54</v>
      </c>
      <c r="H14" s="17">
        <f>Residential!H52</f>
        <v>84</v>
      </c>
      <c r="I14" s="18">
        <f>Residential!I52</f>
        <v>36</v>
      </c>
      <c r="J14" s="19">
        <f>Residential!J52</f>
        <v>120</v>
      </c>
      <c r="K14" s="17">
        <f>Residential!K52</f>
        <v>52</v>
      </c>
      <c r="L14" s="18">
        <f>Residential!L52</f>
        <v>52</v>
      </c>
      <c r="M14" s="19">
        <f>Residential!M52</f>
        <v>104</v>
      </c>
      <c r="O14" s="45" t="s">
        <v>1</v>
      </c>
      <c r="P14" s="46">
        <f>Residential!B40</f>
        <v>19</v>
      </c>
      <c r="Q14" s="47">
        <f>Residential!C40</f>
        <v>109</v>
      </c>
      <c r="R14" s="48">
        <f>Residential!D40</f>
        <v>128</v>
      </c>
      <c r="S14" s="49">
        <f>Residential!E40</f>
        <v>32</v>
      </c>
      <c r="T14" s="47">
        <f>Residential!F40</f>
        <v>32</v>
      </c>
      <c r="U14" s="50">
        <f>Residential!G40</f>
        <v>64</v>
      </c>
      <c r="V14" s="46">
        <f>Residential!H40</f>
        <v>99</v>
      </c>
      <c r="W14" s="47">
        <f>Residential!I40</f>
        <v>42</v>
      </c>
      <c r="X14" s="81">
        <f>Residential!J40</f>
        <v>141</v>
      </c>
      <c r="Y14" s="49">
        <f>Residential!K40</f>
        <v>61</v>
      </c>
      <c r="Z14" s="47">
        <f>Residential!L40</f>
        <v>61</v>
      </c>
      <c r="AA14" s="48">
        <f>Residential!M40</f>
        <v>122</v>
      </c>
      <c r="AC14" s="45" t="s">
        <v>86</v>
      </c>
      <c r="AD14" s="46">
        <f>IF(ROUND(B15*$E$109,0)&lt;=C15,B15+C15-ROUND(B15*$E$109,0),B15)</f>
        <v>6</v>
      </c>
      <c r="AE14" s="47">
        <f>AD14</f>
        <v>6</v>
      </c>
      <c r="AF14" s="48">
        <f>SUM(AD14:AE14)</f>
        <v>12</v>
      </c>
      <c r="AG14" s="49">
        <f>IF(ROUND(E15*$E$109,0)&lt;=F15,E15+F15-ROUND(E15*$E$109,0),E15)</f>
        <v>4</v>
      </c>
      <c r="AH14" s="47">
        <f>AG14</f>
        <v>4</v>
      </c>
      <c r="AI14" s="50">
        <f>SUM(AG14:AH14)</f>
        <v>8</v>
      </c>
      <c r="AJ14" s="46">
        <f>IF(ROUND(H15*$E$109,0)&lt;=I15,H15+I15-ROUND(H15*$E$109,0),H15)</f>
        <v>6</v>
      </c>
      <c r="AK14" s="47">
        <f>AJ14</f>
        <v>6</v>
      </c>
      <c r="AL14" s="81">
        <f>SUM(AJ14:AK14)</f>
        <v>12</v>
      </c>
      <c r="AM14" s="49">
        <f>IF(ROUND(K15*$E$109,0)&lt;=L15,K15+L15-ROUND(K15*$E$109,0),K15)</f>
        <v>6</v>
      </c>
      <c r="AN14" s="47">
        <f>AM14</f>
        <v>6</v>
      </c>
      <c r="AO14" s="48">
        <f>SUM(AM14:AN14)</f>
        <v>12</v>
      </c>
    </row>
    <row r="15" spans="1:41" ht="13.8" thickBot="1" x14ac:dyDescent="0.3">
      <c r="A15" s="9" t="s">
        <v>2</v>
      </c>
      <c r="B15" s="22">
        <f>Residential!B53</f>
        <v>1</v>
      </c>
      <c r="C15" s="23">
        <f>Residential!C53</f>
        <v>5</v>
      </c>
      <c r="D15" s="24">
        <f>Residential!D53</f>
        <v>6</v>
      </c>
      <c r="E15" s="25">
        <f>Residential!E53</f>
        <v>2</v>
      </c>
      <c r="F15" s="23">
        <f>Residential!F53</f>
        <v>2</v>
      </c>
      <c r="G15" s="26">
        <f>Residential!G53</f>
        <v>4</v>
      </c>
      <c r="H15" s="22">
        <f>Residential!H53</f>
        <v>4</v>
      </c>
      <c r="I15" s="23">
        <f>Residential!I53</f>
        <v>2</v>
      </c>
      <c r="J15" s="24">
        <f>Residential!J53</f>
        <v>6</v>
      </c>
      <c r="K15" s="22">
        <f>Residential!K53</f>
        <v>3</v>
      </c>
      <c r="L15" s="23">
        <f>Residential!L53</f>
        <v>3</v>
      </c>
      <c r="M15" s="24">
        <f>Residential!M53</f>
        <v>6</v>
      </c>
      <c r="O15" s="51" t="s">
        <v>2</v>
      </c>
      <c r="P15" s="52">
        <f>Residential!B41</f>
        <v>1</v>
      </c>
      <c r="Q15" s="53">
        <f>Residential!C41</f>
        <v>6</v>
      </c>
      <c r="R15" s="54">
        <f>Residential!D41</f>
        <v>7</v>
      </c>
      <c r="S15" s="49">
        <f>Residential!E41</f>
        <v>2</v>
      </c>
      <c r="T15" s="53">
        <f>Residential!F41</f>
        <v>2</v>
      </c>
      <c r="U15" s="56">
        <f>Residential!G41</f>
        <v>4</v>
      </c>
      <c r="V15" s="52">
        <f>Residential!H41</f>
        <v>5</v>
      </c>
      <c r="W15" s="53">
        <f>Residential!I41</f>
        <v>2</v>
      </c>
      <c r="X15" s="54">
        <f>Residential!J41</f>
        <v>7</v>
      </c>
      <c r="Y15" s="55">
        <f>Residential!K41</f>
        <v>3</v>
      </c>
      <c r="Z15" s="53">
        <f>Residential!L41</f>
        <v>3</v>
      </c>
      <c r="AA15" s="54">
        <f>Residential!M41</f>
        <v>6</v>
      </c>
      <c r="AC15" s="173" t="s">
        <v>87</v>
      </c>
      <c r="AD15" s="174">
        <f>ROUND(AD14*B$113/AD$112,0)</f>
        <v>6</v>
      </c>
      <c r="AE15" s="175">
        <f>AD15</f>
        <v>6</v>
      </c>
      <c r="AF15" s="176">
        <f>SUM(AD15:AE15)</f>
        <v>12</v>
      </c>
      <c r="AG15" s="177">
        <f>ROUND(AG14*E$113/AG$112,0)</f>
        <v>4</v>
      </c>
      <c r="AH15" s="175">
        <f>AG15</f>
        <v>4</v>
      </c>
      <c r="AI15" s="178">
        <f>SUM(AG15:AH15)</f>
        <v>8</v>
      </c>
      <c r="AJ15" s="174">
        <f>ROUND(AJ14*H$113/AJ$112,0)</f>
        <v>6</v>
      </c>
      <c r="AK15" s="175">
        <f>AJ15</f>
        <v>6</v>
      </c>
      <c r="AL15" s="176">
        <f>SUM(AJ15:AK15)</f>
        <v>12</v>
      </c>
      <c r="AM15" s="177">
        <f>ROUND(AM14*K$113/AM$112,0)</f>
        <v>6</v>
      </c>
      <c r="AN15" s="175">
        <f>AM15</f>
        <v>6</v>
      </c>
      <c r="AO15" s="176">
        <f>SUM(AM15:AN15)</f>
        <v>12</v>
      </c>
    </row>
    <row r="16" spans="1:41" ht="13.8" thickBot="1" x14ac:dyDescent="0.3">
      <c r="A16" s="10" t="s">
        <v>15</v>
      </c>
      <c r="B16" s="27">
        <f>Residential!B54</f>
        <v>4</v>
      </c>
      <c r="C16" s="28">
        <f>Residential!C54</f>
        <v>4</v>
      </c>
      <c r="D16" s="29">
        <f>Residential!D54</f>
        <v>8</v>
      </c>
      <c r="E16" s="30">
        <f>Residential!E54</f>
        <v>3</v>
      </c>
      <c r="F16" s="28">
        <f>Residential!F54</f>
        <v>3</v>
      </c>
      <c r="G16" s="31">
        <f>Residential!G54</f>
        <v>6</v>
      </c>
      <c r="H16" s="27">
        <f>Residential!H54</f>
        <v>1</v>
      </c>
      <c r="I16" s="28">
        <f>Residential!I54</f>
        <v>1</v>
      </c>
      <c r="J16" s="29">
        <f>Residential!J54</f>
        <v>2</v>
      </c>
      <c r="K16" s="27">
        <f>Residential!K54</f>
        <v>0</v>
      </c>
      <c r="L16" s="28">
        <f>Residential!L54</f>
        <v>0</v>
      </c>
      <c r="M16" s="29">
        <f>Residential!M54</f>
        <v>0</v>
      </c>
      <c r="O16" s="51" t="s">
        <v>3</v>
      </c>
      <c r="P16" s="52">
        <f>Residential!B42</f>
        <v>27</v>
      </c>
      <c r="Q16" s="53">
        <f>Residential!C42</f>
        <v>151</v>
      </c>
      <c r="R16" s="54">
        <f>Residential!D42</f>
        <v>178</v>
      </c>
      <c r="S16" s="49">
        <f>Residential!E42</f>
        <v>44</v>
      </c>
      <c r="T16" s="53">
        <f>Residential!F42</f>
        <v>44</v>
      </c>
      <c r="U16" s="56">
        <f>Residential!G42</f>
        <v>88</v>
      </c>
      <c r="V16" s="52">
        <f>Residential!H42</f>
        <v>136</v>
      </c>
      <c r="W16" s="53">
        <f>Residential!I42</f>
        <v>58</v>
      </c>
      <c r="X16" s="54">
        <f>Residential!J42</f>
        <v>194</v>
      </c>
      <c r="Y16" s="55">
        <f>Residential!K42</f>
        <v>84</v>
      </c>
      <c r="Z16" s="53">
        <f>Residential!L42</f>
        <v>84</v>
      </c>
      <c r="AA16" s="54">
        <f>Residential!M42</f>
        <v>168</v>
      </c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</row>
    <row r="17" spans="1:41" ht="13.8" thickBot="1" x14ac:dyDescent="0.3">
      <c r="A17" s="11" t="s">
        <v>0</v>
      </c>
      <c r="B17" s="32">
        <f>Residential!B55</f>
        <v>21</v>
      </c>
      <c r="C17" s="33">
        <f>Residential!C55</f>
        <v>101</v>
      </c>
      <c r="D17" s="34">
        <f>Residential!D55</f>
        <v>122</v>
      </c>
      <c r="E17" s="35">
        <f>Residential!E55</f>
        <v>32</v>
      </c>
      <c r="F17" s="33">
        <f>Residential!F55</f>
        <v>32</v>
      </c>
      <c r="G17" s="36">
        <f>Residential!G55</f>
        <v>64</v>
      </c>
      <c r="H17" s="32">
        <f>Residential!H55</f>
        <v>89</v>
      </c>
      <c r="I17" s="33">
        <f>Residential!I55</f>
        <v>39</v>
      </c>
      <c r="J17" s="34">
        <f>Residential!J55</f>
        <v>128</v>
      </c>
      <c r="K17" s="32">
        <f>Residential!K55</f>
        <v>55</v>
      </c>
      <c r="L17" s="33">
        <f>Residential!L55</f>
        <v>55</v>
      </c>
      <c r="M17" s="34">
        <f>Residential!M55</f>
        <v>110</v>
      </c>
      <c r="O17" s="51" t="s">
        <v>4</v>
      </c>
      <c r="P17" s="52">
        <f>Residential!B43</f>
        <v>67</v>
      </c>
      <c r="Q17" s="53">
        <f>Residential!C43</f>
        <v>381</v>
      </c>
      <c r="R17" s="54">
        <f>Residential!D43</f>
        <v>448</v>
      </c>
      <c r="S17" s="49">
        <f>Residential!E43</f>
        <v>112</v>
      </c>
      <c r="T17" s="53">
        <f>Residential!F43</f>
        <v>112</v>
      </c>
      <c r="U17" s="56">
        <f>Residential!G43</f>
        <v>224</v>
      </c>
      <c r="V17" s="52">
        <f>Residential!H43</f>
        <v>345</v>
      </c>
      <c r="W17" s="53">
        <f>Residential!I43</f>
        <v>148</v>
      </c>
      <c r="X17" s="54">
        <f>Residential!J43</f>
        <v>493</v>
      </c>
      <c r="Y17" s="55">
        <f>Residential!K43</f>
        <v>213</v>
      </c>
      <c r="Z17" s="53">
        <f>Residential!L43</f>
        <v>213</v>
      </c>
      <c r="AA17" s="54">
        <f>Residential!M43</f>
        <v>426</v>
      </c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</row>
    <row r="18" spans="1:41" ht="13.8" thickBot="1" x14ac:dyDescent="0.3">
      <c r="O18" s="57" t="s">
        <v>18</v>
      </c>
      <c r="P18" s="58">
        <f>Residential!B44</f>
        <v>13</v>
      </c>
      <c r="Q18" s="59">
        <f>Residential!C44</f>
        <v>71</v>
      </c>
      <c r="R18" s="60">
        <f>Residential!D44</f>
        <v>84</v>
      </c>
      <c r="S18" s="61">
        <f>Residential!E44</f>
        <v>21</v>
      </c>
      <c r="T18" s="59">
        <f>Residential!F44</f>
        <v>21</v>
      </c>
      <c r="U18" s="62">
        <f>Residential!G44</f>
        <v>42</v>
      </c>
      <c r="V18" s="58">
        <f>Residential!H44</f>
        <v>64</v>
      </c>
      <c r="W18" s="59">
        <f>Residential!I44</f>
        <v>28</v>
      </c>
      <c r="X18" s="60">
        <f>Residential!J44</f>
        <v>92</v>
      </c>
      <c r="Y18" s="61">
        <f>Residential!K44</f>
        <v>40</v>
      </c>
      <c r="Z18" s="59">
        <f>Residential!L44</f>
        <v>40</v>
      </c>
      <c r="AA18" s="60">
        <f>Residential!M44</f>
        <v>80</v>
      </c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</row>
    <row r="19" spans="1:41" ht="13.8" thickBot="1" x14ac:dyDescent="0.3">
      <c r="O19" s="63" t="s">
        <v>0</v>
      </c>
      <c r="P19" s="64">
        <f>Residential!B45</f>
        <v>127</v>
      </c>
      <c r="Q19" s="65">
        <f>Residential!C45</f>
        <v>718</v>
      </c>
      <c r="R19" s="66">
        <f>Residential!D45</f>
        <v>845</v>
      </c>
      <c r="S19" s="67">
        <f>Residential!E45</f>
        <v>211</v>
      </c>
      <c r="T19" s="65">
        <f>Residential!F45</f>
        <v>211</v>
      </c>
      <c r="U19" s="68">
        <f>Residential!G45</f>
        <v>422</v>
      </c>
      <c r="V19" s="64">
        <f>Residential!H45</f>
        <v>649</v>
      </c>
      <c r="W19" s="65">
        <f>Residential!I45</f>
        <v>278</v>
      </c>
      <c r="X19" s="66">
        <f>Residential!J45</f>
        <v>927</v>
      </c>
      <c r="Y19" s="67">
        <f>Residential!K45</f>
        <v>401</v>
      </c>
      <c r="Z19" s="65">
        <f>Residential!L45</f>
        <v>401</v>
      </c>
      <c r="AA19" s="66">
        <f>Residential!M45</f>
        <v>802</v>
      </c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</row>
    <row r="20" spans="1:41" x14ac:dyDescent="0.25">
      <c r="O20" s="97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</row>
    <row r="21" spans="1:41" x14ac:dyDescent="0.25">
      <c r="O21" s="97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</row>
    <row r="22" spans="1:41" ht="13.8" thickBot="1" x14ac:dyDescent="0.3">
      <c r="A22" s="12" t="str">
        <f>'Local Retail'!K3&amp;" - "&amp;'Local Retail'!A49</f>
        <v>Proposed - Local Retail Vehicle Trips - Before balancing</v>
      </c>
      <c r="O22" s="107" t="str">
        <f>'Local Retail'!A37</f>
        <v>Local Retail Person Trips</v>
      </c>
      <c r="P22" s="106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C22" s="95"/>
      <c r="AD22" s="12" t="s">
        <v>85</v>
      </c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</row>
    <row r="23" spans="1:41" x14ac:dyDescent="0.25">
      <c r="A23" s="216"/>
      <c r="B23" s="196" t="s">
        <v>7</v>
      </c>
      <c r="C23" s="195">
        <v>0</v>
      </c>
      <c r="D23" s="197">
        <v>0</v>
      </c>
      <c r="E23" s="196" t="s">
        <v>16</v>
      </c>
      <c r="F23" s="195">
        <v>0</v>
      </c>
      <c r="G23" s="197">
        <v>0</v>
      </c>
      <c r="H23" s="196" t="s">
        <v>9</v>
      </c>
      <c r="I23" s="195">
        <v>0</v>
      </c>
      <c r="J23" s="197">
        <v>0</v>
      </c>
      <c r="K23" s="196" t="s">
        <v>19</v>
      </c>
      <c r="L23" s="195">
        <v>0</v>
      </c>
      <c r="M23" s="197">
        <v>0</v>
      </c>
      <c r="O23" s="38"/>
      <c r="P23" s="212" t="s">
        <v>7</v>
      </c>
      <c r="Q23" s="213"/>
      <c r="R23" s="214"/>
      <c r="S23" s="209" t="s">
        <v>8</v>
      </c>
      <c r="T23" s="210"/>
      <c r="U23" s="211"/>
      <c r="V23" s="209" t="s">
        <v>9</v>
      </c>
      <c r="W23" s="210"/>
      <c r="X23" s="211"/>
      <c r="Y23" s="209" t="s">
        <v>19</v>
      </c>
      <c r="Z23" s="210"/>
      <c r="AA23" s="211"/>
      <c r="AC23" s="38"/>
      <c r="AD23" s="196">
        <f>P22</f>
        <v>0</v>
      </c>
      <c r="AE23" s="195"/>
      <c r="AF23" s="197"/>
      <c r="AG23" s="196">
        <f>S22</f>
        <v>0</v>
      </c>
      <c r="AH23" s="195"/>
      <c r="AI23" s="197"/>
      <c r="AJ23" s="196">
        <f>V22</f>
        <v>0</v>
      </c>
      <c r="AK23" s="195"/>
      <c r="AL23" s="197"/>
      <c r="AM23" s="196">
        <f>Y22</f>
        <v>0</v>
      </c>
      <c r="AN23" s="195"/>
      <c r="AO23" s="197"/>
    </row>
    <row r="24" spans="1:41" ht="13.8" thickBot="1" x14ac:dyDescent="0.3">
      <c r="A24" s="217"/>
      <c r="B24" s="5" t="s">
        <v>13</v>
      </c>
      <c r="C24" s="3" t="s">
        <v>14</v>
      </c>
      <c r="D24" s="6" t="s">
        <v>0</v>
      </c>
      <c r="E24" s="7" t="s">
        <v>13</v>
      </c>
      <c r="F24" s="3" t="s">
        <v>14</v>
      </c>
      <c r="G24" s="4" t="s">
        <v>0</v>
      </c>
      <c r="H24" s="5" t="s">
        <v>13</v>
      </c>
      <c r="I24" s="3" t="s">
        <v>14</v>
      </c>
      <c r="J24" s="6" t="s">
        <v>0</v>
      </c>
      <c r="K24" s="5" t="s">
        <v>13</v>
      </c>
      <c r="L24" s="3" t="s">
        <v>14</v>
      </c>
      <c r="M24" s="6" t="s">
        <v>0</v>
      </c>
      <c r="O24" s="39"/>
      <c r="P24" s="75" t="s">
        <v>13</v>
      </c>
      <c r="Q24" s="76" t="s">
        <v>14</v>
      </c>
      <c r="R24" s="77" t="s">
        <v>0</v>
      </c>
      <c r="S24" s="78" t="s">
        <v>13</v>
      </c>
      <c r="T24" s="76" t="s">
        <v>14</v>
      </c>
      <c r="U24" s="79" t="s">
        <v>0</v>
      </c>
      <c r="V24" s="75" t="s">
        <v>13</v>
      </c>
      <c r="W24" s="76" t="s">
        <v>14</v>
      </c>
      <c r="X24" s="77" t="s">
        <v>0</v>
      </c>
      <c r="Y24" s="78" t="s">
        <v>13</v>
      </c>
      <c r="Z24" s="76" t="s">
        <v>14</v>
      </c>
      <c r="AA24" s="77" t="s">
        <v>0</v>
      </c>
      <c r="AC24" s="39"/>
      <c r="AD24" s="75" t="s">
        <v>13</v>
      </c>
      <c r="AE24" s="76" t="s">
        <v>14</v>
      </c>
      <c r="AF24" s="77" t="s">
        <v>0</v>
      </c>
      <c r="AG24" s="78" t="s">
        <v>13</v>
      </c>
      <c r="AH24" s="76" t="s">
        <v>14</v>
      </c>
      <c r="AI24" s="79" t="s">
        <v>0</v>
      </c>
      <c r="AJ24" s="75" t="s">
        <v>13</v>
      </c>
      <c r="AK24" s="76" t="s">
        <v>14</v>
      </c>
      <c r="AL24" s="77" t="s">
        <v>0</v>
      </c>
      <c r="AM24" s="78" t="s">
        <v>13</v>
      </c>
      <c r="AN24" s="76" t="s">
        <v>14</v>
      </c>
      <c r="AO24" s="77" t="s">
        <v>0</v>
      </c>
    </row>
    <row r="25" spans="1:41" x14ac:dyDescent="0.25">
      <c r="A25" s="8" t="s">
        <v>1</v>
      </c>
      <c r="B25" s="17">
        <f>'Local Retail'!B52</f>
        <v>1</v>
      </c>
      <c r="C25" s="18">
        <f>'Local Retail'!C52</f>
        <v>1</v>
      </c>
      <c r="D25" s="19">
        <f>'Local Retail'!D52</f>
        <v>2</v>
      </c>
      <c r="E25" s="20">
        <f>'Local Retail'!E52</f>
        <v>9</v>
      </c>
      <c r="F25" s="18">
        <f>'Local Retail'!F52</f>
        <v>9</v>
      </c>
      <c r="G25" s="21">
        <f>'Local Retail'!G52</f>
        <v>18</v>
      </c>
      <c r="H25" s="17">
        <f>'Local Retail'!H52</f>
        <v>4</v>
      </c>
      <c r="I25" s="18">
        <f>'Local Retail'!I52</f>
        <v>4</v>
      </c>
      <c r="J25" s="19">
        <f>'Local Retail'!J52</f>
        <v>8</v>
      </c>
      <c r="K25" s="17">
        <f>'Local Retail'!K52</f>
        <v>6</v>
      </c>
      <c r="L25" s="18">
        <f>'Local Retail'!L52</f>
        <v>6</v>
      </c>
      <c r="M25" s="19">
        <f>'Local Retail'!M52</f>
        <v>12</v>
      </c>
      <c r="O25" s="45" t="s">
        <v>1</v>
      </c>
      <c r="P25" s="46">
        <f>'Local Retail'!B40</f>
        <v>2</v>
      </c>
      <c r="Q25" s="47">
        <f>'Local Retail'!C40</f>
        <v>2</v>
      </c>
      <c r="R25" s="48">
        <f>'Local Retail'!D40</f>
        <v>4</v>
      </c>
      <c r="S25" s="49">
        <f>'Local Retail'!E40</f>
        <v>14</v>
      </c>
      <c r="T25" s="47">
        <f>'Local Retail'!F40</f>
        <v>14</v>
      </c>
      <c r="U25" s="50">
        <f>'Local Retail'!G40</f>
        <v>28</v>
      </c>
      <c r="V25" s="46">
        <f>'Local Retail'!H40</f>
        <v>7</v>
      </c>
      <c r="W25" s="47">
        <f>'Local Retail'!I40</f>
        <v>7</v>
      </c>
      <c r="X25" s="81">
        <f>'Local Retail'!J40</f>
        <v>14</v>
      </c>
      <c r="Y25" s="49">
        <f>'Local Retail'!K40</f>
        <v>9</v>
      </c>
      <c r="Z25" s="47">
        <f>'Local Retail'!L40</f>
        <v>9</v>
      </c>
      <c r="AA25" s="48">
        <f>'Local Retail'!M40</f>
        <v>18</v>
      </c>
      <c r="AC25" s="45" t="s">
        <v>86</v>
      </c>
      <c r="AD25" s="46">
        <f>IF(ROUND(B26*$E$109,0)&lt;=C26,B26+C26-ROUND(B26*$E$109,0),B26)</f>
        <v>2</v>
      </c>
      <c r="AE25" s="47">
        <f>AD25</f>
        <v>2</v>
      </c>
      <c r="AF25" s="48">
        <f>SUM(AD25:AE25)</f>
        <v>4</v>
      </c>
      <c r="AG25" s="49">
        <f>IF(ROUND(E26*$E$109,0)&lt;=F26,E26+F26-ROUND(E26*$E$109,0),E26)</f>
        <v>16</v>
      </c>
      <c r="AH25" s="47">
        <f>AG25</f>
        <v>16</v>
      </c>
      <c r="AI25" s="50">
        <f>SUM(AG25:AH25)</f>
        <v>32</v>
      </c>
      <c r="AJ25" s="46">
        <f>IF(ROUND(H26*$E$109,0)&lt;=I26,H26+I26-ROUND(H26*$E$109,0),H26)</f>
        <v>8</v>
      </c>
      <c r="AK25" s="47">
        <f>AJ25</f>
        <v>8</v>
      </c>
      <c r="AL25" s="81">
        <f>SUM(AJ25:AK25)</f>
        <v>16</v>
      </c>
      <c r="AM25" s="49">
        <f>IF(ROUND(K26*$E$109,0)&lt;=L26,K26+L26-ROUND(K26*$E$109,0),K26)</f>
        <v>10</v>
      </c>
      <c r="AN25" s="47">
        <f>AM25</f>
        <v>10</v>
      </c>
      <c r="AO25" s="48">
        <f>SUM(AM25:AN25)</f>
        <v>20</v>
      </c>
    </row>
    <row r="26" spans="1:41" ht="13.8" thickBot="1" x14ac:dyDescent="0.3">
      <c r="A26" s="9" t="s">
        <v>2</v>
      </c>
      <c r="B26" s="22">
        <f>'Local Retail'!B53</f>
        <v>1</v>
      </c>
      <c r="C26" s="23">
        <f>'Local Retail'!C53</f>
        <v>1</v>
      </c>
      <c r="D26" s="24">
        <f>'Local Retail'!D53</f>
        <v>2</v>
      </c>
      <c r="E26" s="25">
        <f>'Local Retail'!E53</f>
        <v>8</v>
      </c>
      <c r="F26" s="23">
        <f>'Local Retail'!F53</f>
        <v>8</v>
      </c>
      <c r="G26" s="26">
        <f>'Local Retail'!G53</f>
        <v>16</v>
      </c>
      <c r="H26" s="22">
        <f>'Local Retail'!H53</f>
        <v>4</v>
      </c>
      <c r="I26" s="23">
        <f>'Local Retail'!I53</f>
        <v>4</v>
      </c>
      <c r="J26" s="24">
        <f>'Local Retail'!J53</f>
        <v>8</v>
      </c>
      <c r="K26" s="22">
        <f>'Local Retail'!K53</f>
        <v>5</v>
      </c>
      <c r="L26" s="23">
        <f>'Local Retail'!L53</f>
        <v>5</v>
      </c>
      <c r="M26" s="24">
        <f>'Local Retail'!M53</f>
        <v>10</v>
      </c>
      <c r="O26" s="51" t="s">
        <v>2</v>
      </c>
      <c r="P26" s="52">
        <f>'Local Retail'!B41</f>
        <v>1</v>
      </c>
      <c r="Q26" s="53">
        <f>'Local Retail'!C41</f>
        <v>1</v>
      </c>
      <c r="R26" s="54">
        <f>'Local Retail'!D41</f>
        <v>2</v>
      </c>
      <c r="S26" s="49">
        <f>'Local Retail'!E41</f>
        <v>9</v>
      </c>
      <c r="T26" s="53">
        <f>'Local Retail'!F41</f>
        <v>9</v>
      </c>
      <c r="U26" s="56">
        <f>'Local Retail'!G41</f>
        <v>18</v>
      </c>
      <c r="V26" s="52">
        <f>'Local Retail'!H41</f>
        <v>5</v>
      </c>
      <c r="W26" s="53">
        <f>'Local Retail'!I41</f>
        <v>5</v>
      </c>
      <c r="X26" s="54">
        <f>'Local Retail'!J41</f>
        <v>10</v>
      </c>
      <c r="Y26" s="55">
        <f>'Local Retail'!K41</f>
        <v>6</v>
      </c>
      <c r="Z26" s="53">
        <f>'Local Retail'!L41</f>
        <v>6</v>
      </c>
      <c r="AA26" s="54">
        <f>'Local Retail'!M41</f>
        <v>12</v>
      </c>
      <c r="AC26" s="173" t="s">
        <v>87</v>
      </c>
      <c r="AD26" s="174">
        <f>ROUND(AD25*B$113/AD$112,0)</f>
        <v>2</v>
      </c>
      <c r="AE26" s="175">
        <f>AD26</f>
        <v>2</v>
      </c>
      <c r="AF26" s="176">
        <f>SUM(AD26:AE26)</f>
        <v>4</v>
      </c>
      <c r="AG26" s="177">
        <f>ROUND(AG25*E$113/AG$112,0)</f>
        <v>16</v>
      </c>
      <c r="AH26" s="175">
        <f>AG26</f>
        <v>16</v>
      </c>
      <c r="AI26" s="178">
        <f>SUM(AG26:AH26)</f>
        <v>32</v>
      </c>
      <c r="AJ26" s="174">
        <f>ROUND(AJ25*H$113/AJ$112,0)</f>
        <v>8</v>
      </c>
      <c r="AK26" s="175">
        <f>AJ26</f>
        <v>8</v>
      </c>
      <c r="AL26" s="176">
        <f>SUM(AJ26:AK26)</f>
        <v>16</v>
      </c>
      <c r="AM26" s="177">
        <f>ROUND(AM25*K$113/AM$112,0)</f>
        <v>10</v>
      </c>
      <c r="AN26" s="175">
        <f>AM26</f>
        <v>10</v>
      </c>
      <c r="AO26" s="176">
        <f>SUM(AM26:AN26)</f>
        <v>20</v>
      </c>
    </row>
    <row r="27" spans="1:41" ht="13.8" thickBot="1" x14ac:dyDescent="0.3">
      <c r="A27" s="10" t="s">
        <v>15</v>
      </c>
      <c r="B27" s="27">
        <f>'Local Retail'!B54</f>
        <v>0</v>
      </c>
      <c r="C27" s="28">
        <f>'Local Retail'!C54</f>
        <v>0</v>
      </c>
      <c r="D27" s="29">
        <f>'Local Retail'!D54</f>
        <v>0</v>
      </c>
      <c r="E27" s="30">
        <f>'Local Retail'!E54</f>
        <v>0</v>
      </c>
      <c r="F27" s="28">
        <f>'Local Retail'!F54</f>
        <v>0</v>
      </c>
      <c r="G27" s="31">
        <f>'Local Retail'!G54</f>
        <v>0</v>
      </c>
      <c r="H27" s="27">
        <f>'Local Retail'!H54</f>
        <v>0</v>
      </c>
      <c r="I27" s="28">
        <f>'Local Retail'!I54</f>
        <v>0</v>
      </c>
      <c r="J27" s="29">
        <f>'Local Retail'!J54</f>
        <v>0</v>
      </c>
      <c r="K27" s="27">
        <f>'Local Retail'!K54</f>
        <v>0</v>
      </c>
      <c r="L27" s="28">
        <f>'Local Retail'!L54</f>
        <v>0</v>
      </c>
      <c r="M27" s="29">
        <f>'Local Retail'!M54</f>
        <v>0</v>
      </c>
      <c r="O27" s="51" t="s">
        <v>3</v>
      </c>
      <c r="P27" s="52">
        <f>'Local Retail'!B42</f>
        <v>7</v>
      </c>
      <c r="Q27" s="53">
        <f>'Local Retail'!C42</f>
        <v>7</v>
      </c>
      <c r="R27" s="54">
        <f>'Local Retail'!D42</f>
        <v>14</v>
      </c>
      <c r="S27" s="49">
        <f>'Local Retail'!E42</f>
        <v>46</v>
      </c>
      <c r="T27" s="53">
        <f>'Local Retail'!F42</f>
        <v>46</v>
      </c>
      <c r="U27" s="56">
        <f>'Local Retail'!G42</f>
        <v>92</v>
      </c>
      <c r="V27" s="52">
        <f>'Local Retail'!H42</f>
        <v>24</v>
      </c>
      <c r="W27" s="53">
        <f>'Local Retail'!I42</f>
        <v>24</v>
      </c>
      <c r="X27" s="54">
        <f>'Local Retail'!J42</f>
        <v>48</v>
      </c>
      <c r="Y27" s="55">
        <f>'Local Retail'!K42</f>
        <v>29</v>
      </c>
      <c r="Z27" s="53">
        <f>'Local Retail'!L42</f>
        <v>29</v>
      </c>
      <c r="AA27" s="54">
        <f>'Local Retail'!M42</f>
        <v>58</v>
      </c>
    </row>
    <row r="28" spans="1:41" ht="13.8" thickBot="1" x14ac:dyDescent="0.3">
      <c r="A28" s="11" t="s">
        <v>0</v>
      </c>
      <c r="B28" s="32">
        <f>'Local Retail'!B55</f>
        <v>2</v>
      </c>
      <c r="C28" s="33">
        <f>'Local Retail'!C55</f>
        <v>2</v>
      </c>
      <c r="D28" s="34">
        <f>'Local Retail'!D55</f>
        <v>4</v>
      </c>
      <c r="E28" s="35">
        <f>'Local Retail'!E55</f>
        <v>17</v>
      </c>
      <c r="F28" s="33">
        <f>'Local Retail'!F55</f>
        <v>17</v>
      </c>
      <c r="G28" s="36">
        <f>'Local Retail'!G55</f>
        <v>34</v>
      </c>
      <c r="H28" s="32">
        <f>'Local Retail'!H55</f>
        <v>8</v>
      </c>
      <c r="I28" s="33">
        <f>'Local Retail'!I55</f>
        <v>8</v>
      </c>
      <c r="J28" s="34">
        <f>'Local Retail'!J55</f>
        <v>16</v>
      </c>
      <c r="K28" s="32">
        <f>'Local Retail'!K55</f>
        <v>11</v>
      </c>
      <c r="L28" s="33">
        <f>'Local Retail'!L55</f>
        <v>11</v>
      </c>
      <c r="M28" s="34">
        <f>'Local Retail'!M55</f>
        <v>22</v>
      </c>
      <c r="O28" s="51" t="s">
        <v>4</v>
      </c>
      <c r="P28" s="52">
        <f>'Local Retail'!B43</f>
        <v>4</v>
      </c>
      <c r="Q28" s="53">
        <f>'Local Retail'!C43</f>
        <v>4</v>
      </c>
      <c r="R28" s="54">
        <f>'Local Retail'!D43</f>
        <v>8</v>
      </c>
      <c r="S28" s="49">
        <f>'Local Retail'!E43</f>
        <v>23</v>
      </c>
      <c r="T28" s="53">
        <f>'Local Retail'!F43</f>
        <v>23</v>
      </c>
      <c r="U28" s="56">
        <f>'Local Retail'!G43</f>
        <v>46</v>
      </c>
      <c r="V28" s="52">
        <f>'Local Retail'!H43</f>
        <v>12</v>
      </c>
      <c r="W28" s="53">
        <f>'Local Retail'!I43</f>
        <v>12</v>
      </c>
      <c r="X28" s="54">
        <f>'Local Retail'!J43</f>
        <v>24</v>
      </c>
      <c r="Y28" s="55">
        <f>'Local Retail'!K43</f>
        <v>14</v>
      </c>
      <c r="Z28" s="53">
        <f>'Local Retail'!L43</f>
        <v>14</v>
      </c>
      <c r="AA28" s="54">
        <f>'Local Retail'!M43</f>
        <v>28</v>
      </c>
    </row>
    <row r="29" spans="1:41" ht="13.8" thickBot="1" x14ac:dyDescent="0.3">
      <c r="A29" s="86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O29" s="57" t="s">
        <v>18</v>
      </c>
      <c r="P29" s="58">
        <f>'Local Retail'!B44</f>
        <v>58</v>
      </c>
      <c r="Q29" s="59">
        <f>'Local Retail'!C44</f>
        <v>58</v>
      </c>
      <c r="R29" s="60">
        <f>'Local Retail'!D44</f>
        <v>116</v>
      </c>
      <c r="S29" s="61">
        <f>'Local Retail'!E44</f>
        <v>370</v>
      </c>
      <c r="T29" s="59">
        <f>'Local Retail'!F44</f>
        <v>370</v>
      </c>
      <c r="U29" s="62">
        <f>'Local Retail'!G44</f>
        <v>740</v>
      </c>
      <c r="V29" s="58">
        <f>'Local Retail'!H44</f>
        <v>195</v>
      </c>
      <c r="W29" s="59">
        <f>'Local Retail'!I44</f>
        <v>195</v>
      </c>
      <c r="X29" s="60">
        <f>'Local Retail'!J44</f>
        <v>390</v>
      </c>
      <c r="Y29" s="61">
        <f>'Local Retail'!K44</f>
        <v>228</v>
      </c>
      <c r="Z29" s="59">
        <f>'Local Retail'!L44</f>
        <v>228</v>
      </c>
      <c r="AA29" s="60">
        <f>'Local Retail'!M44</f>
        <v>456</v>
      </c>
    </row>
    <row r="30" spans="1:41" ht="13.8" thickBot="1" x14ac:dyDescent="0.3">
      <c r="A30" s="86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O30" s="63" t="s">
        <v>0</v>
      </c>
      <c r="P30" s="64">
        <f>'Local Retail'!B45</f>
        <v>72</v>
      </c>
      <c r="Q30" s="65">
        <f>'Local Retail'!C45</f>
        <v>72</v>
      </c>
      <c r="R30" s="66">
        <f>'Local Retail'!D45</f>
        <v>144</v>
      </c>
      <c r="S30" s="67">
        <f>'Local Retail'!E45</f>
        <v>462</v>
      </c>
      <c r="T30" s="65">
        <f>'Local Retail'!F45</f>
        <v>462</v>
      </c>
      <c r="U30" s="68">
        <f>'Local Retail'!G45</f>
        <v>924</v>
      </c>
      <c r="V30" s="64">
        <f>'Local Retail'!H45</f>
        <v>243</v>
      </c>
      <c r="W30" s="65">
        <f>'Local Retail'!I45</f>
        <v>243</v>
      </c>
      <c r="X30" s="66">
        <f>'Local Retail'!J45</f>
        <v>486</v>
      </c>
      <c r="Y30" s="67">
        <f>'Local Retail'!K45</f>
        <v>286</v>
      </c>
      <c r="Z30" s="65">
        <f>'Local Retail'!L45</f>
        <v>286</v>
      </c>
      <c r="AA30" s="66">
        <f>'Local Retail'!M45</f>
        <v>572</v>
      </c>
    </row>
    <row r="33" spans="1:41" ht="13.8" thickBot="1" x14ac:dyDescent="0.3">
      <c r="A33" s="12" t="str">
        <f>'Food Store'!K3&amp;" - "&amp;'Food Store'!A49</f>
        <v>Proposed - Food Store (FRESH) Vehicle Trips - Before balancing</v>
      </c>
      <c r="O33" s="156" t="str">
        <f>'Food Store'!A37</f>
        <v>Food Store (FRESH) Person Trips</v>
      </c>
      <c r="P33" s="155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C33" s="95"/>
      <c r="AD33" s="12" t="s">
        <v>85</v>
      </c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</row>
    <row r="34" spans="1:41" x14ac:dyDescent="0.25">
      <c r="A34" s="216"/>
      <c r="B34" s="196" t="s">
        <v>7</v>
      </c>
      <c r="C34" s="195">
        <v>0</v>
      </c>
      <c r="D34" s="197">
        <v>0</v>
      </c>
      <c r="E34" s="196" t="s">
        <v>16</v>
      </c>
      <c r="F34" s="195">
        <v>0</v>
      </c>
      <c r="G34" s="197">
        <v>0</v>
      </c>
      <c r="H34" s="196" t="s">
        <v>9</v>
      </c>
      <c r="I34" s="195">
        <v>0</v>
      </c>
      <c r="J34" s="197">
        <v>0</v>
      </c>
      <c r="K34" s="196" t="s">
        <v>19</v>
      </c>
      <c r="L34" s="195">
        <v>0</v>
      </c>
      <c r="M34" s="197">
        <v>0</v>
      </c>
      <c r="O34" s="38"/>
      <c r="P34" s="212" t="s">
        <v>7</v>
      </c>
      <c r="Q34" s="213"/>
      <c r="R34" s="214"/>
      <c r="S34" s="209" t="s">
        <v>8</v>
      </c>
      <c r="T34" s="210"/>
      <c r="U34" s="211"/>
      <c r="V34" s="209" t="s">
        <v>9</v>
      </c>
      <c r="W34" s="210"/>
      <c r="X34" s="211"/>
      <c r="Y34" s="209" t="s">
        <v>19</v>
      </c>
      <c r="Z34" s="210"/>
      <c r="AA34" s="211"/>
      <c r="AC34" s="38"/>
      <c r="AD34" s="196">
        <f>P33</f>
        <v>0</v>
      </c>
      <c r="AE34" s="195"/>
      <c r="AF34" s="197"/>
      <c r="AG34" s="196">
        <f>S33</f>
        <v>0</v>
      </c>
      <c r="AH34" s="195"/>
      <c r="AI34" s="197"/>
      <c r="AJ34" s="196">
        <f>V33</f>
        <v>0</v>
      </c>
      <c r="AK34" s="195"/>
      <c r="AL34" s="197"/>
      <c r="AM34" s="196">
        <f>Y33</f>
        <v>0</v>
      </c>
      <c r="AN34" s="195"/>
      <c r="AO34" s="197"/>
    </row>
    <row r="35" spans="1:41" ht="13.8" thickBot="1" x14ac:dyDescent="0.3">
      <c r="A35" s="217"/>
      <c r="B35" s="5" t="s">
        <v>13</v>
      </c>
      <c r="C35" s="3" t="s">
        <v>14</v>
      </c>
      <c r="D35" s="6" t="s">
        <v>0</v>
      </c>
      <c r="E35" s="7" t="s">
        <v>13</v>
      </c>
      <c r="F35" s="3" t="s">
        <v>14</v>
      </c>
      <c r="G35" s="4" t="s">
        <v>0</v>
      </c>
      <c r="H35" s="5" t="s">
        <v>13</v>
      </c>
      <c r="I35" s="3" t="s">
        <v>14</v>
      </c>
      <c r="J35" s="6" t="s">
        <v>0</v>
      </c>
      <c r="K35" s="5" t="s">
        <v>13</v>
      </c>
      <c r="L35" s="3" t="s">
        <v>14</v>
      </c>
      <c r="M35" s="6" t="s">
        <v>0</v>
      </c>
      <c r="O35" s="39"/>
      <c r="P35" s="75" t="s">
        <v>13</v>
      </c>
      <c r="Q35" s="76" t="s">
        <v>14</v>
      </c>
      <c r="R35" s="77" t="s">
        <v>0</v>
      </c>
      <c r="S35" s="78" t="s">
        <v>13</v>
      </c>
      <c r="T35" s="76" t="s">
        <v>14</v>
      </c>
      <c r="U35" s="79" t="s">
        <v>0</v>
      </c>
      <c r="V35" s="75" t="s">
        <v>13</v>
      </c>
      <c r="W35" s="76" t="s">
        <v>14</v>
      </c>
      <c r="X35" s="77" t="s">
        <v>0</v>
      </c>
      <c r="Y35" s="78" t="s">
        <v>13</v>
      </c>
      <c r="Z35" s="76" t="s">
        <v>14</v>
      </c>
      <c r="AA35" s="77" t="s">
        <v>0</v>
      </c>
      <c r="AC35" s="39"/>
      <c r="AD35" s="75" t="s">
        <v>13</v>
      </c>
      <c r="AE35" s="76" t="s">
        <v>14</v>
      </c>
      <c r="AF35" s="77" t="s">
        <v>0</v>
      </c>
      <c r="AG35" s="78" t="s">
        <v>13</v>
      </c>
      <c r="AH35" s="76" t="s">
        <v>14</v>
      </c>
      <c r="AI35" s="79" t="s">
        <v>0</v>
      </c>
      <c r="AJ35" s="75" t="s">
        <v>13</v>
      </c>
      <c r="AK35" s="76" t="s">
        <v>14</v>
      </c>
      <c r="AL35" s="77" t="s">
        <v>0</v>
      </c>
      <c r="AM35" s="78" t="s">
        <v>13</v>
      </c>
      <c r="AN35" s="76" t="s">
        <v>14</v>
      </c>
      <c r="AO35" s="77" t="s">
        <v>0</v>
      </c>
    </row>
    <row r="36" spans="1:41" x14ac:dyDescent="0.25">
      <c r="A36" s="8" t="s">
        <v>1</v>
      </c>
      <c r="B36" s="17">
        <f>'Food Store'!B52</f>
        <v>3</v>
      </c>
      <c r="C36" s="18">
        <f>'Food Store'!C52</f>
        <v>2</v>
      </c>
      <c r="D36" s="19">
        <f>'Food Store'!D52</f>
        <v>5</v>
      </c>
      <c r="E36" s="20">
        <f>'Food Store'!E52</f>
        <v>3</v>
      </c>
      <c r="F36" s="18">
        <f>'Food Store'!F52</f>
        <v>3</v>
      </c>
      <c r="G36" s="21">
        <f>'Food Store'!G52</f>
        <v>6</v>
      </c>
      <c r="H36" s="17">
        <f>'Food Store'!H52</f>
        <v>5</v>
      </c>
      <c r="I36" s="18">
        <f>'Food Store'!I52</f>
        <v>5</v>
      </c>
      <c r="J36" s="19">
        <f>'Food Store'!J52</f>
        <v>10</v>
      </c>
      <c r="K36" s="17">
        <f>'Food Store'!K52</f>
        <v>6</v>
      </c>
      <c r="L36" s="18">
        <f>'Food Store'!L52</f>
        <v>5</v>
      </c>
      <c r="M36" s="19">
        <f>'Food Store'!M52</f>
        <v>11</v>
      </c>
      <c r="O36" s="45" t="s">
        <v>1</v>
      </c>
      <c r="P36" s="46">
        <f>'Food Store'!B40</f>
        <v>5</v>
      </c>
      <c r="Q36" s="47">
        <f>'Food Store'!C40</f>
        <v>4</v>
      </c>
      <c r="R36" s="48">
        <f>'Food Store'!D40</f>
        <v>9</v>
      </c>
      <c r="S36" s="49">
        <f>'Food Store'!E40</f>
        <v>5</v>
      </c>
      <c r="T36" s="47">
        <f>'Food Store'!F40</f>
        <v>5</v>
      </c>
      <c r="U36" s="50">
        <f>'Food Store'!G40</f>
        <v>10</v>
      </c>
      <c r="V36" s="46">
        <f>'Food Store'!H40</f>
        <v>9</v>
      </c>
      <c r="W36" s="47">
        <f>'Food Store'!I40</f>
        <v>8</v>
      </c>
      <c r="X36" s="81">
        <f>'Food Store'!J40</f>
        <v>17</v>
      </c>
      <c r="Y36" s="49">
        <f>'Food Store'!K40</f>
        <v>10</v>
      </c>
      <c r="Z36" s="47">
        <f>'Food Store'!L40</f>
        <v>9</v>
      </c>
      <c r="AA36" s="48">
        <f>'Food Store'!M40</f>
        <v>19</v>
      </c>
      <c r="AC36" s="45" t="s">
        <v>86</v>
      </c>
      <c r="AD36" s="46">
        <f>IF(ROUND(B37*$E$109,0)&lt;=C37,B37+C37-ROUND(B37*$E$109,0),B37)</f>
        <v>5</v>
      </c>
      <c r="AE36" s="47">
        <f>AD36</f>
        <v>5</v>
      </c>
      <c r="AF36" s="48">
        <f>SUM(AD36:AE36)</f>
        <v>10</v>
      </c>
      <c r="AG36" s="49">
        <f>IF(ROUND(E37*$E$109,0)&lt;=F37,E37+F37-ROUND(E37*$E$109,0),E37)</f>
        <v>6</v>
      </c>
      <c r="AH36" s="47">
        <f>AG36</f>
        <v>6</v>
      </c>
      <c r="AI36" s="50">
        <f>SUM(AG36:AH36)</f>
        <v>12</v>
      </c>
      <c r="AJ36" s="46">
        <f>IF(ROUND(H37*$E$109,0)&lt;=I37,H37+I37-ROUND(H37*$E$109,0),H37)</f>
        <v>8</v>
      </c>
      <c r="AK36" s="47">
        <f>AJ36</f>
        <v>8</v>
      </c>
      <c r="AL36" s="81">
        <f>SUM(AJ36:AK36)</f>
        <v>16</v>
      </c>
      <c r="AM36" s="49">
        <f>IF(ROUND(K37*$E$109,0)&lt;=L37,K37+L37-ROUND(K37*$E$109,0),K37)</f>
        <v>11</v>
      </c>
      <c r="AN36" s="47">
        <f>AM36</f>
        <v>11</v>
      </c>
      <c r="AO36" s="48">
        <f>SUM(AM36:AN36)</f>
        <v>22</v>
      </c>
    </row>
    <row r="37" spans="1:41" ht="13.8" thickBot="1" x14ac:dyDescent="0.3">
      <c r="A37" s="9" t="s">
        <v>2</v>
      </c>
      <c r="B37" s="22">
        <f>'Food Store'!B53</f>
        <v>3</v>
      </c>
      <c r="C37" s="23">
        <f>'Food Store'!C53</f>
        <v>2</v>
      </c>
      <c r="D37" s="24">
        <f>'Food Store'!D53</f>
        <v>5</v>
      </c>
      <c r="E37" s="25">
        <f>'Food Store'!E53</f>
        <v>3</v>
      </c>
      <c r="F37" s="23">
        <f>'Food Store'!F53</f>
        <v>3</v>
      </c>
      <c r="G37" s="26">
        <f>'Food Store'!G53</f>
        <v>6</v>
      </c>
      <c r="H37" s="22">
        <f>'Food Store'!H53</f>
        <v>4</v>
      </c>
      <c r="I37" s="23">
        <f>'Food Store'!I53</f>
        <v>4</v>
      </c>
      <c r="J37" s="24">
        <f>'Food Store'!J53</f>
        <v>8</v>
      </c>
      <c r="K37" s="22">
        <f>'Food Store'!K53</f>
        <v>6</v>
      </c>
      <c r="L37" s="23">
        <f>'Food Store'!L53</f>
        <v>5</v>
      </c>
      <c r="M37" s="24">
        <f>'Food Store'!M53</f>
        <v>11</v>
      </c>
      <c r="O37" s="51" t="s">
        <v>2</v>
      </c>
      <c r="P37" s="52">
        <f>'Food Store'!B41</f>
        <v>4</v>
      </c>
      <c r="Q37" s="53">
        <f>'Food Store'!C41</f>
        <v>3</v>
      </c>
      <c r="R37" s="54">
        <f>'Food Store'!D41</f>
        <v>7</v>
      </c>
      <c r="S37" s="49">
        <f>'Food Store'!E41</f>
        <v>4</v>
      </c>
      <c r="T37" s="53">
        <f>'Food Store'!F41</f>
        <v>4</v>
      </c>
      <c r="U37" s="56">
        <f>'Food Store'!G41</f>
        <v>8</v>
      </c>
      <c r="V37" s="52">
        <f>'Food Store'!H41</f>
        <v>6</v>
      </c>
      <c r="W37" s="53">
        <f>'Food Store'!I41</f>
        <v>6</v>
      </c>
      <c r="X37" s="54">
        <f>'Food Store'!J41</f>
        <v>12</v>
      </c>
      <c r="Y37" s="55">
        <f>'Food Store'!K41</f>
        <v>8</v>
      </c>
      <c r="Z37" s="53">
        <f>'Food Store'!L41</f>
        <v>7</v>
      </c>
      <c r="AA37" s="54">
        <f>'Food Store'!M41</f>
        <v>15</v>
      </c>
      <c r="AC37" s="173" t="s">
        <v>87</v>
      </c>
      <c r="AD37" s="174">
        <f>ROUND(AD36*B$113/AD$112,0)</f>
        <v>5</v>
      </c>
      <c r="AE37" s="175">
        <f>AD37</f>
        <v>5</v>
      </c>
      <c r="AF37" s="176">
        <f>SUM(AD37:AE37)</f>
        <v>10</v>
      </c>
      <c r="AG37" s="177">
        <f>ROUND(AG36*E$113/AG$112,0)</f>
        <v>6</v>
      </c>
      <c r="AH37" s="175">
        <f>AG37</f>
        <v>6</v>
      </c>
      <c r="AI37" s="178">
        <f>SUM(AG37:AH37)</f>
        <v>12</v>
      </c>
      <c r="AJ37" s="174">
        <f>ROUND(AJ36*H$113/AJ$112,0)</f>
        <v>8</v>
      </c>
      <c r="AK37" s="175">
        <f>AJ37</f>
        <v>8</v>
      </c>
      <c r="AL37" s="176">
        <f>SUM(AJ37:AK37)</f>
        <v>16</v>
      </c>
      <c r="AM37" s="177">
        <f>ROUND(AM36*K$113/AM$112,0)</f>
        <v>11</v>
      </c>
      <c r="AN37" s="175">
        <f>AM37</f>
        <v>11</v>
      </c>
      <c r="AO37" s="176">
        <f>SUM(AM37:AN37)</f>
        <v>22</v>
      </c>
    </row>
    <row r="38" spans="1:41" ht="13.8" thickBot="1" x14ac:dyDescent="0.3">
      <c r="A38" s="10" t="s">
        <v>15</v>
      </c>
      <c r="B38" s="27">
        <f>'Food Store'!B54</f>
        <v>0</v>
      </c>
      <c r="C38" s="28">
        <f>'Food Store'!C54</f>
        <v>0</v>
      </c>
      <c r="D38" s="29">
        <f>'Food Store'!D54</f>
        <v>0</v>
      </c>
      <c r="E38" s="30">
        <f>'Food Store'!E54</f>
        <v>0</v>
      </c>
      <c r="F38" s="28">
        <f>'Food Store'!F54</f>
        <v>0</v>
      </c>
      <c r="G38" s="31">
        <f>'Food Store'!G54</f>
        <v>0</v>
      </c>
      <c r="H38" s="27">
        <f>'Food Store'!H54</f>
        <v>0</v>
      </c>
      <c r="I38" s="28">
        <f>'Food Store'!I54</f>
        <v>0</v>
      </c>
      <c r="J38" s="29">
        <f>'Food Store'!J54</f>
        <v>0</v>
      </c>
      <c r="K38" s="27">
        <f>'Food Store'!K54</f>
        <v>0</v>
      </c>
      <c r="L38" s="28">
        <f>'Food Store'!L54</f>
        <v>0</v>
      </c>
      <c r="M38" s="29">
        <f>'Food Store'!M54</f>
        <v>0</v>
      </c>
      <c r="O38" s="51" t="s">
        <v>3</v>
      </c>
      <c r="P38" s="52">
        <f>'Food Store'!B42</f>
        <v>6</v>
      </c>
      <c r="Q38" s="53">
        <f>'Food Store'!C42</f>
        <v>4</v>
      </c>
      <c r="R38" s="54">
        <f>'Food Store'!D42</f>
        <v>10</v>
      </c>
      <c r="S38" s="49">
        <f>'Food Store'!E42</f>
        <v>6</v>
      </c>
      <c r="T38" s="53">
        <f>'Food Store'!F42</f>
        <v>6</v>
      </c>
      <c r="U38" s="56">
        <f>'Food Store'!G42</f>
        <v>12</v>
      </c>
      <c r="V38" s="52">
        <f>'Food Store'!H42</f>
        <v>11</v>
      </c>
      <c r="W38" s="53">
        <f>'Food Store'!I42</f>
        <v>10</v>
      </c>
      <c r="X38" s="54">
        <f>'Food Store'!J42</f>
        <v>21</v>
      </c>
      <c r="Y38" s="55">
        <f>'Food Store'!K42</f>
        <v>13</v>
      </c>
      <c r="Z38" s="53">
        <f>'Food Store'!L42</f>
        <v>12</v>
      </c>
      <c r="AA38" s="54">
        <f>'Food Store'!M42</f>
        <v>25</v>
      </c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</row>
    <row r="39" spans="1:41" ht="13.8" thickBot="1" x14ac:dyDescent="0.3">
      <c r="A39" s="11" t="s">
        <v>0</v>
      </c>
      <c r="B39" s="32">
        <f>'Food Store'!B55</f>
        <v>6</v>
      </c>
      <c r="C39" s="33">
        <f>'Food Store'!C55</f>
        <v>4</v>
      </c>
      <c r="D39" s="34">
        <f>'Food Store'!D55</f>
        <v>10</v>
      </c>
      <c r="E39" s="35">
        <f>'Food Store'!E55</f>
        <v>6</v>
      </c>
      <c r="F39" s="33">
        <f>'Food Store'!F55</f>
        <v>6</v>
      </c>
      <c r="G39" s="36">
        <f>'Food Store'!G55</f>
        <v>12</v>
      </c>
      <c r="H39" s="32">
        <f>'Food Store'!H55</f>
        <v>9</v>
      </c>
      <c r="I39" s="33">
        <f>'Food Store'!I55</f>
        <v>9</v>
      </c>
      <c r="J39" s="34">
        <f>'Food Store'!J55</f>
        <v>18</v>
      </c>
      <c r="K39" s="32">
        <f>'Food Store'!K55</f>
        <v>12</v>
      </c>
      <c r="L39" s="33">
        <f>'Food Store'!L55</f>
        <v>10</v>
      </c>
      <c r="M39" s="34">
        <f>'Food Store'!M55</f>
        <v>22</v>
      </c>
      <c r="O39" s="51" t="s">
        <v>4</v>
      </c>
      <c r="P39" s="52">
        <f>'Food Store'!B43</f>
        <v>6</v>
      </c>
      <c r="Q39" s="53">
        <f>'Food Store'!C43</f>
        <v>4</v>
      </c>
      <c r="R39" s="54">
        <f>'Food Store'!D43</f>
        <v>10</v>
      </c>
      <c r="S39" s="49">
        <f>'Food Store'!E43</f>
        <v>6</v>
      </c>
      <c r="T39" s="53">
        <f>'Food Store'!F43</f>
        <v>6</v>
      </c>
      <c r="U39" s="56">
        <f>'Food Store'!G43</f>
        <v>12</v>
      </c>
      <c r="V39" s="52">
        <f>'Food Store'!H43</f>
        <v>11</v>
      </c>
      <c r="W39" s="53">
        <f>'Food Store'!I43</f>
        <v>10</v>
      </c>
      <c r="X39" s="54">
        <f>'Food Store'!J43</f>
        <v>21</v>
      </c>
      <c r="Y39" s="55">
        <f>'Food Store'!K43</f>
        <v>13</v>
      </c>
      <c r="Z39" s="53">
        <f>'Food Store'!L43</f>
        <v>12</v>
      </c>
      <c r="AA39" s="54">
        <f>'Food Store'!M43</f>
        <v>25</v>
      </c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</row>
    <row r="40" spans="1:41" ht="13.8" thickBot="1" x14ac:dyDescent="0.3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O40" s="57" t="s">
        <v>18</v>
      </c>
      <c r="P40" s="58">
        <f>'Food Store'!B44</f>
        <v>98</v>
      </c>
      <c r="Q40" s="59">
        <f>'Food Store'!C44</f>
        <v>74</v>
      </c>
      <c r="R40" s="60">
        <f>'Food Store'!D44</f>
        <v>172</v>
      </c>
      <c r="S40" s="61">
        <f>'Food Store'!E44</f>
        <v>103</v>
      </c>
      <c r="T40" s="59">
        <f>'Food Store'!F44</f>
        <v>103</v>
      </c>
      <c r="U40" s="62">
        <f>'Food Store'!G44</f>
        <v>206</v>
      </c>
      <c r="V40" s="58">
        <f>'Food Store'!H44</f>
        <v>179</v>
      </c>
      <c r="W40" s="59">
        <f>'Food Store'!I44</f>
        <v>166</v>
      </c>
      <c r="X40" s="60">
        <f>'Food Store'!J44</f>
        <v>345</v>
      </c>
      <c r="Y40" s="61">
        <f>'Food Store'!K44</f>
        <v>213</v>
      </c>
      <c r="Z40" s="59">
        <f>'Food Store'!L44</f>
        <v>197</v>
      </c>
      <c r="AA40" s="60">
        <f>'Food Store'!M44</f>
        <v>410</v>
      </c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</row>
    <row r="41" spans="1:41" ht="13.8" thickBot="1" x14ac:dyDescent="0.3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O41" s="63" t="s">
        <v>0</v>
      </c>
      <c r="P41" s="64">
        <f>'Food Store'!B45</f>
        <v>119</v>
      </c>
      <c r="Q41" s="65">
        <f>'Food Store'!C45</f>
        <v>89</v>
      </c>
      <c r="R41" s="66">
        <f>'Food Store'!D45</f>
        <v>208</v>
      </c>
      <c r="S41" s="67">
        <f>'Food Store'!E45</f>
        <v>124</v>
      </c>
      <c r="T41" s="65">
        <f>'Food Store'!F45</f>
        <v>124</v>
      </c>
      <c r="U41" s="68">
        <f>'Food Store'!G45</f>
        <v>248</v>
      </c>
      <c r="V41" s="64">
        <f>'Food Store'!H45</f>
        <v>216</v>
      </c>
      <c r="W41" s="65">
        <f>'Food Store'!I45</f>
        <v>200</v>
      </c>
      <c r="X41" s="66">
        <f>'Food Store'!J45</f>
        <v>416</v>
      </c>
      <c r="Y41" s="67">
        <f>'Food Store'!K45</f>
        <v>257</v>
      </c>
      <c r="Z41" s="65">
        <f>'Food Store'!L45</f>
        <v>237</v>
      </c>
      <c r="AA41" s="66">
        <f>'Food Store'!M45</f>
        <v>494</v>
      </c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</row>
    <row r="42" spans="1:41" x14ac:dyDescent="0.25"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</row>
    <row r="43" spans="1:41" x14ac:dyDescent="0.25"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</row>
    <row r="44" spans="1:41" ht="13.5" customHeight="1" thickBot="1" x14ac:dyDescent="0.3">
      <c r="A44" s="12" t="str">
        <f>'Medical Office'!K3&amp;" - "&amp;'Medical Office'!A49</f>
        <v>Proposed - Medical Office Vehicle Trips - Before balancing</v>
      </c>
      <c r="O44" s="215" t="str">
        <f>'Medical Office'!A37</f>
        <v>Medical Office Person Trips</v>
      </c>
      <c r="P44" s="215"/>
      <c r="Q44" s="215"/>
      <c r="R44" s="215"/>
      <c r="S44" s="215"/>
      <c r="T44" s="80"/>
      <c r="U44" s="80"/>
      <c r="V44" s="80"/>
      <c r="W44" s="80"/>
      <c r="X44" s="80"/>
      <c r="Y44" s="80"/>
      <c r="Z44" s="80"/>
      <c r="AA44" s="80"/>
      <c r="AC44" s="95"/>
      <c r="AD44" s="12" t="s">
        <v>85</v>
      </c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</row>
    <row r="45" spans="1:41" ht="12.75" customHeight="1" x14ac:dyDescent="0.25">
      <c r="A45" s="216"/>
      <c r="B45" s="196" t="s">
        <v>7</v>
      </c>
      <c r="C45" s="195">
        <v>0</v>
      </c>
      <c r="D45" s="197">
        <v>0</v>
      </c>
      <c r="E45" s="196" t="s">
        <v>16</v>
      </c>
      <c r="F45" s="195">
        <v>0</v>
      </c>
      <c r="G45" s="197">
        <v>0</v>
      </c>
      <c r="H45" s="196" t="s">
        <v>9</v>
      </c>
      <c r="I45" s="195">
        <v>0</v>
      </c>
      <c r="J45" s="197">
        <v>0</v>
      </c>
      <c r="K45" s="196" t="s">
        <v>19</v>
      </c>
      <c r="L45" s="195">
        <v>0</v>
      </c>
      <c r="M45" s="197">
        <v>0</v>
      </c>
      <c r="O45" s="38"/>
      <c r="P45" s="212" t="s">
        <v>7</v>
      </c>
      <c r="Q45" s="213"/>
      <c r="R45" s="214"/>
      <c r="S45" s="209" t="s">
        <v>8</v>
      </c>
      <c r="T45" s="210"/>
      <c r="U45" s="211"/>
      <c r="V45" s="209" t="s">
        <v>9</v>
      </c>
      <c r="W45" s="210"/>
      <c r="X45" s="211"/>
      <c r="Y45" s="209" t="s">
        <v>19</v>
      </c>
      <c r="Z45" s="210"/>
      <c r="AA45" s="211"/>
      <c r="AC45" s="38"/>
      <c r="AD45" s="196">
        <f>P44</f>
        <v>0</v>
      </c>
      <c r="AE45" s="195"/>
      <c r="AF45" s="197"/>
      <c r="AG45" s="196">
        <f>S44</f>
        <v>0</v>
      </c>
      <c r="AH45" s="195"/>
      <c r="AI45" s="197"/>
      <c r="AJ45" s="196">
        <f>V44</f>
        <v>0</v>
      </c>
      <c r="AK45" s="195"/>
      <c r="AL45" s="197"/>
      <c r="AM45" s="196">
        <f>Y44</f>
        <v>0</v>
      </c>
      <c r="AN45" s="195"/>
      <c r="AO45" s="197"/>
    </row>
    <row r="46" spans="1:41" ht="13.5" customHeight="1" thickBot="1" x14ac:dyDescent="0.3">
      <c r="A46" s="217"/>
      <c r="B46" s="5" t="s">
        <v>13</v>
      </c>
      <c r="C46" s="3" t="s">
        <v>14</v>
      </c>
      <c r="D46" s="6" t="s">
        <v>0</v>
      </c>
      <c r="E46" s="7" t="s">
        <v>13</v>
      </c>
      <c r="F46" s="3" t="s">
        <v>14</v>
      </c>
      <c r="G46" s="4" t="s">
        <v>0</v>
      </c>
      <c r="H46" s="5" t="s">
        <v>13</v>
      </c>
      <c r="I46" s="3" t="s">
        <v>14</v>
      </c>
      <c r="J46" s="6" t="s">
        <v>0</v>
      </c>
      <c r="K46" s="5" t="s">
        <v>13</v>
      </c>
      <c r="L46" s="3" t="s">
        <v>14</v>
      </c>
      <c r="M46" s="6" t="s">
        <v>0</v>
      </c>
      <c r="O46" s="39"/>
      <c r="P46" s="75" t="s">
        <v>13</v>
      </c>
      <c r="Q46" s="76" t="s">
        <v>14</v>
      </c>
      <c r="R46" s="77" t="s">
        <v>0</v>
      </c>
      <c r="S46" s="78" t="s">
        <v>13</v>
      </c>
      <c r="T46" s="76" t="s">
        <v>14</v>
      </c>
      <c r="U46" s="79" t="s">
        <v>0</v>
      </c>
      <c r="V46" s="75" t="s">
        <v>13</v>
      </c>
      <c r="W46" s="76" t="s">
        <v>14</v>
      </c>
      <c r="X46" s="77" t="s">
        <v>0</v>
      </c>
      <c r="Y46" s="78" t="s">
        <v>13</v>
      </c>
      <c r="Z46" s="76" t="s">
        <v>14</v>
      </c>
      <c r="AA46" s="77" t="s">
        <v>0</v>
      </c>
      <c r="AC46" s="39"/>
      <c r="AD46" s="75" t="s">
        <v>13</v>
      </c>
      <c r="AE46" s="76" t="s">
        <v>14</v>
      </c>
      <c r="AF46" s="77" t="s">
        <v>0</v>
      </c>
      <c r="AG46" s="78" t="s">
        <v>13</v>
      </c>
      <c r="AH46" s="76" t="s">
        <v>14</v>
      </c>
      <c r="AI46" s="79" t="s">
        <v>0</v>
      </c>
      <c r="AJ46" s="75" t="s">
        <v>13</v>
      </c>
      <c r="AK46" s="76" t="s">
        <v>14</v>
      </c>
      <c r="AL46" s="77" t="s">
        <v>0</v>
      </c>
      <c r="AM46" s="78" t="s">
        <v>13</v>
      </c>
      <c r="AN46" s="76" t="s">
        <v>14</v>
      </c>
      <c r="AO46" s="77" t="s">
        <v>0</v>
      </c>
    </row>
    <row r="47" spans="1:41" ht="12.75" customHeight="1" x14ac:dyDescent="0.25">
      <c r="A47" s="8" t="s">
        <v>1</v>
      </c>
      <c r="B47" s="17">
        <f>'Medical Office'!B52</f>
        <v>23</v>
      </c>
      <c r="C47" s="18">
        <f>'Medical Office'!C52</f>
        <v>3</v>
      </c>
      <c r="D47" s="19">
        <f>'Medical Office'!D52</f>
        <v>26</v>
      </c>
      <c r="E47" s="20">
        <f>'Medical Office'!E52</f>
        <v>35</v>
      </c>
      <c r="F47" s="18">
        <f>'Medical Office'!F52</f>
        <v>34</v>
      </c>
      <c r="G47" s="21">
        <f>'Medical Office'!G52</f>
        <v>69</v>
      </c>
      <c r="H47" s="17">
        <f>'Medical Office'!H52</f>
        <v>37</v>
      </c>
      <c r="I47" s="18">
        <f>'Medical Office'!I52</f>
        <v>39</v>
      </c>
      <c r="J47" s="19">
        <f>'Medical Office'!J52</f>
        <v>76</v>
      </c>
      <c r="K47" s="17">
        <f>'Medical Office'!K52</f>
        <v>17</v>
      </c>
      <c r="L47" s="18">
        <f>'Medical Office'!L52</f>
        <v>24</v>
      </c>
      <c r="M47" s="19">
        <f>'Medical Office'!M52</f>
        <v>41</v>
      </c>
      <c r="O47" s="45" t="s">
        <v>1</v>
      </c>
      <c r="P47" s="46">
        <f>'Medical Office'!B40</f>
        <v>34</v>
      </c>
      <c r="Q47" s="47">
        <f>'Medical Office'!C40</f>
        <v>4</v>
      </c>
      <c r="R47" s="48">
        <f>'Medical Office'!D40</f>
        <v>38</v>
      </c>
      <c r="S47" s="49">
        <f>'Medical Office'!E40</f>
        <v>53</v>
      </c>
      <c r="T47" s="47">
        <f>'Medical Office'!F40</f>
        <v>51</v>
      </c>
      <c r="U47" s="50">
        <f>'Medical Office'!G40</f>
        <v>104</v>
      </c>
      <c r="V47" s="46">
        <f>'Medical Office'!H40</f>
        <v>55</v>
      </c>
      <c r="W47" s="47">
        <f>'Medical Office'!I40</f>
        <v>59</v>
      </c>
      <c r="X47" s="81">
        <f>'Medical Office'!J40</f>
        <v>114</v>
      </c>
      <c r="Y47" s="49">
        <f>'Medical Office'!K40</f>
        <v>43</v>
      </c>
      <c r="Z47" s="47">
        <f>'Medical Office'!L40</f>
        <v>62</v>
      </c>
      <c r="AA47" s="48">
        <f>'Medical Office'!M40</f>
        <v>105</v>
      </c>
      <c r="AC47" s="45" t="s">
        <v>86</v>
      </c>
      <c r="AD47" s="46">
        <f>IF(ROUND(B48*$E$109,0)&lt;=C48,B48+C48-ROUND(B48*$E$109,0),B48)</f>
        <v>1</v>
      </c>
      <c r="AE47" s="47">
        <f>AD47</f>
        <v>1</v>
      </c>
      <c r="AF47" s="48">
        <f>SUM(AD47:AE47)</f>
        <v>2</v>
      </c>
      <c r="AG47" s="49">
        <f>IF(ROUND(E48*$E$109,0)&lt;=F48,E48+F48-ROUND(E48*$E$109,0),E48)</f>
        <v>5</v>
      </c>
      <c r="AH47" s="47">
        <f>AG47</f>
        <v>5</v>
      </c>
      <c r="AI47" s="50">
        <f>SUM(AG47:AH47)</f>
        <v>10</v>
      </c>
      <c r="AJ47" s="46">
        <f>IF(ROUND(H48*$E$109,0)&lt;=I48,H48+I48-ROUND(H48*$E$109,0),H48)</f>
        <v>6</v>
      </c>
      <c r="AK47" s="47">
        <f>AJ47</f>
        <v>6</v>
      </c>
      <c r="AL47" s="81">
        <f>SUM(AJ47:AK47)</f>
        <v>12</v>
      </c>
      <c r="AM47" s="49">
        <f>IF(ROUND(K48*$E$109,0)&lt;=L48,K48+L48-ROUND(K48*$E$109,0),K48)</f>
        <v>3</v>
      </c>
      <c r="AN47" s="47">
        <f>AM47</f>
        <v>3</v>
      </c>
      <c r="AO47" s="48">
        <f>SUM(AM47:AN47)</f>
        <v>6</v>
      </c>
    </row>
    <row r="48" spans="1:41" ht="12.75" customHeight="1" thickBot="1" x14ac:dyDescent="0.3">
      <c r="A48" s="9" t="s">
        <v>2</v>
      </c>
      <c r="B48" s="22">
        <f>'Medical Office'!B53</f>
        <v>1</v>
      </c>
      <c r="C48" s="23">
        <f>'Medical Office'!C53</f>
        <v>0</v>
      </c>
      <c r="D48" s="24">
        <f>'Medical Office'!D53</f>
        <v>1</v>
      </c>
      <c r="E48" s="25">
        <f>'Medical Office'!E53</f>
        <v>3</v>
      </c>
      <c r="F48" s="23">
        <f>'Medical Office'!F53</f>
        <v>2</v>
      </c>
      <c r="G48" s="26">
        <f>'Medical Office'!G53</f>
        <v>5</v>
      </c>
      <c r="H48" s="22">
        <f>'Medical Office'!H53</f>
        <v>3</v>
      </c>
      <c r="I48" s="23">
        <f>'Medical Office'!I53</f>
        <v>3</v>
      </c>
      <c r="J48" s="24">
        <f>'Medical Office'!J53</f>
        <v>6</v>
      </c>
      <c r="K48" s="22">
        <f>'Medical Office'!K53</f>
        <v>1</v>
      </c>
      <c r="L48" s="23">
        <f>'Medical Office'!L53</f>
        <v>2</v>
      </c>
      <c r="M48" s="24">
        <f>'Medical Office'!M53</f>
        <v>3</v>
      </c>
      <c r="O48" s="51" t="s">
        <v>2</v>
      </c>
      <c r="P48" s="52">
        <f>'Medical Office'!B41</f>
        <v>2</v>
      </c>
      <c r="Q48" s="53">
        <f>'Medical Office'!C41</f>
        <v>0</v>
      </c>
      <c r="R48" s="54">
        <f>'Medical Office'!D41</f>
        <v>2</v>
      </c>
      <c r="S48" s="49">
        <f>'Medical Office'!E41</f>
        <v>4</v>
      </c>
      <c r="T48" s="53">
        <f>'Medical Office'!F41</f>
        <v>3</v>
      </c>
      <c r="U48" s="56">
        <f>'Medical Office'!G41</f>
        <v>7</v>
      </c>
      <c r="V48" s="52">
        <f>'Medical Office'!H41</f>
        <v>4</v>
      </c>
      <c r="W48" s="53">
        <f>'Medical Office'!I41</f>
        <v>4</v>
      </c>
      <c r="X48" s="54">
        <f>'Medical Office'!J41</f>
        <v>8</v>
      </c>
      <c r="Y48" s="55">
        <f>'Medical Office'!K41</f>
        <v>3</v>
      </c>
      <c r="Z48" s="53">
        <f>'Medical Office'!L41</f>
        <v>4</v>
      </c>
      <c r="AA48" s="54">
        <f>'Medical Office'!M41</f>
        <v>7</v>
      </c>
      <c r="AC48" s="173" t="s">
        <v>87</v>
      </c>
      <c r="AD48" s="174">
        <f>ROUND(AD47*B$113/AD$112,0)</f>
        <v>1</v>
      </c>
      <c r="AE48" s="175">
        <f>AD48</f>
        <v>1</v>
      </c>
      <c r="AF48" s="176">
        <f>SUM(AD48:AE48)</f>
        <v>2</v>
      </c>
      <c r="AG48" s="177">
        <f>ROUND(AG47*E$113/AG$112,0)</f>
        <v>5</v>
      </c>
      <c r="AH48" s="175">
        <f>AG48</f>
        <v>5</v>
      </c>
      <c r="AI48" s="178">
        <f>SUM(AG48:AH48)</f>
        <v>10</v>
      </c>
      <c r="AJ48" s="174">
        <f>ROUND(AJ47*H$113/AJ$112,0)</f>
        <v>6</v>
      </c>
      <c r="AK48" s="175">
        <f>AJ48</f>
        <v>6</v>
      </c>
      <c r="AL48" s="176">
        <f>SUM(AJ48:AK48)</f>
        <v>12</v>
      </c>
      <c r="AM48" s="177">
        <f>ROUND(AM47*K$113/AM$112,0)</f>
        <v>3</v>
      </c>
      <c r="AN48" s="175">
        <f>AM48</f>
        <v>3</v>
      </c>
      <c r="AO48" s="176">
        <f>SUM(AM48:AN48)</f>
        <v>6</v>
      </c>
    </row>
    <row r="49" spans="1:41" ht="12.75" customHeight="1" thickBot="1" x14ac:dyDescent="0.3">
      <c r="A49" s="10" t="s">
        <v>15</v>
      </c>
      <c r="B49" s="27">
        <f>'Medical Office'!B54</f>
        <v>0</v>
      </c>
      <c r="C49" s="28">
        <f>'Medical Office'!C54</f>
        <v>0</v>
      </c>
      <c r="D49" s="29">
        <f>'Medical Office'!D54</f>
        <v>0</v>
      </c>
      <c r="E49" s="30">
        <f>'Medical Office'!E54</f>
        <v>0</v>
      </c>
      <c r="F49" s="28">
        <f>'Medical Office'!F54</f>
        <v>0</v>
      </c>
      <c r="G49" s="31">
        <f>'Medical Office'!G54</f>
        <v>0</v>
      </c>
      <c r="H49" s="27">
        <f>'Medical Office'!H54</f>
        <v>0</v>
      </c>
      <c r="I49" s="28">
        <f>'Medical Office'!I54</f>
        <v>0</v>
      </c>
      <c r="J49" s="29">
        <f>'Medical Office'!J54</f>
        <v>0</v>
      </c>
      <c r="K49" s="27">
        <f>'Medical Office'!K54</f>
        <v>0</v>
      </c>
      <c r="L49" s="28">
        <f>'Medical Office'!L54</f>
        <v>0</v>
      </c>
      <c r="M49" s="29">
        <f>'Medical Office'!M54</f>
        <v>0</v>
      </c>
      <c r="O49" s="51" t="s">
        <v>3</v>
      </c>
      <c r="P49" s="52">
        <f>'Medical Office'!B42</f>
        <v>20</v>
      </c>
      <c r="Q49" s="53">
        <f>'Medical Office'!C42</f>
        <v>3</v>
      </c>
      <c r="R49" s="54">
        <f>'Medical Office'!D42</f>
        <v>23</v>
      </c>
      <c r="S49" s="49">
        <f>'Medical Office'!E42</f>
        <v>32</v>
      </c>
      <c r="T49" s="53">
        <f>'Medical Office'!F42</f>
        <v>31</v>
      </c>
      <c r="U49" s="56">
        <f>'Medical Office'!G42</f>
        <v>63</v>
      </c>
      <c r="V49" s="52">
        <f>'Medical Office'!H42</f>
        <v>33</v>
      </c>
      <c r="W49" s="53">
        <f>'Medical Office'!I42</f>
        <v>36</v>
      </c>
      <c r="X49" s="54">
        <f>'Medical Office'!J42</f>
        <v>69</v>
      </c>
      <c r="Y49" s="55">
        <f>'Medical Office'!K42</f>
        <v>26</v>
      </c>
      <c r="Z49" s="53">
        <f>'Medical Office'!L42</f>
        <v>37</v>
      </c>
      <c r="AA49" s="54">
        <f>'Medical Office'!M42</f>
        <v>63</v>
      </c>
    </row>
    <row r="50" spans="1:41" ht="18" customHeight="1" thickBot="1" x14ac:dyDescent="0.3">
      <c r="A50" s="11" t="s">
        <v>0</v>
      </c>
      <c r="B50" s="32">
        <f>'Medical Office'!B55</f>
        <v>24</v>
      </c>
      <c r="C50" s="33">
        <f>'Medical Office'!C55</f>
        <v>3</v>
      </c>
      <c r="D50" s="34">
        <f>'Medical Office'!D55</f>
        <v>27</v>
      </c>
      <c r="E50" s="35">
        <f>'Medical Office'!E55</f>
        <v>38</v>
      </c>
      <c r="F50" s="33">
        <f>'Medical Office'!F55</f>
        <v>36</v>
      </c>
      <c r="G50" s="36">
        <f>'Medical Office'!G55</f>
        <v>74</v>
      </c>
      <c r="H50" s="32">
        <f>'Medical Office'!H55</f>
        <v>40</v>
      </c>
      <c r="I50" s="33">
        <f>'Medical Office'!I55</f>
        <v>42</v>
      </c>
      <c r="J50" s="34">
        <f>'Medical Office'!J55</f>
        <v>82</v>
      </c>
      <c r="K50" s="32">
        <f>'Medical Office'!K55</f>
        <v>18</v>
      </c>
      <c r="L50" s="33">
        <f>'Medical Office'!L55</f>
        <v>26</v>
      </c>
      <c r="M50" s="34">
        <f>'Medical Office'!M55</f>
        <v>44</v>
      </c>
      <c r="O50" s="51" t="s">
        <v>4</v>
      </c>
      <c r="P50" s="52">
        <f>'Medical Office'!B43</f>
        <v>37</v>
      </c>
      <c r="Q50" s="53">
        <f>'Medical Office'!C43</f>
        <v>5</v>
      </c>
      <c r="R50" s="54">
        <f>'Medical Office'!D43</f>
        <v>42</v>
      </c>
      <c r="S50" s="49">
        <f>'Medical Office'!E43</f>
        <v>59</v>
      </c>
      <c r="T50" s="53">
        <f>'Medical Office'!F43</f>
        <v>56</v>
      </c>
      <c r="U50" s="56">
        <f>'Medical Office'!G43</f>
        <v>115</v>
      </c>
      <c r="V50" s="52">
        <f>'Medical Office'!H43</f>
        <v>60</v>
      </c>
      <c r="W50" s="53">
        <f>'Medical Office'!I43</f>
        <v>65</v>
      </c>
      <c r="X50" s="54">
        <f>'Medical Office'!J43</f>
        <v>125</v>
      </c>
      <c r="Y50" s="55">
        <f>'Medical Office'!K43</f>
        <v>47</v>
      </c>
      <c r="Z50" s="53">
        <f>'Medical Office'!L43</f>
        <v>68</v>
      </c>
      <c r="AA50" s="54">
        <f>'Medical Office'!M43</f>
        <v>115</v>
      </c>
    </row>
    <row r="51" spans="1:41" ht="12.75" customHeight="1" thickBot="1" x14ac:dyDescent="0.3">
      <c r="O51" s="57" t="s">
        <v>18</v>
      </c>
      <c r="P51" s="58">
        <f>'Medical Office'!B44</f>
        <v>19</v>
      </c>
      <c r="Q51" s="59">
        <f>'Medical Office'!C44</f>
        <v>2</v>
      </c>
      <c r="R51" s="60">
        <f>'Medical Office'!D44</f>
        <v>21</v>
      </c>
      <c r="S51" s="61">
        <f>'Medical Office'!E44</f>
        <v>30</v>
      </c>
      <c r="T51" s="59">
        <f>'Medical Office'!F44</f>
        <v>29</v>
      </c>
      <c r="U51" s="62">
        <f>'Medical Office'!G44</f>
        <v>59</v>
      </c>
      <c r="V51" s="58">
        <f>'Medical Office'!H44</f>
        <v>31</v>
      </c>
      <c r="W51" s="59">
        <f>'Medical Office'!I44</f>
        <v>34</v>
      </c>
      <c r="X51" s="60">
        <f>'Medical Office'!J44</f>
        <v>65</v>
      </c>
      <c r="Y51" s="61">
        <f>'Medical Office'!K44</f>
        <v>24</v>
      </c>
      <c r="Z51" s="59">
        <f>'Medical Office'!L44</f>
        <v>35</v>
      </c>
      <c r="AA51" s="60">
        <f>'Medical Office'!M44</f>
        <v>59</v>
      </c>
    </row>
    <row r="52" spans="1:41" ht="13.5" customHeight="1" thickBot="1" x14ac:dyDescent="0.3">
      <c r="O52" s="63" t="s">
        <v>0</v>
      </c>
      <c r="P52" s="64">
        <f>'Medical Office'!B45</f>
        <v>112</v>
      </c>
      <c r="Q52" s="65">
        <f>'Medical Office'!C45</f>
        <v>14</v>
      </c>
      <c r="R52" s="66">
        <f>'Medical Office'!D45</f>
        <v>126</v>
      </c>
      <c r="S52" s="67">
        <f>'Medical Office'!E45</f>
        <v>178</v>
      </c>
      <c r="T52" s="65">
        <f>'Medical Office'!F45</f>
        <v>170</v>
      </c>
      <c r="U52" s="68">
        <f>'Medical Office'!G45</f>
        <v>348</v>
      </c>
      <c r="V52" s="64">
        <f>'Medical Office'!H45</f>
        <v>183</v>
      </c>
      <c r="W52" s="65">
        <f>'Medical Office'!I45</f>
        <v>198</v>
      </c>
      <c r="X52" s="66">
        <f>'Medical Office'!J45</f>
        <v>381</v>
      </c>
      <c r="Y52" s="67">
        <f>'Medical Office'!K45</f>
        <v>143</v>
      </c>
      <c r="Z52" s="65">
        <f>'Medical Office'!L45</f>
        <v>206</v>
      </c>
      <c r="AA52" s="66">
        <f>'Medical Office'!M45</f>
        <v>349</v>
      </c>
    </row>
    <row r="53" spans="1:41" ht="13.5" customHeight="1" x14ac:dyDescent="0.25">
      <c r="O53" s="97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</row>
    <row r="55" spans="1:41" ht="13.8" thickBot="1" x14ac:dyDescent="0.3">
      <c r="A55" s="12" t="str">
        <f>'Passive Space'!K3&amp;" - "&amp;'Passive Space'!A49</f>
        <v>Proposed - Open Space (Passive) Vehicle Trips - Before balancing</v>
      </c>
      <c r="O55" s="12" t="str">
        <f>'Passive Space'!A37</f>
        <v>Open Space (Passive) Person Trips</v>
      </c>
      <c r="AC55" s="95"/>
      <c r="AD55" s="12" t="s">
        <v>85</v>
      </c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</row>
    <row r="56" spans="1:41" x14ac:dyDescent="0.25">
      <c r="A56" s="216"/>
      <c r="B56" s="196" t="s">
        <v>7</v>
      </c>
      <c r="C56" s="195">
        <v>0</v>
      </c>
      <c r="D56" s="197">
        <v>0</v>
      </c>
      <c r="E56" s="196" t="s">
        <v>16</v>
      </c>
      <c r="F56" s="195">
        <v>0</v>
      </c>
      <c r="G56" s="197">
        <v>0</v>
      </c>
      <c r="H56" s="196" t="s">
        <v>9</v>
      </c>
      <c r="I56" s="195">
        <v>0</v>
      </c>
      <c r="J56" s="197">
        <v>0</v>
      </c>
      <c r="K56" s="196" t="s">
        <v>19</v>
      </c>
      <c r="L56" s="195">
        <v>0</v>
      </c>
      <c r="M56" s="197">
        <v>0</v>
      </c>
      <c r="O56" s="38"/>
      <c r="P56" s="212" t="s">
        <v>7</v>
      </c>
      <c r="Q56" s="213"/>
      <c r="R56" s="214"/>
      <c r="S56" s="209" t="s">
        <v>8</v>
      </c>
      <c r="T56" s="210"/>
      <c r="U56" s="211"/>
      <c r="V56" s="209" t="s">
        <v>9</v>
      </c>
      <c r="W56" s="210"/>
      <c r="X56" s="211"/>
      <c r="Y56" s="209" t="s">
        <v>19</v>
      </c>
      <c r="Z56" s="210"/>
      <c r="AA56" s="211"/>
      <c r="AC56" s="38"/>
      <c r="AD56" s="196">
        <f>P55</f>
        <v>0</v>
      </c>
      <c r="AE56" s="195"/>
      <c r="AF56" s="197"/>
      <c r="AG56" s="196">
        <f>S55</f>
        <v>0</v>
      </c>
      <c r="AH56" s="195"/>
      <c r="AI56" s="197"/>
      <c r="AJ56" s="196">
        <f>V55</f>
        <v>0</v>
      </c>
      <c r="AK56" s="195"/>
      <c r="AL56" s="197"/>
      <c r="AM56" s="196">
        <f>Y55</f>
        <v>0</v>
      </c>
      <c r="AN56" s="195"/>
      <c r="AO56" s="197"/>
    </row>
    <row r="57" spans="1:41" ht="13.8" thickBot="1" x14ac:dyDescent="0.3">
      <c r="A57" s="217"/>
      <c r="B57" s="5" t="s">
        <v>13</v>
      </c>
      <c r="C57" s="3" t="s">
        <v>14</v>
      </c>
      <c r="D57" s="6" t="s">
        <v>0</v>
      </c>
      <c r="E57" s="7" t="s">
        <v>13</v>
      </c>
      <c r="F57" s="3" t="s">
        <v>14</v>
      </c>
      <c r="G57" s="4" t="s">
        <v>0</v>
      </c>
      <c r="H57" s="5" t="s">
        <v>13</v>
      </c>
      <c r="I57" s="3" t="s">
        <v>14</v>
      </c>
      <c r="J57" s="6" t="s">
        <v>0</v>
      </c>
      <c r="K57" s="5" t="s">
        <v>13</v>
      </c>
      <c r="L57" s="3" t="s">
        <v>14</v>
      </c>
      <c r="M57" s="6" t="s">
        <v>0</v>
      </c>
      <c r="O57" s="39"/>
      <c r="P57" s="75" t="s">
        <v>13</v>
      </c>
      <c r="Q57" s="76" t="s">
        <v>14</v>
      </c>
      <c r="R57" s="77" t="s">
        <v>0</v>
      </c>
      <c r="S57" s="78" t="s">
        <v>13</v>
      </c>
      <c r="T57" s="76" t="s">
        <v>14</v>
      </c>
      <c r="U57" s="79" t="s">
        <v>0</v>
      </c>
      <c r="V57" s="75" t="s">
        <v>13</v>
      </c>
      <c r="W57" s="76" t="s">
        <v>14</v>
      </c>
      <c r="X57" s="77" t="s">
        <v>0</v>
      </c>
      <c r="Y57" s="78" t="s">
        <v>13</v>
      </c>
      <c r="Z57" s="76" t="s">
        <v>14</v>
      </c>
      <c r="AA57" s="77" t="s">
        <v>0</v>
      </c>
      <c r="AC57" s="39"/>
      <c r="AD57" s="75" t="s">
        <v>13</v>
      </c>
      <c r="AE57" s="76" t="s">
        <v>14</v>
      </c>
      <c r="AF57" s="77" t="s">
        <v>0</v>
      </c>
      <c r="AG57" s="78" t="s">
        <v>13</v>
      </c>
      <c r="AH57" s="76" t="s">
        <v>14</v>
      </c>
      <c r="AI57" s="79" t="s">
        <v>0</v>
      </c>
      <c r="AJ57" s="75" t="s">
        <v>13</v>
      </c>
      <c r="AK57" s="76" t="s">
        <v>14</v>
      </c>
      <c r="AL57" s="77" t="s">
        <v>0</v>
      </c>
      <c r="AM57" s="78" t="s">
        <v>13</v>
      </c>
      <c r="AN57" s="76" t="s">
        <v>14</v>
      </c>
      <c r="AO57" s="77" t="s">
        <v>0</v>
      </c>
    </row>
    <row r="58" spans="1:41" x14ac:dyDescent="0.25">
      <c r="A58" s="8" t="s">
        <v>1</v>
      </c>
      <c r="B58" s="17">
        <f>'Passive Space'!B52</f>
        <v>0</v>
      </c>
      <c r="C58" s="18">
        <f>'Passive Space'!C52</f>
        <v>0</v>
      </c>
      <c r="D58" s="19">
        <f>'Passive Space'!D52</f>
        <v>0</v>
      </c>
      <c r="E58" s="20">
        <f>'Passive Space'!E52</f>
        <v>0</v>
      </c>
      <c r="F58" s="18">
        <f>'Passive Space'!F52</f>
        <v>0</v>
      </c>
      <c r="G58" s="21">
        <f>'Passive Space'!G52</f>
        <v>0</v>
      </c>
      <c r="H58" s="17">
        <f>'Passive Space'!H52</f>
        <v>0</v>
      </c>
      <c r="I58" s="18">
        <f>'Passive Space'!I52</f>
        <v>0</v>
      </c>
      <c r="J58" s="19">
        <f>'Passive Space'!J52</f>
        <v>0</v>
      </c>
      <c r="K58" s="17">
        <f>'Passive Space'!K52</f>
        <v>0</v>
      </c>
      <c r="L58" s="18">
        <f>'Passive Space'!L52</f>
        <v>0</v>
      </c>
      <c r="M58" s="19">
        <f>'Passive Space'!M52</f>
        <v>0</v>
      </c>
      <c r="O58" s="45" t="s">
        <v>1</v>
      </c>
      <c r="P58" s="46">
        <f>'Passive Space'!B40</f>
        <v>0</v>
      </c>
      <c r="Q58" s="47">
        <f>'Passive Space'!C40</f>
        <v>0</v>
      </c>
      <c r="R58" s="48">
        <f>'Passive Space'!D40</f>
        <v>0</v>
      </c>
      <c r="S58" s="49">
        <f>'Passive Space'!E40</f>
        <v>0</v>
      </c>
      <c r="T58" s="47">
        <f>'Passive Space'!F40</f>
        <v>0</v>
      </c>
      <c r="U58" s="50">
        <f>'Passive Space'!G40</f>
        <v>0</v>
      </c>
      <c r="V58" s="46">
        <f>'Passive Space'!H40</f>
        <v>0</v>
      </c>
      <c r="W58" s="47">
        <f>'Passive Space'!I40</f>
        <v>0</v>
      </c>
      <c r="X58" s="81">
        <f>'Passive Space'!J40</f>
        <v>0</v>
      </c>
      <c r="Y58" s="49">
        <f>'Passive Space'!K40</f>
        <v>0</v>
      </c>
      <c r="Z58" s="47">
        <f>'Passive Space'!L40</f>
        <v>0</v>
      </c>
      <c r="AA58" s="48">
        <f>'Passive Space'!M40</f>
        <v>0</v>
      </c>
      <c r="AC58" s="45" t="s">
        <v>86</v>
      </c>
      <c r="AD58" s="46">
        <f>IF(ROUND(B59*$E$109,0)&lt;=C59,B59+C59-ROUND(B59*$E$109,0),B59)</f>
        <v>0</v>
      </c>
      <c r="AE58" s="47">
        <f>AD58</f>
        <v>0</v>
      </c>
      <c r="AF58" s="48">
        <f>SUM(AD58:AE58)</f>
        <v>0</v>
      </c>
      <c r="AG58" s="49">
        <f>IF(ROUND(E59*$E$109,0)&lt;=F59,E59+F59-ROUND(E59*$E$109,0),E59)</f>
        <v>0</v>
      </c>
      <c r="AH58" s="47">
        <f>AG58</f>
        <v>0</v>
      </c>
      <c r="AI58" s="50">
        <f>SUM(AG58:AH58)</f>
        <v>0</v>
      </c>
      <c r="AJ58" s="46">
        <f>IF(ROUND(H59*$E$109,0)&lt;=I59,H59+I59-ROUND(H59*$E$109,0),H59)</f>
        <v>0</v>
      </c>
      <c r="AK58" s="47">
        <f>AJ58</f>
        <v>0</v>
      </c>
      <c r="AL58" s="81">
        <f>SUM(AJ58:AK58)</f>
        <v>0</v>
      </c>
      <c r="AM58" s="49">
        <f>IF(ROUND(K59*$E$109,0)&lt;=L59,K59+L59-ROUND(K59*$E$109,0),K59)</f>
        <v>0</v>
      </c>
      <c r="AN58" s="47">
        <f>AM58</f>
        <v>0</v>
      </c>
      <c r="AO58" s="48">
        <f>SUM(AM58:AN58)</f>
        <v>0</v>
      </c>
    </row>
    <row r="59" spans="1:41" ht="13.8" thickBot="1" x14ac:dyDescent="0.3">
      <c r="A59" s="9" t="s">
        <v>2</v>
      </c>
      <c r="B59" s="22">
        <f>'Passive Space'!B53</f>
        <v>0</v>
      </c>
      <c r="C59" s="23">
        <f>'Passive Space'!C53</f>
        <v>0</v>
      </c>
      <c r="D59" s="24">
        <f>'Passive Space'!D53</f>
        <v>0</v>
      </c>
      <c r="E59" s="25">
        <f>'Passive Space'!E53</f>
        <v>0</v>
      </c>
      <c r="F59" s="23">
        <f>'Passive Space'!F53</f>
        <v>0</v>
      </c>
      <c r="G59" s="26">
        <f>'Passive Space'!G53</f>
        <v>0</v>
      </c>
      <c r="H59" s="22">
        <f>'Passive Space'!H53</f>
        <v>0</v>
      </c>
      <c r="I59" s="23">
        <f>'Passive Space'!I53</f>
        <v>0</v>
      </c>
      <c r="J59" s="24">
        <f>'Passive Space'!J53</f>
        <v>0</v>
      </c>
      <c r="K59" s="22">
        <f>'Passive Space'!K53</f>
        <v>0</v>
      </c>
      <c r="L59" s="23">
        <f>'Passive Space'!L53</f>
        <v>0</v>
      </c>
      <c r="M59" s="24">
        <f>'Passive Space'!M53</f>
        <v>0</v>
      </c>
      <c r="O59" s="51" t="s">
        <v>2</v>
      </c>
      <c r="P59" s="52">
        <f>'Passive Space'!B41</f>
        <v>0</v>
      </c>
      <c r="Q59" s="53">
        <f>'Passive Space'!C41</f>
        <v>0</v>
      </c>
      <c r="R59" s="54">
        <f>'Passive Space'!D41</f>
        <v>0</v>
      </c>
      <c r="S59" s="49">
        <f>'Passive Space'!E41</f>
        <v>0</v>
      </c>
      <c r="T59" s="53">
        <f>'Passive Space'!F41</f>
        <v>0</v>
      </c>
      <c r="U59" s="56">
        <f>'Passive Space'!G41</f>
        <v>0</v>
      </c>
      <c r="V59" s="52">
        <f>'Passive Space'!H41</f>
        <v>0</v>
      </c>
      <c r="W59" s="53">
        <f>'Passive Space'!I41</f>
        <v>0</v>
      </c>
      <c r="X59" s="54">
        <f>'Passive Space'!J41</f>
        <v>0</v>
      </c>
      <c r="Y59" s="55">
        <f>'Passive Space'!K41</f>
        <v>0</v>
      </c>
      <c r="Z59" s="53">
        <f>'Passive Space'!L41</f>
        <v>0</v>
      </c>
      <c r="AA59" s="54">
        <f>'Passive Space'!M41</f>
        <v>0</v>
      </c>
      <c r="AC59" s="173" t="s">
        <v>87</v>
      </c>
      <c r="AD59" s="174">
        <f>ROUND(AD58*B$113/AD$112,0)</f>
        <v>0</v>
      </c>
      <c r="AE59" s="175">
        <f>AD59</f>
        <v>0</v>
      </c>
      <c r="AF59" s="176">
        <f>SUM(AD59:AE59)</f>
        <v>0</v>
      </c>
      <c r="AG59" s="177">
        <f>ROUND(AG58*E$113/AG$112,0)</f>
        <v>0</v>
      </c>
      <c r="AH59" s="175">
        <f>AG59</f>
        <v>0</v>
      </c>
      <c r="AI59" s="178">
        <f>SUM(AG59:AH59)</f>
        <v>0</v>
      </c>
      <c r="AJ59" s="174">
        <f>ROUND(AJ58*H$113/AJ$112,0)</f>
        <v>0</v>
      </c>
      <c r="AK59" s="175">
        <f>AJ59</f>
        <v>0</v>
      </c>
      <c r="AL59" s="176">
        <f>SUM(AJ59:AK59)</f>
        <v>0</v>
      </c>
      <c r="AM59" s="177">
        <f>ROUND(AM58*K$113/AM$112,0)</f>
        <v>0</v>
      </c>
      <c r="AN59" s="175">
        <f>AM59</f>
        <v>0</v>
      </c>
      <c r="AO59" s="176">
        <f>SUM(AM59:AN59)</f>
        <v>0</v>
      </c>
    </row>
    <row r="60" spans="1:41" ht="13.8" thickBot="1" x14ac:dyDescent="0.3">
      <c r="A60" s="10" t="s">
        <v>15</v>
      </c>
      <c r="B60" s="27">
        <f>'Passive Space'!B54</f>
        <v>0</v>
      </c>
      <c r="C60" s="28">
        <f>'Passive Space'!C54</f>
        <v>0</v>
      </c>
      <c r="D60" s="29">
        <f>'Passive Space'!D54</f>
        <v>0</v>
      </c>
      <c r="E60" s="30">
        <f>'Passive Space'!E54</f>
        <v>0</v>
      </c>
      <c r="F60" s="28">
        <f>'Passive Space'!F54</f>
        <v>0</v>
      </c>
      <c r="G60" s="31">
        <f>'Passive Space'!G54</f>
        <v>0</v>
      </c>
      <c r="H60" s="27">
        <f>'Passive Space'!H54</f>
        <v>0</v>
      </c>
      <c r="I60" s="28">
        <f>'Passive Space'!I54</f>
        <v>0</v>
      </c>
      <c r="J60" s="29">
        <f>'Passive Space'!J54</f>
        <v>0</v>
      </c>
      <c r="K60" s="27">
        <f>'Passive Space'!K54</f>
        <v>0</v>
      </c>
      <c r="L60" s="28">
        <f>'Passive Space'!L54</f>
        <v>0</v>
      </c>
      <c r="M60" s="29">
        <f>'Passive Space'!M54</f>
        <v>0</v>
      </c>
      <c r="O60" s="51" t="s">
        <v>3</v>
      </c>
      <c r="P60" s="52">
        <f>'Passive Space'!B42</f>
        <v>0</v>
      </c>
      <c r="Q60" s="53">
        <f>'Passive Space'!C42</f>
        <v>0</v>
      </c>
      <c r="R60" s="54">
        <f>'Passive Space'!D42</f>
        <v>0</v>
      </c>
      <c r="S60" s="49">
        <f>'Passive Space'!E42</f>
        <v>0</v>
      </c>
      <c r="T60" s="53">
        <f>'Passive Space'!F42</f>
        <v>0</v>
      </c>
      <c r="U60" s="56">
        <f>'Passive Space'!G42</f>
        <v>0</v>
      </c>
      <c r="V60" s="52">
        <f>'Passive Space'!H42</f>
        <v>0</v>
      </c>
      <c r="W60" s="53">
        <f>'Passive Space'!I42</f>
        <v>0</v>
      </c>
      <c r="X60" s="54">
        <f>'Passive Space'!J42</f>
        <v>0</v>
      </c>
      <c r="Y60" s="55">
        <f>'Passive Space'!K42</f>
        <v>0</v>
      </c>
      <c r="Z60" s="53">
        <f>'Passive Space'!L42</f>
        <v>0</v>
      </c>
      <c r="AA60" s="54">
        <f>'Passive Space'!M42</f>
        <v>0</v>
      </c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</row>
    <row r="61" spans="1:41" ht="13.8" thickBot="1" x14ac:dyDescent="0.3">
      <c r="A61" s="11" t="s">
        <v>0</v>
      </c>
      <c r="B61" s="32">
        <f>'Passive Space'!B55</f>
        <v>0</v>
      </c>
      <c r="C61" s="33">
        <f>'Passive Space'!C55</f>
        <v>0</v>
      </c>
      <c r="D61" s="34">
        <f>'Passive Space'!D55</f>
        <v>0</v>
      </c>
      <c r="E61" s="35">
        <f>'Passive Space'!E55</f>
        <v>0</v>
      </c>
      <c r="F61" s="33">
        <f>'Passive Space'!F55</f>
        <v>0</v>
      </c>
      <c r="G61" s="36">
        <f>'Passive Space'!G55</f>
        <v>0</v>
      </c>
      <c r="H61" s="32">
        <f>'Passive Space'!H55</f>
        <v>0</v>
      </c>
      <c r="I61" s="33">
        <f>'Passive Space'!I55</f>
        <v>0</v>
      </c>
      <c r="J61" s="34">
        <f>'Passive Space'!J55</f>
        <v>0</v>
      </c>
      <c r="K61" s="32">
        <f>'Passive Space'!K55</f>
        <v>0</v>
      </c>
      <c r="L61" s="33">
        <f>'Passive Space'!L55</f>
        <v>0</v>
      </c>
      <c r="M61" s="34">
        <f>'Passive Space'!M55</f>
        <v>0</v>
      </c>
      <c r="O61" s="51" t="s">
        <v>4</v>
      </c>
      <c r="P61" s="52">
        <f>'Passive Space'!B43</f>
        <v>0</v>
      </c>
      <c r="Q61" s="53">
        <f>'Passive Space'!C43</f>
        <v>0</v>
      </c>
      <c r="R61" s="54">
        <f>'Passive Space'!D43</f>
        <v>0</v>
      </c>
      <c r="S61" s="49">
        <f>'Passive Space'!E43</f>
        <v>0</v>
      </c>
      <c r="T61" s="53">
        <f>'Passive Space'!F43</f>
        <v>0</v>
      </c>
      <c r="U61" s="56">
        <f>'Passive Space'!G43</f>
        <v>0</v>
      </c>
      <c r="V61" s="52">
        <f>'Passive Space'!H43</f>
        <v>0</v>
      </c>
      <c r="W61" s="53">
        <f>'Passive Space'!I43</f>
        <v>0</v>
      </c>
      <c r="X61" s="54">
        <f>'Passive Space'!J43</f>
        <v>0</v>
      </c>
      <c r="Y61" s="55">
        <f>'Passive Space'!K43</f>
        <v>0</v>
      </c>
      <c r="Z61" s="53">
        <f>'Passive Space'!L43</f>
        <v>0</v>
      </c>
      <c r="AA61" s="54">
        <f>'Passive Space'!M43</f>
        <v>0</v>
      </c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</row>
    <row r="62" spans="1:41" ht="13.8" thickBot="1" x14ac:dyDescent="0.3">
      <c r="A62" s="99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O62" s="57" t="s">
        <v>18</v>
      </c>
      <c r="P62" s="58">
        <f>'Passive Space'!B44</f>
        <v>1</v>
      </c>
      <c r="Q62" s="59">
        <f>'Passive Space'!C44</f>
        <v>1</v>
      </c>
      <c r="R62" s="60">
        <f>'Passive Space'!D44</f>
        <v>2</v>
      </c>
      <c r="S62" s="61">
        <f>'Passive Space'!E44</f>
        <v>1</v>
      </c>
      <c r="T62" s="59">
        <f>'Passive Space'!F44</f>
        <v>1</v>
      </c>
      <c r="U62" s="62">
        <f>'Passive Space'!G44</f>
        <v>2</v>
      </c>
      <c r="V62" s="58">
        <f>'Passive Space'!H44</f>
        <v>2</v>
      </c>
      <c r="W62" s="59">
        <f>'Passive Space'!I44</f>
        <v>1</v>
      </c>
      <c r="X62" s="60">
        <f>'Passive Space'!J44</f>
        <v>3</v>
      </c>
      <c r="Y62" s="61">
        <f>'Passive Space'!K44</f>
        <v>2</v>
      </c>
      <c r="Z62" s="59">
        <f>'Passive Space'!L44</f>
        <v>2</v>
      </c>
      <c r="AA62" s="60">
        <f>'Passive Space'!M44</f>
        <v>4</v>
      </c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</row>
    <row r="63" spans="1:41" ht="13.8" thickBot="1" x14ac:dyDescent="0.3">
      <c r="A63" s="86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O63" s="63" t="s">
        <v>0</v>
      </c>
      <c r="P63" s="64">
        <f>'Passive Space'!B45</f>
        <v>1</v>
      </c>
      <c r="Q63" s="65">
        <f>'Passive Space'!C45</f>
        <v>1</v>
      </c>
      <c r="R63" s="66">
        <f>'Passive Space'!D45</f>
        <v>2</v>
      </c>
      <c r="S63" s="67">
        <f>'Passive Space'!E45</f>
        <v>1</v>
      </c>
      <c r="T63" s="65">
        <f>'Passive Space'!F45</f>
        <v>1</v>
      </c>
      <c r="U63" s="68">
        <f>'Passive Space'!G45</f>
        <v>2</v>
      </c>
      <c r="V63" s="64">
        <f>'Passive Space'!H45</f>
        <v>2</v>
      </c>
      <c r="W63" s="65">
        <f>'Passive Space'!I45</f>
        <v>1</v>
      </c>
      <c r="X63" s="66">
        <f>'Passive Space'!J45</f>
        <v>3</v>
      </c>
      <c r="Y63" s="67">
        <f>'Passive Space'!K45</f>
        <v>2</v>
      </c>
      <c r="Z63" s="65">
        <f>'Passive Space'!L45</f>
        <v>2</v>
      </c>
      <c r="AA63" s="66">
        <f>'Passive Space'!M45</f>
        <v>4</v>
      </c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</row>
    <row r="64" spans="1:41" x14ac:dyDescent="0.25">
      <c r="A64" s="86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O64" s="97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</row>
    <row r="65" spans="1:42" x14ac:dyDescent="0.25"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</row>
    <row r="66" spans="1:42" ht="13.8" thickBot="1" x14ac:dyDescent="0.3">
      <c r="A66" s="12" t="str">
        <f>'Active Space'!K3&amp;" - "&amp;'Active Space'!A49</f>
        <v>Proposed - Open Space (Active) Vehicle Trips - Before balancing</v>
      </c>
      <c r="O66" s="153" t="str">
        <f>'Active Space'!A37</f>
        <v>Open Space (Active) Person Trips</v>
      </c>
      <c r="P66" s="152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C66" s="95"/>
      <c r="AD66" s="12" t="s">
        <v>85</v>
      </c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</row>
    <row r="67" spans="1:42" x14ac:dyDescent="0.25">
      <c r="A67" s="216"/>
      <c r="B67" s="196" t="s">
        <v>7</v>
      </c>
      <c r="C67" s="195">
        <v>0</v>
      </c>
      <c r="D67" s="197">
        <v>0</v>
      </c>
      <c r="E67" s="196" t="s">
        <v>16</v>
      </c>
      <c r="F67" s="195">
        <v>0</v>
      </c>
      <c r="G67" s="197">
        <v>0</v>
      </c>
      <c r="H67" s="196" t="s">
        <v>9</v>
      </c>
      <c r="I67" s="195">
        <v>0</v>
      </c>
      <c r="J67" s="197">
        <v>0</v>
      </c>
      <c r="K67" s="196" t="s">
        <v>19</v>
      </c>
      <c r="L67" s="195">
        <v>0</v>
      </c>
      <c r="M67" s="197">
        <v>0</v>
      </c>
      <c r="O67" s="38"/>
      <c r="P67" s="212" t="s">
        <v>7</v>
      </c>
      <c r="Q67" s="213"/>
      <c r="R67" s="214"/>
      <c r="S67" s="209" t="s">
        <v>8</v>
      </c>
      <c r="T67" s="210"/>
      <c r="U67" s="211"/>
      <c r="V67" s="209" t="s">
        <v>9</v>
      </c>
      <c r="W67" s="210"/>
      <c r="X67" s="211"/>
      <c r="Y67" s="209" t="s">
        <v>19</v>
      </c>
      <c r="Z67" s="210"/>
      <c r="AA67" s="211"/>
      <c r="AC67" s="38"/>
      <c r="AD67" s="196">
        <f>P66</f>
        <v>0</v>
      </c>
      <c r="AE67" s="195"/>
      <c r="AF67" s="197"/>
      <c r="AG67" s="196">
        <f>S66</f>
        <v>0</v>
      </c>
      <c r="AH67" s="195"/>
      <c r="AI67" s="197"/>
      <c r="AJ67" s="196">
        <f>V66</f>
        <v>0</v>
      </c>
      <c r="AK67" s="195"/>
      <c r="AL67" s="197"/>
      <c r="AM67" s="196">
        <f>Y66</f>
        <v>0</v>
      </c>
      <c r="AN67" s="195"/>
      <c r="AO67" s="197"/>
    </row>
    <row r="68" spans="1:42" ht="13.8" thickBot="1" x14ac:dyDescent="0.3">
      <c r="A68" s="217"/>
      <c r="B68" s="5" t="s">
        <v>13</v>
      </c>
      <c r="C68" s="3" t="s">
        <v>14</v>
      </c>
      <c r="D68" s="6" t="s">
        <v>0</v>
      </c>
      <c r="E68" s="7" t="s">
        <v>13</v>
      </c>
      <c r="F68" s="3" t="s">
        <v>14</v>
      </c>
      <c r="G68" s="4" t="s">
        <v>0</v>
      </c>
      <c r="H68" s="5" t="s">
        <v>13</v>
      </c>
      <c r="I68" s="3" t="s">
        <v>14</v>
      </c>
      <c r="J68" s="6" t="s">
        <v>0</v>
      </c>
      <c r="K68" s="5" t="s">
        <v>13</v>
      </c>
      <c r="L68" s="3" t="s">
        <v>14</v>
      </c>
      <c r="M68" s="6" t="s">
        <v>0</v>
      </c>
      <c r="O68" s="39"/>
      <c r="P68" s="75" t="s">
        <v>13</v>
      </c>
      <c r="Q68" s="76" t="s">
        <v>14</v>
      </c>
      <c r="R68" s="77" t="s">
        <v>0</v>
      </c>
      <c r="S68" s="78" t="s">
        <v>13</v>
      </c>
      <c r="T68" s="76" t="s">
        <v>14</v>
      </c>
      <c r="U68" s="79" t="s">
        <v>0</v>
      </c>
      <c r="V68" s="75" t="s">
        <v>13</v>
      </c>
      <c r="W68" s="76" t="s">
        <v>14</v>
      </c>
      <c r="X68" s="77" t="s">
        <v>0</v>
      </c>
      <c r="Y68" s="78" t="s">
        <v>13</v>
      </c>
      <c r="Z68" s="76" t="s">
        <v>14</v>
      </c>
      <c r="AA68" s="77" t="s">
        <v>0</v>
      </c>
      <c r="AC68" s="39"/>
      <c r="AD68" s="75" t="s">
        <v>13</v>
      </c>
      <c r="AE68" s="76" t="s">
        <v>14</v>
      </c>
      <c r="AF68" s="77" t="s">
        <v>0</v>
      </c>
      <c r="AG68" s="78" t="s">
        <v>13</v>
      </c>
      <c r="AH68" s="76" t="s">
        <v>14</v>
      </c>
      <c r="AI68" s="79" t="s">
        <v>0</v>
      </c>
      <c r="AJ68" s="75" t="s">
        <v>13</v>
      </c>
      <c r="AK68" s="76" t="s">
        <v>14</v>
      </c>
      <c r="AL68" s="77" t="s">
        <v>0</v>
      </c>
      <c r="AM68" s="78" t="s">
        <v>13</v>
      </c>
      <c r="AN68" s="76" t="s">
        <v>14</v>
      </c>
      <c r="AO68" s="77" t="s">
        <v>0</v>
      </c>
    </row>
    <row r="69" spans="1:42" x14ac:dyDescent="0.25">
      <c r="A69" s="8" t="s">
        <v>1</v>
      </c>
      <c r="B69" s="17">
        <f>'Active Space'!B52</f>
        <v>0</v>
      </c>
      <c r="C69" s="18">
        <f>'Active Space'!C52</f>
        <v>0</v>
      </c>
      <c r="D69" s="19">
        <f>'Active Space'!D52</f>
        <v>0</v>
      </c>
      <c r="E69" s="20">
        <f>'Active Space'!E52</f>
        <v>0</v>
      </c>
      <c r="F69" s="18">
        <f>'Active Space'!F52</f>
        <v>0</v>
      </c>
      <c r="G69" s="21">
        <f>'Active Space'!G52</f>
        <v>0</v>
      </c>
      <c r="H69" s="17">
        <f>'Active Space'!H52</f>
        <v>0</v>
      </c>
      <c r="I69" s="18">
        <f>'Active Space'!I52</f>
        <v>0</v>
      </c>
      <c r="J69" s="19">
        <f>'Active Space'!J52</f>
        <v>0</v>
      </c>
      <c r="K69" s="17">
        <f>'Active Space'!K52</f>
        <v>0</v>
      </c>
      <c r="L69" s="18">
        <f>'Active Space'!L52</f>
        <v>0</v>
      </c>
      <c r="M69" s="19">
        <f>'Active Space'!M52</f>
        <v>0</v>
      </c>
      <c r="O69" s="45" t="s">
        <v>1</v>
      </c>
      <c r="P69" s="46">
        <f>'Active Space'!B40</f>
        <v>0</v>
      </c>
      <c r="Q69" s="47">
        <f>'Active Space'!C40</f>
        <v>0</v>
      </c>
      <c r="R69" s="48">
        <f>'Active Space'!D40</f>
        <v>0</v>
      </c>
      <c r="S69" s="49">
        <f>'Active Space'!E40</f>
        <v>0</v>
      </c>
      <c r="T69" s="47">
        <f>'Active Space'!F40</f>
        <v>0</v>
      </c>
      <c r="U69" s="50">
        <f>'Active Space'!G40</f>
        <v>0</v>
      </c>
      <c r="V69" s="46">
        <f>'Active Space'!H40</f>
        <v>0</v>
      </c>
      <c r="W69" s="47">
        <f>'Active Space'!I40</f>
        <v>0</v>
      </c>
      <c r="X69" s="81">
        <f>'Active Space'!J40</f>
        <v>0</v>
      </c>
      <c r="Y69" s="49">
        <f>'Active Space'!K40</f>
        <v>1</v>
      </c>
      <c r="Z69" s="47">
        <f>'Active Space'!L40</f>
        <v>0</v>
      </c>
      <c r="AA69" s="48">
        <f>'Active Space'!M40</f>
        <v>1</v>
      </c>
      <c r="AC69" s="45" t="s">
        <v>86</v>
      </c>
      <c r="AD69" s="46">
        <f>IF(ROUND(B70*$E$109,0)&lt;=C70,B70+C70-ROUND(B70*$E$109,0),B70)</f>
        <v>0</v>
      </c>
      <c r="AE69" s="47">
        <f>AD69</f>
        <v>0</v>
      </c>
      <c r="AF69" s="48">
        <f>SUM(AD69:AE69)</f>
        <v>0</v>
      </c>
      <c r="AG69" s="49">
        <f>IF(ROUND(E70*$E$109,0)&lt;=F70,E70+F70-ROUND(E70*$E$109,0),E70)</f>
        <v>0</v>
      </c>
      <c r="AH69" s="47">
        <f>AG69</f>
        <v>0</v>
      </c>
      <c r="AI69" s="50">
        <f>SUM(AG69:AH69)</f>
        <v>0</v>
      </c>
      <c r="AJ69" s="46">
        <f>IF(ROUND(H70*$E$109,0)&lt;=I70,H70+I70-ROUND(H70*$E$109,0),H70)</f>
        <v>0</v>
      </c>
      <c r="AK69" s="47">
        <f>AJ69</f>
        <v>0</v>
      </c>
      <c r="AL69" s="81">
        <f>SUM(AJ69:AK69)</f>
        <v>0</v>
      </c>
      <c r="AM69" s="49">
        <f>IF(ROUND(K70*$E$109,0)&lt;=L70,K70+L70-ROUND(K70*$E$109,0),K70)</f>
        <v>0</v>
      </c>
      <c r="AN69" s="47">
        <f>AM69</f>
        <v>0</v>
      </c>
      <c r="AO69" s="48">
        <f>SUM(AM69:AN69)</f>
        <v>0</v>
      </c>
    </row>
    <row r="70" spans="1:42" ht="13.8" thickBot="1" x14ac:dyDescent="0.3">
      <c r="A70" s="9" t="s">
        <v>2</v>
      </c>
      <c r="B70" s="22">
        <f>'Active Space'!B53</f>
        <v>0</v>
      </c>
      <c r="C70" s="23">
        <f>'Active Space'!C53</f>
        <v>0</v>
      </c>
      <c r="D70" s="24">
        <f>'Active Space'!D53</f>
        <v>0</v>
      </c>
      <c r="E70" s="25">
        <f>'Active Space'!E53</f>
        <v>0</v>
      </c>
      <c r="F70" s="23">
        <f>'Active Space'!F53</f>
        <v>0</v>
      </c>
      <c r="G70" s="26">
        <f>'Active Space'!G53</f>
        <v>0</v>
      </c>
      <c r="H70" s="22">
        <f>'Active Space'!H53</f>
        <v>0</v>
      </c>
      <c r="I70" s="23">
        <f>'Active Space'!I53</f>
        <v>0</v>
      </c>
      <c r="J70" s="24">
        <f>'Active Space'!J53</f>
        <v>0</v>
      </c>
      <c r="K70" s="22">
        <f>'Active Space'!K53</f>
        <v>0</v>
      </c>
      <c r="L70" s="23">
        <f>'Active Space'!L53</f>
        <v>0</v>
      </c>
      <c r="M70" s="24">
        <f>'Active Space'!M53</f>
        <v>0</v>
      </c>
      <c r="O70" s="51" t="s">
        <v>2</v>
      </c>
      <c r="P70" s="52">
        <f>'Active Space'!B41</f>
        <v>0</v>
      </c>
      <c r="Q70" s="53">
        <f>'Active Space'!C41</f>
        <v>0</v>
      </c>
      <c r="R70" s="54">
        <f>'Active Space'!D41</f>
        <v>0</v>
      </c>
      <c r="S70" s="49">
        <f>'Active Space'!E41</f>
        <v>0</v>
      </c>
      <c r="T70" s="53">
        <f>'Active Space'!F41</f>
        <v>0</v>
      </c>
      <c r="U70" s="56">
        <f>'Active Space'!G41</f>
        <v>0</v>
      </c>
      <c r="V70" s="52">
        <f>'Active Space'!H41</f>
        <v>0</v>
      </c>
      <c r="W70" s="53">
        <f>'Active Space'!I41</f>
        <v>0</v>
      </c>
      <c r="X70" s="54">
        <f>'Active Space'!J41</f>
        <v>0</v>
      </c>
      <c r="Y70" s="55">
        <f>'Active Space'!K41</f>
        <v>0</v>
      </c>
      <c r="Z70" s="53">
        <f>'Active Space'!L41</f>
        <v>0</v>
      </c>
      <c r="AA70" s="54">
        <f>'Active Space'!M41</f>
        <v>0</v>
      </c>
      <c r="AC70" s="173" t="s">
        <v>87</v>
      </c>
      <c r="AD70" s="174">
        <f>ROUND(AD69*B$113/AD$112,0)</f>
        <v>0</v>
      </c>
      <c r="AE70" s="175">
        <f>AD70</f>
        <v>0</v>
      </c>
      <c r="AF70" s="176">
        <f>SUM(AD70:AE70)</f>
        <v>0</v>
      </c>
      <c r="AG70" s="177">
        <f>ROUND(AG69*E$113/AG$112,0)</f>
        <v>0</v>
      </c>
      <c r="AH70" s="175">
        <f>AG70</f>
        <v>0</v>
      </c>
      <c r="AI70" s="178">
        <f>SUM(AG70:AH70)</f>
        <v>0</v>
      </c>
      <c r="AJ70" s="174">
        <f>ROUND(AJ69*H$113/AJ$112,0)</f>
        <v>0</v>
      </c>
      <c r="AK70" s="175">
        <f>AJ70</f>
        <v>0</v>
      </c>
      <c r="AL70" s="176">
        <f>SUM(AJ70:AK70)</f>
        <v>0</v>
      </c>
      <c r="AM70" s="177">
        <f>ROUND(AM69*K$113/AM$112,0)</f>
        <v>0</v>
      </c>
      <c r="AN70" s="175">
        <f>AM70</f>
        <v>0</v>
      </c>
      <c r="AO70" s="176">
        <f>SUM(AM70:AN70)</f>
        <v>0</v>
      </c>
    </row>
    <row r="71" spans="1:42" ht="13.8" thickBot="1" x14ac:dyDescent="0.3">
      <c r="A71" s="10" t="s">
        <v>15</v>
      </c>
      <c r="B71" s="27">
        <f>'Active Space'!B54</f>
        <v>0</v>
      </c>
      <c r="C71" s="28">
        <f>'Active Space'!C54</f>
        <v>0</v>
      </c>
      <c r="D71" s="29">
        <f>'Active Space'!D54</f>
        <v>0</v>
      </c>
      <c r="E71" s="30">
        <f>'Active Space'!E54</f>
        <v>0</v>
      </c>
      <c r="F71" s="28">
        <f>'Active Space'!F54</f>
        <v>0</v>
      </c>
      <c r="G71" s="31">
        <f>'Active Space'!G54</f>
        <v>0</v>
      </c>
      <c r="H71" s="27">
        <f>'Active Space'!H54</f>
        <v>0</v>
      </c>
      <c r="I71" s="28">
        <f>'Active Space'!I54</f>
        <v>0</v>
      </c>
      <c r="J71" s="29">
        <f>'Active Space'!J54</f>
        <v>0</v>
      </c>
      <c r="K71" s="27">
        <f>'Active Space'!K54</f>
        <v>0</v>
      </c>
      <c r="L71" s="28">
        <f>'Active Space'!L54</f>
        <v>0</v>
      </c>
      <c r="M71" s="29">
        <f>'Active Space'!M54</f>
        <v>0</v>
      </c>
      <c r="O71" s="51" t="s">
        <v>3</v>
      </c>
      <c r="P71" s="52">
        <f>'Active Space'!B42</f>
        <v>0</v>
      </c>
      <c r="Q71" s="53">
        <f>'Active Space'!C42</f>
        <v>0</v>
      </c>
      <c r="R71" s="54">
        <f>'Active Space'!D42</f>
        <v>0</v>
      </c>
      <c r="S71" s="49">
        <f>'Active Space'!E42</f>
        <v>0</v>
      </c>
      <c r="T71" s="53">
        <f>'Active Space'!F42</f>
        <v>0</v>
      </c>
      <c r="U71" s="56">
        <f>'Active Space'!G42</f>
        <v>0</v>
      </c>
      <c r="V71" s="52">
        <f>'Active Space'!H42</f>
        <v>0</v>
      </c>
      <c r="W71" s="53">
        <f>'Active Space'!I42</f>
        <v>0</v>
      </c>
      <c r="X71" s="54">
        <f>'Active Space'!J42</f>
        <v>0</v>
      </c>
      <c r="Y71" s="55">
        <f>'Active Space'!K42</f>
        <v>0</v>
      </c>
      <c r="Z71" s="53">
        <f>'Active Space'!L42</f>
        <v>0</v>
      </c>
      <c r="AA71" s="54">
        <f>'Active Space'!M42</f>
        <v>0</v>
      </c>
    </row>
    <row r="72" spans="1:42" ht="13.8" thickBot="1" x14ac:dyDescent="0.3">
      <c r="A72" s="11" t="s">
        <v>0</v>
      </c>
      <c r="B72" s="32">
        <f>'Active Space'!B55</f>
        <v>0</v>
      </c>
      <c r="C72" s="33">
        <f>'Active Space'!C55</f>
        <v>0</v>
      </c>
      <c r="D72" s="34">
        <f>'Active Space'!D55</f>
        <v>0</v>
      </c>
      <c r="E72" s="35">
        <f>'Active Space'!E55</f>
        <v>0</v>
      </c>
      <c r="F72" s="33">
        <f>'Active Space'!F55</f>
        <v>0</v>
      </c>
      <c r="G72" s="36">
        <f>'Active Space'!G55</f>
        <v>0</v>
      </c>
      <c r="H72" s="32">
        <f>'Active Space'!H55</f>
        <v>0</v>
      </c>
      <c r="I72" s="33">
        <f>'Active Space'!I55</f>
        <v>0</v>
      </c>
      <c r="J72" s="34">
        <f>'Active Space'!J55</f>
        <v>0</v>
      </c>
      <c r="K72" s="32">
        <f>'Active Space'!K55</f>
        <v>0</v>
      </c>
      <c r="L72" s="33">
        <f>'Active Space'!L55</f>
        <v>0</v>
      </c>
      <c r="M72" s="34">
        <f>'Active Space'!M55</f>
        <v>0</v>
      </c>
      <c r="O72" s="51" t="s">
        <v>4</v>
      </c>
      <c r="P72" s="52">
        <f>'Active Space'!B43</f>
        <v>0</v>
      </c>
      <c r="Q72" s="53">
        <f>'Active Space'!C43</f>
        <v>0</v>
      </c>
      <c r="R72" s="54">
        <f>'Active Space'!D43</f>
        <v>0</v>
      </c>
      <c r="S72" s="49">
        <f>'Active Space'!E43</f>
        <v>0</v>
      </c>
      <c r="T72" s="53">
        <f>'Active Space'!F43</f>
        <v>0</v>
      </c>
      <c r="U72" s="56">
        <f>'Active Space'!G43</f>
        <v>0</v>
      </c>
      <c r="V72" s="52">
        <f>'Active Space'!H43</f>
        <v>0</v>
      </c>
      <c r="W72" s="53">
        <f>'Active Space'!I43</f>
        <v>0</v>
      </c>
      <c r="X72" s="54">
        <f>'Active Space'!J43</f>
        <v>0</v>
      </c>
      <c r="Y72" s="55">
        <f>'Active Space'!K43</f>
        <v>0</v>
      </c>
      <c r="Z72" s="53">
        <f>'Active Space'!L43</f>
        <v>0</v>
      </c>
      <c r="AA72" s="54">
        <f>'Active Space'!M43</f>
        <v>0</v>
      </c>
    </row>
    <row r="73" spans="1:42" ht="13.8" thickBot="1" x14ac:dyDescent="0.3">
      <c r="A73" s="86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O73" s="57" t="s">
        <v>18</v>
      </c>
      <c r="P73" s="58">
        <f>'Active Space'!B44</f>
        <v>1</v>
      </c>
      <c r="Q73" s="59">
        <f>'Active Space'!C44</f>
        <v>1</v>
      </c>
      <c r="R73" s="60">
        <f>'Active Space'!D44</f>
        <v>2</v>
      </c>
      <c r="S73" s="61">
        <f>'Active Space'!E44</f>
        <v>2</v>
      </c>
      <c r="T73" s="59">
        <f>'Active Space'!F44</f>
        <v>2</v>
      </c>
      <c r="U73" s="62">
        <f>'Active Space'!G44</f>
        <v>4</v>
      </c>
      <c r="V73" s="58">
        <f>'Active Space'!H44</f>
        <v>3</v>
      </c>
      <c r="W73" s="59">
        <f>'Active Space'!I44</f>
        <v>2</v>
      </c>
      <c r="X73" s="60">
        <f>'Active Space'!J44</f>
        <v>5</v>
      </c>
      <c r="Y73" s="61">
        <f>'Active Space'!K44</f>
        <v>4</v>
      </c>
      <c r="Z73" s="59">
        <f>'Active Space'!L44</f>
        <v>3</v>
      </c>
      <c r="AA73" s="60">
        <f>'Active Space'!M44</f>
        <v>7</v>
      </c>
    </row>
    <row r="74" spans="1:42" ht="13.8" thickBot="1" x14ac:dyDescent="0.3">
      <c r="A74" s="86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O74" s="63" t="s">
        <v>0</v>
      </c>
      <c r="P74" s="64">
        <f>'Active Space'!B45</f>
        <v>1</v>
      </c>
      <c r="Q74" s="65">
        <f>'Active Space'!C45</f>
        <v>1</v>
      </c>
      <c r="R74" s="66">
        <f>'Active Space'!D45</f>
        <v>2</v>
      </c>
      <c r="S74" s="67">
        <f>'Active Space'!E45</f>
        <v>2</v>
      </c>
      <c r="T74" s="65">
        <f>'Active Space'!F45</f>
        <v>2</v>
      </c>
      <c r="U74" s="68">
        <f>'Active Space'!G45</f>
        <v>4</v>
      </c>
      <c r="V74" s="64">
        <f>'Active Space'!H45</f>
        <v>3</v>
      </c>
      <c r="W74" s="65">
        <f>'Active Space'!I45</f>
        <v>2</v>
      </c>
      <c r="X74" s="66">
        <f>'Active Space'!J45</f>
        <v>5</v>
      </c>
      <c r="Y74" s="67">
        <f>'Active Space'!K45</f>
        <v>5</v>
      </c>
      <c r="Z74" s="65">
        <f>'Active Space'!L45</f>
        <v>3</v>
      </c>
      <c r="AA74" s="66">
        <f>'Active Space'!M45</f>
        <v>8</v>
      </c>
    </row>
    <row r="75" spans="1:42" x14ac:dyDescent="0.25">
      <c r="A75" s="86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</row>
    <row r="76" spans="1:42" x14ac:dyDescent="0.25">
      <c r="A76" s="86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80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</row>
    <row r="77" spans="1:42" ht="13.8" thickBot="1" x14ac:dyDescent="0.3">
      <c r="A77" s="12" t="str">
        <f>Office!K3&amp;" - "&amp;Office!A49</f>
        <v>Proposed - Office Vehicle Trips - Before balancing</v>
      </c>
      <c r="O77" s="160" t="str">
        <f>Office!A37</f>
        <v>Office Person Trips</v>
      </c>
      <c r="P77" s="159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171"/>
      <c r="AC77" s="95"/>
      <c r="AD77" s="12" t="s">
        <v>85</v>
      </c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</row>
    <row r="78" spans="1:42" x14ac:dyDescent="0.25">
      <c r="A78" s="216"/>
      <c r="B78" s="196" t="s">
        <v>7</v>
      </c>
      <c r="C78" s="195">
        <v>0</v>
      </c>
      <c r="D78" s="197">
        <v>0</v>
      </c>
      <c r="E78" s="196" t="s">
        <v>16</v>
      </c>
      <c r="F78" s="195">
        <v>0</v>
      </c>
      <c r="G78" s="197">
        <v>0</v>
      </c>
      <c r="H78" s="196" t="s">
        <v>9</v>
      </c>
      <c r="I78" s="195">
        <v>0</v>
      </c>
      <c r="J78" s="197">
        <v>0</v>
      </c>
      <c r="K78" s="196" t="s">
        <v>19</v>
      </c>
      <c r="L78" s="195">
        <v>0</v>
      </c>
      <c r="M78" s="197">
        <v>0</v>
      </c>
      <c r="O78" s="38"/>
      <c r="P78" s="212" t="s">
        <v>7</v>
      </c>
      <c r="Q78" s="213"/>
      <c r="R78" s="214"/>
      <c r="S78" s="209" t="s">
        <v>8</v>
      </c>
      <c r="T78" s="210"/>
      <c r="U78" s="211"/>
      <c r="V78" s="209" t="s">
        <v>9</v>
      </c>
      <c r="W78" s="210"/>
      <c r="X78" s="211"/>
      <c r="Y78" s="209" t="s">
        <v>19</v>
      </c>
      <c r="Z78" s="210"/>
      <c r="AA78" s="211"/>
      <c r="AB78" s="172"/>
      <c r="AC78" s="38"/>
      <c r="AD78" s="196">
        <f>P77</f>
        <v>0</v>
      </c>
      <c r="AE78" s="195"/>
      <c r="AF78" s="197"/>
      <c r="AG78" s="196">
        <f>S77</f>
        <v>0</v>
      </c>
      <c r="AH78" s="195"/>
      <c r="AI78" s="197"/>
      <c r="AJ78" s="196">
        <f>V77</f>
        <v>0</v>
      </c>
      <c r="AK78" s="195"/>
      <c r="AL78" s="197"/>
      <c r="AM78" s="196">
        <f>Y77</f>
        <v>0</v>
      </c>
      <c r="AN78" s="195"/>
      <c r="AO78" s="197"/>
      <c r="AP78" s="95"/>
    </row>
    <row r="79" spans="1:42" ht="13.8" thickBot="1" x14ac:dyDescent="0.3">
      <c r="A79" s="217"/>
      <c r="B79" s="5" t="s">
        <v>13</v>
      </c>
      <c r="C79" s="3" t="s">
        <v>14</v>
      </c>
      <c r="D79" s="6" t="s">
        <v>0</v>
      </c>
      <c r="E79" s="7" t="s">
        <v>13</v>
      </c>
      <c r="F79" s="3" t="s">
        <v>14</v>
      </c>
      <c r="G79" s="4" t="s">
        <v>0</v>
      </c>
      <c r="H79" s="5" t="s">
        <v>13</v>
      </c>
      <c r="I79" s="3" t="s">
        <v>14</v>
      </c>
      <c r="J79" s="6" t="s">
        <v>0</v>
      </c>
      <c r="K79" s="5" t="s">
        <v>13</v>
      </c>
      <c r="L79" s="3" t="s">
        <v>14</v>
      </c>
      <c r="M79" s="6" t="s">
        <v>0</v>
      </c>
      <c r="O79" s="39"/>
      <c r="P79" s="75" t="s">
        <v>13</v>
      </c>
      <c r="Q79" s="76" t="s">
        <v>14</v>
      </c>
      <c r="R79" s="77" t="s">
        <v>0</v>
      </c>
      <c r="S79" s="78" t="s">
        <v>13</v>
      </c>
      <c r="T79" s="76" t="s">
        <v>14</v>
      </c>
      <c r="U79" s="79" t="s">
        <v>0</v>
      </c>
      <c r="V79" s="75" t="s">
        <v>13</v>
      </c>
      <c r="W79" s="76" t="s">
        <v>14</v>
      </c>
      <c r="X79" s="77" t="s">
        <v>0</v>
      </c>
      <c r="Y79" s="78" t="s">
        <v>13</v>
      </c>
      <c r="Z79" s="76" t="s">
        <v>14</v>
      </c>
      <c r="AA79" s="77" t="s">
        <v>0</v>
      </c>
      <c r="AB79" s="98"/>
      <c r="AC79" s="39"/>
      <c r="AD79" s="75" t="s">
        <v>13</v>
      </c>
      <c r="AE79" s="76" t="s">
        <v>14</v>
      </c>
      <c r="AF79" s="77" t="s">
        <v>0</v>
      </c>
      <c r="AG79" s="78" t="s">
        <v>13</v>
      </c>
      <c r="AH79" s="76" t="s">
        <v>14</v>
      </c>
      <c r="AI79" s="79" t="s">
        <v>0</v>
      </c>
      <c r="AJ79" s="75" t="s">
        <v>13</v>
      </c>
      <c r="AK79" s="76" t="s">
        <v>14</v>
      </c>
      <c r="AL79" s="77" t="s">
        <v>0</v>
      </c>
      <c r="AM79" s="78" t="s">
        <v>13</v>
      </c>
      <c r="AN79" s="76" t="s">
        <v>14</v>
      </c>
      <c r="AO79" s="77" t="s">
        <v>0</v>
      </c>
      <c r="AP79" s="95"/>
    </row>
    <row r="80" spans="1:42" x14ac:dyDescent="0.25">
      <c r="A80" s="8" t="s">
        <v>1</v>
      </c>
      <c r="B80" s="17">
        <f>Office!B52</f>
        <v>33</v>
      </c>
      <c r="C80" s="18">
        <f>Office!C52</f>
        <v>2</v>
      </c>
      <c r="D80" s="19">
        <f>Office!D52</f>
        <v>35</v>
      </c>
      <c r="E80" s="20">
        <f>Office!E52</f>
        <v>1</v>
      </c>
      <c r="F80" s="18">
        <f>Office!F52</f>
        <v>2</v>
      </c>
      <c r="G80" s="21">
        <f>Office!G52</f>
        <v>3</v>
      </c>
      <c r="H80" s="17">
        <f>Office!H52</f>
        <v>2</v>
      </c>
      <c r="I80" s="18">
        <f>Office!I52</f>
        <v>38</v>
      </c>
      <c r="J80" s="19">
        <f>Office!J52</f>
        <v>40</v>
      </c>
      <c r="K80" s="17">
        <f>Office!K52</f>
        <v>6</v>
      </c>
      <c r="L80" s="18">
        <f>Office!L52</f>
        <v>4</v>
      </c>
      <c r="M80" s="19">
        <f>Office!M52</f>
        <v>10</v>
      </c>
      <c r="O80" s="45" t="s">
        <v>1</v>
      </c>
      <c r="P80" s="46">
        <f>Office!B40</f>
        <v>43</v>
      </c>
      <c r="Q80" s="47">
        <f>Office!C40</f>
        <v>2</v>
      </c>
      <c r="R80" s="48">
        <f>Office!D40</f>
        <v>45</v>
      </c>
      <c r="S80" s="49">
        <f>Office!E40</f>
        <v>1</v>
      </c>
      <c r="T80" s="47">
        <f>Office!F40</f>
        <v>2</v>
      </c>
      <c r="U80" s="50">
        <f>Office!G40</f>
        <v>3</v>
      </c>
      <c r="V80" s="46">
        <f>Office!H40</f>
        <v>3</v>
      </c>
      <c r="W80" s="47">
        <f>Office!I40</f>
        <v>49</v>
      </c>
      <c r="X80" s="81">
        <f>Office!J40</f>
        <v>52</v>
      </c>
      <c r="Y80" s="49">
        <f>Office!K40</f>
        <v>8</v>
      </c>
      <c r="Z80" s="47">
        <f>Office!L40</f>
        <v>5</v>
      </c>
      <c r="AA80" s="48">
        <f>Office!M40</f>
        <v>13</v>
      </c>
      <c r="AB80" s="98"/>
      <c r="AC80" s="45" t="s">
        <v>86</v>
      </c>
      <c r="AD80" s="46">
        <f>IF(ROUND(B81*$E$109,0)&lt;=C81,B81+C81-ROUND(B81*$E$109,0),B81)</f>
        <v>1</v>
      </c>
      <c r="AE80" s="47">
        <f>AD80</f>
        <v>1</v>
      </c>
      <c r="AF80" s="48">
        <f>SUM(AD80:AE80)</f>
        <v>2</v>
      </c>
      <c r="AG80" s="49">
        <f>IF(ROUND(E81*$E$109,0)&lt;=F81,E81+F81-ROUND(E81*$E$109,0),E81)</f>
        <v>4</v>
      </c>
      <c r="AH80" s="47">
        <f>AG80</f>
        <v>4</v>
      </c>
      <c r="AI80" s="50">
        <f>SUM(AG80:AH80)</f>
        <v>8</v>
      </c>
      <c r="AJ80" s="46">
        <f>IF(ROUND(H81*$E$109,0)&lt;=I81,H81+I81-ROUND(H81*$E$109,0),H81)</f>
        <v>1</v>
      </c>
      <c r="AK80" s="47">
        <f>AJ80</f>
        <v>1</v>
      </c>
      <c r="AL80" s="81">
        <f>SUM(AJ80:AK80)</f>
        <v>2</v>
      </c>
      <c r="AM80" s="49">
        <f>IF(ROUND(K81*$E$109,0)&lt;=L81,K81+L81-ROUND(K81*$E$109,0),K81)</f>
        <v>0</v>
      </c>
      <c r="AN80" s="47">
        <f>AM80</f>
        <v>0</v>
      </c>
      <c r="AO80" s="48">
        <f>SUM(AM80:AN80)</f>
        <v>0</v>
      </c>
      <c r="AP80" s="95"/>
    </row>
    <row r="81" spans="1:42" ht="13.8" thickBot="1" x14ac:dyDescent="0.3">
      <c r="A81" s="9" t="s">
        <v>2</v>
      </c>
      <c r="B81" s="22">
        <f>Office!B53</f>
        <v>1</v>
      </c>
      <c r="C81" s="23">
        <f>Office!C53</f>
        <v>0</v>
      </c>
      <c r="D81" s="24">
        <f>Office!D53</f>
        <v>1</v>
      </c>
      <c r="E81" s="25">
        <f>Office!E53</f>
        <v>2</v>
      </c>
      <c r="F81" s="23">
        <f>Office!F53</f>
        <v>2</v>
      </c>
      <c r="G81" s="26">
        <f>Office!G53</f>
        <v>4</v>
      </c>
      <c r="H81" s="22">
        <f>Office!H53</f>
        <v>0</v>
      </c>
      <c r="I81" s="23">
        <f>Office!I53</f>
        <v>1</v>
      </c>
      <c r="J81" s="24">
        <f>Office!J53</f>
        <v>1</v>
      </c>
      <c r="K81" s="22">
        <f>Office!K53</f>
        <v>0</v>
      </c>
      <c r="L81" s="23">
        <f>Office!L53</f>
        <v>0</v>
      </c>
      <c r="M81" s="24">
        <f>Office!M53</f>
        <v>0</v>
      </c>
      <c r="O81" s="51" t="s">
        <v>2</v>
      </c>
      <c r="P81" s="52">
        <f>Office!B41</f>
        <v>1</v>
      </c>
      <c r="Q81" s="53">
        <f>Office!C41</f>
        <v>0</v>
      </c>
      <c r="R81" s="54">
        <f>Office!D41</f>
        <v>1</v>
      </c>
      <c r="S81" s="49">
        <f>Office!E41</f>
        <v>2</v>
      </c>
      <c r="T81" s="53">
        <f>Office!F41</f>
        <v>2</v>
      </c>
      <c r="U81" s="56">
        <f>Office!G41</f>
        <v>4</v>
      </c>
      <c r="V81" s="52">
        <f>Office!H41</f>
        <v>0</v>
      </c>
      <c r="W81" s="53">
        <f>Office!I41</f>
        <v>1</v>
      </c>
      <c r="X81" s="54">
        <f>Office!J41</f>
        <v>1</v>
      </c>
      <c r="Y81" s="55">
        <f>Office!K41</f>
        <v>0</v>
      </c>
      <c r="Z81" s="53">
        <f>Office!L41</f>
        <v>0</v>
      </c>
      <c r="AA81" s="54">
        <f>Office!M41</f>
        <v>0</v>
      </c>
      <c r="AB81" s="98"/>
      <c r="AC81" s="173" t="s">
        <v>87</v>
      </c>
      <c r="AD81" s="174">
        <f>ROUND(AD80*B$113/AD$112,0)</f>
        <v>1</v>
      </c>
      <c r="AE81" s="175">
        <f>AD81</f>
        <v>1</v>
      </c>
      <c r="AF81" s="176">
        <f>SUM(AD81:AE81)</f>
        <v>2</v>
      </c>
      <c r="AG81" s="177">
        <f>ROUND(AG80*E$113/AG$112,0)</f>
        <v>4</v>
      </c>
      <c r="AH81" s="175">
        <f>AG81</f>
        <v>4</v>
      </c>
      <c r="AI81" s="178">
        <f>SUM(AG81:AH81)</f>
        <v>8</v>
      </c>
      <c r="AJ81" s="174">
        <f>ROUND(AJ80*H$113/AJ$112,0)</f>
        <v>1</v>
      </c>
      <c r="AK81" s="175">
        <f>AJ81</f>
        <v>1</v>
      </c>
      <c r="AL81" s="176">
        <f>SUM(AJ81:AK81)</f>
        <v>2</v>
      </c>
      <c r="AM81" s="177">
        <f>ROUND(AM80*K$113/AM$112,0)</f>
        <v>0</v>
      </c>
      <c r="AN81" s="175">
        <f>AM81</f>
        <v>0</v>
      </c>
      <c r="AO81" s="176">
        <f>SUM(AM81:AN81)</f>
        <v>0</v>
      </c>
      <c r="AP81" s="95"/>
    </row>
    <row r="82" spans="1:42" ht="13.8" thickBot="1" x14ac:dyDescent="0.3">
      <c r="A82" s="10" t="s">
        <v>15</v>
      </c>
      <c r="B82" s="27">
        <f>Office!B54</f>
        <v>1</v>
      </c>
      <c r="C82" s="28">
        <f>Office!C54</f>
        <v>1</v>
      </c>
      <c r="D82" s="29">
        <f>Office!D54</f>
        <v>2</v>
      </c>
      <c r="E82" s="30">
        <f>Office!E54</f>
        <v>1</v>
      </c>
      <c r="F82" s="28">
        <f>Office!F54</f>
        <v>1</v>
      </c>
      <c r="G82" s="31">
        <f>Office!G54</f>
        <v>2</v>
      </c>
      <c r="H82" s="27">
        <f>Office!H54</f>
        <v>0</v>
      </c>
      <c r="I82" s="28">
        <f>Office!I54</f>
        <v>0</v>
      </c>
      <c r="J82" s="29">
        <f>Office!J54</f>
        <v>0</v>
      </c>
      <c r="K82" s="27">
        <f>Office!K54</f>
        <v>0</v>
      </c>
      <c r="L82" s="28">
        <f>Office!L54</f>
        <v>0</v>
      </c>
      <c r="M82" s="29">
        <f>Office!M54</f>
        <v>0</v>
      </c>
      <c r="O82" s="51" t="s">
        <v>3</v>
      </c>
      <c r="P82" s="52">
        <f>Office!B42</f>
        <v>20</v>
      </c>
      <c r="Q82" s="53">
        <f>Office!C42</f>
        <v>1</v>
      </c>
      <c r="R82" s="54">
        <f>Office!D42</f>
        <v>21</v>
      </c>
      <c r="S82" s="49">
        <f>Office!E42</f>
        <v>3</v>
      </c>
      <c r="T82" s="53">
        <f>Office!F42</f>
        <v>5</v>
      </c>
      <c r="U82" s="56">
        <f>Office!G42</f>
        <v>8</v>
      </c>
      <c r="V82" s="52">
        <f>Office!H42</f>
        <v>1</v>
      </c>
      <c r="W82" s="53">
        <f>Office!I42</f>
        <v>23</v>
      </c>
      <c r="X82" s="54">
        <f>Office!J42</f>
        <v>24</v>
      </c>
      <c r="Y82" s="55">
        <f>Office!K42</f>
        <v>4</v>
      </c>
      <c r="Z82" s="53">
        <f>Office!L42</f>
        <v>3</v>
      </c>
      <c r="AA82" s="54">
        <f>Office!M42</f>
        <v>7</v>
      </c>
      <c r="AB82" s="98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</row>
    <row r="83" spans="1:42" ht="13.8" thickBot="1" x14ac:dyDescent="0.3">
      <c r="A83" s="11" t="s">
        <v>0</v>
      </c>
      <c r="B83" s="32">
        <f>Office!B55</f>
        <v>35</v>
      </c>
      <c r="C83" s="33">
        <f>Office!C55</f>
        <v>3</v>
      </c>
      <c r="D83" s="34">
        <f>Office!D55</f>
        <v>38</v>
      </c>
      <c r="E83" s="35">
        <f>Office!E55</f>
        <v>4</v>
      </c>
      <c r="F83" s="33">
        <f>Office!F55</f>
        <v>5</v>
      </c>
      <c r="G83" s="36">
        <f>Office!G55</f>
        <v>9</v>
      </c>
      <c r="H83" s="32">
        <f>Office!H55</f>
        <v>2</v>
      </c>
      <c r="I83" s="33">
        <f>Office!I55</f>
        <v>39</v>
      </c>
      <c r="J83" s="34">
        <f>Office!J55</f>
        <v>41</v>
      </c>
      <c r="K83" s="32">
        <f>Office!K55</f>
        <v>6</v>
      </c>
      <c r="L83" s="33">
        <f>Office!L55</f>
        <v>4</v>
      </c>
      <c r="M83" s="34">
        <f>Office!M55</f>
        <v>10</v>
      </c>
      <c r="O83" s="51" t="s">
        <v>4</v>
      </c>
      <c r="P83" s="52">
        <f>Office!B43</f>
        <v>31</v>
      </c>
      <c r="Q83" s="53">
        <f>Office!C43</f>
        <v>1</v>
      </c>
      <c r="R83" s="54">
        <f>Office!D43</f>
        <v>32</v>
      </c>
      <c r="S83" s="49">
        <f>Office!E43</f>
        <v>3</v>
      </c>
      <c r="T83" s="53">
        <f>Office!F43</f>
        <v>5</v>
      </c>
      <c r="U83" s="56">
        <f>Office!G43</f>
        <v>8</v>
      </c>
      <c r="V83" s="52">
        <f>Office!H43</f>
        <v>2</v>
      </c>
      <c r="W83" s="53">
        <f>Office!I43</f>
        <v>36</v>
      </c>
      <c r="X83" s="54">
        <f>Office!J43</f>
        <v>38</v>
      </c>
      <c r="Y83" s="55">
        <f>Office!K43</f>
        <v>6</v>
      </c>
      <c r="Z83" s="53">
        <f>Office!L43</f>
        <v>4</v>
      </c>
      <c r="AA83" s="54">
        <f>Office!M43</f>
        <v>10</v>
      </c>
      <c r="AB83" s="98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</row>
    <row r="84" spans="1:42" ht="13.8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O84" s="57" t="s">
        <v>18</v>
      </c>
      <c r="P84" s="58">
        <f>Office!B44</f>
        <v>9</v>
      </c>
      <c r="Q84" s="59">
        <f>Office!C44</f>
        <v>0</v>
      </c>
      <c r="R84" s="60">
        <f>Office!D44</f>
        <v>9</v>
      </c>
      <c r="S84" s="61">
        <f>Office!E44</f>
        <v>44</v>
      </c>
      <c r="T84" s="59">
        <f>Office!F44</f>
        <v>68</v>
      </c>
      <c r="U84" s="62">
        <f>Office!G44</f>
        <v>112</v>
      </c>
      <c r="V84" s="58">
        <f>Office!H44</f>
        <v>1</v>
      </c>
      <c r="W84" s="59">
        <f>Office!I44</f>
        <v>10</v>
      </c>
      <c r="X84" s="60">
        <f>Office!J44</f>
        <v>11</v>
      </c>
      <c r="Y84" s="61">
        <f>Office!K44</f>
        <v>2</v>
      </c>
      <c r="Z84" s="59">
        <f>Office!L44</f>
        <v>1</v>
      </c>
      <c r="AA84" s="60">
        <f>Office!M44</f>
        <v>3</v>
      </c>
      <c r="AB84" s="98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</row>
    <row r="85" spans="1:42" ht="13.8" thickBot="1" x14ac:dyDescent="0.3">
      <c r="A85" s="86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O85" s="63" t="s">
        <v>0</v>
      </c>
      <c r="P85" s="64">
        <f>Office!B45</f>
        <v>104</v>
      </c>
      <c r="Q85" s="65">
        <f>Office!C45</f>
        <v>4</v>
      </c>
      <c r="R85" s="66">
        <f>Office!D45</f>
        <v>108</v>
      </c>
      <c r="S85" s="67">
        <f>Office!E45</f>
        <v>53</v>
      </c>
      <c r="T85" s="65">
        <f>Office!F45</f>
        <v>82</v>
      </c>
      <c r="U85" s="68">
        <f>Office!G45</f>
        <v>135</v>
      </c>
      <c r="V85" s="64">
        <f>Office!H45</f>
        <v>7</v>
      </c>
      <c r="W85" s="65">
        <f>Office!I45</f>
        <v>119</v>
      </c>
      <c r="X85" s="66">
        <f>Office!J45</f>
        <v>126</v>
      </c>
      <c r="Y85" s="67">
        <f>Office!K45</f>
        <v>20</v>
      </c>
      <c r="Z85" s="65">
        <f>Office!L45</f>
        <v>13</v>
      </c>
      <c r="AA85" s="66">
        <f>Office!M45</f>
        <v>33</v>
      </c>
      <c r="AB85" s="98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</row>
    <row r="86" spans="1:42" x14ac:dyDescent="0.25">
      <c r="A86" s="86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8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</row>
    <row r="87" spans="1:42" x14ac:dyDescent="0.25">
      <c r="A87" s="86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80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</row>
    <row r="88" spans="1:42" ht="13.8" thickBot="1" x14ac:dyDescent="0.3">
      <c r="A88" s="12" t="str">
        <f>'Dest Retail'!K3&amp;" - "&amp;'Dest Retail'!A49</f>
        <v>Proposed - Destination Retail Vehicle Trips - Before balancing</v>
      </c>
      <c r="O88" s="163" t="str">
        <f>'Dest Retail'!A37</f>
        <v>Destination Retail Person Trips</v>
      </c>
      <c r="P88" s="162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171"/>
      <c r="AC88" s="95"/>
      <c r="AD88" s="12" t="s">
        <v>85</v>
      </c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</row>
    <row r="89" spans="1:42" x14ac:dyDescent="0.25">
      <c r="A89" s="216"/>
      <c r="B89" s="196" t="s">
        <v>7</v>
      </c>
      <c r="C89" s="195">
        <v>0</v>
      </c>
      <c r="D89" s="197">
        <v>0</v>
      </c>
      <c r="E89" s="196" t="s">
        <v>16</v>
      </c>
      <c r="F89" s="195">
        <v>0</v>
      </c>
      <c r="G89" s="197">
        <v>0</v>
      </c>
      <c r="H89" s="196" t="s">
        <v>9</v>
      </c>
      <c r="I89" s="195">
        <v>0</v>
      </c>
      <c r="J89" s="197">
        <v>0</v>
      </c>
      <c r="K89" s="196" t="s">
        <v>19</v>
      </c>
      <c r="L89" s="195">
        <v>0</v>
      </c>
      <c r="M89" s="197">
        <v>0</v>
      </c>
      <c r="O89" s="38"/>
      <c r="P89" s="212" t="s">
        <v>7</v>
      </c>
      <c r="Q89" s="213"/>
      <c r="R89" s="214"/>
      <c r="S89" s="209" t="s">
        <v>8</v>
      </c>
      <c r="T89" s="210"/>
      <c r="U89" s="211"/>
      <c r="V89" s="209" t="s">
        <v>9</v>
      </c>
      <c r="W89" s="210"/>
      <c r="X89" s="211"/>
      <c r="Y89" s="209" t="s">
        <v>19</v>
      </c>
      <c r="Z89" s="210"/>
      <c r="AA89" s="211"/>
      <c r="AB89" s="172"/>
      <c r="AC89" s="38"/>
      <c r="AD89" s="196">
        <f>P88</f>
        <v>0</v>
      </c>
      <c r="AE89" s="195"/>
      <c r="AF89" s="197"/>
      <c r="AG89" s="196">
        <f>S88</f>
        <v>0</v>
      </c>
      <c r="AH89" s="195"/>
      <c r="AI89" s="197"/>
      <c r="AJ89" s="196">
        <f>V88</f>
        <v>0</v>
      </c>
      <c r="AK89" s="195"/>
      <c r="AL89" s="197"/>
      <c r="AM89" s="196">
        <f>Y88</f>
        <v>0</v>
      </c>
      <c r="AN89" s="195"/>
      <c r="AO89" s="197"/>
      <c r="AP89" s="95"/>
    </row>
    <row r="90" spans="1:42" ht="13.8" thickBot="1" x14ac:dyDescent="0.3">
      <c r="A90" s="217"/>
      <c r="B90" s="5" t="s">
        <v>13</v>
      </c>
      <c r="C90" s="3" t="s">
        <v>14</v>
      </c>
      <c r="D90" s="6" t="s">
        <v>0</v>
      </c>
      <c r="E90" s="7" t="s">
        <v>13</v>
      </c>
      <c r="F90" s="3" t="s">
        <v>14</v>
      </c>
      <c r="G90" s="4" t="s">
        <v>0</v>
      </c>
      <c r="H90" s="5" t="s">
        <v>13</v>
      </c>
      <c r="I90" s="3" t="s">
        <v>14</v>
      </c>
      <c r="J90" s="6" t="s">
        <v>0</v>
      </c>
      <c r="K90" s="5" t="s">
        <v>13</v>
      </c>
      <c r="L90" s="3" t="s">
        <v>14</v>
      </c>
      <c r="M90" s="6" t="s">
        <v>0</v>
      </c>
      <c r="O90" s="39"/>
      <c r="P90" s="75" t="s">
        <v>13</v>
      </c>
      <c r="Q90" s="76" t="s">
        <v>14</v>
      </c>
      <c r="R90" s="77" t="s">
        <v>0</v>
      </c>
      <c r="S90" s="78" t="s">
        <v>13</v>
      </c>
      <c r="T90" s="76" t="s">
        <v>14</v>
      </c>
      <c r="U90" s="79" t="s">
        <v>0</v>
      </c>
      <c r="V90" s="75" t="s">
        <v>13</v>
      </c>
      <c r="W90" s="76" t="s">
        <v>14</v>
      </c>
      <c r="X90" s="77" t="s">
        <v>0</v>
      </c>
      <c r="Y90" s="78" t="s">
        <v>13</v>
      </c>
      <c r="Z90" s="76" t="s">
        <v>14</v>
      </c>
      <c r="AA90" s="77" t="s">
        <v>0</v>
      </c>
      <c r="AB90" s="98"/>
      <c r="AC90" s="39"/>
      <c r="AD90" s="75" t="s">
        <v>13</v>
      </c>
      <c r="AE90" s="76" t="s">
        <v>14</v>
      </c>
      <c r="AF90" s="77" t="s">
        <v>0</v>
      </c>
      <c r="AG90" s="78" t="s">
        <v>13</v>
      </c>
      <c r="AH90" s="76" t="s">
        <v>14</v>
      </c>
      <c r="AI90" s="79" t="s">
        <v>0</v>
      </c>
      <c r="AJ90" s="75" t="s">
        <v>13</v>
      </c>
      <c r="AK90" s="76" t="s">
        <v>14</v>
      </c>
      <c r="AL90" s="77" t="s">
        <v>0</v>
      </c>
      <c r="AM90" s="78" t="s">
        <v>13</v>
      </c>
      <c r="AN90" s="76" t="s">
        <v>14</v>
      </c>
      <c r="AO90" s="77" t="s">
        <v>0</v>
      </c>
      <c r="AP90" s="95"/>
    </row>
    <row r="91" spans="1:42" x14ac:dyDescent="0.25">
      <c r="A91" s="8" t="s">
        <v>1</v>
      </c>
      <c r="B91" s="17">
        <f>'Dest Retail'!B52</f>
        <v>20</v>
      </c>
      <c r="C91" s="18">
        <f>'Dest Retail'!C52</f>
        <v>4</v>
      </c>
      <c r="D91" s="19">
        <f>'Dest Retail'!D52</f>
        <v>24</v>
      </c>
      <c r="E91" s="20">
        <f>'Dest Retail'!E52</f>
        <v>39</v>
      </c>
      <c r="F91" s="18">
        <f>'Dest Retail'!F52</f>
        <v>36</v>
      </c>
      <c r="G91" s="21">
        <f>'Dest Retail'!G52</f>
        <v>75</v>
      </c>
      <c r="H91" s="17">
        <f>'Dest Retail'!H52</f>
        <v>39</v>
      </c>
      <c r="I91" s="18">
        <f>'Dest Retail'!I52</f>
        <v>36</v>
      </c>
      <c r="J91" s="19">
        <f>'Dest Retail'!J52</f>
        <v>75</v>
      </c>
      <c r="K91" s="17">
        <f>'Dest Retail'!K52</f>
        <v>44</v>
      </c>
      <c r="L91" s="18">
        <f>'Dest Retail'!L52</f>
        <v>43</v>
      </c>
      <c r="M91" s="19">
        <f>'Dest Retail'!M52</f>
        <v>87</v>
      </c>
      <c r="O91" s="45" t="s">
        <v>1</v>
      </c>
      <c r="P91" s="46">
        <f>'Dest Retail'!B40</f>
        <v>28</v>
      </c>
      <c r="Q91" s="47">
        <f>'Dest Retail'!C40</f>
        <v>6</v>
      </c>
      <c r="R91" s="48">
        <f>'Dest Retail'!D40</f>
        <v>34</v>
      </c>
      <c r="S91" s="49">
        <f>'Dest Retail'!E40</f>
        <v>54</v>
      </c>
      <c r="T91" s="47">
        <f>'Dest Retail'!F40</f>
        <v>50</v>
      </c>
      <c r="U91" s="50">
        <f>'Dest Retail'!G40</f>
        <v>104</v>
      </c>
      <c r="V91" s="46">
        <f>'Dest Retail'!H40</f>
        <v>54</v>
      </c>
      <c r="W91" s="47">
        <f>'Dest Retail'!I40</f>
        <v>50</v>
      </c>
      <c r="X91" s="81">
        <f>'Dest Retail'!J40</f>
        <v>104</v>
      </c>
      <c r="Y91" s="49">
        <f>'Dest Retail'!K40</f>
        <v>76</v>
      </c>
      <c r="Z91" s="47">
        <f>'Dest Retail'!L40</f>
        <v>74</v>
      </c>
      <c r="AA91" s="48">
        <f>'Dest Retail'!M40</f>
        <v>150</v>
      </c>
      <c r="AB91" s="98"/>
      <c r="AC91" s="45" t="s">
        <v>86</v>
      </c>
      <c r="AD91" s="46">
        <f>IF(ROUND(B92*$E$109,0)&lt;=C92,B92+C92-ROUND(B92*$E$109,0),B92)</f>
        <v>1</v>
      </c>
      <c r="AE91" s="47">
        <f>AD91</f>
        <v>1</v>
      </c>
      <c r="AF91" s="48">
        <f>SUM(AD91:AE91)</f>
        <v>2</v>
      </c>
      <c r="AG91" s="49">
        <f>IF(ROUND(E92*$E$109,0)&lt;=F92,E92+F92-ROUND(E92*$E$109,0),E92)</f>
        <v>4</v>
      </c>
      <c r="AH91" s="47">
        <f>AG91</f>
        <v>4</v>
      </c>
      <c r="AI91" s="50">
        <f>SUM(AG91:AH91)</f>
        <v>8</v>
      </c>
      <c r="AJ91" s="46">
        <f>IF(ROUND(H92*$E$109,0)&lt;=I92,H92+I92-ROUND(H92*$E$109,0),H92)</f>
        <v>4</v>
      </c>
      <c r="AK91" s="47">
        <f>AJ91</f>
        <v>4</v>
      </c>
      <c r="AL91" s="81">
        <f>SUM(AJ91:AK91)</f>
        <v>8</v>
      </c>
      <c r="AM91" s="49">
        <f>IF(ROUND(K92*$E$109,0)&lt;=L92,K92+L92-ROUND(K92*$E$109,0),K92)</f>
        <v>6</v>
      </c>
      <c r="AN91" s="47">
        <f>AM91</f>
        <v>6</v>
      </c>
      <c r="AO91" s="48">
        <f>SUM(AM91:AN91)</f>
        <v>12</v>
      </c>
      <c r="AP91" s="95"/>
    </row>
    <row r="92" spans="1:42" ht="13.8" thickBot="1" x14ac:dyDescent="0.3">
      <c r="A92" s="9" t="s">
        <v>2</v>
      </c>
      <c r="B92" s="22">
        <f>'Dest Retail'!B53</f>
        <v>1</v>
      </c>
      <c r="C92" s="23">
        <f>'Dest Retail'!C53</f>
        <v>0</v>
      </c>
      <c r="D92" s="24">
        <f>'Dest Retail'!D53</f>
        <v>1</v>
      </c>
      <c r="E92" s="25">
        <f>'Dest Retail'!E53</f>
        <v>2</v>
      </c>
      <c r="F92" s="23">
        <f>'Dest Retail'!F53</f>
        <v>2</v>
      </c>
      <c r="G92" s="26">
        <f>'Dest Retail'!G53</f>
        <v>4</v>
      </c>
      <c r="H92" s="22">
        <f>'Dest Retail'!H53</f>
        <v>2</v>
      </c>
      <c r="I92" s="23">
        <f>'Dest Retail'!I53</f>
        <v>2</v>
      </c>
      <c r="J92" s="24">
        <f>'Dest Retail'!J53</f>
        <v>4</v>
      </c>
      <c r="K92" s="22">
        <f>'Dest Retail'!K53</f>
        <v>3</v>
      </c>
      <c r="L92" s="23">
        <f>'Dest Retail'!L53</f>
        <v>3</v>
      </c>
      <c r="M92" s="24">
        <f>'Dest Retail'!M53</f>
        <v>6</v>
      </c>
      <c r="O92" s="51" t="s">
        <v>2</v>
      </c>
      <c r="P92" s="52">
        <f>'Dest Retail'!B41</f>
        <v>1</v>
      </c>
      <c r="Q92" s="53">
        <f>'Dest Retail'!C41</f>
        <v>0</v>
      </c>
      <c r="R92" s="54">
        <f>'Dest Retail'!D41</f>
        <v>1</v>
      </c>
      <c r="S92" s="49">
        <f>'Dest Retail'!E41</f>
        <v>3</v>
      </c>
      <c r="T92" s="53">
        <f>'Dest Retail'!F41</f>
        <v>3</v>
      </c>
      <c r="U92" s="56">
        <f>'Dest Retail'!G41</f>
        <v>6</v>
      </c>
      <c r="V92" s="52">
        <f>'Dest Retail'!H41</f>
        <v>3</v>
      </c>
      <c r="W92" s="53">
        <f>'Dest Retail'!I41</f>
        <v>3</v>
      </c>
      <c r="X92" s="54">
        <f>'Dest Retail'!J41</f>
        <v>6</v>
      </c>
      <c r="Y92" s="55">
        <f>'Dest Retail'!K41</f>
        <v>6</v>
      </c>
      <c r="Z92" s="53">
        <f>'Dest Retail'!L41</f>
        <v>6</v>
      </c>
      <c r="AA92" s="54">
        <f>'Dest Retail'!M41</f>
        <v>12</v>
      </c>
      <c r="AB92" s="98"/>
      <c r="AC92" s="173" t="s">
        <v>87</v>
      </c>
      <c r="AD92" s="174">
        <f>ROUND(AD91*B$113/AD$112,0)</f>
        <v>1</v>
      </c>
      <c r="AE92" s="175">
        <f>AD92</f>
        <v>1</v>
      </c>
      <c r="AF92" s="176">
        <f>SUM(AD92:AE92)</f>
        <v>2</v>
      </c>
      <c r="AG92" s="177">
        <f>ROUND(AG91*E$113/AG$112,0)</f>
        <v>4</v>
      </c>
      <c r="AH92" s="175">
        <f>AG92</f>
        <v>4</v>
      </c>
      <c r="AI92" s="178">
        <f>SUM(AG92:AH92)</f>
        <v>8</v>
      </c>
      <c r="AJ92" s="174">
        <f>ROUND(AJ91*H$113/AJ$112,0)</f>
        <v>4</v>
      </c>
      <c r="AK92" s="175">
        <f>AJ92</f>
        <v>4</v>
      </c>
      <c r="AL92" s="176">
        <f>SUM(AJ92:AK92)</f>
        <v>8</v>
      </c>
      <c r="AM92" s="177">
        <f>ROUND(AM91*K$113/AM$112,0)</f>
        <v>6</v>
      </c>
      <c r="AN92" s="175">
        <f>AM92</f>
        <v>6</v>
      </c>
      <c r="AO92" s="176">
        <f>SUM(AM92:AN92)</f>
        <v>12</v>
      </c>
      <c r="AP92" s="95"/>
    </row>
    <row r="93" spans="1:42" ht="13.8" thickBot="1" x14ac:dyDescent="0.3">
      <c r="A93" s="10" t="s">
        <v>15</v>
      </c>
      <c r="B93" s="27">
        <f>'Dest Retail'!B54</f>
        <v>0</v>
      </c>
      <c r="C93" s="28">
        <f>'Dest Retail'!C54</f>
        <v>0</v>
      </c>
      <c r="D93" s="29">
        <f>'Dest Retail'!D54</f>
        <v>0</v>
      </c>
      <c r="E93" s="30">
        <f>'Dest Retail'!E54</f>
        <v>0</v>
      </c>
      <c r="F93" s="28">
        <f>'Dest Retail'!F54</f>
        <v>0</v>
      </c>
      <c r="G93" s="31">
        <f>'Dest Retail'!G54</f>
        <v>0</v>
      </c>
      <c r="H93" s="27">
        <f>'Dest Retail'!H54</f>
        <v>0</v>
      </c>
      <c r="I93" s="28">
        <f>'Dest Retail'!I54</f>
        <v>0</v>
      </c>
      <c r="J93" s="29">
        <f>'Dest Retail'!J54</f>
        <v>0</v>
      </c>
      <c r="K93" s="27">
        <f>'Dest Retail'!K54</f>
        <v>0</v>
      </c>
      <c r="L93" s="28">
        <f>'Dest Retail'!L54</f>
        <v>0</v>
      </c>
      <c r="M93" s="29">
        <f>'Dest Retail'!M54</f>
        <v>0</v>
      </c>
      <c r="O93" s="51" t="s">
        <v>3</v>
      </c>
      <c r="P93" s="52">
        <f>'Dest Retail'!B42</f>
        <v>9</v>
      </c>
      <c r="Q93" s="53">
        <f>'Dest Retail'!C42</f>
        <v>2</v>
      </c>
      <c r="R93" s="54">
        <f>'Dest Retail'!D42</f>
        <v>11</v>
      </c>
      <c r="S93" s="49">
        <f>'Dest Retail'!E42</f>
        <v>16</v>
      </c>
      <c r="T93" s="53">
        <f>'Dest Retail'!F42</f>
        <v>15</v>
      </c>
      <c r="U93" s="56">
        <f>'Dest Retail'!G42</f>
        <v>31</v>
      </c>
      <c r="V93" s="52">
        <f>'Dest Retail'!H42</f>
        <v>16</v>
      </c>
      <c r="W93" s="53">
        <f>'Dest Retail'!I42</f>
        <v>15</v>
      </c>
      <c r="X93" s="54">
        <f>'Dest Retail'!J42</f>
        <v>31</v>
      </c>
      <c r="Y93" s="55">
        <f>'Dest Retail'!K42</f>
        <v>23</v>
      </c>
      <c r="Z93" s="53">
        <f>'Dest Retail'!L42</f>
        <v>23</v>
      </c>
      <c r="AA93" s="54">
        <f>'Dest Retail'!M42</f>
        <v>46</v>
      </c>
      <c r="AB93" s="98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</row>
    <row r="94" spans="1:42" ht="13.8" thickBot="1" x14ac:dyDescent="0.3">
      <c r="A94" s="11" t="s">
        <v>0</v>
      </c>
      <c r="B94" s="32">
        <f>'Dest Retail'!B55</f>
        <v>21</v>
      </c>
      <c r="C94" s="33">
        <f>'Dest Retail'!C55</f>
        <v>4</v>
      </c>
      <c r="D94" s="34">
        <f>'Dest Retail'!D55</f>
        <v>25</v>
      </c>
      <c r="E94" s="35">
        <f>'Dest Retail'!E55</f>
        <v>41</v>
      </c>
      <c r="F94" s="33">
        <f>'Dest Retail'!F55</f>
        <v>38</v>
      </c>
      <c r="G94" s="36">
        <f>'Dest Retail'!G55</f>
        <v>79</v>
      </c>
      <c r="H94" s="32">
        <f>'Dest Retail'!H55</f>
        <v>41</v>
      </c>
      <c r="I94" s="33">
        <f>'Dest Retail'!I55</f>
        <v>38</v>
      </c>
      <c r="J94" s="34">
        <f>'Dest Retail'!J55</f>
        <v>79</v>
      </c>
      <c r="K94" s="32">
        <f>'Dest Retail'!K55</f>
        <v>47</v>
      </c>
      <c r="L94" s="33">
        <f>'Dest Retail'!L55</f>
        <v>46</v>
      </c>
      <c r="M94" s="34">
        <f>'Dest Retail'!M55</f>
        <v>93</v>
      </c>
      <c r="O94" s="51" t="s">
        <v>4</v>
      </c>
      <c r="P94" s="52">
        <f>'Dest Retail'!B43</f>
        <v>7</v>
      </c>
      <c r="Q94" s="53">
        <f>'Dest Retail'!C43</f>
        <v>2</v>
      </c>
      <c r="R94" s="54">
        <f>'Dest Retail'!D43</f>
        <v>9</v>
      </c>
      <c r="S94" s="49">
        <f>'Dest Retail'!E43</f>
        <v>14</v>
      </c>
      <c r="T94" s="53">
        <f>'Dest Retail'!F43</f>
        <v>13</v>
      </c>
      <c r="U94" s="56">
        <f>'Dest Retail'!G43</f>
        <v>27</v>
      </c>
      <c r="V94" s="52">
        <f>'Dest Retail'!H43</f>
        <v>14</v>
      </c>
      <c r="W94" s="53">
        <f>'Dest Retail'!I43</f>
        <v>13</v>
      </c>
      <c r="X94" s="54">
        <f>'Dest Retail'!J43</f>
        <v>27</v>
      </c>
      <c r="Y94" s="55">
        <f>'Dest Retail'!K43</f>
        <v>17</v>
      </c>
      <c r="Z94" s="53">
        <f>'Dest Retail'!L43</f>
        <v>16</v>
      </c>
      <c r="AA94" s="54">
        <f>'Dest Retail'!M43</f>
        <v>33</v>
      </c>
      <c r="AB94" s="98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</row>
    <row r="95" spans="1:42" ht="13.8" thickBot="1" x14ac:dyDescent="0.3">
      <c r="A95" s="86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O95" s="57" t="s">
        <v>18</v>
      </c>
      <c r="P95" s="58">
        <f>'Dest Retail'!B44</f>
        <v>2</v>
      </c>
      <c r="Q95" s="59">
        <f>'Dest Retail'!C44</f>
        <v>1</v>
      </c>
      <c r="R95" s="60">
        <f>'Dest Retail'!D44</f>
        <v>3</v>
      </c>
      <c r="S95" s="61">
        <f>'Dest Retail'!E44</f>
        <v>5</v>
      </c>
      <c r="T95" s="59">
        <f>'Dest Retail'!F44</f>
        <v>4</v>
      </c>
      <c r="U95" s="62">
        <f>'Dest Retail'!G44</f>
        <v>9</v>
      </c>
      <c r="V95" s="58">
        <f>'Dest Retail'!H44</f>
        <v>5</v>
      </c>
      <c r="W95" s="59">
        <f>'Dest Retail'!I44</f>
        <v>4</v>
      </c>
      <c r="X95" s="60">
        <f>'Dest Retail'!J44</f>
        <v>9</v>
      </c>
      <c r="Y95" s="61">
        <f>'Dest Retail'!K44</f>
        <v>6</v>
      </c>
      <c r="Z95" s="59">
        <f>'Dest Retail'!L44</f>
        <v>6</v>
      </c>
      <c r="AA95" s="60">
        <f>'Dest Retail'!M44</f>
        <v>12</v>
      </c>
      <c r="AB95" s="98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</row>
    <row r="96" spans="1:42" ht="13.8" thickBot="1" x14ac:dyDescent="0.3">
      <c r="A96" s="86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O96" s="63" t="s">
        <v>0</v>
      </c>
      <c r="P96" s="64">
        <f>'Dest Retail'!B45</f>
        <v>47</v>
      </c>
      <c r="Q96" s="65">
        <f>'Dest Retail'!C45</f>
        <v>11</v>
      </c>
      <c r="R96" s="66">
        <f>'Dest Retail'!D45</f>
        <v>58</v>
      </c>
      <c r="S96" s="67">
        <f>'Dest Retail'!E45</f>
        <v>92</v>
      </c>
      <c r="T96" s="65">
        <f>'Dest Retail'!F45</f>
        <v>85</v>
      </c>
      <c r="U96" s="68">
        <f>'Dest Retail'!G45</f>
        <v>177</v>
      </c>
      <c r="V96" s="64">
        <f>'Dest Retail'!H45</f>
        <v>92</v>
      </c>
      <c r="W96" s="65">
        <f>'Dest Retail'!I45</f>
        <v>85</v>
      </c>
      <c r="X96" s="66">
        <f>'Dest Retail'!J45</f>
        <v>177</v>
      </c>
      <c r="Y96" s="67">
        <f>'Dest Retail'!K45</f>
        <v>128</v>
      </c>
      <c r="Z96" s="65">
        <f>'Dest Retail'!L45</f>
        <v>125</v>
      </c>
      <c r="AA96" s="66">
        <f>'Dest Retail'!M45</f>
        <v>253</v>
      </c>
      <c r="AB96" s="98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</row>
    <row r="97" spans="1:42" x14ac:dyDescent="0.25">
      <c r="A97" s="86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8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</row>
    <row r="98" spans="1:42" x14ac:dyDescent="0.25">
      <c r="A98" s="86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</row>
    <row r="99" spans="1:42" ht="13.8" thickBot="1" x14ac:dyDescent="0.3">
      <c r="A99" s="12" t="s">
        <v>17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O99" s="12" t="s">
        <v>32</v>
      </c>
      <c r="AB99" s="171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</row>
    <row r="100" spans="1:42" x14ac:dyDescent="0.25">
      <c r="A100" s="186"/>
      <c r="B100" s="196" t="s">
        <v>7</v>
      </c>
      <c r="C100" s="195"/>
      <c r="D100" s="197"/>
      <c r="E100" s="195" t="s">
        <v>16</v>
      </c>
      <c r="F100" s="195"/>
      <c r="G100" s="195"/>
      <c r="H100" s="196" t="s">
        <v>9</v>
      </c>
      <c r="I100" s="195"/>
      <c r="J100" s="197"/>
      <c r="K100" s="196" t="s">
        <v>19</v>
      </c>
      <c r="L100" s="195"/>
      <c r="M100" s="197"/>
      <c r="O100" s="88"/>
      <c r="P100" s="212" t="s">
        <v>7</v>
      </c>
      <c r="Q100" s="213"/>
      <c r="R100" s="214"/>
      <c r="S100" s="209" t="s">
        <v>8</v>
      </c>
      <c r="T100" s="210"/>
      <c r="U100" s="211"/>
      <c r="V100" s="209" t="s">
        <v>9</v>
      </c>
      <c r="W100" s="210"/>
      <c r="X100" s="211"/>
      <c r="Y100" s="209" t="s">
        <v>19</v>
      </c>
      <c r="Z100" s="210"/>
      <c r="AA100" s="211"/>
      <c r="AB100" s="172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</row>
    <row r="101" spans="1:42" ht="13.8" thickBot="1" x14ac:dyDescent="0.3">
      <c r="A101" s="187"/>
      <c r="B101" s="5" t="s">
        <v>13</v>
      </c>
      <c r="C101" s="3" t="s">
        <v>14</v>
      </c>
      <c r="D101" s="6" t="s">
        <v>0</v>
      </c>
      <c r="E101" s="7" t="s">
        <v>13</v>
      </c>
      <c r="F101" s="3" t="s">
        <v>14</v>
      </c>
      <c r="G101" s="4" t="s">
        <v>0</v>
      </c>
      <c r="H101" s="5" t="s">
        <v>13</v>
      </c>
      <c r="I101" s="3" t="s">
        <v>14</v>
      </c>
      <c r="J101" s="6" t="s">
        <v>0</v>
      </c>
      <c r="K101" s="5" t="s">
        <v>13</v>
      </c>
      <c r="L101" s="3" t="s">
        <v>14</v>
      </c>
      <c r="M101" s="6" t="s">
        <v>0</v>
      </c>
      <c r="O101" s="89"/>
      <c r="P101" s="75" t="s">
        <v>13</v>
      </c>
      <c r="Q101" s="76" t="s">
        <v>14</v>
      </c>
      <c r="R101" s="77" t="s">
        <v>0</v>
      </c>
      <c r="S101" s="78" t="s">
        <v>13</v>
      </c>
      <c r="T101" s="76" t="s">
        <v>14</v>
      </c>
      <c r="U101" s="79" t="s">
        <v>0</v>
      </c>
      <c r="V101" s="75" t="s">
        <v>13</v>
      </c>
      <c r="W101" s="76" t="s">
        <v>14</v>
      </c>
      <c r="X101" s="77" t="s">
        <v>0</v>
      </c>
      <c r="Y101" s="78" t="s">
        <v>13</v>
      </c>
      <c r="Z101" s="76" t="s">
        <v>14</v>
      </c>
      <c r="AA101" s="77" t="s">
        <v>0</v>
      </c>
      <c r="AB101" s="179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</row>
    <row r="102" spans="1:42" x14ac:dyDescent="0.25">
      <c r="A102" s="83" t="s">
        <v>1</v>
      </c>
      <c r="B102" s="110">
        <f>B14+B25+B36+B47+B58+B69+B80+B91</f>
        <v>96</v>
      </c>
      <c r="C102" s="111">
        <f t="shared" ref="C102:C104" si="0">C14+C25+C36+C47+C58+C69+C80+C91</f>
        <v>104</v>
      </c>
      <c r="D102" s="112">
        <f>B102+C102</f>
        <v>200</v>
      </c>
      <c r="E102" s="113">
        <f t="shared" ref="E102:F102" si="1">E14+E25+E36+E47+E58+E69+E80+E91</f>
        <v>114</v>
      </c>
      <c r="F102" s="111">
        <f t="shared" si="1"/>
        <v>111</v>
      </c>
      <c r="G102" s="114">
        <f>E102+F102</f>
        <v>225</v>
      </c>
      <c r="H102" s="110">
        <f t="shared" ref="H102:I102" si="2">H14+H25+H36+H47+H58+H69+H80+H91</f>
        <v>171</v>
      </c>
      <c r="I102" s="111">
        <f t="shared" si="2"/>
        <v>158</v>
      </c>
      <c r="J102" s="112">
        <f>H102+I102</f>
        <v>329</v>
      </c>
      <c r="K102" s="110">
        <f t="shared" ref="K102:L102" si="3">K14+K25+K36+K47+K58+K69+K80+K91</f>
        <v>131</v>
      </c>
      <c r="L102" s="111">
        <f t="shared" si="3"/>
        <v>134</v>
      </c>
      <c r="M102" s="112">
        <f>K102+L102</f>
        <v>265</v>
      </c>
      <c r="O102" s="90" t="s">
        <v>1</v>
      </c>
      <c r="P102" s="130">
        <f t="shared" ref="P102:Q102" si="4">P14+P25+P36+P47+P58+P69+P80+P91</f>
        <v>131</v>
      </c>
      <c r="Q102" s="131">
        <f t="shared" si="4"/>
        <v>127</v>
      </c>
      <c r="R102" s="132">
        <f t="shared" ref="R102:R106" si="5">P102+Q102</f>
        <v>258</v>
      </c>
      <c r="S102" s="133">
        <f t="shared" ref="S102:T102" si="6">S14+S25+S36+S47+S58+S69+S80+S91</f>
        <v>159</v>
      </c>
      <c r="T102" s="131">
        <f t="shared" si="6"/>
        <v>154</v>
      </c>
      <c r="U102" s="134">
        <f t="shared" ref="U102:U106" si="7">S102+T102</f>
        <v>313</v>
      </c>
      <c r="V102" s="130">
        <f t="shared" ref="V102:W102" si="8">V14+V25+V36+V47+V58+V69+V80+V91</f>
        <v>227</v>
      </c>
      <c r="W102" s="131">
        <f t="shared" si="8"/>
        <v>215</v>
      </c>
      <c r="X102" s="135">
        <f t="shared" ref="X102:X106" si="9">V102+W102</f>
        <v>442</v>
      </c>
      <c r="Y102" s="133">
        <f t="shared" ref="Y102:Z102" si="10">Y14+Y25+Y36+Y47+Y58+Y69+Y80+Y91</f>
        <v>208</v>
      </c>
      <c r="Z102" s="131">
        <f t="shared" si="10"/>
        <v>220</v>
      </c>
      <c r="AA102" s="132">
        <f t="shared" ref="AA102:AA106" si="11">Y102+Z102</f>
        <v>428</v>
      </c>
      <c r="AB102" s="179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</row>
    <row r="103" spans="1:42" x14ac:dyDescent="0.25">
      <c r="A103" s="84" t="s">
        <v>2</v>
      </c>
      <c r="B103" s="115">
        <f t="shared" ref="B103" si="12">B15+B26+B37+B48+B59+B70+B81+B92</f>
        <v>8</v>
      </c>
      <c r="C103" s="116">
        <f t="shared" si="0"/>
        <v>8</v>
      </c>
      <c r="D103" s="117">
        <f t="shared" ref="D103:D104" si="13">B103+C103</f>
        <v>16</v>
      </c>
      <c r="E103" s="118">
        <f t="shared" ref="E103:F103" si="14">E15+E26+E37+E48+E59+E70+E81+E92</f>
        <v>20</v>
      </c>
      <c r="F103" s="116">
        <f t="shared" si="14"/>
        <v>19</v>
      </c>
      <c r="G103" s="119">
        <f t="shared" ref="G103" si="15">E103+F103</f>
        <v>39</v>
      </c>
      <c r="H103" s="115">
        <f t="shared" ref="H103:I103" si="16">H15+H26+H37+H48+H59+H70+H81+H92</f>
        <v>17</v>
      </c>
      <c r="I103" s="116">
        <f t="shared" si="16"/>
        <v>16</v>
      </c>
      <c r="J103" s="117">
        <f t="shared" ref="J103:J104" si="17">H103+I103</f>
        <v>33</v>
      </c>
      <c r="K103" s="115">
        <f t="shared" ref="K103:L103" si="18">K15+K26+K37+K48+K59+K70+K81+K92</f>
        <v>18</v>
      </c>
      <c r="L103" s="116">
        <f t="shared" si="18"/>
        <v>18</v>
      </c>
      <c r="M103" s="117">
        <f t="shared" ref="M103:M104" si="19">K103+L103</f>
        <v>36</v>
      </c>
      <c r="O103" s="91" t="s">
        <v>2</v>
      </c>
      <c r="P103" s="136">
        <f t="shared" ref="P103:Q103" si="20">P15+P26+P37+P48+P59+P70+P81+P92</f>
        <v>10</v>
      </c>
      <c r="Q103" s="137">
        <f t="shared" si="20"/>
        <v>10</v>
      </c>
      <c r="R103" s="138">
        <f t="shared" si="5"/>
        <v>20</v>
      </c>
      <c r="S103" s="133">
        <f t="shared" ref="S103:T103" si="21">S15+S26+S37+S48+S59+S70+S81+S92</f>
        <v>24</v>
      </c>
      <c r="T103" s="137">
        <f t="shared" si="21"/>
        <v>23</v>
      </c>
      <c r="U103" s="139">
        <f t="shared" si="7"/>
        <v>47</v>
      </c>
      <c r="V103" s="136">
        <f t="shared" ref="V103:W103" si="22">V15+V26+V37+V48+V59+V70+V81+V92</f>
        <v>23</v>
      </c>
      <c r="W103" s="137">
        <f t="shared" si="22"/>
        <v>21</v>
      </c>
      <c r="X103" s="138">
        <f t="shared" si="9"/>
        <v>44</v>
      </c>
      <c r="Y103" s="140">
        <f t="shared" ref="Y103:Z103" si="23">Y15+Y26+Y37+Y48+Y59+Y70+Y81+Y92</f>
        <v>26</v>
      </c>
      <c r="Z103" s="137">
        <f t="shared" si="23"/>
        <v>26</v>
      </c>
      <c r="AA103" s="138">
        <f t="shared" si="11"/>
        <v>52</v>
      </c>
      <c r="AB103" s="179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</row>
    <row r="104" spans="1:42" ht="13.8" thickBot="1" x14ac:dyDescent="0.3">
      <c r="A104" s="85" t="s">
        <v>15</v>
      </c>
      <c r="B104" s="120">
        <f t="shared" ref="B104" si="24">B16+B27+B38+B49+B60+B71+B82+B93</f>
        <v>5</v>
      </c>
      <c r="C104" s="121">
        <f t="shared" si="0"/>
        <v>5</v>
      </c>
      <c r="D104" s="122">
        <f t="shared" si="13"/>
        <v>10</v>
      </c>
      <c r="E104" s="123">
        <f t="shared" ref="E104:F104" si="25">E16+E27+E38+E49+E60+E71+E82+E93</f>
        <v>4</v>
      </c>
      <c r="F104" s="121">
        <f t="shared" si="25"/>
        <v>4</v>
      </c>
      <c r="G104" s="124">
        <f>E104+F104</f>
        <v>8</v>
      </c>
      <c r="H104" s="120">
        <f t="shared" ref="H104:I104" si="26">H16+H27+H38+H49+H60+H71+H82+H93</f>
        <v>1</v>
      </c>
      <c r="I104" s="121">
        <f t="shared" si="26"/>
        <v>1</v>
      </c>
      <c r="J104" s="122">
        <f t="shared" si="17"/>
        <v>2</v>
      </c>
      <c r="K104" s="120">
        <f t="shared" ref="K104:L104" si="27">K16+K27+K38+K49+K60+K71+K82+K93</f>
        <v>0</v>
      </c>
      <c r="L104" s="121">
        <f t="shared" si="27"/>
        <v>0</v>
      </c>
      <c r="M104" s="122">
        <f t="shared" si="19"/>
        <v>0</v>
      </c>
      <c r="O104" s="91" t="s">
        <v>3</v>
      </c>
      <c r="P104" s="136">
        <f t="shared" ref="P104:Q104" si="28">P16+P27+P38+P49+P60+P71+P82+P93</f>
        <v>89</v>
      </c>
      <c r="Q104" s="137">
        <f t="shared" si="28"/>
        <v>168</v>
      </c>
      <c r="R104" s="138">
        <f t="shared" si="5"/>
        <v>257</v>
      </c>
      <c r="S104" s="133">
        <f t="shared" ref="S104:T104" si="29">S16+S27+S38+S49+S60+S71+S82+S93</f>
        <v>147</v>
      </c>
      <c r="T104" s="137">
        <f t="shared" si="29"/>
        <v>147</v>
      </c>
      <c r="U104" s="139">
        <f t="shared" si="7"/>
        <v>294</v>
      </c>
      <c r="V104" s="136">
        <f t="shared" ref="V104:W104" si="30">V16+V27+V38+V49+V60+V71+V82+V93</f>
        <v>221</v>
      </c>
      <c r="W104" s="137">
        <f t="shared" si="30"/>
        <v>166</v>
      </c>
      <c r="X104" s="138">
        <f t="shared" si="9"/>
        <v>387</v>
      </c>
      <c r="Y104" s="140">
        <f t="shared" ref="Y104:Z104" si="31">Y16+Y27+Y38+Y49+Y60+Y71+Y82+Y93</f>
        <v>179</v>
      </c>
      <c r="Z104" s="137">
        <f t="shared" si="31"/>
        <v>188</v>
      </c>
      <c r="AA104" s="138">
        <f t="shared" si="11"/>
        <v>367</v>
      </c>
      <c r="AB104" s="179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</row>
    <row r="105" spans="1:42" ht="13.8" thickBot="1" x14ac:dyDescent="0.3">
      <c r="A105" s="13" t="s">
        <v>0</v>
      </c>
      <c r="B105" s="125">
        <f>SUM(B102:B104)</f>
        <v>109</v>
      </c>
      <c r="C105" s="126">
        <f t="shared" ref="C105" si="32">SUM(C102:C104)</f>
        <v>117</v>
      </c>
      <c r="D105" s="127">
        <f>B105+C105</f>
        <v>226</v>
      </c>
      <c r="E105" s="128">
        <f>SUM(E102:E104)</f>
        <v>138</v>
      </c>
      <c r="F105" s="126">
        <f t="shared" ref="F105" si="33">SUM(F102:F104)</f>
        <v>134</v>
      </c>
      <c r="G105" s="129">
        <f>E105+F105</f>
        <v>272</v>
      </c>
      <c r="H105" s="125">
        <f>SUM(H102:H104)</f>
        <v>189</v>
      </c>
      <c r="I105" s="126">
        <f t="shared" ref="I105" si="34">SUM(I102:I104)</f>
        <v>175</v>
      </c>
      <c r="J105" s="127">
        <f>H105+I105</f>
        <v>364</v>
      </c>
      <c r="K105" s="125">
        <f>SUM(K102:K104)</f>
        <v>149</v>
      </c>
      <c r="L105" s="126">
        <f t="shared" ref="L105" si="35">SUM(L102:L104)</f>
        <v>152</v>
      </c>
      <c r="M105" s="127">
        <f>K105+L105</f>
        <v>301</v>
      </c>
      <c r="O105" s="91" t="s">
        <v>4</v>
      </c>
      <c r="P105" s="136">
        <f t="shared" ref="P105:Q105" si="36">P17+P28+P39+P50+P61+P72+P83+P94</f>
        <v>152</v>
      </c>
      <c r="Q105" s="137">
        <f t="shared" si="36"/>
        <v>397</v>
      </c>
      <c r="R105" s="138">
        <f t="shared" si="5"/>
        <v>549</v>
      </c>
      <c r="S105" s="133">
        <f t="shared" ref="S105:T105" si="37">S17+S28+S39+S50+S61+S72+S83+S94</f>
        <v>217</v>
      </c>
      <c r="T105" s="137">
        <f t="shared" si="37"/>
        <v>215</v>
      </c>
      <c r="U105" s="139">
        <f t="shared" si="7"/>
        <v>432</v>
      </c>
      <c r="V105" s="136">
        <f t="shared" ref="V105:W105" si="38">V17+V28+V39+V50+V61+V72+V83+V94</f>
        <v>444</v>
      </c>
      <c r="W105" s="137">
        <f t="shared" si="38"/>
        <v>284</v>
      </c>
      <c r="X105" s="138">
        <f t="shared" si="9"/>
        <v>728</v>
      </c>
      <c r="Y105" s="140">
        <f t="shared" ref="Y105:Z105" si="39">Y17+Y28+Y39+Y50+Y61+Y72+Y83+Y94</f>
        <v>310</v>
      </c>
      <c r="Z105" s="137">
        <f t="shared" si="39"/>
        <v>327</v>
      </c>
      <c r="AA105" s="138">
        <f t="shared" si="11"/>
        <v>637</v>
      </c>
      <c r="AB105" s="179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</row>
    <row r="106" spans="1:42" ht="13.8" thickBot="1" x14ac:dyDescent="0.3">
      <c r="O106" s="92" t="s">
        <v>18</v>
      </c>
      <c r="P106" s="141">
        <f>P18+P29+P40+P51+P62+P73+P84+P95</f>
        <v>201</v>
      </c>
      <c r="Q106" s="142">
        <f t="shared" ref="Q106" si="40">Q18+Q29+Q40+Q51+Q62+Q73+Q84+Q95</f>
        <v>208</v>
      </c>
      <c r="R106" s="143">
        <f t="shared" si="5"/>
        <v>409</v>
      </c>
      <c r="S106" s="144">
        <f t="shared" ref="S106:T106" si="41">S18+S29+S40+S51+S62+S73+S84+S95</f>
        <v>576</v>
      </c>
      <c r="T106" s="142">
        <f t="shared" si="41"/>
        <v>598</v>
      </c>
      <c r="U106" s="145">
        <f t="shared" si="7"/>
        <v>1174</v>
      </c>
      <c r="V106" s="141">
        <f t="shared" ref="V106:W106" si="42">V18+V29+V40+V51+V62+V73+V84+V95</f>
        <v>480</v>
      </c>
      <c r="W106" s="142">
        <f t="shared" si="42"/>
        <v>440</v>
      </c>
      <c r="X106" s="143">
        <f t="shared" si="9"/>
        <v>920</v>
      </c>
      <c r="Y106" s="144">
        <f t="shared" ref="Y106:Z106" si="43">Y18+Y29+Y40+Y51+Y62+Y73+Y84+Y95</f>
        <v>519</v>
      </c>
      <c r="Z106" s="142">
        <f t="shared" si="43"/>
        <v>512</v>
      </c>
      <c r="AA106" s="143">
        <f t="shared" si="11"/>
        <v>1031</v>
      </c>
      <c r="AB106" s="179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</row>
    <row r="107" spans="1:42" ht="13.8" thickBot="1" x14ac:dyDescent="0.3">
      <c r="O107" s="93" t="s">
        <v>0</v>
      </c>
      <c r="P107" s="146">
        <f t="shared" ref="P107:AA107" si="44">SUM(P102:P106)</f>
        <v>583</v>
      </c>
      <c r="Q107" s="147">
        <f t="shared" si="44"/>
        <v>910</v>
      </c>
      <c r="R107" s="148">
        <f t="shared" si="44"/>
        <v>1493</v>
      </c>
      <c r="S107" s="149">
        <f t="shared" si="44"/>
        <v>1123</v>
      </c>
      <c r="T107" s="147">
        <f t="shared" si="44"/>
        <v>1137</v>
      </c>
      <c r="U107" s="150">
        <f t="shared" si="44"/>
        <v>2260</v>
      </c>
      <c r="V107" s="146">
        <f t="shared" si="44"/>
        <v>1395</v>
      </c>
      <c r="W107" s="147">
        <f t="shared" si="44"/>
        <v>1126</v>
      </c>
      <c r="X107" s="148">
        <f t="shared" si="44"/>
        <v>2521</v>
      </c>
      <c r="Y107" s="149">
        <f t="shared" si="44"/>
        <v>1242</v>
      </c>
      <c r="Z107" s="147">
        <f t="shared" si="44"/>
        <v>1273</v>
      </c>
      <c r="AA107" s="148">
        <f t="shared" si="44"/>
        <v>2515</v>
      </c>
      <c r="AB107" s="179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</row>
    <row r="108" spans="1:42" x14ac:dyDescent="0.25">
      <c r="R108" s="161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</row>
    <row r="109" spans="1:42" ht="13.8" thickBot="1" x14ac:dyDescent="0.3">
      <c r="A109" s="12" t="s">
        <v>17</v>
      </c>
      <c r="B109" s="12"/>
      <c r="C109" s="12"/>
      <c r="D109" s="12"/>
      <c r="E109" s="157">
        <v>0</v>
      </c>
      <c r="F109" s="12" t="s">
        <v>58</v>
      </c>
      <c r="G109" s="12"/>
      <c r="H109" s="12"/>
      <c r="I109" s="12"/>
      <c r="J109" s="12"/>
      <c r="K109" s="12"/>
      <c r="L109" s="12"/>
      <c r="M109" s="12"/>
      <c r="N109" s="95"/>
      <c r="O109" s="12" t="s">
        <v>32</v>
      </c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12" t="s">
        <v>85</v>
      </c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</row>
    <row r="110" spans="1:42" x14ac:dyDescent="0.25">
      <c r="A110" s="186"/>
      <c r="B110" s="196" t="s">
        <v>7</v>
      </c>
      <c r="C110" s="195"/>
      <c r="D110" s="197"/>
      <c r="E110" s="195" t="s">
        <v>16</v>
      </c>
      <c r="F110" s="195"/>
      <c r="G110" s="195"/>
      <c r="H110" s="196" t="s">
        <v>9</v>
      </c>
      <c r="I110" s="195"/>
      <c r="J110" s="197"/>
      <c r="K110" s="196" t="s">
        <v>19</v>
      </c>
      <c r="L110" s="195"/>
      <c r="M110" s="197"/>
      <c r="N110" s="95"/>
      <c r="O110" s="88"/>
      <c r="P110" s="212" t="s">
        <v>7</v>
      </c>
      <c r="Q110" s="213"/>
      <c r="R110" s="214"/>
      <c r="S110" s="209" t="s">
        <v>8</v>
      </c>
      <c r="T110" s="210"/>
      <c r="U110" s="211"/>
      <c r="V110" s="209" t="s">
        <v>9</v>
      </c>
      <c r="W110" s="210"/>
      <c r="X110" s="211"/>
      <c r="Y110" s="209" t="s">
        <v>19</v>
      </c>
      <c r="Z110" s="210"/>
      <c r="AA110" s="211"/>
      <c r="AB110" s="171"/>
      <c r="AC110" s="38"/>
      <c r="AD110" s="169" t="str">
        <f>P110</f>
        <v>AM</v>
      </c>
      <c r="AE110" s="168"/>
      <c r="AF110" s="170"/>
      <c r="AG110" s="169" t="str">
        <f>S110</f>
        <v>MD</v>
      </c>
      <c r="AH110" s="168"/>
      <c r="AI110" s="170"/>
      <c r="AJ110" s="169" t="str">
        <f>V110</f>
        <v>PM</v>
      </c>
      <c r="AK110" s="168"/>
      <c r="AL110" s="170"/>
      <c r="AM110" s="169" t="str">
        <f>Y110</f>
        <v>SAT</v>
      </c>
      <c r="AN110" s="168"/>
      <c r="AO110" s="170"/>
      <c r="AP110" s="95"/>
    </row>
    <row r="111" spans="1:42" ht="13.8" thickBot="1" x14ac:dyDescent="0.3">
      <c r="A111" s="187"/>
      <c r="B111" s="5" t="s">
        <v>13</v>
      </c>
      <c r="C111" s="3" t="s">
        <v>14</v>
      </c>
      <c r="D111" s="6" t="s">
        <v>0</v>
      </c>
      <c r="E111" s="7" t="s">
        <v>13</v>
      </c>
      <c r="F111" s="3" t="s">
        <v>14</v>
      </c>
      <c r="G111" s="4" t="s">
        <v>0</v>
      </c>
      <c r="H111" s="5" t="s">
        <v>13</v>
      </c>
      <c r="I111" s="3" t="s">
        <v>14</v>
      </c>
      <c r="J111" s="6" t="s">
        <v>0</v>
      </c>
      <c r="K111" s="5" t="s">
        <v>13</v>
      </c>
      <c r="L111" s="3" t="s">
        <v>14</v>
      </c>
      <c r="M111" s="6" t="s">
        <v>0</v>
      </c>
      <c r="N111" s="95"/>
      <c r="O111" s="89"/>
      <c r="P111" s="75" t="s">
        <v>13</v>
      </c>
      <c r="Q111" s="76" t="s">
        <v>14</v>
      </c>
      <c r="R111" s="77" t="s">
        <v>0</v>
      </c>
      <c r="S111" s="78" t="s">
        <v>13</v>
      </c>
      <c r="T111" s="76" t="s">
        <v>14</v>
      </c>
      <c r="U111" s="79" t="s">
        <v>0</v>
      </c>
      <c r="V111" s="75" t="s">
        <v>13</v>
      </c>
      <c r="W111" s="76" t="s">
        <v>14</v>
      </c>
      <c r="X111" s="77" t="s">
        <v>0</v>
      </c>
      <c r="Y111" s="78" t="s">
        <v>13</v>
      </c>
      <c r="Z111" s="76" t="s">
        <v>14</v>
      </c>
      <c r="AA111" s="77" t="s">
        <v>0</v>
      </c>
      <c r="AB111" s="172"/>
      <c r="AC111" s="39"/>
      <c r="AD111" s="75" t="s">
        <v>13</v>
      </c>
      <c r="AE111" s="76" t="s">
        <v>14</v>
      </c>
      <c r="AF111" s="77" t="s">
        <v>0</v>
      </c>
      <c r="AG111" s="78" t="s">
        <v>13</v>
      </c>
      <c r="AH111" s="76" t="s">
        <v>14</v>
      </c>
      <c r="AI111" s="79" t="s">
        <v>0</v>
      </c>
      <c r="AJ111" s="75" t="s">
        <v>13</v>
      </c>
      <c r="AK111" s="76" t="s">
        <v>14</v>
      </c>
      <c r="AL111" s="77" t="s">
        <v>0</v>
      </c>
      <c r="AM111" s="78" t="s">
        <v>13</v>
      </c>
      <c r="AN111" s="76" t="s">
        <v>14</v>
      </c>
      <c r="AO111" s="77" t="s">
        <v>0</v>
      </c>
      <c r="AP111" s="95"/>
    </row>
    <row r="112" spans="1:42" x14ac:dyDescent="0.25">
      <c r="A112" s="83" t="s">
        <v>1</v>
      </c>
      <c r="B112" s="110">
        <f>B102</f>
        <v>96</v>
      </c>
      <c r="C112" s="111">
        <f>C102</f>
        <v>104</v>
      </c>
      <c r="D112" s="112">
        <f>B112+C112</f>
        <v>200</v>
      </c>
      <c r="E112" s="113">
        <f>E102</f>
        <v>114</v>
      </c>
      <c r="F112" s="111">
        <f>F102</f>
        <v>111</v>
      </c>
      <c r="G112" s="114">
        <f>E112+F112</f>
        <v>225</v>
      </c>
      <c r="H112" s="110">
        <f>H102</f>
        <v>171</v>
      </c>
      <c r="I112" s="111">
        <f>I102</f>
        <v>158</v>
      </c>
      <c r="J112" s="112">
        <f>H112+I112</f>
        <v>329</v>
      </c>
      <c r="K112" s="110">
        <f>K102</f>
        <v>131</v>
      </c>
      <c r="L112" s="111">
        <f>L102</f>
        <v>134</v>
      </c>
      <c r="M112" s="112">
        <f>K112+L112</f>
        <v>265</v>
      </c>
      <c r="N112" s="95"/>
      <c r="O112" s="90" t="s">
        <v>1</v>
      </c>
      <c r="P112" s="130">
        <f t="shared" ref="P112:AA112" si="45">P102</f>
        <v>131</v>
      </c>
      <c r="Q112" s="131">
        <f t="shared" si="45"/>
        <v>127</v>
      </c>
      <c r="R112" s="132">
        <f t="shared" si="45"/>
        <v>258</v>
      </c>
      <c r="S112" s="133">
        <f t="shared" si="45"/>
        <v>159</v>
      </c>
      <c r="T112" s="131">
        <f t="shared" si="45"/>
        <v>154</v>
      </c>
      <c r="U112" s="134">
        <f t="shared" si="45"/>
        <v>313</v>
      </c>
      <c r="V112" s="130">
        <f t="shared" si="45"/>
        <v>227</v>
      </c>
      <c r="W112" s="131">
        <f t="shared" si="45"/>
        <v>215</v>
      </c>
      <c r="X112" s="135">
        <f t="shared" si="45"/>
        <v>442</v>
      </c>
      <c r="Y112" s="133">
        <f t="shared" si="45"/>
        <v>208</v>
      </c>
      <c r="Z112" s="131">
        <f t="shared" si="45"/>
        <v>220</v>
      </c>
      <c r="AA112" s="132">
        <f t="shared" si="45"/>
        <v>428</v>
      </c>
      <c r="AB112" s="179"/>
      <c r="AC112" s="45" t="s">
        <v>86</v>
      </c>
      <c r="AD112" s="46">
        <f>AD14+AD25+AD36+AD47+AD58+AD69+AD80+AD91</f>
        <v>16</v>
      </c>
      <c r="AE112" s="47">
        <f t="shared" ref="AE112:AO112" si="46">AE14+AE25+AE36+AE47+AE58+AE69+AE80+AE91</f>
        <v>16</v>
      </c>
      <c r="AF112" s="48">
        <f t="shared" si="46"/>
        <v>32</v>
      </c>
      <c r="AG112" s="49">
        <f t="shared" si="46"/>
        <v>39</v>
      </c>
      <c r="AH112" s="47">
        <f t="shared" si="46"/>
        <v>39</v>
      </c>
      <c r="AI112" s="50">
        <f t="shared" si="46"/>
        <v>78</v>
      </c>
      <c r="AJ112" s="46">
        <f t="shared" si="46"/>
        <v>33</v>
      </c>
      <c r="AK112" s="47">
        <f t="shared" si="46"/>
        <v>33</v>
      </c>
      <c r="AL112" s="81">
        <f t="shared" si="46"/>
        <v>66</v>
      </c>
      <c r="AM112" s="49">
        <f t="shared" si="46"/>
        <v>36</v>
      </c>
      <c r="AN112" s="47">
        <f t="shared" si="46"/>
        <v>36</v>
      </c>
      <c r="AO112" s="48">
        <f t="shared" si="46"/>
        <v>72</v>
      </c>
      <c r="AP112" s="95"/>
    </row>
    <row r="113" spans="1:42" ht="13.8" thickBot="1" x14ac:dyDescent="0.3">
      <c r="A113" s="84" t="s">
        <v>2</v>
      </c>
      <c r="B113" s="115">
        <f>IF(ROUND(B103*$E109,0)&lt;=C103,B103+C103-ROUND(B103*$E109,0),B103)</f>
        <v>16</v>
      </c>
      <c r="C113" s="116">
        <f>B113</f>
        <v>16</v>
      </c>
      <c r="D113" s="117">
        <f t="shared" ref="D113:D114" si="47">B113+C113</f>
        <v>32</v>
      </c>
      <c r="E113" s="118">
        <f>IF(ROUND(E103*$E109,0)&lt;=F103,E103+F103-ROUND(E103*$E109,0),E103)</f>
        <v>39</v>
      </c>
      <c r="F113" s="116">
        <f>E113</f>
        <v>39</v>
      </c>
      <c r="G113" s="119">
        <f t="shared" ref="G113:G114" si="48">E113+F113</f>
        <v>78</v>
      </c>
      <c r="H113" s="115">
        <f>IF(ROUND(H103*$E109,0)&lt;=I103,H103+I103-ROUND(H103*$E109,0),H103)</f>
        <v>33</v>
      </c>
      <c r="I113" s="116">
        <f>H113</f>
        <v>33</v>
      </c>
      <c r="J113" s="117">
        <f t="shared" ref="J113:J114" si="49">H113+I113</f>
        <v>66</v>
      </c>
      <c r="K113" s="115">
        <f>IF(ROUND(K103*$E109,0)&lt;=L103,K103+L103-ROUND(K103*$E109,0),K103)</f>
        <v>36</v>
      </c>
      <c r="L113" s="116">
        <f>K113</f>
        <v>36</v>
      </c>
      <c r="M113" s="117">
        <f t="shared" ref="M113:M114" si="50">K113+L113</f>
        <v>72</v>
      </c>
      <c r="N113" s="95"/>
      <c r="O113" s="91" t="s">
        <v>2</v>
      </c>
      <c r="P113" s="136">
        <f t="shared" ref="P113:AA113" si="51">P103</f>
        <v>10</v>
      </c>
      <c r="Q113" s="137">
        <f t="shared" si="51"/>
        <v>10</v>
      </c>
      <c r="R113" s="138">
        <f t="shared" si="51"/>
        <v>20</v>
      </c>
      <c r="S113" s="133">
        <f t="shared" si="51"/>
        <v>24</v>
      </c>
      <c r="T113" s="137">
        <f t="shared" si="51"/>
        <v>23</v>
      </c>
      <c r="U113" s="139">
        <f t="shared" si="51"/>
        <v>47</v>
      </c>
      <c r="V113" s="136">
        <f t="shared" si="51"/>
        <v>23</v>
      </c>
      <c r="W113" s="137">
        <f t="shared" si="51"/>
        <v>21</v>
      </c>
      <c r="X113" s="138">
        <f t="shared" si="51"/>
        <v>44</v>
      </c>
      <c r="Y113" s="140">
        <f t="shared" si="51"/>
        <v>26</v>
      </c>
      <c r="Z113" s="137">
        <f t="shared" si="51"/>
        <v>26</v>
      </c>
      <c r="AA113" s="138">
        <f t="shared" si="51"/>
        <v>52</v>
      </c>
      <c r="AB113" s="179"/>
      <c r="AC113" s="173" t="s">
        <v>87</v>
      </c>
      <c r="AD113" s="174">
        <f t="shared" ref="AD113:AO113" si="52">AD15+AD26+AD37+AD48+AD59+AD70+AD81+AD92</f>
        <v>16</v>
      </c>
      <c r="AE113" s="175">
        <f t="shared" si="52"/>
        <v>16</v>
      </c>
      <c r="AF113" s="176">
        <f t="shared" si="52"/>
        <v>32</v>
      </c>
      <c r="AG113" s="180">
        <f t="shared" si="52"/>
        <v>39</v>
      </c>
      <c r="AH113" s="181">
        <f t="shared" si="52"/>
        <v>39</v>
      </c>
      <c r="AI113" s="182">
        <f t="shared" si="52"/>
        <v>78</v>
      </c>
      <c r="AJ113" s="184">
        <f t="shared" si="52"/>
        <v>33</v>
      </c>
      <c r="AK113" s="181">
        <f t="shared" si="52"/>
        <v>33</v>
      </c>
      <c r="AL113" s="185">
        <f t="shared" si="52"/>
        <v>66</v>
      </c>
      <c r="AM113" s="177">
        <f t="shared" si="52"/>
        <v>36</v>
      </c>
      <c r="AN113" s="175">
        <f t="shared" si="52"/>
        <v>36</v>
      </c>
      <c r="AO113" s="176">
        <f t="shared" si="52"/>
        <v>72</v>
      </c>
      <c r="AP113" s="95"/>
    </row>
    <row r="114" spans="1:42" ht="13.8" thickBot="1" x14ac:dyDescent="0.3">
      <c r="A114" s="85" t="s">
        <v>15</v>
      </c>
      <c r="B114" s="120">
        <f>B104</f>
        <v>5</v>
      </c>
      <c r="C114" s="121">
        <f>C104</f>
        <v>5</v>
      </c>
      <c r="D114" s="122">
        <f t="shared" si="47"/>
        <v>10</v>
      </c>
      <c r="E114" s="123">
        <f>E104</f>
        <v>4</v>
      </c>
      <c r="F114" s="121">
        <f>F104</f>
        <v>4</v>
      </c>
      <c r="G114" s="124">
        <f t="shared" si="48"/>
        <v>8</v>
      </c>
      <c r="H114" s="120">
        <f>H104</f>
        <v>1</v>
      </c>
      <c r="I114" s="121">
        <f>I104</f>
        <v>1</v>
      </c>
      <c r="J114" s="122">
        <f t="shared" si="49"/>
        <v>2</v>
      </c>
      <c r="K114" s="120">
        <f>K104</f>
        <v>0</v>
      </c>
      <c r="L114" s="121">
        <f>L104</f>
        <v>0</v>
      </c>
      <c r="M114" s="122">
        <f t="shared" si="50"/>
        <v>0</v>
      </c>
      <c r="N114" s="95"/>
      <c r="O114" s="91" t="s">
        <v>3</v>
      </c>
      <c r="P114" s="136">
        <f t="shared" ref="P114:AA114" si="53">P104</f>
        <v>89</v>
      </c>
      <c r="Q114" s="137">
        <f t="shared" si="53"/>
        <v>168</v>
      </c>
      <c r="R114" s="138">
        <f t="shared" si="53"/>
        <v>257</v>
      </c>
      <c r="S114" s="133">
        <f t="shared" si="53"/>
        <v>147</v>
      </c>
      <c r="T114" s="137">
        <f t="shared" si="53"/>
        <v>147</v>
      </c>
      <c r="U114" s="139">
        <f t="shared" si="53"/>
        <v>294</v>
      </c>
      <c r="V114" s="136">
        <f t="shared" si="53"/>
        <v>221</v>
      </c>
      <c r="W114" s="137">
        <f t="shared" si="53"/>
        <v>166</v>
      </c>
      <c r="X114" s="138">
        <f t="shared" si="53"/>
        <v>387</v>
      </c>
      <c r="Y114" s="140">
        <f t="shared" si="53"/>
        <v>179</v>
      </c>
      <c r="Z114" s="137">
        <f t="shared" si="53"/>
        <v>188</v>
      </c>
      <c r="AA114" s="138">
        <f t="shared" si="53"/>
        <v>367</v>
      </c>
      <c r="AB114" s="179"/>
      <c r="AC114" s="95"/>
      <c r="AD114" s="95"/>
      <c r="AE114" s="95"/>
      <c r="AF114" s="183" t="str">
        <f>IF(D113=AF113,"","Check Balancing")</f>
        <v/>
      </c>
      <c r="AG114" s="95"/>
      <c r="AH114" s="95"/>
      <c r="AI114" s="183" t="str">
        <f>IF(G113=AI113,"","Check Balancing")</f>
        <v/>
      </c>
      <c r="AJ114" s="95"/>
      <c r="AK114" s="95"/>
      <c r="AL114" s="183" t="str">
        <f>IF(J113=AL113,"","Check Balancing")</f>
        <v/>
      </c>
      <c r="AM114" s="95"/>
      <c r="AN114" s="95"/>
      <c r="AO114" s="183" t="str">
        <f>IF(M113=AO113,"","Check Balancing")</f>
        <v/>
      </c>
      <c r="AP114" s="95"/>
    </row>
    <row r="115" spans="1:42" ht="13.8" thickBot="1" x14ac:dyDescent="0.3">
      <c r="A115" s="13" t="s">
        <v>0</v>
      </c>
      <c r="B115" s="125">
        <f>SUM(B112:B114)</f>
        <v>117</v>
      </c>
      <c r="C115" s="126">
        <f>SUM(C112:C114)</f>
        <v>125</v>
      </c>
      <c r="D115" s="127">
        <f>B115+C115</f>
        <v>242</v>
      </c>
      <c r="E115" s="128">
        <f>SUM(E112:E114)</f>
        <v>157</v>
      </c>
      <c r="F115" s="126">
        <f>SUM(F112:F114)</f>
        <v>154</v>
      </c>
      <c r="G115" s="129">
        <f>E115+F115</f>
        <v>311</v>
      </c>
      <c r="H115" s="125">
        <f>SUM(H112:H114)</f>
        <v>205</v>
      </c>
      <c r="I115" s="126">
        <f>SUM(I112:I114)</f>
        <v>192</v>
      </c>
      <c r="J115" s="127">
        <f>H115+I115</f>
        <v>397</v>
      </c>
      <c r="K115" s="125">
        <f>SUM(K112:K114)</f>
        <v>167</v>
      </c>
      <c r="L115" s="126">
        <f>SUM(L112:L114)</f>
        <v>170</v>
      </c>
      <c r="M115" s="127">
        <f>K115+L115</f>
        <v>337</v>
      </c>
      <c r="N115" s="95"/>
      <c r="O115" s="91" t="s">
        <v>4</v>
      </c>
      <c r="P115" s="136">
        <f t="shared" ref="P115:AA115" si="54">P105</f>
        <v>152</v>
      </c>
      <c r="Q115" s="137">
        <f t="shared" si="54"/>
        <v>397</v>
      </c>
      <c r="R115" s="138">
        <f t="shared" si="54"/>
        <v>549</v>
      </c>
      <c r="S115" s="133">
        <f t="shared" si="54"/>
        <v>217</v>
      </c>
      <c r="T115" s="137">
        <f t="shared" si="54"/>
        <v>215</v>
      </c>
      <c r="U115" s="139">
        <f t="shared" si="54"/>
        <v>432</v>
      </c>
      <c r="V115" s="136">
        <f t="shared" si="54"/>
        <v>444</v>
      </c>
      <c r="W115" s="137">
        <f t="shared" si="54"/>
        <v>284</v>
      </c>
      <c r="X115" s="138">
        <f t="shared" si="54"/>
        <v>728</v>
      </c>
      <c r="Y115" s="140">
        <f t="shared" si="54"/>
        <v>310</v>
      </c>
      <c r="Z115" s="137">
        <f t="shared" si="54"/>
        <v>327</v>
      </c>
      <c r="AA115" s="138">
        <f t="shared" si="54"/>
        <v>637</v>
      </c>
      <c r="AB115" s="179"/>
      <c r="AP115" s="95"/>
    </row>
    <row r="116" spans="1:42" ht="13.8" thickBot="1" x14ac:dyDescent="0.3">
      <c r="N116" s="95"/>
      <c r="O116" s="92" t="s">
        <v>18</v>
      </c>
      <c r="P116" s="141">
        <f t="shared" ref="P116:AA116" si="55">P106</f>
        <v>201</v>
      </c>
      <c r="Q116" s="142">
        <f t="shared" si="55"/>
        <v>208</v>
      </c>
      <c r="R116" s="143">
        <f t="shared" si="55"/>
        <v>409</v>
      </c>
      <c r="S116" s="144">
        <f t="shared" si="55"/>
        <v>576</v>
      </c>
      <c r="T116" s="142">
        <f t="shared" si="55"/>
        <v>598</v>
      </c>
      <c r="U116" s="145">
        <f t="shared" si="55"/>
        <v>1174</v>
      </c>
      <c r="V116" s="141">
        <f t="shared" si="55"/>
        <v>480</v>
      </c>
      <c r="W116" s="142">
        <f t="shared" si="55"/>
        <v>440</v>
      </c>
      <c r="X116" s="143">
        <f t="shared" si="55"/>
        <v>920</v>
      </c>
      <c r="Y116" s="144">
        <f t="shared" si="55"/>
        <v>519</v>
      </c>
      <c r="Z116" s="142">
        <f t="shared" si="55"/>
        <v>512</v>
      </c>
      <c r="AA116" s="143">
        <f t="shared" si="55"/>
        <v>1031</v>
      </c>
      <c r="AB116" s="179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</row>
    <row r="117" spans="1:42" ht="13.8" thickBot="1" x14ac:dyDescent="0.3">
      <c r="O117" s="93" t="s">
        <v>0</v>
      </c>
      <c r="P117" s="146">
        <f t="shared" ref="P117:AA117" si="56">P107</f>
        <v>583</v>
      </c>
      <c r="Q117" s="147">
        <f t="shared" si="56"/>
        <v>910</v>
      </c>
      <c r="R117" s="148">
        <f t="shared" si="56"/>
        <v>1493</v>
      </c>
      <c r="S117" s="149">
        <f t="shared" si="56"/>
        <v>1123</v>
      </c>
      <c r="T117" s="147">
        <f t="shared" si="56"/>
        <v>1137</v>
      </c>
      <c r="U117" s="150">
        <f t="shared" si="56"/>
        <v>2260</v>
      </c>
      <c r="V117" s="146">
        <f t="shared" si="56"/>
        <v>1395</v>
      </c>
      <c r="W117" s="147">
        <f t="shared" si="56"/>
        <v>1126</v>
      </c>
      <c r="X117" s="148">
        <f t="shared" si="56"/>
        <v>2521</v>
      </c>
      <c r="Y117" s="149">
        <f t="shared" si="56"/>
        <v>1242</v>
      </c>
      <c r="Z117" s="147">
        <f t="shared" si="56"/>
        <v>1273</v>
      </c>
      <c r="AA117" s="148">
        <f t="shared" si="56"/>
        <v>2515</v>
      </c>
      <c r="AB117" s="179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</row>
    <row r="118" spans="1:42" x14ac:dyDescent="0.25">
      <c r="AB118" s="179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</row>
    <row r="119" spans="1:42" x14ac:dyDescent="0.25">
      <c r="P119" s="161">
        <f>SUM(P114:P115)</f>
        <v>241</v>
      </c>
      <c r="Q119" s="1">
        <f t="shared" ref="Q119:AA119" si="57">SUM(Q114:Q115)</f>
        <v>565</v>
      </c>
      <c r="R119" s="1">
        <f t="shared" si="57"/>
        <v>806</v>
      </c>
      <c r="S119" s="1">
        <f t="shared" si="57"/>
        <v>364</v>
      </c>
      <c r="T119" s="1">
        <f t="shared" si="57"/>
        <v>362</v>
      </c>
      <c r="U119" s="1">
        <f t="shared" si="57"/>
        <v>726</v>
      </c>
      <c r="V119" s="1">
        <f t="shared" si="57"/>
        <v>665</v>
      </c>
      <c r="W119" s="1">
        <f t="shared" si="57"/>
        <v>450</v>
      </c>
      <c r="X119" s="1">
        <f t="shared" si="57"/>
        <v>1115</v>
      </c>
      <c r="Y119" s="1">
        <f t="shared" si="57"/>
        <v>489</v>
      </c>
      <c r="Z119" s="1">
        <f t="shared" si="57"/>
        <v>515</v>
      </c>
      <c r="AA119" s="1">
        <f t="shared" si="57"/>
        <v>1004</v>
      </c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</row>
    <row r="120" spans="1:42" x14ac:dyDescent="0.25">
      <c r="P120" s="161">
        <f t="shared" ref="P120:AA120" si="58">SUM(P114:P116)</f>
        <v>442</v>
      </c>
      <c r="Q120" s="1">
        <f t="shared" si="58"/>
        <v>773</v>
      </c>
      <c r="R120" s="1">
        <f t="shared" si="58"/>
        <v>1215</v>
      </c>
      <c r="S120" s="1">
        <f t="shared" si="58"/>
        <v>940</v>
      </c>
      <c r="T120" s="1">
        <f t="shared" si="58"/>
        <v>960</v>
      </c>
      <c r="U120" s="1">
        <f t="shared" si="58"/>
        <v>1900</v>
      </c>
      <c r="V120" s="1">
        <f t="shared" si="58"/>
        <v>1145</v>
      </c>
      <c r="W120" s="1">
        <f t="shared" si="58"/>
        <v>890</v>
      </c>
      <c r="X120" s="1">
        <f t="shared" si="58"/>
        <v>2035</v>
      </c>
      <c r="Y120" s="1">
        <f t="shared" si="58"/>
        <v>1008</v>
      </c>
      <c r="Z120" s="1">
        <f t="shared" si="58"/>
        <v>1027</v>
      </c>
      <c r="AA120" s="1">
        <f t="shared" si="58"/>
        <v>2035</v>
      </c>
    </row>
    <row r="123" spans="1:42" x14ac:dyDescent="0.25">
      <c r="O123" s="95" t="s">
        <v>89</v>
      </c>
      <c r="P123" s="161">
        <f>P115</f>
        <v>152</v>
      </c>
      <c r="Q123" s="1">
        <f>Q115</f>
        <v>397</v>
      </c>
      <c r="S123" s="1">
        <f t="shared" ref="S123:T123" si="59">S115</f>
        <v>217</v>
      </c>
      <c r="T123" s="1">
        <f t="shared" si="59"/>
        <v>215</v>
      </c>
      <c r="V123" s="1">
        <f t="shared" ref="V123:W123" si="60">V115</f>
        <v>444</v>
      </c>
      <c r="W123" s="1">
        <f t="shared" si="60"/>
        <v>284</v>
      </c>
      <c r="Y123" s="1">
        <f t="shared" ref="Y123:Z123" si="61">Y115</f>
        <v>310</v>
      </c>
      <c r="Z123" s="1">
        <f t="shared" si="61"/>
        <v>327</v>
      </c>
    </row>
    <row r="124" spans="1:42" x14ac:dyDescent="0.25">
      <c r="O124" s="95" t="s">
        <v>90</v>
      </c>
      <c r="P124" s="161">
        <f>P51+P95</f>
        <v>21</v>
      </c>
      <c r="Q124" s="1">
        <f>Q51+Q95</f>
        <v>3</v>
      </c>
      <c r="S124" s="1">
        <f>S51+S95</f>
        <v>35</v>
      </c>
      <c r="T124" s="1">
        <f>T51+T95</f>
        <v>33</v>
      </c>
      <c r="V124" s="1">
        <f>V51+V95</f>
        <v>36</v>
      </c>
      <c r="W124" s="1">
        <f>W51+W95</f>
        <v>38</v>
      </c>
      <c r="Y124" s="1">
        <f>Y51+Y95</f>
        <v>30</v>
      </c>
      <c r="Z124" s="1">
        <f>Z51+Z95</f>
        <v>41</v>
      </c>
    </row>
    <row r="125" spans="1:42" x14ac:dyDescent="0.25">
      <c r="O125" s="95" t="s">
        <v>91</v>
      </c>
      <c r="P125" s="161">
        <f>P29+P40+P62+P73</f>
        <v>158</v>
      </c>
      <c r="Q125" s="1">
        <f>Q29+Q40+Q62+Q73</f>
        <v>134</v>
      </c>
      <c r="S125" s="1">
        <f>S29+S40+S62+S73</f>
        <v>476</v>
      </c>
      <c r="T125" s="1">
        <f>T29+T40+T62+T73</f>
        <v>476</v>
      </c>
      <c r="V125" s="1">
        <f>V29+V40+V62+V73</f>
        <v>379</v>
      </c>
      <c r="W125" s="1">
        <f>W29+W40+W62+W73</f>
        <v>364</v>
      </c>
      <c r="Y125" s="1">
        <f>Y29+Y40+Y62+Y73</f>
        <v>447</v>
      </c>
      <c r="Z125" s="1">
        <f>Z29+Z40+Z62+Z73</f>
        <v>430</v>
      </c>
    </row>
    <row r="126" spans="1:42" x14ac:dyDescent="0.25">
      <c r="O126" s="95" t="s">
        <v>92</v>
      </c>
      <c r="P126" s="161">
        <f>P18</f>
        <v>13</v>
      </c>
      <c r="Q126" s="1">
        <f>Q18</f>
        <v>71</v>
      </c>
      <c r="S126" s="1">
        <f>S18</f>
        <v>21</v>
      </c>
      <c r="T126" s="1">
        <f>T18</f>
        <v>21</v>
      </c>
      <c r="V126" s="1">
        <f>V18</f>
        <v>64</v>
      </c>
      <c r="W126" s="1">
        <f>W18</f>
        <v>28</v>
      </c>
      <c r="Y126" s="1">
        <f>Y18</f>
        <v>40</v>
      </c>
      <c r="Z126" s="1">
        <f>Z18</f>
        <v>40</v>
      </c>
    </row>
    <row r="127" spans="1:42" x14ac:dyDescent="0.25">
      <c r="O127" s="95" t="s">
        <v>93</v>
      </c>
      <c r="P127" s="161">
        <f>P84</f>
        <v>9</v>
      </c>
      <c r="Q127" s="1">
        <f>Q84</f>
        <v>0</v>
      </c>
      <c r="S127" s="1">
        <f>S84</f>
        <v>44</v>
      </c>
      <c r="T127" s="1">
        <f>T84</f>
        <v>68</v>
      </c>
      <c r="V127" s="1">
        <f>V84</f>
        <v>1</v>
      </c>
      <c r="W127" s="1">
        <f>W84</f>
        <v>10</v>
      </c>
      <c r="Y127" s="1">
        <f>Y84</f>
        <v>2</v>
      </c>
      <c r="Z127" s="1">
        <f>Z84</f>
        <v>1</v>
      </c>
    </row>
    <row r="128" spans="1:42" x14ac:dyDescent="0.25">
      <c r="O128" s="95" t="s">
        <v>94</v>
      </c>
      <c r="P128" s="161">
        <f>P16</f>
        <v>27</v>
      </c>
      <c r="Q128" s="1">
        <f>Q16</f>
        <v>151</v>
      </c>
      <c r="S128" s="1">
        <f>S16</f>
        <v>44</v>
      </c>
      <c r="T128" s="1">
        <f>T16</f>
        <v>44</v>
      </c>
      <c r="V128" s="1">
        <f>V16</f>
        <v>136</v>
      </c>
      <c r="W128" s="1">
        <f>W16</f>
        <v>58</v>
      </c>
      <c r="Y128" s="1">
        <f>Y16</f>
        <v>84</v>
      </c>
      <c r="Z128" s="1">
        <f>Z16</f>
        <v>84</v>
      </c>
    </row>
    <row r="129" spans="15:27" x14ac:dyDescent="0.25">
      <c r="O129" s="95" t="s">
        <v>95</v>
      </c>
      <c r="P129" s="161">
        <f>P82</f>
        <v>20</v>
      </c>
      <c r="Q129" s="1">
        <f>Q82</f>
        <v>1</v>
      </c>
      <c r="S129" s="1">
        <f>S82</f>
        <v>3</v>
      </c>
      <c r="T129" s="1">
        <f>T82</f>
        <v>5</v>
      </c>
      <c r="V129" s="1">
        <f>V82</f>
        <v>1</v>
      </c>
      <c r="W129" s="1">
        <f>W82</f>
        <v>23</v>
      </c>
      <c r="Y129" s="1">
        <f>Y82</f>
        <v>4</v>
      </c>
      <c r="Z129" s="1">
        <f>Z82</f>
        <v>3</v>
      </c>
    </row>
    <row r="130" spans="15:27" x14ac:dyDescent="0.25">
      <c r="O130" s="95" t="s">
        <v>96</v>
      </c>
      <c r="P130" s="161">
        <f>P27+P38+P60+P71</f>
        <v>13</v>
      </c>
      <c r="Q130" s="1">
        <f>Q27+Q38+Q60+Q71</f>
        <v>11</v>
      </c>
      <c r="S130" s="1">
        <f>S27+S38+S60+S71</f>
        <v>52</v>
      </c>
      <c r="T130" s="1">
        <f>T27+T38+T60+T71</f>
        <v>52</v>
      </c>
      <c r="V130" s="1">
        <f>V27+V38+V60+V71</f>
        <v>35</v>
      </c>
      <c r="W130" s="1">
        <f>W27+W38+W60+W71</f>
        <v>34</v>
      </c>
      <c r="Y130" s="1">
        <f>Y27+Y38+Y60+Y71</f>
        <v>42</v>
      </c>
      <c r="Z130" s="1">
        <f>Z27+Z38+Z60+Z71</f>
        <v>41</v>
      </c>
    </row>
    <row r="131" spans="15:27" x14ac:dyDescent="0.25">
      <c r="O131" s="95" t="s">
        <v>97</v>
      </c>
      <c r="P131" s="161">
        <f>P49+P93</f>
        <v>29</v>
      </c>
      <c r="Q131" s="1">
        <f>Q49+Q93</f>
        <v>5</v>
      </c>
      <c r="S131" s="1">
        <f>S49+S93</f>
        <v>48</v>
      </c>
      <c r="T131" s="1">
        <f>T49+T93</f>
        <v>46</v>
      </c>
      <c r="V131" s="1">
        <f>V49+V93</f>
        <v>49</v>
      </c>
      <c r="W131" s="1">
        <f>W49+W93</f>
        <v>51</v>
      </c>
      <c r="Y131" s="1">
        <f>Y49+Y93</f>
        <v>49</v>
      </c>
      <c r="Z131" s="1">
        <f>Z49+Z93</f>
        <v>60</v>
      </c>
    </row>
    <row r="132" spans="15:27" x14ac:dyDescent="0.25">
      <c r="O132" s="95" t="s">
        <v>98</v>
      </c>
      <c r="P132" s="161">
        <f>P112</f>
        <v>131</v>
      </c>
      <c r="Q132" s="1">
        <f>Q112</f>
        <v>127</v>
      </c>
      <c r="S132" s="1">
        <f>S112</f>
        <v>159</v>
      </c>
      <c r="T132" s="1">
        <f>T112</f>
        <v>154</v>
      </c>
      <c r="V132" s="1">
        <f>V112</f>
        <v>227</v>
      </c>
      <c r="W132" s="1">
        <f>W112</f>
        <v>215</v>
      </c>
      <c r="Y132" s="1">
        <f>Y112</f>
        <v>208</v>
      </c>
      <c r="Z132" s="1">
        <f>Z112</f>
        <v>220</v>
      </c>
    </row>
    <row r="133" spans="15:27" x14ac:dyDescent="0.25">
      <c r="P133" s="161">
        <f>SUM(P123:P132)</f>
        <v>573</v>
      </c>
      <c r="Q133" s="1">
        <f>SUM(Q123:Q132)</f>
        <v>900</v>
      </c>
      <c r="R133" s="161">
        <f>SUM(P133:Q133)</f>
        <v>1473</v>
      </c>
      <c r="S133" s="1">
        <f>SUM(S123:S132)</f>
        <v>1099</v>
      </c>
      <c r="T133" s="1">
        <f>SUM(T123:T132)</f>
        <v>1114</v>
      </c>
      <c r="U133" s="1">
        <f>SUM(S133:T133)</f>
        <v>2213</v>
      </c>
      <c r="V133" s="1">
        <f>SUM(V123:V132)</f>
        <v>1372</v>
      </c>
      <c r="W133" s="1">
        <f>SUM(W123:W132)</f>
        <v>1105</v>
      </c>
      <c r="X133" s="1">
        <f>SUM(V133:W133)</f>
        <v>2477</v>
      </c>
      <c r="Y133" s="1">
        <f>SUM(Y123:Y132)</f>
        <v>1216</v>
      </c>
      <c r="Z133" s="1">
        <f>SUM(Z123:Z132)</f>
        <v>1247</v>
      </c>
      <c r="AA133" s="1">
        <f>SUM(Y133:Z133)</f>
        <v>2463</v>
      </c>
    </row>
  </sheetData>
  <mergeCells count="124">
    <mergeCell ref="Y100:AA100"/>
    <mergeCell ref="P100:R100"/>
    <mergeCell ref="S100:U100"/>
    <mergeCell ref="V100:X100"/>
    <mergeCell ref="P78:R78"/>
    <mergeCell ref="S89:U89"/>
    <mergeCell ref="V89:X89"/>
    <mergeCell ref="Y89:AA89"/>
    <mergeCell ref="A67:A68"/>
    <mergeCell ref="B67:D67"/>
    <mergeCell ref="E67:G67"/>
    <mergeCell ref="H67:J67"/>
    <mergeCell ref="K67:M67"/>
    <mergeCell ref="K78:M78"/>
    <mergeCell ref="A100:A101"/>
    <mergeCell ref="B100:D100"/>
    <mergeCell ref="E100:G100"/>
    <mergeCell ref="H100:J100"/>
    <mergeCell ref="K100:M100"/>
    <mergeCell ref="A89:A90"/>
    <mergeCell ref="A78:A79"/>
    <mergeCell ref="B78:D78"/>
    <mergeCell ref="E78:G78"/>
    <mergeCell ref="H78:J78"/>
    <mergeCell ref="A110:A111"/>
    <mergeCell ref="B110:D110"/>
    <mergeCell ref="E110:G110"/>
    <mergeCell ref="H110:J110"/>
    <mergeCell ref="K110:M110"/>
    <mergeCell ref="P110:R110"/>
    <mergeCell ref="S110:U110"/>
    <mergeCell ref="V110:X110"/>
    <mergeCell ref="Y110:AA110"/>
    <mergeCell ref="O11:S11"/>
    <mergeCell ref="A12:A13"/>
    <mergeCell ref="B12:D12"/>
    <mergeCell ref="E12:G12"/>
    <mergeCell ref="H12:J12"/>
    <mergeCell ref="K12:M12"/>
    <mergeCell ref="P12:R12"/>
    <mergeCell ref="S12:U12"/>
    <mergeCell ref="A56:A57"/>
    <mergeCell ref="B56:D56"/>
    <mergeCell ref="E56:G56"/>
    <mergeCell ref="H56:J56"/>
    <mergeCell ref="K56:M56"/>
    <mergeCell ref="A45:A46"/>
    <mergeCell ref="B45:D45"/>
    <mergeCell ref="E45:G45"/>
    <mergeCell ref="H45:J45"/>
    <mergeCell ref="K45:M45"/>
    <mergeCell ref="V12:X12"/>
    <mergeCell ref="Y12:AA12"/>
    <mergeCell ref="A34:A35"/>
    <mergeCell ref="B34:D34"/>
    <mergeCell ref="E34:G34"/>
    <mergeCell ref="H34:J34"/>
    <mergeCell ref="K34:M34"/>
    <mergeCell ref="A23:A24"/>
    <mergeCell ref="B23:D23"/>
    <mergeCell ref="E23:G23"/>
    <mergeCell ref="H23:J23"/>
    <mergeCell ref="K23:M23"/>
    <mergeCell ref="V34:X34"/>
    <mergeCell ref="Y34:AA34"/>
    <mergeCell ref="S23:U23"/>
    <mergeCell ref="B89:D89"/>
    <mergeCell ref="E89:G89"/>
    <mergeCell ref="H89:J89"/>
    <mergeCell ref="K89:M89"/>
    <mergeCell ref="P89:R89"/>
    <mergeCell ref="P23:R23"/>
    <mergeCell ref="Y56:AA56"/>
    <mergeCell ref="P67:R67"/>
    <mergeCell ref="S67:U67"/>
    <mergeCell ref="V67:X67"/>
    <mergeCell ref="O44:S44"/>
    <mergeCell ref="P45:R45"/>
    <mergeCell ref="S45:U45"/>
    <mergeCell ref="Y67:AA67"/>
    <mergeCell ref="V45:X45"/>
    <mergeCell ref="Y45:AA45"/>
    <mergeCell ref="S34:U34"/>
    <mergeCell ref="P56:R56"/>
    <mergeCell ref="S56:U56"/>
    <mergeCell ref="V56:X56"/>
    <mergeCell ref="P34:R34"/>
    <mergeCell ref="V23:X23"/>
    <mergeCell ref="S78:U78"/>
    <mergeCell ref="V78:X78"/>
    <mergeCell ref="AD78:AF78"/>
    <mergeCell ref="AG78:AI78"/>
    <mergeCell ref="AJ78:AL78"/>
    <mergeCell ref="AM78:AO78"/>
    <mergeCell ref="AD89:AF89"/>
    <mergeCell ref="AG89:AI89"/>
    <mergeCell ref="AJ89:AL89"/>
    <mergeCell ref="AM89:AO89"/>
    <mergeCell ref="Y23:AA23"/>
    <mergeCell ref="Y78:AA78"/>
    <mergeCell ref="AD45:AF45"/>
    <mergeCell ref="AG45:AI45"/>
    <mergeCell ref="AJ45:AL45"/>
    <mergeCell ref="AM45:AO45"/>
    <mergeCell ref="AD56:AF56"/>
    <mergeCell ref="AG56:AI56"/>
    <mergeCell ref="AJ56:AL56"/>
    <mergeCell ref="AM56:AO56"/>
    <mergeCell ref="AD67:AF67"/>
    <mergeCell ref="AG67:AI67"/>
    <mergeCell ref="AJ67:AL67"/>
    <mergeCell ref="AM67:AO67"/>
    <mergeCell ref="AD12:AF12"/>
    <mergeCell ref="AG12:AI12"/>
    <mergeCell ref="AJ12:AL12"/>
    <mergeCell ref="AM12:AO12"/>
    <mergeCell ref="AD23:AF23"/>
    <mergeCell ref="AG23:AI23"/>
    <mergeCell ref="AJ23:AL23"/>
    <mergeCell ref="AM23:AO23"/>
    <mergeCell ref="AD34:AF34"/>
    <mergeCell ref="AG34:AI34"/>
    <mergeCell ref="AJ34:AL34"/>
    <mergeCell ref="AM34:AO34"/>
  </mergeCells>
  <pageMargins left="0.7" right="0.7" top="0.75" bottom="0.75" header="0.3" footer="0.3"/>
  <pageSetup paperSize="195" scale="72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Residential</vt:lpstr>
      <vt:lpstr>Local Retail</vt:lpstr>
      <vt:lpstr>Food Store</vt:lpstr>
      <vt:lpstr>Medical Office</vt:lpstr>
      <vt:lpstr>Passive Space</vt:lpstr>
      <vt:lpstr>Active Space</vt:lpstr>
      <vt:lpstr>Office</vt:lpstr>
      <vt:lpstr>Dest Retail</vt:lpstr>
      <vt:lpstr> Trip Gen Summary Proposed</vt:lpstr>
      <vt:lpstr>Trip Linkage</vt:lpstr>
      <vt:lpstr>' Trip Gen Summary Proposed'!Print_Area</vt:lpstr>
      <vt:lpstr>'Active Space'!Print_Area</vt:lpstr>
      <vt:lpstr>'Dest Retail'!Print_Area</vt:lpstr>
      <vt:lpstr>'Food Store'!Print_Area</vt:lpstr>
      <vt:lpstr>'Local Retail'!Print_Area</vt:lpstr>
      <vt:lpstr>'Medical Office'!Print_Area</vt:lpstr>
      <vt:lpstr>Office!Print_Area</vt:lpstr>
      <vt:lpstr>'Passive Space'!Print_Area</vt:lpstr>
      <vt:lpstr>Residential!Print_Area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Bernstein, Noah</dc:creator>
  <cp:lastModifiedBy>Yeung, Alfred</cp:lastModifiedBy>
  <cp:lastPrinted>2016-01-26T23:32:11Z</cp:lastPrinted>
  <dcterms:created xsi:type="dcterms:W3CDTF">2011-11-01T17:25:57Z</dcterms:created>
  <dcterms:modified xsi:type="dcterms:W3CDTF">2016-09-09T20:59:27Z</dcterms:modified>
</cp:coreProperties>
</file>