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Allfunds_CB\testing\"/>
    </mc:Choice>
  </mc:AlternateContent>
  <xr:revisionPtr revIDLastSave="0" documentId="13_ncr:1_{3FEC37E0-A568-495C-9447-04A0142A2423}" xr6:coauthVersionLast="47" xr6:coauthVersionMax="47" xr10:uidLastSave="{00000000-0000-0000-0000-000000000000}"/>
  <bookViews>
    <workbookView xWindow="-90" yWindow="-16320" windowWidth="29040" windowHeight="15720" xr2:uid="{00000000-000D-0000-FFFF-FFFF00000000}"/>
  </bookViews>
  <sheets>
    <sheet name="Gastos_2025" sheetId="2" r:id="rId1"/>
    <sheet name="Allfunds" sheetId="16" r:id="rId2"/>
    <sheet name="Comparativa" sheetId="15" r:id="rId3"/>
    <sheet name="Regalitos" sheetId="14" r:id="rId4"/>
    <sheet name="Gastos multas 2020" sheetId="12" r:id="rId5"/>
    <sheet name="Gastos_Cris" sheetId="11" r:id="rId6"/>
    <sheet name="Pan" sheetId="9" state="hidden" r:id="rId7"/>
    <sheet name="Gastos_Lexus_Leasing" sheetId="4" r:id="rId8"/>
    <sheet name="Tablas" sheetId="7" r:id="rId9"/>
    <sheet name="Gastos_hipoteca_old" sheetId="8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B2" i="2" l="1"/>
  <c r="C18" i="2"/>
  <c r="C17" i="2"/>
  <c r="B36" i="2"/>
  <c r="B38" i="2"/>
  <c r="B15" i="2"/>
  <c r="B16" i="2" l="1"/>
  <c r="B17" i="2" l="1"/>
  <c r="C32" i="2"/>
  <c r="C31" i="2"/>
  <c r="B18" i="2"/>
  <c r="B40" i="16"/>
  <c r="B34" i="16"/>
  <c r="F9" i="14"/>
  <c r="B38" i="16"/>
  <c r="B37" i="16"/>
  <c r="B36" i="16"/>
  <c r="E4" i="16"/>
  <c r="E13" i="16"/>
  <c r="E12" i="16"/>
  <c r="E11" i="16"/>
  <c r="B18" i="16" s="1"/>
  <c r="B27" i="16"/>
  <c r="E3" i="16"/>
  <c r="E2" i="16"/>
  <c r="B163" i="2"/>
  <c r="C42" i="2" s="1"/>
  <c r="C33" i="2"/>
  <c r="B33" i="2" s="1"/>
  <c r="B14" i="2"/>
  <c r="C29" i="2"/>
  <c r="B8" i="16" l="1"/>
  <c r="E8" i="16" s="1"/>
  <c r="B7" i="16"/>
  <c r="E7" i="16" s="1"/>
  <c r="B9" i="16"/>
  <c r="E9" i="16" s="1"/>
  <c r="B14" i="16"/>
  <c r="E14" i="16" s="1"/>
  <c r="B16" i="16"/>
  <c r="E16" i="16" s="1"/>
  <c r="B15" i="16"/>
  <c r="E15" i="16" s="1"/>
  <c r="B19" i="16"/>
  <c r="B6" i="16"/>
  <c r="E6" i="16" s="1"/>
  <c r="E20" i="16" s="1"/>
  <c r="B5" i="16"/>
  <c r="E5" i="16" s="1"/>
  <c r="B10" i="16"/>
  <c r="E10" i="16" s="1"/>
  <c r="B17" i="16"/>
  <c r="E18" i="16"/>
  <c r="E17" i="16"/>
  <c r="E19" i="16"/>
  <c r="B25" i="16"/>
  <c r="C43" i="2"/>
  <c r="E141" i="2" l="1"/>
  <c r="A20" i="15"/>
  <c r="O2" i="15"/>
  <c r="L3" i="15"/>
  <c r="C3" i="15"/>
  <c r="O3" i="15" s="1"/>
  <c r="C2" i="15"/>
  <c r="I3" i="15"/>
  <c r="J3" i="15" s="1"/>
  <c r="I2" i="15"/>
  <c r="B16" i="15"/>
  <c r="B14" i="15"/>
  <c r="G3" i="15"/>
  <c r="E2" i="15"/>
  <c r="G2" i="15" s="1"/>
  <c r="L2" i="15"/>
  <c r="C30" i="2"/>
  <c r="H2" i="15" l="1"/>
  <c r="H3" i="15"/>
  <c r="M3" i="15" s="1"/>
  <c r="B10" i="15" s="1"/>
  <c r="J2" i="15"/>
  <c r="B90" i="4"/>
  <c r="E140" i="2"/>
  <c r="M2" i="15" l="1"/>
  <c r="B9" i="15" s="1"/>
  <c r="C9" i="15" s="1"/>
  <c r="C10" i="15"/>
  <c r="B6" i="15"/>
  <c r="B88" i="4" l="1"/>
  <c r="B91" i="4" s="1"/>
  <c r="B118" i="2"/>
  <c r="B117" i="2"/>
  <c r="B50" i="2"/>
  <c r="B119" i="2" l="1"/>
  <c r="B24" i="11"/>
  <c r="B27" i="11" s="1"/>
  <c r="B28" i="11" s="1"/>
  <c r="B1" i="11" s="1"/>
  <c r="B2" i="11"/>
  <c r="B26" i="11"/>
  <c r="B28" i="2" l="1"/>
  <c r="C40" i="2" l="1"/>
  <c r="C41" i="2" l="1"/>
  <c r="E139" i="2"/>
  <c r="B34" i="2" s="1"/>
  <c r="B121" i="2" l="1"/>
  <c r="B120" i="2" l="1"/>
  <c r="E138" i="2" l="1"/>
  <c r="E137" i="2"/>
  <c r="A50" i="2"/>
  <c r="E136" i="2" l="1"/>
  <c r="B13" i="2"/>
  <c r="B8" i="12" l="1"/>
  <c r="B2" i="12"/>
  <c r="B5" i="12" s="1"/>
  <c r="B12" i="12" l="1"/>
  <c r="B7" i="11"/>
  <c r="B13" i="11"/>
  <c r="B12" i="11"/>
  <c r="B143" i="2"/>
  <c r="B35" i="2" s="1"/>
  <c r="E135" i="2"/>
  <c r="D134" i="2"/>
  <c r="E134" i="2" s="1"/>
  <c r="E133" i="2"/>
  <c r="B157" i="2"/>
  <c r="B158" i="2" s="1"/>
  <c r="E132" i="2"/>
  <c r="E131" i="2"/>
  <c r="E130" i="2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B2" i="7"/>
  <c r="B13" i="7" s="1"/>
  <c r="C25" i="2"/>
  <c r="B26" i="7"/>
  <c r="B1" i="7"/>
  <c r="B11" i="7" s="1"/>
  <c r="B12" i="7" s="1"/>
  <c r="B20" i="7"/>
  <c r="C33" i="9"/>
  <c r="C37" i="9" s="1"/>
  <c r="C6" i="7"/>
  <c r="U6" i="8"/>
  <c r="M6" i="8" s="1"/>
  <c r="P6" i="8"/>
  <c r="L6" i="8" s="1"/>
  <c r="H6" i="8"/>
  <c r="E6" i="8"/>
  <c r="D6" i="8"/>
  <c r="C6" i="8"/>
  <c r="G6" i="8" s="1"/>
  <c r="U5" i="8"/>
  <c r="M5" i="8" s="1"/>
  <c r="P5" i="8"/>
  <c r="L5" i="8"/>
  <c r="H5" i="8"/>
  <c r="E5" i="8"/>
  <c r="D5" i="8"/>
  <c r="C5" i="8"/>
  <c r="G5" i="8" s="1"/>
  <c r="U3" i="8"/>
  <c r="M3" i="8" s="1"/>
  <c r="P3" i="8"/>
  <c r="L3" i="8"/>
  <c r="H3" i="8"/>
  <c r="E3" i="8"/>
  <c r="D3" i="8"/>
  <c r="G3" i="8" s="1"/>
  <c r="U2" i="8"/>
  <c r="M2" i="8" s="1"/>
  <c r="P2" i="8"/>
  <c r="L2" i="8"/>
  <c r="H2" i="8"/>
  <c r="E2" i="8"/>
  <c r="D2" i="8"/>
  <c r="G2" i="8" s="1"/>
  <c r="C85" i="4"/>
  <c r="D85" i="4" s="1"/>
  <c r="F85" i="4" s="1"/>
  <c r="C84" i="4"/>
  <c r="D84" i="4" s="1"/>
  <c r="F84" i="4" s="1"/>
  <c r="C83" i="4"/>
  <c r="E83" i="4" s="1"/>
  <c r="C82" i="4"/>
  <c r="E82" i="4" s="1"/>
  <c r="C81" i="4"/>
  <c r="E81" i="4"/>
  <c r="C80" i="4"/>
  <c r="E80" i="4" s="1"/>
  <c r="C79" i="4"/>
  <c r="E79" i="4"/>
  <c r="C78" i="4"/>
  <c r="D78" i="4" s="1"/>
  <c r="F78" i="4" s="1"/>
  <c r="C77" i="4"/>
  <c r="E77" i="4" s="1"/>
  <c r="C76" i="4"/>
  <c r="D76" i="4"/>
  <c r="F76" i="4" s="1"/>
  <c r="C75" i="4"/>
  <c r="D75" i="4" s="1"/>
  <c r="F75" i="4" s="1"/>
  <c r="C74" i="4"/>
  <c r="E74" i="4" s="1"/>
  <c r="C73" i="4"/>
  <c r="D73" i="4" s="1"/>
  <c r="F73" i="4" s="1"/>
  <c r="E73" i="4"/>
  <c r="C72" i="4"/>
  <c r="D72" i="4" s="1"/>
  <c r="F72" i="4" s="1"/>
  <c r="C71" i="4"/>
  <c r="E71" i="4" s="1"/>
  <c r="C70" i="4"/>
  <c r="E70" i="4" s="1"/>
  <c r="C69" i="4"/>
  <c r="E69" i="4"/>
  <c r="C68" i="4"/>
  <c r="D68" i="4" s="1"/>
  <c r="F68" i="4" s="1"/>
  <c r="C67" i="4"/>
  <c r="E67" i="4"/>
  <c r="C66" i="4"/>
  <c r="D66" i="4" s="1"/>
  <c r="F66" i="4" s="1"/>
  <c r="C65" i="4"/>
  <c r="E65" i="4" s="1"/>
  <c r="C64" i="4"/>
  <c r="D64" i="4" s="1"/>
  <c r="F64" i="4" s="1"/>
  <c r="E64" i="4"/>
  <c r="C63" i="4"/>
  <c r="D63" i="4" s="1"/>
  <c r="F63" i="4" s="1"/>
  <c r="E63" i="4"/>
  <c r="C62" i="4"/>
  <c r="E62" i="4" s="1"/>
  <c r="C61" i="4"/>
  <c r="E61" i="4" s="1"/>
  <c r="C60" i="4"/>
  <c r="D60" i="4"/>
  <c r="F60" i="4" s="1"/>
  <c r="C59" i="4"/>
  <c r="E59" i="4" s="1"/>
  <c r="C58" i="4"/>
  <c r="D58" i="4" s="1"/>
  <c r="F58" i="4" s="1"/>
  <c r="C57" i="4"/>
  <c r="E57" i="4" s="1"/>
  <c r="C56" i="4"/>
  <c r="E56" i="4" s="1"/>
  <c r="D56" i="4"/>
  <c r="F56" i="4"/>
  <c r="C55" i="4"/>
  <c r="E55" i="4" s="1"/>
  <c r="C54" i="4"/>
  <c r="E54" i="4" s="1"/>
  <c r="C53" i="4"/>
  <c r="E53" i="4"/>
  <c r="C52" i="4"/>
  <c r="D52" i="4" s="1"/>
  <c r="F52" i="4" s="1"/>
  <c r="C51" i="4"/>
  <c r="D51" i="4" s="1"/>
  <c r="F51" i="4" s="1"/>
  <c r="C50" i="4"/>
  <c r="D50" i="4" s="1"/>
  <c r="F50" i="4" s="1"/>
  <c r="C49" i="4"/>
  <c r="D49" i="4" s="1"/>
  <c r="F49" i="4" s="1"/>
  <c r="E49" i="4"/>
  <c r="C48" i="4"/>
  <c r="E48" i="4" s="1"/>
  <c r="C47" i="4"/>
  <c r="D47" i="4" s="1"/>
  <c r="F47" i="4" s="1"/>
  <c r="E47" i="4"/>
  <c r="C46" i="4"/>
  <c r="E46" i="4" s="1"/>
  <c r="C45" i="4"/>
  <c r="E45" i="4" s="1"/>
  <c r="C44" i="4"/>
  <c r="D44" i="4" s="1"/>
  <c r="F44" i="4" s="1"/>
  <c r="C43" i="4"/>
  <c r="E43" i="4" s="1"/>
  <c r="C42" i="4"/>
  <c r="E42" i="4"/>
  <c r="C41" i="4"/>
  <c r="D41" i="4" s="1"/>
  <c r="F41" i="4" s="1"/>
  <c r="C40" i="4"/>
  <c r="D40" i="4"/>
  <c r="F40" i="4"/>
  <c r="C39" i="4"/>
  <c r="E39" i="4" s="1"/>
  <c r="C38" i="4"/>
  <c r="E38" i="4" s="1"/>
  <c r="C37" i="4"/>
  <c r="E37" i="4" s="1"/>
  <c r="C36" i="4"/>
  <c r="D36" i="4"/>
  <c r="F36" i="4" s="1"/>
  <c r="C35" i="4"/>
  <c r="D35" i="4" s="1"/>
  <c r="F35" i="4" s="1"/>
  <c r="C34" i="4"/>
  <c r="D34" i="4" s="1"/>
  <c r="F34" i="4" s="1"/>
  <c r="C33" i="4"/>
  <c r="E33" i="4" s="1"/>
  <c r="C32" i="4"/>
  <c r="E32" i="4"/>
  <c r="C31" i="4"/>
  <c r="D31" i="4" s="1"/>
  <c r="F31" i="4" s="1"/>
  <c r="E31" i="4"/>
  <c r="C30" i="4"/>
  <c r="E30" i="4" s="1"/>
  <c r="C29" i="4"/>
  <c r="E29" i="4" s="1"/>
  <c r="C28" i="4"/>
  <c r="D28" i="4"/>
  <c r="F28" i="4"/>
  <c r="C27" i="4"/>
  <c r="E27" i="4" s="1"/>
  <c r="C26" i="4"/>
  <c r="E26" i="4" s="1"/>
  <c r="D26" i="4"/>
  <c r="F26" i="4" s="1"/>
  <c r="C25" i="4"/>
  <c r="E25" i="4"/>
  <c r="C24" i="4"/>
  <c r="D24" i="4" s="1"/>
  <c r="F24" i="4" s="1"/>
  <c r="E24" i="4"/>
  <c r="C23" i="4"/>
  <c r="D23" i="4" s="1"/>
  <c r="F23" i="4" s="1"/>
  <c r="E23" i="4"/>
  <c r="C22" i="4"/>
  <c r="E22" i="4" s="1"/>
  <c r="C21" i="4"/>
  <c r="D21" i="4"/>
  <c r="F21" i="4" s="1"/>
  <c r="C20" i="4"/>
  <c r="D20" i="4" s="1"/>
  <c r="F20" i="4" s="1"/>
  <c r="C19" i="4"/>
  <c r="D19" i="4" s="1"/>
  <c r="F19" i="4" s="1"/>
  <c r="C18" i="4"/>
  <c r="D18" i="4"/>
  <c r="F18" i="4" s="1"/>
  <c r="C17" i="4"/>
  <c r="D17" i="4" s="1"/>
  <c r="F17" i="4" s="1"/>
  <c r="E17" i="4"/>
  <c r="C16" i="4"/>
  <c r="D16" i="4" s="1"/>
  <c r="F16" i="4" s="1"/>
  <c r="C15" i="4"/>
  <c r="E15" i="4" s="1"/>
  <c r="D15" i="4"/>
  <c r="F15" i="4" s="1"/>
  <c r="C14" i="4"/>
  <c r="D14" i="4" s="1"/>
  <c r="F14" i="4" s="1"/>
  <c r="C13" i="4"/>
  <c r="E2" i="4"/>
  <c r="F2" i="4" s="1"/>
  <c r="D2" i="4"/>
  <c r="D62" i="4"/>
  <c r="F62" i="4"/>
  <c r="D80" i="4"/>
  <c r="F80" i="4"/>
  <c r="E76" i="4"/>
  <c r="D53" i="4"/>
  <c r="F53" i="4" s="1"/>
  <c r="E36" i="4"/>
  <c r="E68" i="4"/>
  <c r="D42" i="4"/>
  <c r="F42" i="4"/>
  <c r="D79" i="4"/>
  <c r="F79" i="4"/>
  <c r="E60" i="4"/>
  <c r="D83" i="4"/>
  <c r="F83" i="4"/>
  <c r="D29" i="4"/>
  <c r="F29" i="4" s="1"/>
  <c r="D25" i="4"/>
  <c r="F25" i="4"/>
  <c r="E21" i="4"/>
  <c r="D54" i="4"/>
  <c r="F54" i="4" s="1"/>
  <c r="D45" i="4"/>
  <c r="F45" i="4"/>
  <c r="D81" i="4"/>
  <c r="F81" i="4" s="1"/>
  <c r="E18" i="4"/>
  <c r="D46" i="4"/>
  <c r="F46" i="4" s="1"/>
  <c r="D69" i="4"/>
  <c r="F69" i="4" s="1"/>
  <c r="E35" i="4"/>
  <c r="E40" i="4"/>
  <c r="E75" i="4"/>
  <c r="D37" i="4"/>
  <c r="F37" i="4" s="1"/>
  <c r="E28" i="4"/>
  <c r="D67" i="4"/>
  <c r="F67" i="4"/>
  <c r="D82" i="4"/>
  <c r="F82" i="4" s="1"/>
  <c r="D32" i="4"/>
  <c r="F32" i="4" s="1"/>
  <c r="E20" i="4"/>
  <c r="D30" i="4" l="1"/>
  <c r="F30" i="4" s="1"/>
  <c r="E41" i="4"/>
  <c r="E58" i="4"/>
  <c r="E66" i="4"/>
  <c r="F2" i="8"/>
  <c r="D55" i="4"/>
  <c r="F55" i="4" s="1"/>
  <c r="E51" i="4"/>
  <c r="E52" i="4"/>
  <c r="F5" i="8"/>
  <c r="H2" i="4"/>
  <c r="L2" i="4" s="1"/>
  <c r="M2" i="4" s="1"/>
  <c r="C88" i="4"/>
  <c r="E85" i="4"/>
  <c r="E78" i="4"/>
  <c r="D71" i="4"/>
  <c r="F71" i="4" s="1"/>
  <c r="F3" i="8"/>
  <c r="D39" i="4"/>
  <c r="F39" i="4" s="1"/>
  <c r="E34" i="4"/>
  <c r="D48" i="4"/>
  <c r="F48" i="4" s="1"/>
  <c r="D38" i="4"/>
  <c r="F38" i="4" s="1"/>
  <c r="B9" i="11"/>
  <c r="B18" i="11" s="1"/>
  <c r="B46" i="2"/>
  <c r="B48" i="2" s="1"/>
  <c r="G2" i="4"/>
  <c r="K2" i="4"/>
  <c r="F6" i="8"/>
  <c r="E19" i="4"/>
  <c r="D59" i="4"/>
  <c r="F59" i="4" s="1"/>
  <c r="D22" i="4"/>
  <c r="F22" i="4" s="1"/>
  <c r="D13" i="4"/>
  <c r="D88" i="4" s="1"/>
  <c r="D77" i="4"/>
  <c r="F77" i="4" s="1"/>
  <c r="E14" i="4"/>
  <c r="D57" i="4"/>
  <c r="F57" i="4" s="1"/>
  <c r="D43" i="4"/>
  <c r="F43" i="4" s="1"/>
  <c r="E72" i="4"/>
  <c r="E88" i="4"/>
  <c r="E50" i="4"/>
  <c r="D65" i="4"/>
  <c r="F65" i="4" s="1"/>
  <c r="D61" i="4"/>
  <c r="F61" i="4" s="1"/>
  <c r="E44" i="4"/>
  <c r="D27" i="4"/>
  <c r="F27" i="4" s="1"/>
  <c r="D33" i="4"/>
  <c r="F33" i="4" s="1"/>
  <c r="E13" i="4"/>
  <c r="E16" i="4"/>
  <c r="D74" i="4"/>
  <c r="F74" i="4" s="1"/>
  <c r="E84" i="4"/>
  <c r="D70" i="4"/>
  <c r="F70" i="4" s="1"/>
  <c r="B51" i="2"/>
  <c r="B52" i="2" s="1"/>
  <c r="B115" i="2" s="1"/>
  <c r="C119" i="2"/>
  <c r="B159" i="2"/>
  <c r="B160" i="2"/>
  <c r="C46" i="2"/>
  <c r="B17" i="11" l="1"/>
  <c r="I2" i="4"/>
  <c r="J2" i="4"/>
  <c r="F13" i="4"/>
  <c r="B1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Charly</author>
    <author>Charly B</author>
    <author>tc={16A2CD11-91B5-4ED0-A53A-C59456EFB1B2}</author>
    <author>tc={63F0D1F1-B9A3-4C41-94E3-919EA4B3D465}</author>
    <author>tc={D239227B-ECE8-4B4D-8CA5-CD85225F55F6}</author>
    <author>tc={36D9CB0B-B078-42C1-AA1D-DCFDD2515750}</author>
    <author>tc={6B1573CA-7DB3-4CFC-8EE8-E90A359009E4}</author>
    <author>tc={5AE7D469-F209-45F7-9CEF-DC168E80F1EF}</author>
    <author>tc={1FD83A3F-4D00-4720-B574-BF1207731575}</author>
    <author>tc={88F70749-3707-4B8B-B04C-B2D930BA86CD}</author>
    <author>tc={792F21A8-A42C-46A8-8E43-C1FA44D530EC}</author>
    <author>tc={EE57CC3A-2DFD-48B0-A087-D8F7A1E91E0A}</author>
    <author>tc={606BF597-6B03-4431-BD52-2E6A88997EE1}</author>
    <author>tc={7B4B3139-9C41-4782-9939-5C1107569128}</author>
    <author>tc={9B84BFA2-6B57-48E1-81B2-49D28C343525}</author>
    <author>tc={DCA9F100-944C-49CA-BE4F-42E2DC0607F4}</author>
    <author>tc={DD2FEDF0-3221-4FF5-8FE7-298256927858}</author>
  </authors>
  <commentList>
    <comment ref="B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Precio estimado</t>
        </r>
      </text>
    </comment>
    <comment ref="C2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Precio estimado</t>
        </r>
      </text>
    </comment>
    <comment ref="D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Precio estimado</t>
        </r>
      </text>
    </comment>
    <comment ref="B2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Precio estimado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Precio estimado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Precio estimado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597,04, falta una cuota</t>
        </r>
      </text>
    </comment>
    <comment ref="B28" authorId="2" shapeId="0" xr:uid="{00000000-0006-0000-0000-00000A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Pago donacion: 130€ + Pago material: 84€ + Aux. Inglés Noa: 7€</t>
      </text>
    </comment>
    <comment ref="C29" authorId="3" shapeId="0" xr:uid="{63F0D1F1-B9A3-4C41-94E3-919EA4B3D4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Vacuna rabia+leishmania</t>
      </text>
    </comment>
    <comment ref="C30" authorId="4" shapeId="0" xr:uid="{D239227B-ECE8-4B4D-8CA5-CD85225F55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fecha de pago en Febrero</t>
      </text>
    </comment>
    <comment ref="B31" authorId="5" shapeId="0" xr:uid="{36D9CB0B-B078-42C1-AA1D-DCFDD25157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1º cuota: 13/5, 2º cuota: 13/6, 3º cuota: 13/7</t>
      </text>
    </comment>
    <comment ref="B32" authorId="6" shapeId="0" xr:uid="{6B1573CA-7DB3-4CFC-8EE8-E90A359009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1º cuota: 6/8
2º cuota: 6/9
3º cuota: 6/10</t>
      </text>
    </comment>
    <comment ref="C35" authorId="7" shapeId="0" xr:uid="{00000000-0006-0000-0000-000010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 pago 21/06</t>
      </text>
    </comment>
    <comment ref="C36" authorId="8" shapeId="0" xr:uid="{1FD83A3F-4D00-4720-B574-BF12077315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Día 1-5 de cada mes, 18 cuotas desde 1/10, última cuota: 1 de Marzo de 2026. Pagado 9 cuotas= 132,22*9 = 1189,98€</t>
      </text>
    </comment>
    <comment ref="C37" authorId="9" shapeId="0" xr:uid="{00000000-0006-0000-0000-00001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Regalos abus, regalos sobris, regalos ahijado y amigo invisible, regalos hijos y amigos invisibles/padrinos y regalos Cris.</t>
      </text>
    </comment>
    <comment ref="A38" authorId="10" shapeId="0" xr:uid="{792F21A8-A42C-46A8-8E43-C1FA44D530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Primera cuota, 30/3, 12 meses, 30/3/26, 65€ x 12 = 780€</t>
      </text>
    </comment>
    <comment ref="C39" authorId="11" shapeId="0" xr:uid="{00000000-0006-0000-0000-00001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Limpieza hecha el 16/5/23 después de 2 años.</t>
      </text>
    </comment>
    <comment ref="A42" authorId="12" shapeId="0" xr:uid="{606BF597-6B03-4431-BD52-2E6A88997E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sábado 12/7 al jueves 17/7, 460€ estimado de gasolina + comida</t>
      </text>
    </comment>
    <comment ref="C42" authorId="13" shapeId="0" xr:uid="{7B4B3139-9C41-4782-9939-5C110756912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Pagado 107,49€, pagar 429,92€ el 29/6</t>
      </text>
    </comment>
    <comment ref="A43" authorId="14" shapeId="0" xr:uid="{9B84BFA2-6B57-48E1-81B2-49D28C3435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domingo 20/7 al domingo 27/7, 460€ estimado de gastos</t>
      </text>
    </comment>
    <comment ref="C43" authorId="15" shapeId="0" xr:uid="{DCA9F100-944C-49CA-BE4F-42E2DC0607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resto: 680€ a la llegada el domingo 20/7</t>
      </text>
    </comment>
    <comment ref="B143" authorId="16" shapeId="0" xr:uid="{00000000-0006-0000-0000-00001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Primera cuota el el 21/06, última en octubre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700-000001000000}">
      <text>
        <r>
          <rPr>
            <sz val="11"/>
            <color rgb="FF000000"/>
            <rFont val="Calibri"/>
            <family val="2"/>
          </rPr>
          <t>Charly:
De Abril a Septiembre</t>
        </r>
      </text>
    </comment>
    <comment ref="J1" authorId="0" shapeId="0" xr:uid="{00000000-0006-0000-0700-000002000000}">
      <text>
        <r>
          <rPr>
            <sz val="11"/>
            <color rgb="FF000000"/>
            <rFont val="Calibri"/>
            <family val="2"/>
          </rPr>
          <t>Charly:
A partir de Octubre</t>
        </r>
      </text>
    </comment>
  </commentList>
</comments>
</file>

<file path=xl/sharedStrings.xml><?xml version="1.0" encoding="utf-8"?>
<sst xmlns="http://schemas.openxmlformats.org/spreadsheetml/2006/main" count="387" uniqueCount="246">
  <si>
    <t>IVA</t>
  </si>
  <si>
    <t>TOTAL</t>
  </si>
  <si>
    <t>COCHE</t>
  </si>
  <si>
    <t>LEASING</t>
  </si>
  <si>
    <t>MESES</t>
  </si>
  <si>
    <t>IVA CUOTA</t>
  </si>
  <si>
    <t>GASTO CUOTA</t>
  </si>
  <si>
    <t>PRECIO FINAL MES</t>
  </si>
  <si>
    <t>TRIMESTRE IVA CUOTA</t>
  </si>
  <si>
    <t>TRIMESTRE AL IVA</t>
  </si>
  <si>
    <t>GASTOS ANUALES CUOTA</t>
  </si>
  <si>
    <t>TOTAL COCHE</t>
  </si>
  <si>
    <t>LEXUS NX 300H 2WD BUSINESS</t>
  </si>
  <si>
    <t>DETALLE</t>
  </si>
  <si>
    <t>FECHA</t>
  </si>
  <si>
    <t>CUOTA BRUTA</t>
  </si>
  <si>
    <t>NETO</t>
  </si>
  <si>
    <t>GASTO_AUTONOMO</t>
  </si>
  <si>
    <t>IVA_AUTONOMO</t>
  </si>
  <si>
    <t>GASTO PORCENTAJE</t>
  </si>
  <si>
    <t>GASTO IVA</t>
  </si>
  <si>
    <t>PORCENTAJE COCHE</t>
  </si>
  <si>
    <t>CUOTA SEGURO ASISA</t>
  </si>
  <si>
    <t>CUOTA GESTORIA</t>
  </si>
  <si>
    <t>CUOTA COCHE</t>
  </si>
  <si>
    <t>COLCHON</t>
  </si>
  <si>
    <t>TOTAL MES</t>
  </si>
  <si>
    <t>TOTAL TRIMESTRE</t>
  </si>
  <si>
    <t>PRECIO PISO</t>
  </si>
  <si>
    <t>VALOR TASACION</t>
  </si>
  <si>
    <t>CREDITO HIPOTECARIO TASACION</t>
  </si>
  <si>
    <t>CREDITO HIPOTECARIO COMPRA</t>
  </si>
  <si>
    <t>AHORROS</t>
  </si>
  <si>
    <t>TOTAL A GASTAR</t>
  </si>
  <si>
    <t>ENTRADA PISO</t>
  </si>
  <si>
    <t>GASTOS APERTURA</t>
  </si>
  <si>
    <t>COMISION APERTURA</t>
  </si>
  <si>
    <t>TASACION</t>
  </si>
  <si>
    <t>INMOBILIARIA</t>
  </si>
  <si>
    <t>REFORMAS</t>
  </si>
  <si>
    <t>MUEBLES Y ELECTRO</t>
  </si>
  <si>
    <t>REFORMAS PINTURA</t>
  </si>
  <si>
    <t>REFORMA SUELO</t>
  </si>
  <si>
    <t>VENTANAS</t>
  </si>
  <si>
    <t>CAMA Y SOMIER</t>
  </si>
  <si>
    <t>MUEBLES DORMITORIO</t>
  </si>
  <si>
    <t>MUEBLE SALON</t>
  </si>
  <si>
    <t>MESA Y SILLAS SALON</t>
  </si>
  <si>
    <t>ELECTRODOMESTICOS</t>
  </si>
  <si>
    <t>PAGADO</t>
  </si>
  <si>
    <t>DEVOLUCION PRESTAMO</t>
  </si>
  <si>
    <t>HIPOTECA</t>
  </si>
  <si>
    <t>LUZ</t>
  </si>
  <si>
    <t>INTERNET/TELEFONO</t>
  </si>
  <si>
    <t>TOTAL GASTOS</t>
  </si>
  <si>
    <t>COMPRA</t>
  </si>
  <si>
    <t>GASOLINA</t>
  </si>
  <si>
    <t>MESA JARDIN</t>
  </si>
  <si>
    <t>FONTANERIA</t>
  </si>
  <si>
    <t>REBAJE PUERTA Y GARAJE</t>
  </si>
  <si>
    <t>PAGO IBI MENSUAL (JUNIO-OCTUBRE)</t>
  </si>
  <si>
    <t>PAGO BASURAS</t>
  </si>
  <si>
    <t>Nº DE BARRAS</t>
  </si>
  <si>
    <t>DIA DE LA SEMANA</t>
  </si>
  <si>
    <t>OBSERVACIONES</t>
  </si>
  <si>
    <t>TOTAL BARRAS</t>
  </si>
  <si>
    <t>PRECIO BARRA</t>
  </si>
  <si>
    <t>GASTO SERVICIO</t>
  </si>
  <si>
    <t>AGUA</t>
  </si>
  <si>
    <t>LITROS/DIA</t>
  </si>
  <si>
    <t>NUMERO DIAS</t>
  </si>
  <si>
    <t>FECHA RELLENAR</t>
  </si>
  <si>
    <t>SEGURO CIVIC</t>
  </si>
  <si>
    <t>SEGURO LEXUS</t>
  </si>
  <si>
    <t>FECHA LECTURA</t>
  </si>
  <si>
    <t>IBI</t>
  </si>
  <si>
    <t>A PAGAR</t>
  </si>
  <si>
    <t>MARGEN ACTUAL</t>
  </si>
  <si>
    <t>DIFERENCIA DE DIAS</t>
  </si>
  <si>
    <t>DIFERENCIA DE LITROS</t>
  </si>
  <si>
    <t>BASURAS</t>
  </si>
  <si>
    <t>SUELDO ANUAL BRUTO IBM</t>
  </si>
  <si>
    <t>SUELDO NETO ANUAL</t>
  </si>
  <si>
    <t>SUELDO NETO MENSUAL (14 PAGAS)</t>
  </si>
  <si>
    <t>PAGAS EXTRAS (X2)</t>
  </si>
  <si>
    <t>RETENCIONES IRPF</t>
  </si>
  <si>
    <t>CUOTAS SEGURIDAD SOCIAL</t>
  </si>
  <si>
    <t>TIPO RETENCION NÓMINA</t>
  </si>
  <si>
    <t>SUELDO NETO MENSUAL (12 PAGAS)</t>
  </si>
  <si>
    <t>RETRIBUCION VARIABLE?</t>
  </si>
  <si>
    <t>CUOTA AUTONOMO SEPTIEMBRE 2021</t>
  </si>
  <si>
    <t>PAGO ESCUELA</t>
  </si>
  <si>
    <t>SEGURO PIAGGIO</t>
  </si>
  <si>
    <t>RELLENAR DEPOSITO</t>
  </si>
  <si>
    <t>PRECIO LITRO GASOLEO</t>
  </si>
  <si>
    <t>CONCEPTO</t>
  </si>
  <si>
    <t>TOTAL MES SIN SER AUTONOMO</t>
  </si>
  <si>
    <t>PAGO UNIVERSIDAD CRIS</t>
  </si>
  <si>
    <t>RELLENO LITROS</t>
  </si>
  <si>
    <t>LLENADO DEPOSITO</t>
  </si>
  <si>
    <t>LITROS</t>
  </si>
  <si>
    <t>PRECIO</t>
  </si>
  <si>
    <t>TRANSFER CRIS</t>
  </si>
  <si>
    <t>IBI CUOTA x5</t>
  </si>
  <si>
    <t>SEGURO MOTO</t>
  </si>
  <si>
    <t>GASTOS GASOLINA</t>
  </si>
  <si>
    <t>TOTAL NOVIEMBRE</t>
  </si>
  <si>
    <t>MEDIA DEPOSITO</t>
  </si>
  <si>
    <t>GASTOS LEXUS</t>
  </si>
  <si>
    <t>GASTOS CIVIC</t>
  </si>
  <si>
    <t>IMPORTE SIN IVA</t>
  </si>
  <si>
    <t>LIMPIEZA FOSA SEPTICA</t>
  </si>
  <si>
    <t>LITROS/DIA ULTIMA REFERENCIA</t>
  </si>
  <si>
    <t>LITROS/DIA ABSOLUTO</t>
  </si>
  <si>
    <t>VACACIONES</t>
  </si>
  <si>
    <t>RENTA</t>
  </si>
  <si>
    <t>FALTA</t>
  </si>
  <si>
    <t>COMEDOR NOA</t>
  </si>
  <si>
    <t>COMEDOR DAVID</t>
  </si>
  <si>
    <t>CAMBIO RUEDAS</t>
  </si>
  <si>
    <t>KM AL MES</t>
  </si>
  <si>
    <t>KM AL AÑO</t>
  </si>
  <si>
    <t>REVISION</t>
  </si>
  <si>
    <t>EXTRAESCOLAR NOA</t>
  </si>
  <si>
    <t>SUELDO CRIS SIN REDUCCION</t>
  </si>
  <si>
    <t>DIFERENCIA CON REDUCCION</t>
  </si>
  <si>
    <t>DIFERENCIA SIN REDUCCION</t>
  </si>
  <si>
    <t>Pendiente de pago renta 2020</t>
  </si>
  <si>
    <t>Devolución renta 2023</t>
  </si>
  <si>
    <t>Mensualidad IVA 2020 1/4</t>
  </si>
  <si>
    <t>Mensualidad IVA 2020 2/4</t>
  </si>
  <si>
    <t>Mensualidad IVA 2020 3/4</t>
  </si>
  <si>
    <t>Mensualidad IVA 2020 4/4</t>
  </si>
  <si>
    <t>Multa IVA 1T</t>
  </si>
  <si>
    <t>Multa IVA 4T</t>
  </si>
  <si>
    <t>Multa IVA 3T</t>
  </si>
  <si>
    <t>Supuesta mensualidad 2/4</t>
  </si>
  <si>
    <t>QUEDA POR PAGAR</t>
  </si>
  <si>
    <t>MULTA IVA 2020</t>
  </si>
  <si>
    <t xml:space="preserve"> </t>
  </si>
  <si>
    <t>REGALO PARA</t>
  </si>
  <si>
    <t>DE PARTE DE</t>
  </si>
  <si>
    <t>REGALO</t>
  </si>
  <si>
    <t>IMPORTE</t>
  </si>
  <si>
    <t>CUMPLE</t>
  </si>
  <si>
    <t>CRIS</t>
  </si>
  <si>
    <t>SEGURO CASA Y VIDA</t>
  </si>
  <si>
    <t>POLIZA SEGURO CASA Y VIDA</t>
  </si>
  <si>
    <t>NOMINA</t>
  </si>
  <si>
    <t>PAGO COLE NOA Y DAVID</t>
  </si>
  <si>
    <t>GASTOS TARJETA DE CREDITO</t>
  </si>
  <si>
    <t>CUENTA COMUN BBVA</t>
  </si>
  <si>
    <t>CUENTA NOMINA BBVA</t>
  </si>
  <si>
    <t>GASTOS VARIOS (KALEL,…)</t>
  </si>
  <si>
    <t>REGALO ANIVERSARIO</t>
  </si>
  <si>
    <t>PRIMEROS DEL COLE NOA</t>
  </si>
  <si>
    <t>PRIMEROS DEL COLE DAVID</t>
  </si>
  <si>
    <t>SUELDO CRIS CON REDUCCION</t>
  </si>
  <si>
    <t>PRECIO LITRO GASOLINA</t>
  </si>
  <si>
    <t>PRECIO LITRO GASOIL</t>
  </si>
  <si>
    <t>DEPOSITO LEXUS (LITROS)</t>
  </si>
  <si>
    <t>CONSUMO 1 KM</t>
  </si>
  <si>
    <t>GASOLINA (LITROS)</t>
  </si>
  <si>
    <t>DISTANCIA ESCUELA SEMANA (KM)</t>
  </si>
  <si>
    <t>GASTO LITROS DISTANCIA</t>
  </si>
  <si>
    <t>GASTO GASOLINA</t>
  </si>
  <si>
    <t>Empresa</t>
  </si>
  <si>
    <t>IBM</t>
  </si>
  <si>
    <t>Seguro médico</t>
  </si>
  <si>
    <t>Variable</t>
  </si>
  <si>
    <t>Total mes</t>
  </si>
  <si>
    <t>Allfunds</t>
  </si>
  <si>
    <t>Tickets</t>
  </si>
  <si>
    <t>Gastos kms dia</t>
  </si>
  <si>
    <t>Nº dias</t>
  </si>
  <si>
    <t>Gastos total</t>
  </si>
  <si>
    <t>Precio diesel</t>
  </si>
  <si>
    <t>Gastos gasolina</t>
  </si>
  <si>
    <t>Deposito</t>
  </si>
  <si>
    <t>Neto mes</t>
  </si>
  <si>
    <t>Neto mes con seguro</t>
  </si>
  <si>
    <t>Sueldo neto año</t>
  </si>
  <si>
    <t>Total variable</t>
  </si>
  <si>
    <t>Año</t>
  </si>
  <si>
    <t>Mes</t>
  </si>
  <si>
    <t>Sueldo bruto año</t>
  </si>
  <si>
    <t>Diferencia</t>
  </si>
  <si>
    <t>Total IBM</t>
  </si>
  <si>
    <t>Total Allfundings</t>
  </si>
  <si>
    <t>Gasto 100 km</t>
  </si>
  <si>
    <t>Kms deposito</t>
  </si>
  <si>
    <t>VACACIONES ASTURIAS</t>
  </si>
  <si>
    <t>VACACIONES PEÑISCOLA</t>
  </si>
  <si>
    <t>GASTOS VIAJES ESTIMADO</t>
  </si>
  <si>
    <t>PAGADO O PENDIENTE DE PAGAR</t>
  </si>
  <si>
    <t>NUM_DIAS</t>
  </si>
  <si>
    <t>MES</t>
  </si>
  <si>
    <t>CONT. COMUNES</t>
  </si>
  <si>
    <t>MECANISMO</t>
  </si>
  <si>
    <t>COTIZ. ADICIONAL</t>
  </si>
  <si>
    <t>FORM. PROFESIONAL</t>
  </si>
  <si>
    <t>COTIZ. DESEMPLEO</t>
  </si>
  <si>
    <t>IRPF</t>
  </si>
  <si>
    <t>SALARIO 14 PAGAS</t>
  </si>
  <si>
    <t>Salario Base</t>
  </si>
  <si>
    <t>Complemento</t>
  </si>
  <si>
    <t>Ayuda comida</t>
  </si>
  <si>
    <t>Importe</t>
  </si>
  <si>
    <t>Cont. Comunes</t>
  </si>
  <si>
    <t>BASE C.C.</t>
  </si>
  <si>
    <t>Mecanismo</t>
  </si>
  <si>
    <t>Cotiz. Adicional</t>
  </si>
  <si>
    <t>Form. Profesional</t>
  </si>
  <si>
    <t>Cot. Desempleo</t>
  </si>
  <si>
    <t>REM. TOTAL</t>
  </si>
  <si>
    <t>Total</t>
  </si>
  <si>
    <t>Concepto</t>
  </si>
  <si>
    <t>PAGA EXTRA (teoria)</t>
  </si>
  <si>
    <t>PAGA EXTRA (realidad)</t>
  </si>
  <si>
    <t>PAGA EXTRA JUNIO</t>
  </si>
  <si>
    <t>PAGA EXTRA MAYO</t>
  </si>
  <si>
    <t>PAGA EXTRA 1st HALF</t>
  </si>
  <si>
    <t>CREDITO MOVIL S25 (30 de cada mes)</t>
  </si>
  <si>
    <t>FUNDA TELEFONO</t>
  </si>
  <si>
    <t>CARLOS</t>
  </si>
  <si>
    <t>VESTIDO SIN MANGAS</t>
  </si>
  <si>
    <t>COMPRADO EN</t>
  </si>
  <si>
    <t>SHEIN</t>
  </si>
  <si>
    <t>CAMISETA TIRANTES</t>
  </si>
  <si>
    <t>BIKINI</t>
  </si>
  <si>
    <t>BIKIN TRES PIEZAS</t>
  </si>
  <si>
    <t>BIKINI AZUL</t>
  </si>
  <si>
    <t>AMAZON</t>
  </si>
  <si>
    <t>MAMA</t>
  </si>
  <si>
    <t>LIBRO: LA MUJER DE ARRIBA</t>
  </si>
  <si>
    <t>ZAPATILLAS SKECHERS</t>
  </si>
  <si>
    <t>CHARM LILO&amp;STITCH</t>
  </si>
  <si>
    <t>LAURA</t>
  </si>
  <si>
    <t>LIBRO: MI QUERIDA LUCIA</t>
  </si>
  <si>
    <t>GONZALO</t>
  </si>
  <si>
    <t>LIBROS: TRES CASOS ANA CESTERO</t>
  </si>
  <si>
    <t>COLONIAS</t>
  </si>
  <si>
    <t>PERFUMES</t>
  </si>
  <si>
    <t>OPERACION MIOPIA CRIS (día 1-5 de cada mes)</t>
  </si>
  <si>
    <t>CUMPLEAÑOS</t>
  </si>
  <si>
    <t>VACACIONES GALICIA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</si>
</sst>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6" formatCode="#,##0\ &quot;€&quot;;[Red]\-#,##0\ &quot;€&quot;"/>
    <numFmt numFmtId="8" formatCode="#,##0.00\ &quot;€&quot;;[Red]\-#,##0.00\ &quot;€&quot;"/>
    <numFmt numFmtId="164" formatCode="#,##0.00\ &quot;€&quot;"/>
    <numFmt numFmtId="165" formatCode="[$-F800]dddd\,\ mmmm\ dd\,\ yyyy"/>
    <numFmt numFmtId="166" formatCode="dddd"/>
    <numFmt numFmtId="167" formatCode="#,##0_ ;[Red]\-#,##0\ "/>
    <numFmt numFmtId="168" formatCode="#,##0.00\ [$€-1]"/>
    <numFmt numFmtId="169" formatCode="0_ ;[Red]\-0\ "/>
    <numFmt numFmtId="170" formatCode="#,##0.00_ ;[Red]\-#,##0.00\ "/>
    <numFmt numFmtId="171" formatCode="#,##0.00\ [$€-C0A]"/>
    <numFmt numFmtId="172" formatCode="0_);[Red]\(0\)"/>
    <numFmt numFmtId="173" formatCode="#,##0.0"/>
    <numFmt numFmtId="174" formatCode="#,##0.00\ [$€-1];[Red]\-#,##0.00\ [$€-1]"/>
    <numFmt numFmtId="175" formatCode="#,##0.00\ [$€-1]_);[Red]\(#,##0.00\ [$€-1]\)"/>
    <numFmt numFmtId="176" formatCode="0.00_);[Red]\(0.00\)"/>
    <numFmt numFmtId="177" formatCode="#,##0\ [$€-1];[Red]\-#,##0\ [$€-1]"/>
    <numFmt numFmtId="178" formatCode="#,##0\ [$€-C0A]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trike/>
      <sz val="11"/>
      <color rgb="FF000000"/>
      <name val="Calibri"/>
      <family val="2"/>
    </font>
    <font>
      <sz val="9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164" fontId="0" fillId="0" borderId="0" xfId="0" applyNumberFormat="1"/>
    <xf numFmtId="8" fontId="0" fillId="0" borderId="0" xfId="0" applyNumberFormat="1"/>
    <xf numFmtId="6" fontId="0" fillId="0" borderId="0" xfId="0" applyNumberFormat="1"/>
    <xf numFmtId="0" fontId="7" fillId="0" borderId="0" xfId="0" applyFont="1"/>
    <xf numFmtId="14" fontId="0" fillId="0" borderId="0" xfId="0" applyNumberFormat="1"/>
    <xf numFmtId="9" fontId="0" fillId="0" borderId="0" xfId="0" applyNumberFormat="1"/>
    <xf numFmtId="0" fontId="8" fillId="0" borderId="0" xfId="0" applyFont="1"/>
    <xf numFmtId="164" fontId="8" fillId="0" borderId="0" xfId="0" applyNumberFormat="1" applyFont="1"/>
    <xf numFmtId="8" fontId="8" fillId="0" borderId="0" xfId="0" applyNumberFormat="1" applyFont="1"/>
    <xf numFmtId="0" fontId="9" fillId="0" borderId="0" xfId="0" applyFont="1"/>
    <xf numFmtId="17" fontId="11" fillId="0" borderId="0" xfId="0" applyNumberFormat="1" applyFont="1"/>
    <xf numFmtId="164" fontId="9" fillId="0" borderId="0" xfId="0" applyNumberFormat="1" applyFont="1"/>
    <xf numFmtId="6" fontId="9" fillId="0" borderId="0" xfId="0" applyNumberFormat="1" applyFont="1"/>
    <xf numFmtId="0" fontId="6" fillId="0" borderId="0" xfId="0" applyFont="1"/>
    <xf numFmtId="165" fontId="9" fillId="0" borderId="0" xfId="0" applyNumberFormat="1" applyFont="1"/>
    <xf numFmtId="166" fontId="9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6" fillId="0" borderId="0" xfId="0" applyNumberFormat="1" applyFont="1"/>
    <xf numFmtId="3" fontId="0" fillId="0" borderId="0" xfId="0" applyNumberFormat="1"/>
    <xf numFmtId="14" fontId="8" fillId="0" borderId="0" xfId="0" applyNumberFormat="1" applyFont="1"/>
    <xf numFmtId="169" fontId="0" fillId="0" borderId="0" xfId="0" applyNumberFormat="1"/>
    <xf numFmtId="170" fontId="0" fillId="0" borderId="0" xfId="0" applyNumberFormat="1"/>
    <xf numFmtId="38" fontId="0" fillId="0" borderId="0" xfId="0" applyNumberFormat="1"/>
    <xf numFmtId="171" fontId="8" fillId="0" borderId="0" xfId="0" applyNumberFormat="1" applyFont="1"/>
    <xf numFmtId="10" fontId="8" fillId="0" borderId="0" xfId="0" applyNumberFormat="1" applyFont="1"/>
    <xf numFmtId="168" fontId="9" fillId="0" borderId="0" xfId="0" quotePrefix="1" applyNumberFormat="1" applyFont="1"/>
    <xf numFmtId="168" fontId="9" fillId="0" borderId="0" xfId="0" applyNumberFormat="1" applyFont="1"/>
    <xf numFmtId="172" fontId="0" fillId="0" borderId="0" xfId="0" applyNumberFormat="1"/>
    <xf numFmtId="173" fontId="8" fillId="0" borderId="0" xfId="0" applyNumberFormat="1" applyFon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4" fontId="8" fillId="0" borderId="0" xfId="0" applyNumberFormat="1" applyFont="1"/>
    <xf numFmtId="14" fontId="11" fillId="0" borderId="0" xfId="0" applyNumberFormat="1" applyFont="1"/>
    <xf numFmtId="164" fontId="11" fillId="0" borderId="0" xfId="0" applyNumberFormat="1" applyFont="1"/>
    <xf numFmtId="171" fontId="0" fillId="0" borderId="0" xfId="0" applyNumberFormat="1"/>
    <xf numFmtId="177" fontId="0" fillId="0" borderId="0" xfId="0" applyNumberFormat="1"/>
    <xf numFmtId="177" fontId="8" fillId="0" borderId="0" xfId="0" applyNumberFormat="1" applyFont="1"/>
    <xf numFmtId="0" fontId="5" fillId="0" borderId="0" xfId="1"/>
    <xf numFmtId="171" fontId="5" fillId="0" borderId="0" xfId="1" applyNumberFormat="1"/>
    <xf numFmtId="0" fontId="14" fillId="0" borderId="0" xfId="1" applyFont="1"/>
    <xf numFmtId="171" fontId="14" fillId="0" borderId="0" xfId="1" applyNumberFormat="1" applyFont="1"/>
    <xf numFmtId="0" fontId="15" fillId="0" borderId="0" xfId="1" applyFont="1"/>
    <xf numFmtId="0" fontId="4" fillId="0" borderId="0" xfId="1" applyFont="1"/>
    <xf numFmtId="0" fontId="3" fillId="0" borderId="0" xfId="1" applyFont="1"/>
    <xf numFmtId="4" fontId="0" fillId="0" borderId="0" xfId="0" applyNumberFormat="1"/>
    <xf numFmtId="0" fontId="16" fillId="0" borderId="0" xfId="0" applyFont="1" applyAlignment="1">
      <alignment vertical="center"/>
    </xf>
    <xf numFmtId="0" fontId="2" fillId="0" borderId="0" xfId="1" applyFont="1"/>
    <xf numFmtId="1" fontId="0" fillId="0" borderId="0" xfId="0" applyNumberFormat="1"/>
    <xf numFmtId="178" fontId="0" fillId="0" borderId="0" xfId="0" applyNumberFormat="1"/>
    <xf numFmtId="175" fontId="8" fillId="0" borderId="0" xfId="0" applyNumberFormat="1" applyFont="1"/>
    <xf numFmtId="15" fontId="9" fillId="0" borderId="0" xfId="0" applyNumberFormat="1" applyFont="1"/>
    <xf numFmtId="10" fontId="0" fillId="0" borderId="0" xfId="0" applyNumberFormat="1"/>
    <xf numFmtId="0" fontId="1" fillId="0" borderId="0" xfId="1" applyFont="1"/>
    <xf numFmtId="171" fontId="1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33">
    <dxf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numFmt numFmtId="171" formatCode="#,##0.00\ [$€-C0A]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8" defaultTableStyle="TableStyleMedium2" defaultPivotStyle="PivotStyleLight16">
    <tableStyle name="Gastos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Gastos-style 2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Pagos_trimestrales_IVA-style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Ingresos reales-style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Gastos_Lexus_Leasing-style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Gastos_Lexus_Leasing-style 2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Gastos_Noa_y_mas-style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Prevision_Gastos_Hacienda_2019-style" pivot="0" count="3" xr9:uid="{00000000-0011-0000-FFFF-FFFF07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Bordas Cartagena" id="{6C35661E-19D1-491D-B00F-708C0B100B32}" userId="S::Carlos.Bordas@ibm.com::60f6f720-d780-40f1-a25b-e6720a99d1b3" providerId="AD"/>
  <person displayName="Carlos Bordas Cartagena" id="{6C5B242B-422F-4F9D-9A55-5B86956DA581}" userId="S::carlos.bordas@allfunds.com::9e3c4b42-b019-424d-a950-89684449cec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7A6376-DC68-4B42-9386-D8A21F865683}" name="Tabla2" displayName="Tabla2" ref="A1:E20" totalsRowCount="1">
  <autoFilter ref="A1:E19" xr:uid="{597A6376-DC68-4B42-9386-D8A21F865683}">
    <filterColumn colId="3">
      <filters>
        <filter val="6"/>
      </filters>
    </filterColumn>
  </autoFilter>
  <tableColumns count="5">
    <tableColumn id="1" xr3:uid="{D6D0D42B-A396-412B-BE20-87559383F2E2}" name="Concepto" totalsRowLabel="Total"/>
    <tableColumn id="2" xr3:uid="{81226B22-6892-4CB1-8065-171AA550A828}" name="Importe" dataDxfId="8" totalsRowDxfId="7"/>
    <tableColumn id="3" xr3:uid="{C7CA20F9-6CA5-41A5-9848-D7473BA2E041}" name="NUM_DIAS"/>
    <tableColumn id="4" xr3:uid="{74E00DC2-2A6E-4439-8BDB-18AE24FD0DE5}" name="MES"/>
    <tableColumn id="5" xr3:uid="{E19DAE18-EFD1-4C13-A613-3A2A06A349EA}" name="TOTAL" totalsRowFunction="sum" dataDxfId="6" totalsRowDxfId="5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6" totalsRowShown="0" headerRowDxfId="4">
  <autoFilter ref="A1:F26" xr:uid="{00000000-0009-0000-0100-000001000000}"/>
  <tableColumns count="6">
    <tableColumn id="1" xr3:uid="{00000000-0010-0000-0000-000001000000}" name="REGALO PARA"/>
    <tableColumn id="2" xr3:uid="{00000000-0010-0000-0000-000002000000}" name="CONCEPTO"/>
    <tableColumn id="3" xr3:uid="{00000000-0010-0000-0000-000003000000}" name="DE PARTE DE"/>
    <tableColumn id="4" xr3:uid="{00000000-0010-0000-0000-000004000000}" name="REGALO"/>
    <tableColumn id="6" xr3:uid="{90AF508E-E0DA-4B9D-B5DE-A52D1F3179A5}" name="COMPRADO EN" dataCellStyle="Normal 2"/>
    <tableColumn id="5" xr3:uid="{00000000-0010-0000-0000-000005000000}" name="IMPOR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7" displayName="Tabla7" ref="A1:D31" totalsRowShown="0" headerRowDxfId="2">
  <autoFilter ref="A1:D31" xr:uid="{00000000-0009-0000-0100-000007000000}"/>
  <tableColumns count="4">
    <tableColumn id="3" xr3:uid="{00000000-0010-0000-0100-000003000000}" name="FECHA" dataDxfId="1"/>
    <tableColumn id="1" xr3:uid="{00000000-0010-0000-0100-000001000000}" name="DIA DE LA SEMANA" dataDxfId="0"/>
    <tableColumn id="2" xr3:uid="{00000000-0010-0000-0100-000002000000}" name="Nº DE BARRAS"/>
    <tableColumn id="4" xr3:uid="{00000000-0010-0000-0100-000004000000}" name="OBSERVA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5" displayName="Table_5" ref="A1:M2">
  <tableColumns count="13">
    <tableColumn id="1" xr3:uid="{00000000-0010-0000-0200-000001000000}" name="COCHE"/>
    <tableColumn id="2" xr3:uid="{00000000-0010-0000-0200-000002000000}" name="LEASING"/>
    <tableColumn id="3" xr3:uid="{00000000-0010-0000-0200-000003000000}" name="MESES"/>
    <tableColumn id="4" xr3:uid="{00000000-0010-0000-0200-000004000000}" name="TOTAL"/>
    <tableColumn id="5" xr3:uid="{00000000-0010-0000-0200-000005000000}" name="IMPORTE SIN IVA"/>
    <tableColumn id="6" xr3:uid="{00000000-0010-0000-0200-000006000000}" name="IVA"/>
    <tableColumn id="7" xr3:uid="{00000000-0010-0000-0200-000007000000}" name="IVA CUOTA"/>
    <tableColumn id="8" xr3:uid="{00000000-0010-0000-0200-000008000000}" name="GASTO CUOTA"/>
    <tableColumn id="9" xr3:uid="{00000000-0010-0000-0200-000009000000}" name="PRECIO FINAL MES"/>
    <tableColumn id="10" xr3:uid="{00000000-0010-0000-0200-00000A000000}" name="TRIMESTRE IVA CUOTA"/>
    <tableColumn id="11" xr3:uid="{00000000-0010-0000-0200-00000B000000}" name="TRIMESTRE AL IVA"/>
    <tableColumn id="12" xr3:uid="{00000000-0010-0000-0200-00000C000000}" name="GASTOS ANUALES CUOTA"/>
    <tableColumn id="13" xr3:uid="{00000000-0010-0000-0200-00000D000000}" name="TOTAL COCHE"/>
  </tableColumns>
  <tableStyleInfo name="Gastos_Lexus_Leasin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_6" displayName="Table_6" ref="A12:G85">
  <autoFilter ref="A12:G85" xr:uid="{00000000-0009-0000-0100-000006000000}"/>
  <tableColumns count="7">
    <tableColumn id="1" xr3:uid="{00000000-0010-0000-0300-000001000000}" name="FECHA"/>
    <tableColumn id="2" xr3:uid="{00000000-0010-0000-0300-000002000000}" name="CUOTA BRUTA"/>
    <tableColumn id="3" xr3:uid="{00000000-0010-0000-0300-000003000000}" name="NETO"/>
    <tableColumn id="4" xr3:uid="{00000000-0010-0000-0300-000004000000}" name="IVA"/>
    <tableColumn id="5" xr3:uid="{00000000-0010-0000-0300-000005000000}" name="GASTO_AUTONOMO"/>
    <tableColumn id="6" xr3:uid="{00000000-0010-0000-0300-000006000000}" name="IVA_AUTONOMO"/>
    <tableColumn id="7" xr3:uid="{00000000-0010-0000-0300-000007000000}" name="PAGADO"/>
  </tableColumns>
  <tableStyleInfo name="Gastos_Lexus_Leasing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8" dT="2022-12-02T10:11:47.51" personId="{6C35661E-19D1-491D-B00F-708C0B100B32}" id="{16A2CD11-91B5-4ED0-A53A-C59456EFB1B2}">
    <text>Pago donacion: 130€ + Pago material: 84€ + Aux. Inglés Noa: 7€</text>
  </threadedComment>
  <threadedComment ref="C29" dT="2025-05-19T07:16:43.66" personId="{6C5B242B-422F-4F9D-9A55-5B86956DA581}" id="{63F0D1F1-B9A3-4C41-94E3-919EA4B3D465}">
    <text>Vacuna rabia+leishmania</text>
  </threadedComment>
  <threadedComment ref="C30" dT="2025-05-19T07:15:55.70" personId="{6C5B242B-422F-4F9D-9A55-5B86956DA581}" id="{D239227B-ECE8-4B4D-8CA5-CD85225F55F6}">
    <text>Revisar fecha de pago en Febrero</text>
  </threadedComment>
  <threadedComment ref="B31" dT="2025-07-01T09:10:50.24" personId="{6C5B242B-422F-4F9D-9A55-5B86956DA581}" id="{36D9CB0B-B078-42C1-AA1D-DCFDD2515750}">
    <text>1º cuota: 13/5, 2º cuota: 13/6, 3º cuota: 13/7</text>
  </threadedComment>
  <threadedComment ref="B32" dT="2025-07-01T09:11:30.59" personId="{6C5B242B-422F-4F9D-9A55-5B86956DA581}" id="{6B1573CA-7DB3-4CFC-8EE8-E90A359009E4}">
    <text>1º cuota: 6/8
2º cuota: 6/9
3º cuota: 6/10</text>
  </threadedComment>
  <threadedComment ref="C35" dT="2022-06-06T14:39:18.34" personId="{6C35661E-19D1-491D-B00F-708C0B100B32}" id="{5AE7D469-F209-45F7-9CEF-DC168E80F1EF}">
    <text>Primer pago 21/06</text>
  </threadedComment>
  <threadedComment ref="C36" dT="2025-06-09T08:14:42.39" personId="{6C5B242B-422F-4F9D-9A55-5B86956DA581}" id="{1FD83A3F-4D00-4720-B574-BF1207731575}">
    <text>Día 1-5 de cada mes, 18 cuotas desde 1/10, última cuota: 1 de Marzo de 2026. Pagado 9 cuotas= 132,22*9 = 1189,98€</text>
  </threadedComment>
  <threadedComment ref="C37" dT="2025-01-17T18:11:00.46" personId="{6C35661E-19D1-491D-B00F-708C0B100B32}" id="{88F70749-3707-4B8B-B04C-B2D930BA86CD}">
    <text>Regalos abus, regalos sobris, regalos ahijado y amigo invisible, regalos hijos y amigos invisibles/padrinos y regalos Cris.</text>
  </threadedComment>
  <threadedComment ref="A38" dT="2025-05-28T08:44:28.16" personId="{6C5B242B-422F-4F9D-9A55-5B86956DA581}" id="{792F21A8-A42C-46A8-8E43-C1FA44D530EC}">
    <text>Primera cuota, 30/3, 12 meses, 30/3/26, 65€ x 12 = 780€</text>
  </threadedComment>
  <threadedComment ref="C39" dT="2023-05-17T13:18:01.51" personId="{6C35661E-19D1-491D-B00F-708C0B100B32}" id="{EE57CC3A-2DFD-48B0-A087-D8F7A1E91E0A}">
    <text>Limpieza hecha el 16/5/23 después de 2 años.</text>
  </threadedComment>
  <threadedComment ref="A42" dT="2025-05-28T08:13:00.88" personId="{6C5B242B-422F-4F9D-9A55-5B86956DA581}" id="{606BF597-6B03-4431-BD52-2E6A88997EE1}">
    <text>Del sábado 12/7 al jueves 17/7, 460€ estimado de gasolina + comida</text>
  </threadedComment>
  <threadedComment ref="C42" dT="2025-05-19T07:21:03.47" personId="{6C5B242B-422F-4F9D-9A55-5B86956DA581}" id="{7B4B3139-9C41-4782-9939-5C1107569128}">
    <text>Pagado 107,49€, pagar 429,92€ el 29/6</text>
  </threadedComment>
  <threadedComment ref="A43" dT="2025-05-28T08:13:20.71" personId="{6C5B242B-422F-4F9D-9A55-5B86956DA581}" id="{9B84BFA2-6B57-48E1-81B2-49D28C343525}">
    <text>Del domingo 20/7 al domingo 27/7, 460€ estimado de gastos</text>
  </threadedComment>
  <threadedComment ref="C43" dT="2025-05-19T07:21:34.30" personId="{6C5B242B-422F-4F9D-9A55-5B86956DA581}" id="{DCA9F100-944C-49CA-BE4F-42E2DC0607F4}">
    <text>El resto: 680€ a la llegada el domingo 20/7</text>
  </threadedComment>
  <threadedComment ref="B143" dT="2022-06-06T13:27:53.22" personId="{6C35661E-19D1-491D-B00F-708C0B100B32}" id="{DD2FEDF0-3221-4FF5-8FE7-298256927858}">
    <text>Primera cuota el el 21/06, última en octubre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63"/>
  <sheetViews>
    <sheetView tabSelected="1" topLeftCell="A9" workbookViewId="0">
      <selection activeCell="B34" sqref="B34"/>
    </sheetView>
  </sheetViews>
  <sheetFormatPr baseColWidth="10" defaultColWidth="14.453125" defaultRowHeight="15" customHeight="1" x14ac:dyDescent="0.35"/>
  <cols>
    <col min="1" max="1" width="38.6328125" bestFit="1" customWidth="1"/>
    <col min="2" max="2" width="17.54296875" customWidth="1"/>
    <col min="3" max="3" width="29.1796875" bestFit="1" customWidth="1"/>
    <col min="4" max="4" width="26.26953125" bestFit="1" customWidth="1"/>
    <col min="5" max="5" width="18.1796875" bestFit="1" customWidth="1"/>
    <col min="6" max="6" width="21.7265625" customWidth="1"/>
    <col min="7" max="7" width="23.26953125" customWidth="1"/>
    <col min="8" max="8" width="26.453125" customWidth="1"/>
    <col min="9" max="10" width="22.26953125" customWidth="1"/>
    <col min="11" max="11" width="29.26953125" customWidth="1"/>
  </cols>
  <sheetData>
    <row r="1" spans="1:9" ht="15.75" customHeight="1" x14ac:dyDescent="0.35">
      <c r="A1" s="10" t="s">
        <v>151</v>
      </c>
      <c r="B1" s="8">
        <v>1710.68</v>
      </c>
      <c r="C1" s="2"/>
      <c r="D1" s="2"/>
      <c r="E1" s="2"/>
      <c r="F1" s="2"/>
      <c r="G1" s="2"/>
      <c r="I1" s="2"/>
    </row>
    <row r="2" spans="1:9" ht="15.75" customHeight="1" x14ac:dyDescent="0.35">
      <c r="A2" s="10" t="s">
        <v>152</v>
      </c>
      <c r="B2" s="8">
        <f>11493.39-5000</f>
        <v>6493.3899999999994</v>
      </c>
      <c r="C2" s="2"/>
      <c r="D2" s="2"/>
      <c r="E2" s="2"/>
      <c r="F2" s="2"/>
      <c r="G2" s="2"/>
      <c r="I2" s="2"/>
    </row>
    <row r="3" spans="1:9" ht="15.75" customHeight="1" x14ac:dyDescent="0.35">
      <c r="A3" s="10" t="s">
        <v>102</v>
      </c>
      <c r="B3" s="8">
        <v>0</v>
      </c>
      <c r="C3" s="9">
        <v>700</v>
      </c>
      <c r="D3" s="2"/>
      <c r="E3" s="2"/>
      <c r="F3" s="2"/>
      <c r="G3" s="2"/>
      <c r="I3" s="2"/>
    </row>
    <row r="4" spans="1:9" ht="15.75" customHeight="1" x14ac:dyDescent="0.35">
      <c r="A4" s="10" t="s">
        <v>138</v>
      </c>
      <c r="B4" s="25">
        <v>0</v>
      </c>
      <c r="C4" s="30"/>
      <c r="D4" s="2"/>
      <c r="E4" s="2"/>
      <c r="F4" s="2"/>
      <c r="G4" s="2"/>
      <c r="I4" s="2"/>
    </row>
    <row r="5" spans="1:9" ht="15.75" customHeight="1" x14ac:dyDescent="0.35">
      <c r="A5" s="10" t="s">
        <v>51</v>
      </c>
      <c r="B5" s="25">
        <v>1048.93</v>
      </c>
      <c r="C5" s="30"/>
      <c r="D5" s="2"/>
      <c r="E5" s="2"/>
      <c r="F5" s="2"/>
      <c r="G5" s="2"/>
      <c r="I5" s="2"/>
    </row>
    <row r="6" spans="1:9" ht="15.75" customHeight="1" x14ac:dyDescent="0.35">
      <c r="A6" s="10" t="s">
        <v>115</v>
      </c>
      <c r="B6" s="8">
        <v>4300</v>
      </c>
      <c r="C6" s="34"/>
      <c r="D6" s="2"/>
      <c r="E6" s="2"/>
      <c r="F6" s="2"/>
      <c r="G6" s="2"/>
      <c r="I6" s="2"/>
    </row>
    <row r="7" spans="1:9" ht="15.75" customHeight="1" x14ac:dyDescent="0.35">
      <c r="A7" s="10" t="s">
        <v>148</v>
      </c>
      <c r="B7" s="8"/>
      <c r="C7" s="34"/>
      <c r="D7" s="2"/>
      <c r="E7" s="2"/>
      <c r="F7" s="2"/>
      <c r="G7" s="2"/>
      <c r="I7" s="2"/>
    </row>
    <row r="8" spans="1:9" ht="15.75" customHeight="1" x14ac:dyDescent="0.35">
      <c r="A8" s="10" t="s">
        <v>146</v>
      </c>
      <c r="B8" s="8">
        <v>56.23</v>
      </c>
      <c r="C8" s="34"/>
      <c r="D8" s="2"/>
      <c r="E8" s="2"/>
      <c r="F8" s="2"/>
      <c r="G8" s="2"/>
      <c r="I8" s="2"/>
    </row>
    <row r="9" spans="1:9" ht="15.75" customHeight="1" x14ac:dyDescent="0.35">
      <c r="A9" s="10"/>
      <c r="B9" s="8"/>
      <c r="C9" s="34"/>
      <c r="D9" s="2"/>
      <c r="E9" s="2"/>
      <c r="F9" s="2"/>
      <c r="G9" s="2"/>
      <c r="I9" s="2"/>
    </row>
    <row r="10" spans="1:9" ht="15.75" customHeight="1" x14ac:dyDescent="0.35">
      <c r="A10" s="10"/>
      <c r="B10" s="8"/>
      <c r="C10" s="2"/>
      <c r="D10" s="2"/>
      <c r="E10" s="2"/>
      <c r="F10" s="2"/>
      <c r="G10" s="2"/>
      <c r="I10" s="2"/>
    </row>
    <row r="11" spans="1:9" ht="15.75" customHeight="1" x14ac:dyDescent="0.35">
      <c r="A11" s="10"/>
      <c r="B11" s="8" t="s">
        <v>76</v>
      </c>
      <c r="C11" s="9" t="s">
        <v>194</v>
      </c>
      <c r="D11" s="9"/>
      <c r="E11" s="2"/>
      <c r="F11" s="2"/>
      <c r="G11" s="2"/>
      <c r="I11" s="2"/>
    </row>
    <row r="12" spans="1:9" ht="15.75" customHeight="1" x14ac:dyDescent="0.35">
      <c r="A12" s="10" t="s">
        <v>50</v>
      </c>
      <c r="B12" s="12">
        <v>0</v>
      </c>
      <c r="C12" s="18">
        <v>3000</v>
      </c>
      <c r="D12" s="12"/>
      <c r="E12" s="2"/>
      <c r="F12" s="2"/>
      <c r="G12" s="2"/>
      <c r="I12" s="2"/>
    </row>
    <row r="13" spans="1:9" ht="15.75" customHeight="1" x14ac:dyDescent="0.35">
      <c r="A13" s="10" t="s">
        <v>51</v>
      </c>
      <c r="B13" s="18">
        <f>B5-C13</f>
        <v>0</v>
      </c>
      <c r="C13" s="27">
        <v>1048.93</v>
      </c>
      <c r="D13" s="18"/>
      <c r="E13" s="2"/>
      <c r="F13" s="2"/>
      <c r="G13" s="17"/>
      <c r="I13" s="2"/>
    </row>
    <row r="14" spans="1:9" ht="15.75" customHeight="1" x14ac:dyDescent="0.35">
      <c r="A14" s="10" t="s">
        <v>52</v>
      </c>
      <c r="B14" s="18">
        <f>40-C14</f>
        <v>0</v>
      </c>
      <c r="C14" s="18">
        <v>40</v>
      </c>
      <c r="D14" s="18"/>
      <c r="E14" s="2"/>
      <c r="F14" s="2"/>
      <c r="G14" s="17"/>
      <c r="I14" s="2"/>
    </row>
    <row r="15" spans="1:9" ht="15.75" customHeight="1" x14ac:dyDescent="0.35">
      <c r="A15" s="10" t="s">
        <v>68</v>
      </c>
      <c r="B15" s="18">
        <f>150-C15</f>
        <v>0</v>
      </c>
      <c r="C15" s="18">
        <v>150</v>
      </c>
      <c r="D15" s="18"/>
      <c r="E15" s="2"/>
      <c r="F15" s="2"/>
      <c r="G15" s="2"/>
      <c r="I15" s="2"/>
    </row>
    <row r="16" spans="1:9" ht="15.75" customHeight="1" x14ac:dyDescent="0.35">
      <c r="A16" s="10" t="s">
        <v>53</v>
      </c>
      <c r="B16" s="18">
        <f>85.46-C16</f>
        <v>0</v>
      </c>
      <c r="C16" s="18">
        <v>85.46</v>
      </c>
      <c r="D16" s="18"/>
      <c r="E16" s="2"/>
      <c r="F16" s="2"/>
      <c r="G16" s="17"/>
      <c r="I16" s="2"/>
    </row>
    <row r="17" spans="1:9" ht="15.75" customHeight="1" x14ac:dyDescent="0.35">
      <c r="A17" s="10" t="s">
        <v>55</v>
      </c>
      <c r="B17" s="18">
        <f>(150*3)-C17</f>
        <v>150</v>
      </c>
      <c r="C17" s="18">
        <f>150*2</f>
        <v>300</v>
      </c>
      <c r="D17" s="18"/>
      <c r="E17" s="2"/>
      <c r="F17" s="2"/>
      <c r="G17" s="2"/>
      <c r="I17" s="2"/>
    </row>
    <row r="18" spans="1:9" ht="15.75" customHeight="1" x14ac:dyDescent="0.35">
      <c r="A18" s="10" t="s">
        <v>56</v>
      </c>
      <c r="B18" s="18">
        <f>(30*4+70*3)-C18</f>
        <v>120</v>
      </c>
      <c r="C18" s="18">
        <f>70*3</f>
        <v>210</v>
      </c>
      <c r="D18" s="18"/>
      <c r="E18" s="2"/>
      <c r="F18" s="2"/>
      <c r="G18" s="2"/>
      <c r="I18" s="2"/>
    </row>
    <row r="19" spans="1:9" ht="15.75" hidden="1" customHeight="1" x14ac:dyDescent="0.35">
      <c r="A19" s="14" t="s">
        <v>57</v>
      </c>
      <c r="B19" s="19">
        <v>0</v>
      </c>
      <c r="C19" s="18">
        <v>250</v>
      </c>
      <c r="D19" s="19"/>
      <c r="E19" s="2"/>
      <c r="F19" s="2"/>
      <c r="G19" s="2"/>
      <c r="I19" s="2"/>
    </row>
    <row r="20" spans="1:9" ht="15.75" hidden="1" customHeight="1" x14ac:dyDescent="0.35">
      <c r="A20" s="14" t="s">
        <v>58</v>
      </c>
      <c r="B20" s="18">
        <v>0</v>
      </c>
      <c r="C20" s="18">
        <v>100</v>
      </c>
      <c r="D20" s="18"/>
      <c r="E20" s="2"/>
      <c r="F20" s="2"/>
      <c r="G20" s="2"/>
      <c r="I20" s="2"/>
    </row>
    <row r="21" spans="1:9" ht="15.75" hidden="1" customHeight="1" x14ac:dyDescent="0.35">
      <c r="A21" s="14" t="s">
        <v>59</v>
      </c>
      <c r="B21" s="18">
        <v>0</v>
      </c>
      <c r="C21" s="18">
        <v>300</v>
      </c>
      <c r="D21" s="18"/>
      <c r="E21" s="2"/>
      <c r="F21" s="2"/>
      <c r="G21" s="2"/>
      <c r="I21" s="2"/>
    </row>
    <row r="22" spans="1:9" ht="15.75" hidden="1" customHeight="1" x14ac:dyDescent="0.35">
      <c r="A22" s="14" t="s">
        <v>73</v>
      </c>
      <c r="B22" s="18">
        <v>0</v>
      </c>
      <c r="C22" s="18">
        <v>132.16</v>
      </c>
      <c r="D22" s="18"/>
      <c r="E22" s="2"/>
      <c r="F22" s="2"/>
      <c r="G22" s="2"/>
      <c r="I22" s="2"/>
    </row>
    <row r="23" spans="1:9" ht="15.75" hidden="1" customHeight="1" x14ac:dyDescent="0.35">
      <c r="A23" s="14" t="s">
        <v>72</v>
      </c>
      <c r="B23" s="18">
        <v>0</v>
      </c>
      <c r="C23" s="18">
        <v>96.07</v>
      </c>
      <c r="D23" s="18"/>
      <c r="E23" s="2"/>
      <c r="F23" s="2"/>
      <c r="G23" s="2"/>
      <c r="I23" s="2"/>
    </row>
    <row r="24" spans="1:9" ht="15.75" hidden="1" customHeight="1" x14ac:dyDescent="0.35">
      <c r="A24" s="14" t="s">
        <v>92</v>
      </c>
      <c r="B24" s="18">
        <v>0</v>
      </c>
      <c r="C24" s="18">
        <v>131.85</v>
      </c>
      <c r="D24" s="18"/>
      <c r="E24" s="2"/>
      <c r="F24" s="2"/>
      <c r="G24" s="2"/>
      <c r="I24" s="2"/>
    </row>
    <row r="25" spans="1:9" ht="15.75" hidden="1" customHeight="1" x14ac:dyDescent="0.35">
      <c r="A25" s="14" t="s">
        <v>75</v>
      </c>
      <c r="B25" s="18">
        <v>0</v>
      </c>
      <c r="C25" s="18">
        <f>134.33+69.68</f>
        <v>204.01000000000002</v>
      </c>
      <c r="D25" s="18"/>
      <c r="E25" s="2"/>
      <c r="F25" s="2"/>
      <c r="G25" s="2"/>
      <c r="I25" s="2"/>
    </row>
    <row r="26" spans="1:9" ht="15.75" hidden="1" customHeight="1" x14ac:dyDescent="0.35">
      <c r="A26" s="14" t="s">
        <v>91</v>
      </c>
      <c r="B26" s="18">
        <v>0</v>
      </c>
      <c r="C26" s="18">
        <v>94</v>
      </c>
      <c r="D26" s="18"/>
      <c r="E26" s="2"/>
      <c r="F26" s="2"/>
      <c r="G26" s="2"/>
      <c r="I26" s="2"/>
    </row>
    <row r="27" spans="1:9" ht="15.75" hidden="1" customHeight="1" x14ac:dyDescent="0.35">
      <c r="A27" s="14" t="s">
        <v>97</v>
      </c>
      <c r="B27" s="18">
        <v>0</v>
      </c>
      <c r="C27" s="18">
        <v>166.67</v>
      </c>
      <c r="D27" s="18"/>
      <c r="E27" s="2"/>
      <c r="F27" s="2"/>
      <c r="G27" s="2"/>
      <c r="I27" s="2"/>
    </row>
    <row r="28" spans="1:9" ht="15.75" customHeight="1" x14ac:dyDescent="0.35">
      <c r="A28" s="14" t="s">
        <v>149</v>
      </c>
      <c r="B28" s="18">
        <f>(130+7)*2+((85*4)/12)-C28</f>
        <v>3.3333333333303017E-3</v>
      </c>
      <c r="C28" s="18">
        <v>302.33</v>
      </c>
      <c r="D28" s="18"/>
      <c r="E28" s="2"/>
      <c r="F28" s="2"/>
      <c r="G28" s="2"/>
      <c r="I28" s="2"/>
    </row>
    <row r="29" spans="1:9" ht="15.75" customHeight="1" x14ac:dyDescent="0.35">
      <c r="A29" s="14" t="s">
        <v>153</v>
      </c>
      <c r="B29" s="28">
        <v>0</v>
      </c>
      <c r="C29" s="28">
        <f>40+80</f>
        <v>120</v>
      </c>
      <c r="D29" s="28"/>
      <c r="E29" s="2"/>
      <c r="F29" s="2"/>
      <c r="G29" s="2"/>
      <c r="I29" s="2"/>
    </row>
    <row r="30" spans="1:9" ht="15.75" customHeight="1" x14ac:dyDescent="0.35">
      <c r="A30" s="14" t="s">
        <v>147</v>
      </c>
      <c r="B30" s="28">
        <v>0</v>
      </c>
      <c r="C30" s="28">
        <f>D30</f>
        <v>0</v>
      </c>
      <c r="D30" s="28"/>
      <c r="E30" s="2"/>
      <c r="F30" s="2"/>
      <c r="G30" s="2"/>
      <c r="I30" s="2"/>
    </row>
    <row r="31" spans="1:9" ht="15.75" customHeight="1" x14ac:dyDescent="0.35">
      <c r="A31" s="14" t="s">
        <v>73</v>
      </c>
      <c r="B31" s="28">
        <v>0</v>
      </c>
      <c r="C31" s="28">
        <f>(199.84-49.96)+(194.16-48.64)+(194.16-48.54)</f>
        <v>441.02</v>
      </c>
      <c r="D31" s="28"/>
      <c r="E31" s="2"/>
      <c r="F31" s="2"/>
      <c r="G31" s="2"/>
      <c r="I31" s="2"/>
    </row>
    <row r="32" spans="1:9" ht="15.75" customHeight="1" x14ac:dyDescent="0.35">
      <c r="A32" s="14" t="s">
        <v>72</v>
      </c>
      <c r="B32" s="28">
        <v>0</v>
      </c>
      <c r="C32" s="28">
        <f>(345.45)/3</f>
        <v>115.14999999999999</v>
      </c>
      <c r="D32" s="28"/>
      <c r="E32" s="2"/>
      <c r="F32" s="2"/>
      <c r="G32" s="2"/>
      <c r="I32" s="2"/>
    </row>
    <row r="33" spans="1:9" ht="15.75" customHeight="1" x14ac:dyDescent="0.35">
      <c r="A33" s="14" t="s">
        <v>104</v>
      </c>
      <c r="B33" s="28">
        <f>(63.61+61.38+87.95)-C33</f>
        <v>0</v>
      </c>
      <c r="C33" s="28">
        <f>63.61+61.38+87.95</f>
        <v>212.94</v>
      </c>
      <c r="D33" s="28"/>
      <c r="E33" s="2"/>
      <c r="F33" s="2"/>
      <c r="G33" s="2"/>
      <c r="I33" s="2"/>
    </row>
    <row r="34" spans="1:9" ht="15.75" customHeight="1" x14ac:dyDescent="0.35">
      <c r="A34" s="14" t="s">
        <v>93</v>
      </c>
      <c r="B34" s="28">
        <f>E139-C34</f>
        <v>0</v>
      </c>
      <c r="C34" s="28">
        <v>594</v>
      </c>
      <c r="D34" s="28"/>
      <c r="E34" s="2"/>
      <c r="F34" s="2"/>
      <c r="G34" s="2"/>
      <c r="I34" s="2"/>
    </row>
    <row r="35" spans="1:9" ht="15.75" customHeight="1" x14ac:dyDescent="0.35">
      <c r="A35" s="14" t="s">
        <v>75</v>
      </c>
      <c r="B35" s="28">
        <f>B143</f>
        <v>149.26</v>
      </c>
      <c r="C35" s="28">
        <v>0</v>
      </c>
      <c r="D35" s="28"/>
      <c r="E35" s="2"/>
      <c r="F35" s="2"/>
      <c r="G35" s="2"/>
      <c r="I35" s="2"/>
    </row>
    <row r="36" spans="1:9" ht="15.75" customHeight="1" x14ac:dyDescent="0.35">
      <c r="A36" s="14" t="s">
        <v>243</v>
      </c>
      <c r="B36" s="28">
        <f>132.22-C36</f>
        <v>0</v>
      </c>
      <c r="C36" s="28">
        <v>132.22</v>
      </c>
      <c r="D36" s="28"/>
      <c r="E36" s="2"/>
      <c r="F36" s="2"/>
      <c r="G36" s="2"/>
      <c r="I36" s="2"/>
    </row>
    <row r="37" spans="1:9" ht="15.75" customHeight="1" x14ac:dyDescent="0.35">
      <c r="A37" s="14" t="s">
        <v>244</v>
      </c>
      <c r="B37" s="28">
        <v>0</v>
      </c>
      <c r="C37" s="28">
        <v>150</v>
      </c>
      <c r="D37" s="48"/>
      <c r="E37" s="2"/>
      <c r="F37" s="2"/>
      <c r="G37" s="2"/>
      <c r="I37" s="2"/>
    </row>
    <row r="38" spans="1:9" ht="15.75" customHeight="1" x14ac:dyDescent="0.35">
      <c r="A38" s="14" t="s">
        <v>222</v>
      </c>
      <c r="B38" s="28">
        <f>65.17-C38</f>
        <v>0</v>
      </c>
      <c r="C38" s="28">
        <v>65.17</v>
      </c>
      <c r="E38" s="2"/>
      <c r="F38" s="2"/>
      <c r="G38" s="2"/>
      <c r="I38" s="2"/>
    </row>
    <row r="39" spans="1:9" ht="15.75" customHeight="1" x14ac:dyDescent="0.35">
      <c r="A39" s="14" t="s">
        <v>111</v>
      </c>
      <c r="B39" s="28">
        <f>300-C39</f>
        <v>300</v>
      </c>
      <c r="C39" s="28">
        <v>0</v>
      </c>
      <c r="D39" s="48"/>
      <c r="E39" s="2"/>
      <c r="F39" s="2"/>
      <c r="G39" s="2"/>
      <c r="I39" s="2"/>
    </row>
    <row r="40" spans="1:9" ht="15.75" customHeight="1" x14ac:dyDescent="0.35">
      <c r="A40" s="14" t="s">
        <v>114</v>
      </c>
      <c r="B40" s="28">
        <v>0</v>
      </c>
      <c r="C40" s="28">
        <f>1069.2+200</f>
        <v>1269.2</v>
      </c>
      <c r="D40" s="28"/>
      <c r="E40" s="2"/>
      <c r="F40" s="2"/>
      <c r="G40" s="2"/>
      <c r="I40" s="2"/>
    </row>
    <row r="41" spans="1:9" ht="15.75" customHeight="1" x14ac:dyDescent="0.35">
      <c r="A41" s="14" t="s">
        <v>154</v>
      </c>
      <c r="B41" s="28">
        <v>0</v>
      </c>
      <c r="C41" s="28">
        <f>155+83.32+20</f>
        <v>258.32</v>
      </c>
      <c r="D41" s="28"/>
      <c r="E41" s="2"/>
      <c r="F41" s="2"/>
      <c r="G41" s="2"/>
      <c r="I41" s="2"/>
    </row>
    <row r="42" spans="1:9" ht="15.75" customHeight="1" x14ac:dyDescent="0.35">
      <c r="A42" s="14" t="s">
        <v>191</v>
      </c>
      <c r="B42" s="28">
        <v>0</v>
      </c>
      <c r="C42" s="28">
        <f>(107.49+429.92)+B163</f>
        <v>997.41</v>
      </c>
      <c r="D42" s="53"/>
      <c r="E42" s="2"/>
      <c r="F42" s="2"/>
      <c r="G42" s="2"/>
      <c r="I42" s="2"/>
    </row>
    <row r="43" spans="1:9" ht="15.75" customHeight="1" x14ac:dyDescent="0.35">
      <c r="A43" s="14" t="s">
        <v>192</v>
      </c>
      <c r="B43" s="28">
        <v>0</v>
      </c>
      <c r="C43" s="28">
        <f>(100+680)+B163</f>
        <v>1240</v>
      </c>
      <c r="D43" s="28"/>
      <c r="E43" s="2"/>
      <c r="F43" s="2"/>
      <c r="G43" s="2"/>
      <c r="I43" s="2"/>
    </row>
    <row r="44" spans="1:9" ht="15.75" customHeight="1" x14ac:dyDescent="0.35">
      <c r="A44" s="14" t="s">
        <v>245</v>
      </c>
      <c r="B44" s="28">
        <v>400</v>
      </c>
      <c r="C44" s="28">
        <v>0</v>
      </c>
      <c r="D44" s="28"/>
      <c r="E44" s="2"/>
      <c r="F44" s="2"/>
      <c r="G44" s="2"/>
      <c r="I44" s="2"/>
    </row>
    <row r="45" spans="1:9" ht="15.75" customHeight="1" x14ac:dyDescent="0.35">
      <c r="A45" s="14" t="s">
        <v>150</v>
      </c>
      <c r="B45" s="28">
        <v>0</v>
      </c>
      <c r="C45" s="28">
        <v>0</v>
      </c>
      <c r="D45" s="28"/>
      <c r="E45" s="2"/>
      <c r="F45" s="2"/>
      <c r="G45" s="2"/>
      <c r="I45" s="2"/>
    </row>
    <row r="46" spans="1:9" ht="15.75" customHeight="1" x14ac:dyDescent="0.35">
      <c r="A46" s="7" t="s">
        <v>54</v>
      </c>
      <c r="B46" s="8">
        <f>SUM(B12:B45)</f>
        <v>1119.2633333333333</v>
      </c>
      <c r="C46" s="8">
        <f>SUM(C12:C30)</f>
        <v>6731.4800000000005</v>
      </c>
      <c r="D46" s="8"/>
      <c r="E46" s="2"/>
      <c r="F46" s="2"/>
      <c r="G46" s="2"/>
      <c r="I46" s="2"/>
    </row>
    <row r="47" spans="1:9" ht="15.75" customHeight="1" x14ac:dyDescent="0.35">
      <c r="B47" s="2"/>
      <c r="C47" s="18"/>
      <c r="D47" s="2"/>
      <c r="E47" s="2"/>
      <c r="F47" s="2"/>
      <c r="G47" s="2"/>
      <c r="I47" s="2"/>
    </row>
    <row r="48" spans="1:9" ht="15.75" customHeight="1" x14ac:dyDescent="0.35">
      <c r="A48" s="7" t="s">
        <v>77</v>
      </c>
      <c r="B48" s="9">
        <f>SUM(B1:B3)-B46</f>
        <v>7084.8066666666664</v>
      </c>
      <c r="C48" s="18"/>
      <c r="D48" s="2"/>
      <c r="E48" s="2"/>
      <c r="F48" s="2"/>
      <c r="G48" s="2"/>
      <c r="I48" s="2"/>
    </row>
    <row r="49" spans="1:9" ht="15.75" customHeight="1" x14ac:dyDescent="0.35">
      <c r="B49" s="2"/>
      <c r="C49" s="18"/>
      <c r="D49" s="2"/>
      <c r="E49" s="2"/>
      <c r="F49" s="2"/>
      <c r="G49" s="2"/>
      <c r="I49" s="2"/>
    </row>
    <row r="50" spans="1:9" ht="15.75" customHeight="1" x14ac:dyDescent="0.35">
      <c r="A50" s="10" t="str">
        <f ca="1">"DEPOSITO EN LITROS A FECHA: "&amp;TEXT(TODAY(),"dd-MM-aaaa")</f>
        <v>DEPOSITO EN LITROS A FECHA: 13-08-2025</v>
      </c>
      <c r="B50" s="17">
        <f>C111</f>
        <v>400</v>
      </c>
      <c r="C50" s="18"/>
      <c r="D50" s="2"/>
      <c r="E50" s="2"/>
      <c r="F50" s="2"/>
      <c r="G50" s="2"/>
      <c r="I50" s="2"/>
    </row>
    <row r="51" spans="1:9" ht="15.75" customHeight="1" x14ac:dyDescent="0.35">
      <c r="A51" t="s">
        <v>69</v>
      </c>
      <c r="B51" s="23">
        <f>B119</f>
        <v>3.7383177570093458</v>
      </c>
      <c r="C51" s="18"/>
      <c r="D51" s="2" t="s">
        <v>139</v>
      </c>
      <c r="E51" s="2"/>
      <c r="F51" s="2"/>
      <c r="G51" s="2"/>
      <c r="I51" s="2"/>
    </row>
    <row r="52" spans="1:9" ht="15.75" customHeight="1" x14ac:dyDescent="0.35">
      <c r="A52" t="s">
        <v>70</v>
      </c>
      <c r="B52" s="17">
        <f>C108/B51</f>
        <v>80.25</v>
      </c>
      <c r="C52" s="18"/>
      <c r="D52" s="2"/>
      <c r="E52" s="2"/>
      <c r="F52" s="2"/>
      <c r="G52" s="2"/>
      <c r="I52" s="2"/>
    </row>
    <row r="53" spans="1:9" ht="15.75" hidden="1" customHeight="1" x14ac:dyDescent="0.35">
      <c r="A53" t="s">
        <v>74</v>
      </c>
      <c r="B53" s="5">
        <v>44468</v>
      </c>
      <c r="C53" s="20">
        <v>700</v>
      </c>
      <c r="D53" s="2"/>
      <c r="E53" s="2"/>
      <c r="F53" s="2"/>
      <c r="G53" s="2"/>
      <c r="I53" s="2"/>
    </row>
    <row r="54" spans="1:9" ht="15.75" hidden="1" customHeight="1" x14ac:dyDescent="0.35">
      <c r="A54" t="s">
        <v>74</v>
      </c>
      <c r="B54" s="5">
        <v>44469</v>
      </c>
      <c r="C54" s="20">
        <v>695</v>
      </c>
      <c r="D54" s="2"/>
      <c r="E54" s="2"/>
      <c r="F54" s="2"/>
      <c r="G54" s="2"/>
      <c r="I54" s="2"/>
    </row>
    <row r="55" spans="1:9" ht="15.75" hidden="1" customHeight="1" x14ac:dyDescent="0.35">
      <c r="A55" t="s">
        <v>74</v>
      </c>
      <c r="B55" s="5">
        <v>44475</v>
      </c>
      <c r="C55" s="20">
        <v>690</v>
      </c>
      <c r="D55" s="2"/>
      <c r="E55" s="2"/>
      <c r="F55" s="2"/>
      <c r="G55" s="2"/>
      <c r="I55" s="2"/>
    </row>
    <row r="56" spans="1:9" ht="15.75" hidden="1" customHeight="1" x14ac:dyDescent="0.35">
      <c r="A56" t="s">
        <v>74</v>
      </c>
      <c r="B56" s="5">
        <v>44482</v>
      </c>
      <c r="C56" s="20">
        <v>680</v>
      </c>
      <c r="D56" s="2"/>
      <c r="E56" s="2"/>
      <c r="F56" s="2"/>
      <c r="G56" s="2"/>
      <c r="I56" s="2"/>
    </row>
    <row r="57" spans="1:9" ht="15.75" hidden="1" customHeight="1" x14ac:dyDescent="0.35">
      <c r="A57" t="s">
        <v>74</v>
      </c>
      <c r="B57" s="5">
        <v>44488</v>
      </c>
      <c r="C57" s="20">
        <v>670</v>
      </c>
      <c r="D57" s="2"/>
      <c r="E57" s="2"/>
      <c r="F57" s="2"/>
      <c r="G57" s="2"/>
      <c r="I57" s="2"/>
    </row>
    <row r="58" spans="1:9" ht="15.75" hidden="1" customHeight="1" x14ac:dyDescent="0.35">
      <c r="A58" t="s">
        <v>74</v>
      </c>
      <c r="B58" s="5">
        <v>44496</v>
      </c>
      <c r="C58" s="20">
        <v>650</v>
      </c>
      <c r="D58" s="2"/>
      <c r="E58" s="2"/>
      <c r="F58" s="2"/>
      <c r="G58" s="2"/>
      <c r="I58" s="2"/>
    </row>
    <row r="59" spans="1:9" ht="15.75" hidden="1" customHeight="1" x14ac:dyDescent="0.35">
      <c r="A59" t="s">
        <v>74</v>
      </c>
      <c r="B59" s="5">
        <v>44502</v>
      </c>
      <c r="C59" s="20">
        <v>610</v>
      </c>
      <c r="D59" s="2"/>
      <c r="E59" s="2"/>
      <c r="F59" s="2"/>
      <c r="G59" s="2"/>
      <c r="I59" s="2"/>
    </row>
    <row r="60" spans="1:9" ht="15.75" hidden="1" customHeight="1" x14ac:dyDescent="0.35">
      <c r="A60" t="s">
        <v>74</v>
      </c>
      <c r="B60" s="5">
        <v>44510</v>
      </c>
      <c r="C60" s="20">
        <v>550</v>
      </c>
      <c r="D60" s="2"/>
      <c r="E60" s="2"/>
      <c r="F60" s="2"/>
      <c r="G60" s="2"/>
      <c r="I60" s="2"/>
    </row>
    <row r="61" spans="1:9" ht="15.75" hidden="1" customHeight="1" x14ac:dyDescent="0.35">
      <c r="A61" t="s">
        <v>74</v>
      </c>
      <c r="B61" s="5">
        <v>44515</v>
      </c>
      <c r="C61" s="20">
        <v>520</v>
      </c>
      <c r="D61" s="2"/>
      <c r="E61" s="2"/>
      <c r="F61" s="2"/>
      <c r="G61" s="2"/>
      <c r="I61" s="2"/>
    </row>
    <row r="62" spans="1:9" ht="15.75" hidden="1" customHeight="1" x14ac:dyDescent="0.35">
      <c r="A62" t="s">
        <v>74</v>
      </c>
      <c r="B62" s="5">
        <v>44523</v>
      </c>
      <c r="C62" s="20">
        <v>450</v>
      </c>
      <c r="D62" s="2"/>
      <c r="E62" s="2"/>
      <c r="F62" s="2"/>
      <c r="G62" s="2"/>
      <c r="I62" s="2"/>
    </row>
    <row r="63" spans="1:9" ht="15.75" hidden="1" customHeight="1" x14ac:dyDescent="0.35">
      <c r="A63" t="s">
        <v>74</v>
      </c>
      <c r="B63" s="5">
        <v>44532</v>
      </c>
      <c r="C63" s="20">
        <v>320</v>
      </c>
      <c r="D63" s="2"/>
      <c r="E63" s="2"/>
      <c r="F63" s="2"/>
      <c r="G63" s="2"/>
      <c r="I63" s="2"/>
    </row>
    <row r="64" spans="1:9" ht="15.75" hidden="1" customHeight="1" x14ac:dyDescent="0.35">
      <c r="A64" t="s">
        <v>74</v>
      </c>
      <c r="B64" s="5">
        <v>44539</v>
      </c>
      <c r="C64" s="20">
        <v>260</v>
      </c>
      <c r="D64" s="2"/>
      <c r="E64" s="2"/>
      <c r="F64" s="2"/>
      <c r="G64" s="2"/>
      <c r="I64" s="2"/>
    </row>
    <row r="65" spans="1:9" ht="15.75" hidden="1" customHeight="1" x14ac:dyDescent="0.35">
      <c r="A65" t="s">
        <v>74</v>
      </c>
      <c r="B65" s="5">
        <v>44551</v>
      </c>
      <c r="C65" s="20">
        <v>610</v>
      </c>
      <c r="D65" s="2"/>
      <c r="E65" s="2"/>
      <c r="F65" s="2"/>
      <c r="G65" s="2"/>
      <c r="I65" s="2"/>
    </row>
    <row r="66" spans="1:9" ht="15.75" hidden="1" customHeight="1" x14ac:dyDescent="0.35">
      <c r="A66" t="s">
        <v>74</v>
      </c>
      <c r="B66" s="5">
        <v>44558</v>
      </c>
      <c r="C66" s="20">
        <v>500</v>
      </c>
      <c r="D66" s="2"/>
      <c r="E66" s="2"/>
      <c r="F66" s="2"/>
      <c r="G66" s="2"/>
      <c r="I66" s="2"/>
    </row>
    <row r="67" spans="1:9" ht="15.75" hidden="1" customHeight="1" x14ac:dyDescent="0.35">
      <c r="A67" t="s">
        <v>74</v>
      </c>
      <c r="B67" s="5">
        <v>44568</v>
      </c>
      <c r="C67" s="20">
        <v>360</v>
      </c>
      <c r="D67" s="2"/>
      <c r="E67" s="2"/>
      <c r="F67" s="2"/>
      <c r="G67" s="2"/>
      <c r="I67" s="2"/>
    </row>
    <row r="68" spans="1:9" ht="15.75" hidden="1" customHeight="1" x14ac:dyDescent="0.35">
      <c r="A68" t="s">
        <v>74</v>
      </c>
      <c r="B68" s="5">
        <v>44574</v>
      </c>
      <c r="C68" s="20">
        <v>290</v>
      </c>
      <c r="D68" s="2"/>
      <c r="E68" s="2"/>
      <c r="F68" s="2"/>
      <c r="G68" s="2"/>
      <c r="I68" s="2"/>
    </row>
    <row r="69" spans="1:9" ht="15.75" hidden="1" customHeight="1" x14ac:dyDescent="0.35">
      <c r="A69" t="s">
        <v>74</v>
      </c>
      <c r="B69" s="5">
        <v>44589</v>
      </c>
      <c r="C69" s="20">
        <v>810</v>
      </c>
      <c r="D69" s="2"/>
      <c r="E69" s="2"/>
      <c r="F69" s="2"/>
      <c r="G69" s="2"/>
      <c r="I69" s="2"/>
    </row>
    <row r="70" spans="1:9" ht="15.75" hidden="1" customHeight="1" x14ac:dyDescent="0.35">
      <c r="A70" t="s">
        <v>74</v>
      </c>
      <c r="B70" s="5">
        <v>44592</v>
      </c>
      <c r="C70" s="20">
        <v>780</v>
      </c>
      <c r="D70" s="2"/>
      <c r="E70" s="2"/>
      <c r="F70" s="2"/>
      <c r="G70" s="2"/>
      <c r="I70" s="2"/>
    </row>
    <row r="71" spans="1:9" ht="15.75" hidden="1" customHeight="1" x14ac:dyDescent="0.35">
      <c r="A71" t="s">
        <v>74</v>
      </c>
      <c r="B71" s="5">
        <v>44596</v>
      </c>
      <c r="C71" s="20">
        <v>760</v>
      </c>
      <c r="D71" s="2"/>
      <c r="E71" s="2"/>
      <c r="F71" s="2"/>
      <c r="G71" s="2"/>
      <c r="I71" s="2"/>
    </row>
    <row r="72" spans="1:9" ht="15.75" hidden="1" customHeight="1" x14ac:dyDescent="0.35">
      <c r="A72" t="s">
        <v>74</v>
      </c>
      <c r="B72" s="5">
        <v>44600</v>
      </c>
      <c r="C72" s="20">
        <v>720</v>
      </c>
      <c r="D72" s="2"/>
      <c r="E72" s="2"/>
      <c r="F72" s="2"/>
      <c r="G72" s="2"/>
      <c r="I72" s="2"/>
    </row>
    <row r="73" spans="1:9" ht="15.75" hidden="1" customHeight="1" x14ac:dyDescent="0.35">
      <c r="A73" t="s">
        <v>74</v>
      </c>
      <c r="B73" s="5">
        <v>44608</v>
      </c>
      <c r="C73" s="20">
        <v>650</v>
      </c>
      <c r="D73" s="2"/>
      <c r="E73" s="2"/>
      <c r="F73" s="2"/>
      <c r="G73" s="2"/>
      <c r="I73" s="2"/>
    </row>
    <row r="74" spans="1:9" ht="15.75" hidden="1" customHeight="1" x14ac:dyDescent="0.35">
      <c r="A74" t="s">
        <v>74</v>
      </c>
      <c r="B74" s="5">
        <v>44630</v>
      </c>
      <c r="C74" s="20">
        <v>450</v>
      </c>
      <c r="D74" s="2"/>
      <c r="E74" s="2"/>
      <c r="F74" s="2"/>
      <c r="G74" s="2"/>
      <c r="I74" s="2"/>
    </row>
    <row r="75" spans="1:9" ht="15.75" hidden="1" customHeight="1" x14ac:dyDescent="0.35">
      <c r="A75" t="s">
        <v>74</v>
      </c>
      <c r="B75" s="5">
        <v>44637</v>
      </c>
      <c r="C75" s="20">
        <v>380</v>
      </c>
      <c r="D75" s="2"/>
      <c r="E75" s="2"/>
      <c r="F75" s="2"/>
      <c r="G75" s="2"/>
      <c r="I75" s="2"/>
    </row>
    <row r="76" spans="1:9" ht="15.75" hidden="1" customHeight="1" x14ac:dyDescent="0.35">
      <c r="A76" t="s">
        <v>74</v>
      </c>
      <c r="B76" s="5">
        <v>44643</v>
      </c>
      <c r="C76" s="20">
        <v>320</v>
      </c>
      <c r="D76" s="2"/>
      <c r="E76" s="2"/>
      <c r="F76" s="2"/>
      <c r="G76" s="2"/>
      <c r="I76" s="2"/>
    </row>
    <row r="77" spans="1:9" ht="15.75" hidden="1" customHeight="1" x14ac:dyDescent="0.35">
      <c r="A77" t="s">
        <v>74</v>
      </c>
      <c r="B77" s="5">
        <v>44659</v>
      </c>
      <c r="C77" s="20">
        <v>180</v>
      </c>
      <c r="D77" s="2"/>
      <c r="E77" s="2"/>
      <c r="F77" s="2"/>
      <c r="G77" s="2"/>
      <c r="I77" s="2"/>
    </row>
    <row r="78" spans="1:9" ht="15.75" hidden="1" customHeight="1" x14ac:dyDescent="0.35">
      <c r="A78" t="s">
        <v>74</v>
      </c>
      <c r="B78" s="5">
        <v>44669</v>
      </c>
      <c r="C78" s="20">
        <v>120</v>
      </c>
      <c r="D78" s="2"/>
      <c r="E78" s="2"/>
      <c r="F78" s="2"/>
      <c r="G78" s="2"/>
      <c r="I78" s="2"/>
    </row>
    <row r="79" spans="1:9" ht="15.75" customHeight="1" x14ac:dyDescent="0.35">
      <c r="A79" t="s">
        <v>74</v>
      </c>
      <c r="B79" s="5">
        <v>44841</v>
      </c>
      <c r="C79" s="20">
        <v>905</v>
      </c>
      <c r="D79" s="2"/>
      <c r="E79" s="2"/>
      <c r="F79" s="2"/>
      <c r="G79" s="2"/>
      <c r="I79" s="2"/>
    </row>
    <row r="80" spans="1:9" ht="15.75" customHeight="1" x14ac:dyDescent="0.35">
      <c r="A80" t="s">
        <v>74</v>
      </c>
      <c r="B80" s="5">
        <v>44853</v>
      </c>
      <c r="C80" s="20">
        <v>880</v>
      </c>
      <c r="D80" s="2"/>
      <c r="E80" s="2"/>
      <c r="F80" s="2"/>
      <c r="G80" s="2"/>
      <c r="I80" s="2"/>
    </row>
    <row r="81" spans="1:9" ht="15.75" customHeight="1" x14ac:dyDescent="0.35">
      <c r="A81" t="s">
        <v>74</v>
      </c>
      <c r="B81" s="5">
        <v>44869</v>
      </c>
      <c r="C81" s="20">
        <v>840</v>
      </c>
      <c r="D81" s="2"/>
      <c r="E81" s="2"/>
      <c r="F81" s="2"/>
      <c r="G81" s="2"/>
      <c r="I81" s="2"/>
    </row>
    <row r="82" spans="1:9" ht="15.75" customHeight="1" x14ac:dyDescent="0.35">
      <c r="A82" t="s">
        <v>74</v>
      </c>
      <c r="B82" s="5">
        <v>44905</v>
      </c>
      <c r="C82" s="20">
        <v>1000</v>
      </c>
      <c r="D82" s="2"/>
      <c r="E82" s="2"/>
      <c r="F82" s="2"/>
      <c r="G82" s="2"/>
      <c r="I82" s="2"/>
    </row>
    <row r="83" spans="1:9" ht="15.75" customHeight="1" x14ac:dyDescent="0.35">
      <c r="A83" t="s">
        <v>74</v>
      </c>
      <c r="B83" s="5">
        <v>44914</v>
      </c>
      <c r="C83" s="20">
        <v>910</v>
      </c>
      <c r="D83" s="2"/>
      <c r="E83" s="2"/>
      <c r="F83" s="2"/>
      <c r="G83" s="2"/>
      <c r="I83" s="2"/>
    </row>
    <row r="84" spans="1:9" ht="15.75" customHeight="1" x14ac:dyDescent="0.35">
      <c r="A84" t="s">
        <v>74</v>
      </c>
      <c r="B84" s="5">
        <v>44922</v>
      </c>
      <c r="C84" s="20">
        <v>850</v>
      </c>
      <c r="D84" s="2"/>
      <c r="E84" s="2"/>
      <c r="F84" s="2"/>
      <c r="G84" s="2"/>
      <c r="I84" s="2"/>
    </row>
    <row r="85" spans="1:9" ht="15.75" customHeight="1" x14ac:dyDescent="0.35">
      <c r="A85" t="s">
        <v>74</v>
      </c>
      <c r="B85" s="5">
        <v>45290</v>
      </c>
      <c r="C85" s="20">
        <v>1000</v>
      </c>
      <c r="D85" s="2"/>
      <c r="E85" s="2"/>
      <c r="F85" s="2"/>
      <c r="G85" s="2"/>
      <c r="I85" s="2"/>
    </row>
    <row r="86" spans="1:9" ht="15.75" customHeight="1" x14ac:dyDescent="0.35">
      <c r="A86" t="s">
        <v>74</v>
      </c>
      <c r="B86" s="5">
        <v>44938</v>
      </c>
      <c r="C86" s="20">
        <v>880</v>
      </c>
      <c r="D86" s="2"/>
      <c r="E86" s="2"/>
      <c r="F86" s="2"/>
      <c r="G86" s="2"/>
      <c r="I86" s="2"/>
    </row>
    <row r="87" spans="1:9" ht="15.75" customHeight="1" x14ac:dyDescent="0.35">
      <c r="A87" t="s">
        <v>74</v>
      </c>
      <c r="B87" s="5">
        <v>44942</v>
      </c>
      <c r="C87" s="20">
        <v>830</v>
      </c>
      <c r="D87" s="2"/>
      <c r="E87" s="2"/>
      <c r="F87" s="2"/>
      <c r="G87" s="2"/>
      <c r="I87" s="2"/>
    </row>
    <row r="88" spans="1:9" ht="15.75" customHeight="1" x14ac:dyDescent="0.35">
      <c r="A88" t="s">
        <v>74</v>
      </c>
      <c r="B88" s="5">
        <v>44946</v>
      </c>
      <c r="C88" s="20">
        <v>790</v>
      </c>
      <c r="D88" s="2"/>
      <c r="E88" s="2"/>
      <c r="F88" s="2"/>
      <c r="G88" s="2"/>
      <c r="I88" s="2"/>
    </row>
    <row r="89" spans="1:9" ht="15.75" customHeight="1" x14ac:dyDescent="0.35">
      <c r="A89" t="s">
        <v>74</v>
      </c>
      <c r="B89" s="5">
        <v>44951</v>
      </c>
      <c r="C89" s="20">
        <v>730</v>
      </c>
      <c r="D89" s="2"/>
      <c r="E89" s="2"/>
      <c r="F89" s="2"/>
      <c r="G89" s="2"/>
      <c r="I89" s="2"/>
    </row>
    <row r="90" spans="1:9" ht="15.75" customHeight="1" x14ac:dyDescent="0.35">
      <c r="A90" t="s">
        <v>74</v>
      </c>
      <c r="B90" s="5">
        <v>44958</v>
      </c>
      <c r="C90" s="20">
        <v>650</v>
      </c>
      <c r="D90" s="2"/>
      <c r="E90" s="2"/>
      <c r="F90" s="2"/>
      <c r="G90" s="2"/>
      <c r="I90" s="2"/>
    </row>
    <row r="91" spans="1:9" ht="15.75" customHeight="1" x14ac:dyDescent="0.35">
      <c r="A91" t="s">
        <v>74</v>
      </c>
      <c r="B91" s="5">
        <v>44963</v>
      </c>
      <c r="C91" s="20">
        <v>600</v>
      </c>
      <c r="D91" s="2"/>
      <c r="E91" s="2"/>
      <c r="F91" s="2"/>
      <c r="G91" s="2"/>
      <c r="I91" s="2"/>
    </row>
    <row r="92" spans="1:9" ht="15.75" customHeight="1" x14ac:dyDescent="0.35">
      <c r="A92" t="s">
        <v>74</v>
      </c>
      <c r="B92" s="5">
        <v>44970</v>
      </c>
      <c r="C92" s="20">
        <v>520</v>
      </c>
      <c r="D92" s="2"/>
      <c r="E92" s="2"/>
      <c r="F92" s="2"/>
      <c r="G92" s="2"/>
      <c r="I92" s="2"/>
    </row>
    <row r="93" spans="1:9" ht="15.75" customHeight="1" x14ac:dyDescent="0.35">
      <c r="A93" t="s">
        <v>74</v>
      </c>
      <c r="B93" s="5">
        <v>44980</v>
      </c>
      <c r="C93" s="20">
        <v>450</v>
      </c>
      <c r="D93" s="2"/>
      <c r="E93" s="2"/>
      <c r="F93" s="2"/>
      <c r="G93" s="2"/>
      <c r="I93" s="2"/>
    </row>
    <row r="94" spans="1:9" ht="15.75" customHeight="1" x14ac:dyDescent="0.35">
      <c r="A94" t="s">
        <v>74</v>
      </c>
      <c r="B94" s="5">
        <v>44991</v>
      </c>
      <c r="C94" s="20">
        <v>320</v>
      </c>
      <c r="D94" s="2"/>
      <c r="E94" s="2"/>
      <c r="F94" s="2"/>
      <c r="G94" s="2"/>
      <c r="I94" s="2"/>
    </row>
    <row r="95" spans="1:9" ht="15.75" customHeight="1" x14ac:dyDescent="0.35">
      <c r="A95" t="s">
        <v>74</v>
      </c>
      <c r="B95" s="5">
        <v>44998</v>
      </c>
      <c r="C95" s="20">
        <v>290</v>
      </c>
      <c r="D95" s="2"/>
      <c r="E95" s="2"/>
      <c r="F95" s="2"/>
      <c r="G95" s="2"/>
      <c r="I95" s="2"/>
    </row>
    <row r="96" spans="1:9" ht="15.75" customHeight="1" x14ac:dyDescent="0.35">
      <c r="A96" t="s">
        <v>74</v>
      </c>
      <c r="B96" s="5">
        <v>45008</v>
      </c>
      <c r="C96" s="20">
        <v>230</v>
      </c>
      <c r="D96" s="2"/>
      <c r="E96" s="2"/>
      <c r="F96" s="2"/>
      <c r="G96" s="2"/>
      <c r="I96" s="2"/>
    </row>
    <row r="97" spans="1:9" ht="15.75" customHeight="1" x14ac:dyDescent="0.35">
      <c r="A97" t="s">
        <v>74</v>
      </c>
      <c r="B97" s="5">
        <v>45013</v>
      </c>
      <c r="C97" s="20">
        <v>200</v>
      </c>
      <c r="D97" s="2"/>
      <c r="E97" s="2"/>
      <c r="F97" s="2"/>
      <c r="G97" s="2"/>
      <c r="I97" s="2"/>
    </row>
    <row r="98" spans="1:9" ht="15.75" customHeight="1" x14ac:dyDescent="0.35">
      <c r="A98" t="s">
        <v>74</v>
      </c>
      <c r="B98" s="5">
        <v>45083</v>
      </c>
      <c r="C98" s="20">
        <v>50</v>
      </c>
      <c r="D98" s="2"/>
      <c r="E98" s="2"/>
      <c r="F98" s="2"/>
      <c r="G98" s="2"/>
      <c r="I98" s="2"/>
    </row>
    <row r="99" spans="1:9" ht="15.75" customHeight="1" x14ac:dyDescent="0.35">
      <c r="A99" t="s">
        <v>74</v>
      </c>
      <c r="B99" s="5">
        <v>45086</v>
      </c>
      <c r="C99" s="20">
        <v>550</v>
      </c>
      <c r="D99" s="2"/>
      <c r="E99" s="2"/>
      <c r="F99" s="2"/>
      <c r="G99" s="2"/>
      <c r="I99" s="2"/>
    </row>
    <row r="100" spans="1:9" ht="15.75" customHeight="1" x14ac:dyDescent="0.35">
      <c r="A100" t="s">
        <v>74</v>
      </c>
      <c r="B100" s="5">
        <v>45126</v>
      </c>
      <c r="C100" s="20">
        <v>500</v>
      </c>
      <c r="D100" s="2"/>
      <c r="E100" s="2"/>
      <c r="F100" s="2"/>
      <c r="G100" s="2"/>
      <c r="I100" s="2"/>
    </row>
    <row r="101" spans="1:9" ht="15.75" customHeight="1" x14ac:dyDescent="0.35">
      <c r="A101" t="s">
        <v>74</v>
      </c>
      <c r="B101" s="5">
        <v>45146</v>
      </c>
      <c r="C101" s="20">
        <v>490</v>
      </c>
      <c r="D101" s="2"/>
      <c r="E101" s="2"/>
      <c r="F101" s="2"/>
      <c r="G101" s="2"/>
      <c r="I101" s="2"/>
    </row>
    <row r="102" spans="1:9" ht="15.75" customHeight="1" x14ac:dyDescent="0.35">
      <c r="A102" t="s">
        <v>74</v>
      </c>
      <c r="B102" s="5">
        <v>45236</v>
      </c>
      <c r="C102" s="20">
        <v>350</v>
      </c>
      <c r="D102" s="2"/>
      <c r="E102" s="2"/>
      <c r="F102" s="2"/>
      <c r="G102" s="2"/>
      <c r="I102" s="2"/>
    </row>
    <row r="103" spans="1:9" ht="15.75" customHeight="1" x14ac:dyDescent="0.35">
      <c r="A103" t="s">
        <v>74</v>
      </c>
      <c r="B103" s="5">
        <v>45247</v>
      </c>
      <c r="C103" s="20">
        <v>300</v>
      </c>
      <c r="D103" s="2"/>
      <c r="E103" s="2"/>
      <c r="F103" s="2"/>
      <c r="G103" s="2"/>
      <c r="I103" s="2"/>
    </row>
    <row r="104" spans="1:9" ht="15.75" customHeight="1" x14ac:dyDescent="0.35">
      <c r="A104" s="10" t="s">
        <v>74</v>
      </c>
      <c r="B104" s="5">
        <v>45307</v>
      </c>
      <c r="C104" s="20">
        <v>450</v>
      </c>
      <c r="D104" s="2"/>
      <c r="E104" s="2"/>
      <c r="F104" s="2"/>
      <c r="G104" s="2"/>
      <c r="I104" s="2"/>
    </row>
    <row r="105" spans="1:9" ht="15.75" customHeight="1" x14ac:dyDescent="0.35">
      <c r="A105" s="10" t="s">
        <v>74</v>
      </c>
      <c r="B105" s="5">
        <v>45327</v>
      </c>
      <c r="C105" s="20">
        <v>300</v>
      </c>
      <c r="D105" s="2"/>
      <c r="E105" s="2"/>
      <c r="F105" s="2"/>
      <c r="G105" s="2"/>
      <c r="I105" s="2"/>
    </row>
    <row r="106" spans="1:9" ht="15.75" customHeight="1" x14ac:dyDescent="0.35">
      <c r="A106" s="10" t="s">
        <v>74</v>
      </c>
      <c r="B106" s="5">
        <v>45337</v>
      </c>
      <c r="C106" s="20">
        <v>220</v>
      </c>
      <c r="D106" s="2"/>
      <c r="E106" s="2"/>
      <c r="F106" s="2"/>
      <c r="G106" s="2"/>
      <c r="I106" s="2"/>
    </row>
    <row r="107" spans="1:9" ht="15.75" customHeight="1" x14ac:dyDescent="0.35">
      <c r="A107" s="10" t="s">
        <v>74</v>
      </c>
      <c r="B107" s="5">
        <v>45352</v>
      </c>
      <c r="C107" s="20">
        <v>680</v>
      </c>
      <c r="D107" s="2"/>
      <c r="E107" s="2"/>
      <c r="F107" s="2"/>
      <c r="G107" s="2"/>
      <c r="I107" s="2"/>
    </row>
    <row r="108" spans="1:9" ht="15.75" customHeight="1" x14ac:dyDescent="0.35">
      <c r="A108" s="10" t="s">
        <v>74</v>
      </c>
      <c r="B108" s="5">
        <v>45432</v>
      </c>
      <c r="C108" s="20">
        <v>300</v>
      </c>
      <c r="D108" s="2"/>
      <c r="E108" s="2"/>
      <c r="F108" s="2"/>
      <c r="G108" s="2"/>
      <c r="I108" s="2"/>
    </row>
    <row r="109" spans="1:9" ht="15.75" customHeight="1" x14ac:dyDescent="0.35">
      <c r="A109" s="10" t="s">
        <v>74</v>
      </c>
      <c r="B109" s="5">
        <v>45454</v>
      </c>
      <c r="C109" s="20">
        <v>290</v>
      </c>
      <c r="D109" s="2"/>
      <c r="E109" s="2"/>
      <c r="F109" s="2"/>
      <c r="G109" s="2"/>
      <c r="I109" s="2"/>
    </row>
    <row r="110" spans="1:9" ht="15.75" customHeight="1" x14ac:dyDescent="0.35">
      <c r="A110" s="10" t="s">
        <v>74</v>
      </c>
      <c r="B110" s="5">
        <v>45538</v>
      </c>
      <c r="C110" s="20">
        <v>800</v>
      </c>
      <c r="D110" s="2"/>
      <c r="E110" s="2"/>
      <c r="F110" s="2"/>
      <c r="G110" s="2"/>
      <c r="I110" s="2"/>
    </row>
    <row r="111" spans="1:9" ht="15.75" customHeight="1" x14ac:dyDescent="0.35">
      <c r="A111" s="10" t="s">
        <v>74</v>
      </c>
      <c r="B111" s="5">
        <v>45645</v>
      </c>
      <c r="C111" s="20">
        <v>400</v>
      </c>
      <c r="D111" s="2"/>
      <c r="E111" s="2"/>
      <c r="F111" s="2"/>
      <c r="G111" s="2"/>
      <c r="I111" s="2"/>
    </row>
    <row r="112" spans="1:9" ht="15.75" customHeight="1" x14ac:dyDescent="0.35">
      <c r="A112" s="10" t="s">
        <v>74</v>
      </c>
      <c r="B112" s="5">
        <v>45686</v>
      </c>
      <c r="C112" s="20">
        <v>550</v>
      </c>
      <c r="D112" s="2"/>
      <c r="E112" s="2"/>
      <c r="F112" s="2"/>
      <c r="G112" s="2"/>
      <c r="I112" s="2"/>
    </row>
    <row r="113" spans="1:9" ht="15.75" customHeight="1" x14ac:dyDescent="0.35">
      <c r="A113" s="10"/>
      <c r="B113" s="5"/>
      <c r="C113" s="20"/>
      <c r="D113" s="2"/>
      <c r="E113" s="2"/>
      <c r="F113" s="2"/>
      <c r="G113" s="2"/>
      <c r="I113" s="2"/>
    </row>
    <row r="114" spans="1:9" ht="15.75" customHeight="1" x14ac:dyDescent="0.35">
      <c r="B114" s="5"/>
      <c r="C114" s="20"/>
      <c r="D114" s="2"/>
      <c r="E114" s="2"/>
      <c r="F114" s="2"/>
      <c r="G114" s="2"/>
      <c r="I114" s="2"/>
    </row>
    <row r="115" spans="1:9" ht="15.75" customHeight="1" x14ac:dyDescent="0.35">
      <c r="A115" s="7" t="s">
        <v>71</v>
      </c>
      <c r="B115" s="21">
        <f ca="1">TODAY()+B52-5</f>
        <v>45957.25</v>
      </c>
      <c r="C115" s="18"/>
      <c r="D115" s="2"/>
      <c r="E115" s="2"/>
      <c r="F115" s="2"/>
      <c r="G115" s="2"/>
      <c r="I115" s="2"/>
    </row>
    <row r="116" spans="1:9" ht="15.75" customHeight="1" x14ac:dyDescent="0.35">
      <c r="B116" s="2"/>
      <c r="C116" s="2"/>
      <c r="D116" s="2"/>
      <c r="E116" s="2"/>
      <c r="F116" s="2"/>
      <c r="G116" s="2"/>
      <c r="I116" s="2"/>
    </row>
    <row r="117" spans="1:9" ht="15.75" customHeight="1" x14ac:dyDescent="0.35">
      <c r="A117" s="10" t="s">
        <v>78</v>
      </c>
      <c r="B117" s="17">
        <f>B111-B110</f>
        <v>107</v>
      </c>
      <c r="C117" s="2"/>
      <c r="D117" s="2"/>
      <c r="E117" s="2"/>
      <c r="F117" s="2"/>
      <c r="G117" s="2"/>
      <c r="I117" s="2"/>
    </row>
    <row r="118" spans="1:9" ht="15.75" customHeight="1" x14ac:dyDescent="0.35">
      <c r="A118" s="10" t="s">
        <v>79</v>
      </c>
      <c r="B118" s="22">
        <f>C110-C111</f>
        <v>400</v>
      </c>
      <c r="C118" s="2"/>
      <c r="D118" s="2"/>
      <c r="E118" s="2"/>
      <c r="F118" s="2"/>
      <c r="G118" s="2"/>
      <c r="I118" s="2"/>
    </row>
    <row r="119" spans="1:9" ht="15.75" customHeight="1" x14ac:dyDescent="0.35">
      <c r="A119" s="10" t="s">
        <v>112</v>
      </c>
      <c r="B119" s="33">
        <f>B118/B117</f>
        <v>3.7383177570093458</v>
      </c>
      <c r="C119" s="29">
        <f>B118/B117</f>
        <v>3.7383177570093458</v>
      </c>
      <c r="D119" s="2"/>
      <c r="E119" s="2"/>
      <c r="F119" s="2"/>
      <c r="G119" s="2"/>
      <c r="I119" s="2"/>
    </row>
    <row r="120" spans="1:9" ht="15.75" customHeight="1" x14ac:dyDescent="0.35">
      <c r="A120" s="10" t="s">
        <v>113</v>
      </c>
      <c r="B120" s="33">
        <f ca="1">(SUM(C133:C138)-C108)/(TODAY()-(TODAY()-365))</f>
        <v>7.397260273972603</v>
      </c>
      <c r="C120" s="29"/>
      <c r="D120" s="2"/>
      <c r="E120" s="2"/>
      <c r="F120" s="2"/>
      <c r="G120" s="2"/>
      <c r="I120" s="2"/>
    </row>
    <row r="121" spans="1:9" ht="15.75" customHeight="1" x14ac:dyDescent="0.35">
      <c r="A121" s="10" t="s">
        <v>94</v>
      </c>
      <c r="B121" s="2">
        <f>D138</f>
        <v>1.095</v>
      </c>
      <c r="C121" s="2"/>
      <c r="D121" s="2"/>
      <c r="E121" s="2"/>
      <c r="F121" s="2"/>
      <c r="G121" s="2"/>
      <c r="I121" s="2"/>
    </row>
    <row r="122" spans="1:9" ht="15.75" customHeight="1" x14ac:dyDescent="0.35">
      <c r="A122" s="10" t="s">
        <v>98</v>
      </c>
      <c r="B122" s="2"/>
      <c r="C122" s="2"/>
      <c r="D122" s="2"/>
      <c r="E122" s="2"/>
      <c r="F122" s="2"/>
      <c r="G122" s="2"/>
      <c r="I122" s="2"/>
    </row>
    <row r="123" spans="1:9" ht="15.75" customHeight="1" x14ac:dyDescent="0.35">
      <c r="B123" s="2" t="s">
        <v>14</v>
      </c>
      <c r="C123" s="2" t="s">
        <v>100</v>
      </c>
      <c r="D123" s="2" t="s">
        <v>101</v>
      </c>
      <c r="E123" s="2" t="s">
        <v>1</v>
      </c>
      <c r="F123" s="2"/>
      <c r="G123" s="2"/>
      <c r="I123" s="2"/>
    </row>
    <row r="124" spans="1:9" ht="15.75" customHeight="1" x14ac:dyDescent="0.35">
      <c r="A124" t="s">
        <v>99</v>
      </c>
      <c r="B124" s="5">
        <v>44211</v>
      </c>
      <c r="C124" s="29">
        <v>500</v>
      </c>
      <c r="D124" s="2">
        <f>0.561983*1.21</f>
        <v>0.67999942999999996</v>
      </c>
      <c r="E124" s="2">
        <f t="shared" ref="E124:E137" si="0">C124*D124</f>
        <v>339.99971499999998</v>
      </c>
      <c r="F124" s="2"/>
      <c r="G124" s="2"/>
      <c r="I124" s="2"/>
    </row>
    <row r="125" spans="1:9" ht="15.75" customHeight="1" x14ac:dyDescent="0.35">
      <c r="A125" s="10" t="s">
        <v>99</v>
      </c>
      <c r="B125" s="5">
        <v>44252</v>
      </c>
      <c r="C125" s="29">
        <v>500</v>
      </c>
      <c r="D125" s="2">
        <f>0.570247*1.21</f>
        <v>0.68999886999999993</v>
      </c>
      <c r="E125" s="2">
        <f t="shared" si="0"/>
        <v>344.99943499999995</v>
      </c>
      <c r="F125" s="2"/>
      <c r="G125" s="2"/>
      <c r="I125" s="2"/>
    </row>
    <row r="126" spans="1:9" ht="15.75" customHeight="1" x14ac:dyDescent="0.35">
      <c r="A126" s="10" t="s">
        <v>99</v>
      </c>
      <c r="B126" s="5">
        <v>44308</v>
      </c>
      <c r="C126" s="29">
        <v>500</v>
      </c>
      <c r="D126" s="2">
        <f>0.595041*1.21</f>
        <v>0.71999961000000001</v>
      </c>
      <c r="E126" s="2">
        <f t="shared" si="0"/>
        <v>359.99980499999998</v>
      </c>
      <c r="F126" s="2"/>
      <c r="G126" s="2"/>
      <c r="I126" s="2"/>
    </row>
    <row r="127" spans="1:9" ht="15.75" customHeight="1" x14ac:dyDescent="0.35">
      <c r="A127" s="10" t="s">
        <v>99</v>
      </c>
      <c r="B127" s="5">
        <v>44468</v>
      </c>
      <c r="C127" s="29">
        <v>500</v>
      </c>
      <c r="D127" s="2">
        <f>0.652892*1.21</f>
        <v>0.78999932000000006</v>
      </c>
      <c r="E127" s="2">
        <f t="shared" si="0"/>
        <v>394.99966000000001</v>
      </c>
      <c r="F127" s="2"/>
      <c r="G127" s="2"/>
      <c r="I127" s="2"/>
    </row>
    <row r="128" spans="1:9" ht="15.75" customHeight="1" x14ac:dyDescent="0.35">
      <c r="A128" s="10" t="s">
        <v>99</v>
      </c>
      <c r="B128" s="5">
        <v>44551</v>
      </c>
      <c r="C128" s="29">
        <v>500</v>
      </c>
      <c r="D128" s="2">
        <f>0.694214*1.21</f>
        <v>0.83999893999999997</v>
      </c>
      <c r="E128" s="2">
        <f t="shared" si="0"/>
        <v>419.99946999999997</v>
      </c>
      <c r="F128" s="2"/>
      <c r="G128" s="2"/>
      <c r="I128" s="2"/>
    </row>
    <row r="129" spans="1:9" ht="15.75" customHeight="1" x14ac:dyDescent="0.35">
      <c r="A129" s="10" t="s">
        <v>99</v>
      </c>
      <c r="B129" s="5">
        <v>44589</v>
      </c>
      <c r="C129" s="29">
        <v>800</v>
      </c>
      <c r="D129" s="2">
        <f>0.768595*1.21</f>
        <v>0.92999995000000002</v>
      </c>
      <c r="E129" s="2">
        <f t="shared" si="0"/>
        <v>743.99995999999999</v>
      </c>
      <c r="F129" s="2"/>
      <c r="G129" s="2"/>
      <c r="I129" s="2"/>
    </row>
    <row r="130" spans="1:9" ht="15.75" customHeight="1" x14ac:dyDescent="0.35">
      <c r="A130" s="10" t="s">
        <v>99</v>
      </c>
      <c r="B130" s="5">
        <v>44676</v>
      </c>
      <c r="C130" s="29">
        <v>500</v>
      </c>
      <c r="D130" s="2">
        <v>1.25</v>
      </c>
      <c r="E130" s="2">
        <f t="shared" si="0"/>
        <v>625</v>
      </c>
      <c r="F130" s="2"/>
      <c r="G130" s="2"/>
      <c r="I130" s="2"/>
    </row>
    <row r="131" spans="1:9" ht="15.75" customHeight="1" x14ac:dyDescent="0.35">
      <c r="A131" s="10" t="s">
        <v>99</v>
      </c>
      <c r="B131" s="5">
        <v>44841</v>
      </c>
      <c r="C131" s="29">
        <v>600</v>
      </c>
      <c r="D131" s="2">
        <v>1.23</v>
      </c>
      <c r="E131" s="2">
        <f t="shared" si="0"/>
        <v>738</v>
      </c>
      <c r="F131" s="2"/>
      <c r="G131" s="2"/>
      <c r="I131" s="2"/>
    </row>
    <row r="132" spans="1:9" ht="15.75" customHeight="1" x14ac:dyDescent="0.35">
      <c r="A132" s="10" t="s">
        <v>99</v>
      </c>
      <c r="B132" s="5">
        <v>44905</v>
      </c>
      <c r="C132" s="29">
        <v>400</v>
      </c>
      <c r="D132" s="2">
        <v>1.1000000000000001</v>
      </c>
      <c r="E132" s="2">
        <f t="shared" si="0"/>
        <v>440.00000000000006</v>
      </c>
      <c r="F132" s="2"/>
      <c r="G132" s="2"/>
      <c r="I132" s="2"/>
    </row>
    <row r="133" spans="1:9" ht="15.75" customHeight="1" x14ac:dyDescent="0.35">
      <c r="A133" s="10" t="s">
        <v>99</v>
      </c>
      <c r="B133" s="5">
        <v>45291</v>
      </c>
      <c r="C133" s="29">
        <v>200</v>
      </c>
      <c r="D133" s="2">
        <v>1.24</v>
      </c>
      <c r="E133" s="2">
        <f t="shared" si="0"/>
        <v>248</v>
      </c>
      <c r="F133" s="2"/>
      <c r="G133" s="2"/>
      <c r="I133" s="2"/>
    </row>
    <row r="134" spans="1:9" ht="15.75" customHeight="1" x14ac:dyDescent="0.35">
      <c r="A134" s="10" t="s">
        <v>99</v>
      </c>
      <c r="B134" s="5">
        <f ca="1">B115</f>
        <v>45957.25</v>
      </c>
      <c r="C134" s="29">
        <v>500</v>
      </c>
      <c r="D134" s="2">
        <f>B121</f>
        <v>1.095</v>
      </c>
      <c r="E134" s="2">
        <f t="shared" si="0"/>
        <v>547.5</v>
      </c>
      <c r="F134" s="2"/>
      <c r="G134" s="2"/>
      <c r="I134" s="2"/>
    </row>
    <row r="135" spans="1:9" ht="15.75" customHeight="1" x14ac:dyDescent="0.35">
      <c r="A135" s="10" t="s">
        <v>99</v>
      </c>
      <c r="B135" s="5">
        <v>45175</v>
      </c>
      <c r="C135" s="29">
        <v>500</v>
      </c>
      <c r="D135" s="2">
        <v>0.95</v>
      </c>
      <c r="E135" s="2">
        <f t="shared" si="0"/>
        <v>475</v>
      </c>
      <c r="F135" s="2"/>
      <c r="G135" s="2"/>
      <c r="I135" s="2"/>
    </row>
    <row r="136" spans="1:9" ht="15.75" customHeight="1" x14ac:dyDescent="0.35">
      <c r="A136" s="10" t="s">
        <v>99</v>
      </c>
      <c r="B136" s="5">
        <v>45275</v>
      </c>
      <c r="C136" s="29">
        <v>700</v>
      </c>
      <c r="D136" s="2">
        <v>1.04</v>
      </c>
      <c r="E136" s="2">
        <f t="shared" si="0"/>
        <v>728</v>
      </c>
      <c r="F136" s="2"/>
      <c r="G136" s="2"/>
      <c r="I136" s="2"/>
    </row>
    <row r="137" spans="1:9" ht="15.75" customHeight="1" x14ac:dyDescent="0.35">
      <c r="A137" s="10" t="s">
        <v>99</v>
      </c>
      <c r="B137" s="5">
        <v>45359</v>
      </c>
      <c r="C137" s="29">
        <v>500</v>
      </c>
      <c r="D137" s="2">
        <v>1.1499999999999999</v>
      </c>
      <c r="E137" s="2">
        <f t="shared" si="0"/>
        <v>575</v>
      </c>
      <c r="F137" s="2"/>
      <c r="G137" s="2"/>
      <c r="I137" s="2"/>
    </row>
    <row r="138" spans="1:9" ht="15.75" customHeight="1" x14ac:dyDescent="0.35">
      <c r="A138" s="10" t="s">
        <v>99</v>
      </c>
      <c r="B138" s="5">
        <v>45352</v>
      </c>
      <c r="C138" s="29">
        <v>600</v>
      </c>
      <c r="D138" s="2">
        <v>1.095</v>
      </c>
      <c r="E138" s="2">
        <f t="shared" ref="E138" si="1">C138*D138</f>
        <v>657</v>
      </c>
      <c r="F138" s="2"/>
      <c r="G138" s="2"/>
      <c r="I138" s="2"/>
    </row>
    <row r="139" spans="1:9" ht="15.75" customHeight="1" x14ac:dyDescent="0.35">
      <c r="A139" s="10" t="s">
        <v>99</v>
      </c>
      <c r="B139" s="5">
        <v>45331</v>
      </c>
      <c r="C139" s="29">
        <v>600</v>
      </c>
      <c r="D139" s="2">
        <v>0.99</v>
      </c>
      <c r="E139" s="2">
        <f t="shared" ref="E139" si="2">C139*D139</f>
        <v>594</v>
      </c>
      <c r="F139" s="2"/>
      <c r="G139" s="2"/>
      <c r="I139" s="2"/>
    </row>
    <row r="140" spans="1:9" ht="15.75" customHeight="1" x14ac:dyDescent="0.35">
      <c r="A140" s="10" t="s">
        <v>99</v>
      </c>
      <c r="B140" s="5">
        <v>45667</v>
      </c>
      <c r="C140" s="29">
        <v>600</v>
      </c>
      <c r="D140" s="2">
        <v>1.04</v>
      </c>
      <c r="E140" s="2">
        <f t="shared" ref="E140" si="3">C140*D140</f>
        <v>624</v>
      </c>
      <c r="F140" s="2"/>
      <c r="G140" s="2"/>
      <c r="I140" s="2"/>
    </row>
    <row r="141" spans="1:9" ht="15.75" customHeight="1" x14ac:dyDescent="0.35">
      <c r="A141" s="10" t="s">
        <v>99</v>
      </c>
      <c r="B141" s="5">
        <v>45737</v>
      </c>
      <c r="C141" s="29">
        <v>650</v>
      </c>
      <c r="D141" s="2">
        <v>1.04</v>
      </c>
      <c r="E141" s="2">
        <f t="shared" ref="E141" si="4">C141*D141</f>
        <v>676</v>
      </c>
      <c r="F141" s="2"/>
      <c r="G141" s="2"/>
      <c r="I141" s="2"/>
    </row>
    <row r="142" spans="1:9" ht="15.75" customHeight="1" x14ac:dyDescent="0.35">
      <c r="A142" s="10"/>
      <c r="B142" s="2"/>
      <c r="C142" s="2"/>
      <c r="D142" s="2"/>
      <c r="E142" s="2"/>
      <c r="F142" s="2"/>
      <c r="G142" s="2"/>
      <c r="I142" s="2"/>
    </row>
    <row r="143" spans="1:9" ht="15.75" customHeight="1" x14ac:dyDescent="0.35">
      <c r="A143" s="10" t="s">
        <v>103</v>
      </c>
      <c r="B143" s="2">
        <f>(746.3)/(5)</f>
        <v>149.26</v>
      </c>
      <c r="C143" s="2"/>
      <c r="D143" s="2"/>
      <c r="E143" s="2"/>
      <c r="F143" s="2"/>
      <c r="G143" s="2"/>
      <c r="I143" s="2"/>
    </row>
    <row r="144" spans="1:9" ht="15.75" customHeight="1" x14ac:dyDescent="0.35">
      <c r="A144" s="10" t="s">
        <v>80</v>
      </c>
      <c r="B144" s="2">
        <v>69.680000000000007</v>
      </c>
      <c r="C144" s="2"/>
      <c r="D144" s="2"/>
      <c r="E144" s="2"/>
      <c r="F144" s="2"/>
      <c r="G144" s="2"/>
      <c r="I144" s="2"/>
    </row>
    <row r="145" spans="1:9" ht="15.75" customHeight="1" x14ac:dyDescent="0.35">
      <c r="B145" s="2"/>
      <c r="C145" s="2"/>
      <c r="D145" s="2"/>
      <c r="E145" s="2"/>
      <c r="F145" s="2"/>
      <c r="G145" s="2"/>
      <c r="I145" s="2"/>
    </row>
    <row r="146" spans="1:9" ht="15" customHeight="1" x14ac:dyDescent="0.35">
      <c r="A146" s="10"/>
      <c r="B146" s="2"/>
    </row>
    <row r="147" spans="1:9" ht="15" customHeight="1" x14ac:dyDescent="0.35">
      <c r="A147" s="10" t="s">
        <v>105</v>
      </c>
      <c r="B147" s="24"/>
    </row>
    <row r="148" spans="1:9" ht="15" customHeight="1" x14ac:dyDescent="0.35">
      <c r="A148" s="5">
        <v>44872</v>
      </c>
      <c r="B148" s="31">
        <v>58.07</v>
      </c>
    </row>
    <row r="149" spans="1:9" ht="15" customHeight="1" x14ac:dyDescent="0.35">
      <c r="A149" s="5">
        <v>44876</v>
      </c>
      <c r="B149" s="31">
        <v>63.26</v>
      </c>
    </row>
    <row r="150" spans="1:9" ht="15" customHeight="1" x14ac:dyDescent="0.35">
      <c r="A150" s="5">
        <v>44880</v>
      </c>
      <c r="B150" s="31">
        <v>75.47</v>
      </c>
    </row>
    <row r="151" spans="1:9" ht="15" customHeight="1" x14ac:dyDescent="0.35">
      <c r="A151" s="5">
        <v>44881</v>
      </c>
      <c r="B151" s="31">
        <v>52.61</v>
      </c>
    </row>
    <row r="152" spans="1:9" ht="15" customHeight="1" x14ac:dyDescent="0.35">
      <c r="A152" s="5">
        <v>44886</v>
      </c>
      <c r="B152" s="31">
        <v>61.6</v>
      </c>
    </row>
    <row r="153" spans="1:9" ht="15" customHeight="1" x14ac:dyDescent="0.35">
      <c r="A153" s="5">
        <v>44886</v>
      </c>
      <c r="B153" s="31">
        <v>24.14</v>
      </c>
    </row>
    <row r="154" spans="1:9" ht="15" customHeight="1" x14ac:dyDescent="0.35">
      <c r="A154" s="5">
        <v>44892</v>
      </c>
      <c r="B154" s="31">
        <v>60.61</v>
      </c>
    </row>
    <row r="155" spans="1:9" ht="15" customHeight="1" x14ac:dyDescent="0.35">
      <c r="A155" s="5">
        <v>44895</v>
      </c>
      <c r="B155" s="31">
        <v>59.02</v>
      </c>
    </row>
    <row r="156" spans="1:9" ht="15" customHeight="1" x14ac:dyDescent="0.35">
      <c r="B156" s="5"/>
      <c r="C156" s="31"/>
    </row>
    <row r="157" spans="1:9" ht="15" customHeight="1" x14ac:dyDescent="0.35">
      <c r="A157" s="10" t="s">
        <v>106</v>
      </c>
      <c r="B157" s="31">
        <f>SUM(B148:B155)</f>
        <v>454.78000000000003</v>
      </c>
      <c r="C157" s="31"/>
    </row>
    <row r="158" spans="1:9" ht="15" customHeight="1" x14ac:dyDescent="0.35">
      <c r="A158" s="10" t="s">
        <v>107</v>
      </c>
      <c r="B158" s="31">
        <f>B157/8</f>
        <v>56.847500000000004</v>
      </c>
    </row>
    <row r="159" spans="1:9" ht="15" customHeight="1" x14ac:dyDescent="0.35">
      <c r="A159" s="10" t="s">
        <v>108</v>
      </c>
      <c r="B159" s="32">
        <f>B157-B158</f>
        <v>397.9325</v>
      </c>
    </row>
    <row r="160" spans="1:9" ht="15" customHeight="1" x14ac:dyDescent="0.35">
      <c r="A160" s="10" t="s">
        <v>109</v>
      </c>
      <c r="B160" s="31">
        <f>B158</f>
        <v>56.847500000000004</v>
      </c>
    </row>
    <row r="163" spans="1:2" ht="15" customHeight="1" x14ac:dyDescent="0.35">
      <c r="A163" t="s">
        <v>193</v>
      </c>
      <c r="B163" s="1">
        <f>(70*3)+250</f>
        <v>460</v>
      </c>
    </row>
  </sheetData>
  <pageMargins left="0.7" right="0.7" top="0.75" bottom="0.75" header="0" footer="0"/>
  <pageSetup paperSize="9" orientation="portrait" r:id="rId1"/>
  <ignoredErrors>
    <ignoredError sqref="B120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A1:U100"/>
  <sheetViews>
    <sheetView workbookViewId="0"/>
  </sheetViews>
  <sheetFormatPr baseColWidth="10" defaultColWidth="14.453125" defaultRowHeight="15" customHeight="1" x14ac:dyDescent="0.35"/>
  <cols>
    <col min="1" max="1" width="12" customWidth="1"/>
    <col min="2" max="2" width="16.7265625" customWidth="1"/>
    <col min="3" max="3" width="31" customWidth="1"/>
    <col min="4" max="4" width="29.7265625" customWidth="1"/>
    <col min="5" max="5" width="10.54296875" customWidth="1"/>
    <col min="6" max="6" width="15.7265625" customWidth="1"/>
    <col min="7" max="7" width="14" customWidth="1"/>
    <col min="8" max="8" width="17.7265625" customWidth="1"/>
    <col min="9" max="9" width="20.26953125" customWidth="1"/>
    <col min="10" max="11" width="17.7265625" customWidth="1"/>
    <col min="12" max="12" width="14" customWidth="1"/>
    <col min="13" max="13" width="18.54296875" customWidth="1"/>
    <col min="14" max="14" width="19.26953125" customWidth="1"/>
    <col min="15" max="15" width="15.7265625" customWidth="1"/>
    <col min="16" max="16" width="11.453125" customWidth="1"/>
    <col min="17" max="17" width="15.26953125" customWidth="1"/>
    <col min="18" max="18" width="21.453125" customWidth="1"/>
    <col min="19" max="19" width="14.453125" customWidth="1"/>
    <col min="20" max="20" width="20" customWidth="1"/>
    <col min="21" max="21" width="20.26953125" customWidth="1"/>
  </cols>
  <sheetData>
    <row r="1" spans="1:21" ht="14.5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ht="14.5" x14ac:dyDescent="0.35">
      <c r="A2" s="1">
        <v>178000</v>
      </c>
      <c r="B2" s="1">
        <v>200000</v>
      </c>
      <c r="C2" s="1">
        <v>0</v>
      </c>
      <c r="D2" s="1">
        <f>A2*0.9</f>
        <v>160200</v>
      </c>
      <c r="E2" s="1">
        <f>35000+5000</f>
        <v>40000</v>
      </c>
      <c r="F2" s="1">
        <f>E2-SUM(G2:M2)</f>
        <v>-3840</v>
      </c>
      <c r="G2" s="1">
        <f>A2-D2</f>
        <v>17800</v>
      </c>
      <c r="H2" s="1">
        <f>A2*0.085</f>
        <v>15130.000000000002</v>
      </c>
      <c r="I2" s="1">
        <v>1460</v>
      </c>
      <c r="J2" s="1">
        <v>450</v>
      </c>
      <c r="K2" s="1">
        <v>1200</v>
      </c>
      <c r="L2" s="1">
        <f>SUM(N2:P2)</f>
        <v>5200</v>
      </c>
      <c r="M2" s="1">
        <f>SUM(Q2:U2)</f>
        <v>2600</v>
      </c>
      <c r="N2" s="1">
        <v>700</v>
      </c>
      <c r="O2" s="1">
        <v>1500</v>
      </c>
      <c r="P2" s="1">
        <f>500*5+500</f>
        <v>3000</v>
      </c>
      <c r="Q2" s="1">
        <v>700</v>
      </c>
      <c r="R2" s="1">
        <v>300</v>
      </c>
      <c r="S2" s="1">
        <v>300</v>
      </c>
      <c r="T2" s="1">
        <v>300</v>
      </c>
      <c r="U2" s="1">
        <f>500+200+200+100</f>
        <v>1000</v>
      </c>
    </row>
    <row r="3" spans="1:21" ht="14.5" x14ac:dyDescent="0.35">
      <c r="A3" s="1">
        <v>176000</v>
      </c>
      <c r="B3" s="1">
        <v>200000</v>
      </c>
      <c r="C3" s="1">
        <v>0</v>
      </c>
      <c r="D3" s="1">
        <f>A3*0.9</f>
        <v>158400</v>
      </c>
      <c r="E3" s="1">
        <f>35000+5000</f>
        <v>40000</v>
      </c>
      <c r="F3" s="1">
        <f>E3-SUM(G3:M3)</f>
        <v>-3470</v>
      </c>
      <c r="G3" s="1">
        <f>A3-D3</f>
        <v>17600</v>
      </c>
      <c r="H3" s="1">
        <f>A3*0.085</f>
        <v>14960.000000000002</v>
      </c>
      <c r="I3" s="1">
        <v>1460</v>
      </c>
      <c r="J3" s="1">
        <v>450</v>
      </c>
      <c r="K3" s="1">
        <v>1200</v>
      </c>
      <c r="L3" s="1">
        <f>SUM(N3:P3)</f>
        <v>5200</v>
      </c>
      <c r="M3" s="1">
        <f>SUM(Q3:U3)</f>
        <v>2600</v>
      </c>
      <c r="N3" s="1">
        <v>700</v>
      </c>
      <c r="O3" s="1">
        <v>1500</v>
      </c>
      <c r="P3" s="1">
        <f>500*5+500</f>
        <v>3000</v>
      </c>
      <c r="Q3" s="1">
        <v>700</v>
      </c>
      <c r="R3" s="1">
        <v>300</v>
      </c>
      <c r="S3" s="1">
        <v>300</v>
      </c>
      <c r="T3" s="1">
        <v>300</v>
      </c>
      <c r="U3" s="1">
        <f>500+200+200+100</f>
        <v>1000</v>
      </c>
    </row>
    <row r="4" spans="1:21" ht="14.5" x14ac:dyDescent="0.35">
      <c r="H4" s="1"/>
      <c r="I4" s="1"/>
      <c r="J4" s="1"/>
    </row>
    <row r="5" spans="1:21" ht="14.5" x14ac:dyDescent="0.35">
      <c r="A5" s="1">
        <v>178000</v>
      </c>
      <c r="B5" s="1">
        <v>200000</v>
      </c>
      <c r="C5" s="1">
        <f>B5*0.8</f>
        <v>160000</v>
      </c>
      <c r="D5" s="1">
        <f>A5*0.9</f>
        <v>160200</v>
      </c>
      <c r="E5" s="1">
        <f>35000+5000</f>
        <v>40000</v>
      </c>
      <c r="F5" s="1">
        <f>E5-SUM(G5:M5)</f>
        <v>-4040</v>
      </c>
      <c r="G5" s="1">
        <f>A5-C5</f>
        <v>18000</v>
      </c>
      <c r="H5" s="1">
        <f>A5*0.085</f>
        <v>15130.000000000002</v>
      </c>
      <c r="I5" s="1">
        <v>1460</v>
      </c>
      <c r="J5" s="1">
        <v>450</v>
      </c>
      <c r="K5" s="1">
        <v>1200</v>
      </c>
      <c r="L5" s="1">
        <f>SUM(N5:P5)</f>
        <v>5200</v>
      </c>
      <c r="M5" s="1">
        <f>SUM(Q5:U5)</f>
        <v>2600</v>
      </c>
      <c r="N5" s="1">
        <v>700</v>
      </c>
      <c r="O5" s="1">
        <v>1500</v>
      </c>
      <c r="P5" s="1">
        <f>500*5+500</f>
        <v>3000</v>
      </c>
      <c r="Q5" s="1">
        <v>700</v>
      </c>
      <c r="R5" s="1">
        <v>300</v>
      </c>
      <c r="S5" s="1">
        <v>300</v>
      </c>
      <c r="T5" s="1">
        <v>300</v>
      </c>
      <c r="U5" s="1">
        <f>500+200+200+100</f>
        <v>1000</v>
      </c>
    </row>
    <row r="6" spans="1:21" ht="14.5" x14ac:dyDescent="0.35">
      <c r="A6" s="1">
        <v>176000</v>
      </c>
      <c r="B6" s="1">
        <v>200000</v>
      </c>
      <c r="C6" s="1">
        <f>B6*0.8</f>
        <v>160000</v>
      </c>
      <c r="D6" s="1">
        <f>A6*0.9</f>
        <v>158400</v>
      </c>
      <c r="E6" s="1">
        <f>35000+5000</f>
        <v>40000</v>
      </c>
      <c r="F6" s="1">
        <f>E6-SUM(G6:M6)</f>
        <v>-1870</v>
      </c>
      <c r="G6" s="1">
        <f>A6-C6</f>
        <v>16000</v>
      </c>
      <c r="H6" s="1">
        <f>A6*0.085</f>
        <v>14960.000000000002</v>
      </c>
      <c r="I6" s="1">
        <v>1460</v>
      </c>
      <c r="J6" s="1">
        <v>450</v>
      </c>
      <c r="K6" s="1">
        <v>1200</v>
      </c>
      <c r="L6" s="1">
        <f>SUM(N6:P6)</f>
        <v>5200</v>
      </c>
      <c r="M6" s="1">
        <f>SUM(Q6:U6)</f>
        <v>2600</v>
      </c>
      <c r="N6" s="1">
        <v>700</v>
      </c>
      <c r="O6" s="1">
        <v>1500</v>
      </c>
      <c r="P6" s="1">
        <f>500*5+500</f>
        <v>3000</v>
      </c>
      <c r="Q6" s="1">
        <v>700</v>
      </c>
      <c r="R6" s="1">
        <v>300</v>
      </c>
      <c r="S6" s="1">
        <v>300</v>
      </c>
      <c r="T6" s="1">
        <v>300</v>
      </c>
      <c r="U6" s="1">
        <f>500+200+200+100</f>
        <v>1000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7A64-9B40-4277-B45B-9758224AFFD3}">
  <sheetPr codeName="Hoja2"/>
  <dimension ref="A1:E40"/>
  <sheetViews>
    <sheetView topLeftCell="A22" workbookViewId="0">
      <selection activeCell="B40" sqref="B40"/>
    </sheetView>
  </sheetViews>
  <sheetFormatPr baseColWidth="10" defaultRowHeight="14.5" x14ac:dyDescent="0.35"/>
  <cols>
    <col min="1" max="1" width="19.81640625" bestFit="1" customWidth="1"/>
    <col min="2" max="2" width="16.08984375" bestFit="1" customWidth="1"/>
    <col min="3" max="3" width="12" customWidth="1"/>
  </cols>
  <sheetData>
    <row r="1" spans="1:5" x14ac:dyDescent="0.35">
      <c r="A1" s="10" t="s">
        <v>216</v>
      </c>
      <c r="B1" t="s">
        <v>207</v>
      </c>
      <c r="C1" t="s">
        <v>195</v>
      </c>
      <c r="D1" t="s">
        <v>196</v>
      </c>
      <c r="E1" t="s">
        <v>1</v>
      </c>
    </row>
    <row r="2" spans="1:5" hidden="1" x14ac:dyDescent="0.35">
      <c r="A2" t="s">
        <v>204</v>
      </c>
      <c r="B2" s="1">
        <v>87.13</v>
      </c>
      <c r="C2">
        <v>26</v>
      </c>
      <c r="D2">
        <v>5</v>
      </c>
      <c r="E2" s="1">
        <f>B2*C2</f>
        <v>2265.38</v>
      </c>
    </row>
    <row r="3" spans="1:5" hidden="1" x14ac:dyDescent="0.35">
      <c r="A3" t="s">
        <v>205</v>
      </c>
      <c r="B3" s="1">
        <v>79.540000000000006</v>
      </c>
      <c r="C3">
        <v>26</v>
      </c>
      <c r="D3">
        <v>5</v>
      </c>
      <c r="E3" s="1">
        <f t="shared" ref="E3" si="0">B3*C3</f>
        <v>2068.04</v>
      </c>
    </row>
    <row r="4" spans="1:5" hidden="1" x14ac:dyDescent="0.35">
      <c r="A4" t="s">
        <v>206</v>
      </c>
      <c r="B4" s="1">
        <v>8.07</v>
      </c>
      <c r="C4">
        <v>26</v>
      </c>
      <c r="D4">
        <v>5</v>
      </c>
      <c r="E4" s="1">
        <f>B4*C4</f>
        <v>209.82</v>
      </c>
    </row>
    <row r="5" spans="1:5" hidden="1" x14ac:dyDescent="0.35">
      <c r="A5" t="s">
        <v>208</v>
      </c>
      <c r="B5" s="1">
        <f>SUM(E2:E3)*$B$28</f>
        <v>203.67074</v>
      </c>
      <c r="C5">
        <v>-1</v>
      </c>
      <c r="D5">
        <v>5</v>
      </c>
      <c r="E5" s="1">
        <f>B5*C5</f>
        <v>-203.67074</v>
      </c>
    </row>
    <row r="6" spans="1:5" hidden="1" x14ac:dyDescent="0.35">
      <c r="A6" t="s">
        <v>210</v>
      </c>
      <c r="B6" s="1">
        <f>SUM(E2:E3)*$B$29</f>
        <v>5.6334460000000002</v>
      </c>
      <c r="C6">
        <v>-1</v>
      </c>
      <c r="D6">
        <v>5</v>
      </c>
      <c r="E6" s="1">
        <f t="shared" ref="E6:E10" si="1">B6*C6</f>
        <v>-5.6334460000000002</v>
      </c>
    </row>
    <row r="7" spans="1:5" hidden="1" x14ac:dyDescent="0.35">
      <c r="A7" t="s">
        <v>211</v>
      </c>
      <c r="B7" s="1">
        <f>SUM(E2:E3)*$B$30</f>
        <v>1.6640332800000002</v>
      </c>
      <c r="C7">
        <v>-1</v>
      </c>
      <c r="D7">
        <v>5</v>
      </c>
      <c r="E7" s="1">
        <f t="shared" si="1"/>
        <v>-1.6640332800000002</v>
      </c>
    </row>
    <row r="8" spans="1:5" hidden="1" x14ac:dyDescent="0.35">
      <c r="A8" t="s">
        <v>212</v>
      </c>
      <c r="B8" s="1">
        <f>SUM(E2:E3)*$B$31</f>
        <v>4.3334200000000003</v>
      </c>
      <c r="C8">
        <v>-1</v>
      </c>
      <c r="D8">
        <v>5</v>
      </c>
      <c r="E8" s="1">
        <f t="shared" si="1"/>
        <v>-4.3334200000000003</v>
      </c>
    </row>
    <row r="9" spans="1:5" hidden="1" x14ac:dyDescent="0.35">
      <c r="A9" s="10" t="s">
        <v>213</v>
      </c>
      <c r="B9" s="1">
        <f>SUM(E2:E3)*$B$32</f>
        <v>67.168009999999995</v>
      </c>
      <c r="C9">
        <v>-1</v>
      </c>
      <c r="D9">
        <v>5</v>
      </c>
      <c r="E9" s="1">
        <f t="shared" si="1"/>
        <v>-67.168009999999995</v>
      </c>
    </row>
    <row r="10" spans="1:5" hidden="1" x14ac:dyDescent="0.35">
      <c r="A10" s="10" t="s">
        <v>202</v>
      </c>
      <c r="B10" s="1">
        <f>SUM(E2:E4)*B33</f>
        <v>1013.14252</v>
      </c>
      <c r="C10">
        <v>-1</v>
      </c>
      <c r="D10">
        <v>5</v>
      </c>
      <c r="E10" s="1">
        <f t="shared" si="1"/>
        <v>-1013.14252</v>
      </c>
    </row>
    <row r="11" spans="1:5" x14ac:dyDescent="0.35">
      <c r="A11" t="s">
        <v>204</v>
      </c>
      <c r="B11" s="1">
        <v>87.13</v>
      </c>
      <c r="C11">
        <v>30</v>
      </c>
      <c r="D11" s="10">
        <v>6</v>
      </c>
      <c r="E11" s="1">
        <f>B11*C11</f>
        <v>2613.8999999999996</v>
      </c>
    </row>
    <row r="12" spans="1:5" x14ac:dyDescent="0.35">
      <c r="A12" t="s">
        <v>205</v>
      </c>
      <c r="B12" s="1">
        <v>79.540000000000006</v>
      </c>
      <c r="C12">
        <v>30</v>
      </c>
      <c r="D12" s="10">
        <v>6</v>
      </c>
      <c r="E12" s="1">
        <f t="shared" ref="E12:E13" si="2">B12*C12</f>
        <v>2386.2000000000003</v>
      </c>
    </row>
    <row r="13" spans="1:5" x14ac:dyDescent="0.35">
      <c r="A13" t="s">
        <v>206</v>
      </c>
      <c r="B13" s="1">
        <v>8.07</v>
      </c>
      <c r="C13">
        <v>30</v>
      </c>
      <c r="D13" s="10">
        <v>6</v>
      </c>
      <c r="E13" s="1">
        <f t="shared" si="2"/>
        <v>242.10000000000002</v>
      </c>
    </row>
    <row r="14" spans="1:5" x14ac:dyDescent="0.35">
      <c r="A14" t="s">
        <v>208</v>
      </c>
      <c r="B14" s="1">
        <f>SUM(E11:E12)*$B$28</f>
        <v>235.00470000000001</v>
      </c>
      <c r="C14">
        <v>-1</v>
      </c>
      <c r="D14" s="10">
        <v>6</v>
      </c>
      <c r="E14" s="1">
        <f>B14*C14</f>
        <v>-235.00470000000001</v>
      </c>
    </row>
    <row r="15" spans="1:5" x14ac:dyDescent="0.35">
      <c r="A15" t="s">
        <v>210</v>
      </c>
      <c r="B15" s="1">
        <f>SUM(E12:E13)*$B$29</f>
        <v>3.4167900000000002</v>
      </c>
      <c r="C15">
        <v>-1</v>
      </c>
      <c r="D15" s="10">
        <v>6</v>
      </c>
      <c r="E15" s="1">
        <f t="shared" ref="E15:E19" si="3">B15*C15</f>
        <v>-3.4167900000000002</v>
      </c>
    </row>
    <row r="16" spans="1:5" x14ac:dyDescent="0.35">
      <c r="A16" t="s">
        <v>211</v>
      </c>
      <c r="B16" s="1">
        <f>SUM(E11:E12)*$B$30</f>
        <v>1.9200384000000001</v>
      </c>
      <c r="C16">
        <v>-1</v>
      </c>
      <c r="D16" s="10">
        <v>6</v>
      </c>
      <c r="E16" s="1">
        <f t="shared" si="3"/>
        <v>-1.9200384000000001</v>
      </c>
    </row>
    <row r="17" spans="1:5" x14ac:dyDescent="0.35">
      <c r="A17" t="s">
        <v>212</v>
      </c>
      <c r="B17" s="1">
        <f>SUM(E11:E12)*$B$31</f>
        <v>5.0001000000000007</v>
      </c>
      <c r="C17">
        <v>-1</v>
      </c>
      <c r="D17" s="10">
        <v>6</v>
      </c>
      <c r="E17" s="1">
        <f t="shared" si="3"/>
        <v>-5.0001000000000007</v>
      </c>
    </row>
    <row r="18" spans="1:5" x14ac:dyDescent="0.35">
      <c r="A18" s="10" t="s">
        <v>213</v>
      </c>
      <c r="B18" s="1">
        <f>SUM(E11:E12)*$B$32</f>
        <v>77.501550000000009</v>
      </c>
      <c r="C18">
        <v>-1</v>
      </c>
      <c r="D18" s="10">
        <v>6</v>
      </c>
      <c r="E18" s="1">
        <f t="shared" si="3"/>
        <v>-77.501550000000009</v>
      </c>
    </row>
    <row r="19" spans="1:5" x14ac:dyDescent="0.35">
      <c r="A19" s="10" t="s">
        <v>202</v>
      </c>
      <c r="B19" s="1">
        <f>SUM(E11:E13)*$B$33</f>
        <v>1169.0106000000003</v>
      </c>
      <c r="C19">
        <v>-1</v>
      </c>
      <c r="D19" s="10">
        <v>6</v>
      </c>
      <c r="E19" s="1">
        <f t="shared" si="3"/>
        <v>-1169.0106000000003</v>
      </c>
    </row>
    <row r="20" spans="1:5" x14ac:dyDescent="0.35">
      <c r="A20" t="s">
        <v>215</v>
      </c>
      <c r="B20" s="1"/>
      <c r="E20" s="1">
        <f>SUBTOTAL(109,Tabla2[TOTAL])</f>
        <v>3750.3462215999998</v>
      </c>
    </row>
    <row r="25" spans="1:5" x14ac:dyDescent="0.35">
      <c r="A25" s="10" t="s">
        <v>214</v>
      </c>
      <c r="B25" s="1">
        <f>SUM(E2:E4)</f>
        <v>4543.24</v>
      </c>
    </row>
    <row r="26" spans="1:5" x14ac:dyDescent="0.35">
      <c r="A26" t="s">
        <v>209</v>
      </c>
      <c r="B26">
        <v>4254.8999999999996</v>
      </c>
    </row>
    <row r="27" spans="1:5" x14ac:dyDescent="0.35">
      <c r="A27" t="s">
        <v>203</v>
      </c>
      <c r="B27">
        <f>70000/14</f>
        <v>5000</v>
      </c>
    </row>
    <row r="28" spans="1:5" x14ac:dyDescent="0.35">
      <c r="A28" t="s">
        <v>197</v>
      </c>
      <c r="B28" s="54">
        <v>4.7E-2</v>
      </c>
    </row>
    <row r="29" spans="1:5" x14ac:dyDescent="0.35">
      <c r="A29" t="s">
        <v>198</v>
      </c>
      <c r="B29" s="54">
        <v>1.2999999999999999E-3</v>
      </c>
    </row>
    <row r="30" spans="1:5" x14ac:dyDescent="0.35">
      <c r="A30" t="s">
        <v>199</v>
      </c>
      <c r="B30" s="54">
        <v>3.8400000000000001E-4</v>
      </c>
    </row>
    <row r="31" spans="1:5" x14ac:dyDescent="0.35">
      <c r="A31" t="s">
        <v>200</v>
      </c>
      <c r="B31" s="54">
        <v>1E-3</v>
      </c>
    </row>
    <row r="32" spans="1:5" x14ac:dyDescent="0.35">
      <c r="A32" t="s">
        <v>201</v>
      </c>
      <c r="B32" s="54">
        <v>1.55E-2</v>
      </c>
    </row>
    <row r="33" spans="1:2" x14ac:dyDescent="0.35">
      <c r="A33" t="s">
        <v>202</v>
      </c>
      <c r="B33" s="54">
        <v>0.223</v>
      </c>
    </row>
    <row r="34" spans="1:2" x14ac:dyDescent="0.35">
      <c r="A34" t="s">
        <v>217</v>
      </c>
      <c r="B34" s="1">
        <f>((B27/6)-((B27/6)*B33))*2</f>
        <v>1295</v>
      </c>
    </row>
    <row r="35" spans="1:2" x14ac:dyDescent="0.35">
      <c r="A35" t="s">
        <v>218</v>
      </c>
      <c r="B35" s="54">
        <v>0.16667000000000001</v>
      </c>
    </row>
    <row r="36" spans="1:2" x14ac:dyDescent="0.35">
      <c r="A36" t="s">
        <v>220</v>
      </c>
      <c r="B36">
        <f>B35*((5000/30)*26)</f>
        <v>722.23666666666668</v>
      </c>
    </row>
    <row r="37" spans="1:2" x14ac:dyDescent="0.35">
      <c r="A37" t="s">
        <v>219</v>
      </c>
      <c r="B37">
        <f>B35*B27</f>
        <v>833.35</v>
      </c>
    </row>
    <row r="38" spans="1:2" x14ac:dyDescent="0.35">
      <c r="A38" t="s">
        <v>221</v>
      </c>
      <c r="B38">
        <f>SUM(B36:B37)</f>
        <v>1555.5866666666666</v>
      </c>
    </row>
    <row r="40" spans="1:2" x14ac:dyDescent="0.35">
      <c r="B40">
        <f>((3730/6)/30)*55</f>
        <v>1139.7222222222222</v>
      </c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O20"/>
  <sheetViews>
    <sheetView workbookViewId="0">
      <selection activeCell="J2" sqref="J2"/>
    </sheetView>
  </sheetViews>
  <sheetFormatPr baseColWidth="10" defaultColWidth="9.1796875" defaultRowHeight="14.5" x14ac:dyDescent="0.35"/>
  <cols>
    <col min="1" max="1" width="14.54296875" bestFit="1" customWidth="1"/>
    <col min="2" max="2" width="11.26953125" bestFit="1" customWidth="1"/>
    <col min="3" max="3" width="14.26953125" bestFit="1" customWidth="1"/>
    <col min="4" max="4" width="13.1796875" bestFit="1" customWidth="1"/>
    <col min="5" max="5" width="13.26953125" bestFit="1" customWidth="1"/>
    <col min="6" max="8" width="13.26953125" customWidth="1"/>
    <col min="10" max="10" width="18.453125" bestFit="1" customWidth="1"/>
    <col min="12" max="12" width="8" bestFit="1" customWidth="1"/>
    <col min="13" max="13" width="10.26953125" bestFit="1" customWidth="1"/>
    <col min="15" max="15" width="12.26953125" bestFit="1" customWidth="1"/>
  </cols>
  <sheetData>
    <row r="1" spans="1:15" x14ac:dyDescent="0.35">
      <c r="A1" s="10" t="s">
        <v>166</v>
      </c>
      <c r="B1" s="10" t="s">
        <v>185</v>
      </c>
      <c r="C1" s="10" t="s">
        <v>181</v>
      </c>
      <c r="D1" s="10" t="s">
        <v>168</v>
      </c>
      <c r="E1" s="10" t="s">
        <v>173</v>
      </c>
      <c r="F1" s="10" t="s">
        <v>174</v>
      </c>
      <c r="G1" s="10" t="s">
        <v>175</v>
      </c>
      <c r="H1" s="10" t="s">
        <v>177</v>
      </c>
      <c r="I1" s="10" t="s">
        <v>179</v>
      </c>
      <c r="J1" s="10" t="s">
        <v>180</v>
      </c>
      <c r="K1" s="10" t="s">
        <v>169</v>
      </c>
      <c r="L1" s="10" t="s">
        <v>172</v>
      </c>
      <c r="M1" s="7" t="s">
        <v>170</v>
      </c>
      <c r="N1" s="10" t="s">
        <v>169</v>
      </c>
      <c r="O1" s="7" t="s">
        <v>182</v>
      </c>
    </row>
    <row r="2" spans="1:15" x14ac:dyDescent="0.35">
      <c r="A2" s="10" t="s">
        <v>167</v>
      </c>
      <c r="B2" s="38">
        <v>70000</v>
      </c>
      <c r="C2" s="38">
        <f>B2*0.6854</f>
        <v>47978</v>
      </c>
      <c r="D2" s="38">
        <v>160</v>
      </c>
      <c r="E2">
        <f>50*2</f>
        <v>100</v>
      </c>
      <c r="F2">
        <v>8</v>
      </c>
      <c r="G2">
        <f>E2*F2</f>
        <v>800</v>
      </c>
      <c r="H2" s="32">
        <f>(G2/$B$16)*$B$14</f>
        <v>81.2</v>
      </c>
      <c r="I2" s="38">
        <f>(B2/14)*0.6854</f>
        <v>3427</v>
      </c>
      <c r="J2" s="38">
        <f>I2-D2</f>
        <v>3267</v>
      </c>
      <c r="L2" s="51">
        <f>11*22</f>
        <v>242</v>
      </c>
      <c r="M2" s="52">
        <f>(J2+11*4)-H2</f>
        <v>3229.8</v>
      </c>
      <c r="N2" s="6">
        <v>0.06</v>
      </c>
      <c r="O2" s="52">
        <f>C2*N2</f>
        <v>2878.68</v>
      </c>
    </row>
    <row r="3" spans="1:15" x14ac:dyDescent="0.35">
      <c r="A3" s="10" t="s">
        <v>171</v>
      </c>
      <c r="B3" s="38">
        <v>70000</v>
      </c>
      <c r="C3" s="38">
        <f>B3*0.6854</f>
        <v>47978</v>
      </c>
      <c r="D3" s="38">
        <v>0</v>
      </c>
      <c r="E3">
        <v>110</v>
      </c>
      <c r="F3">
        <v>12</v>
      </c>
      <c r="G3">
        <f>E3*F3</f>
        <v>1320</v>
      </c>
      <c r="H3" s="32">
        <f>(G3/$B$16)*$B$14</f>
        <v>133.97999999999999</v>
      </c>
      <c r="I3" s="38">
        <f>(B3/14)*0.6854</f>
        <v>3427</v>
      </c>
      <c r="J3" s="38">
        <f>I3+D3</f>
        <v>3427</v>
      </c>
      <c r="L3" s="51">
        <f>(11*16)-(11*4)</f>
        <v>132</v>
      </c>
      <c r="M3" s="52">
        <f>SUM(J3+L3)-H3</f>
        <v>3425.02</v>
      </c>
      <c r="N3" s="6">
        <v>0.15</v>
      </c>
      <c r="O3" s="52">
        <f>C3*N3</f>
        <v>7196.7</v>
      </c>
    </row>
    <row r="6" spans="1:15" x14ac:dyDescent="0.35">
      <c r="A6" s="10" t="s">
        <v>186</v>
      </c>
      <c r="B6" s="32">
        <f>M3-M2</f>
        <v>195.2199999999998</v>
      </c>
    </row>
    <row r="7" spans="1:15" x14ac:dyDescent="0.35">
      <c r="A7" s="10"/>
      <c r="B7" s="32"/>
    </row>
    <row r="8" spans="1:15" x14ac:dyDescent="0.35">
      <c r="A8" s="7" t="s">
        <v>166</v>
      </c>
      <c r="B8" s="52" t="s">
        <v>183</v>
      </c>
      <c r="C8" s="7" t="s">
        <v>184</v>
      </c>
    </row>
    <row r="9" spans="1:15" x14ac:dyDescent="0.35">
      <c r="A9" s="7" t="s">
        <v>187</v>
      </c>
      <c r="B9" s="52">
        <f>(M2*14)+O2</f>
        <v>48095.880000000005</v>
      </c>
      <c r="C9" s="52">
        <f>B9/12</f>
        <v>4007.9900000000002</v>
      </c>
    </row>
    <row r="10" spans="1:15" x14ac:dyDescent="0.35">
      <c r="A10" s="7" t="s">
        <v>188</v>
      </c>
      <c r="B10" s="52">
        <f>(M3*14)+O3</f>
        <v>55146.979999999996</v>
      </c>
      <c r="C10" s="52">
        <f>B10/12</f>
        <v>4595.581666666666</v>
      </c>
    </row>
    <row r="13" spans="1:15" x14ac:dyDescent="0.35">
      <c r="A13" s="10" t="s">
        <v>176</v>
      </c>
      <c r="B13" s="31">
        <v>1.45</v>
      </c>
      <c r="C13" s="31"/>
    </row>
    <row r="14" spans="1:15" x14ac:dyDescent="0.35">
      <c r="A14" s="10" t="s">
        <v>178</v>
      </c>
      <c r="B14" s="32">
        <f>B13*45</f>
        <v>65.25</v>
      </c>
      <c r="C14" s="32"/>
    </row>
    <row r="15" spans="1:15" x14ac:dyDescent="0.35">
      <c r="A15" s="10" t="s">
        <v>189</v>
      </c>
      <c r="B15">
        <v>7</v>
      </c>
    </row>
    <row r="16" spans="1:15" x14ac:dyDescent="0.35">
      <c r="A16" s="10" t="s">
        <v>190</v>
      </c>
      <c r="B16" s="50">
        <f>100*(45/B15)</f>
        <v>642.85714285714289</v>
      </c>
      <c r="C16" s="50"/>
    </row>
    <row r="17" spans="1:1" x14ac:dyDescent="0.35">
      <c r="A17" s="32"/>
    </row>
    <row r="20" spans="1:1" x14ac:dyDescent="0.35">
      <c r="A20">
        <f>(1750+4000)/2</f>
        <v>2875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F86"/>
  <sheetViews>
    <sheetView zoomScaleNormal="100" workbookViewId="0">
      <selection activeCell="F2" sqref="F2:F9"/>
    </sheetView>
  </sheetViews>
  <sheetFormatPr baseColWidth="10" defaultColWidth="10.81640625" defaultRowHeight="14.5" x14ac:dyDescent="0.35"/>
  <cols>
    <col min="1" max="1" width="23.26953125" style="40" bestFit="1" customWidth="1"/>
    <col min="2" max="2" width="12.1796875" style="40" customWidth="1"/>
    <col min="3" max="3" width="14.26953125" style="40" bestFit="1" customWidth="1"/>
    <col min="4" max="4" width="23.7265625" style="40" bestFit="1" customWidth="1"/>
    <col min="5" max="5" width="23.7265625" style="40" customWidth="1"/>
    <col min="6" max="6" width="11.1796875" style="40" bestFit="1" customWidth="1"/>
    <col min="7" max="16384" width="10.81640625" style="40"/>
  </cols>
  <sheetData>
    <row r="1" spans="1:6" x14ac:dyDescent="0.35">
      <c r="A1" s="44" t="s">
        <v>140</v>
      </c>
      <c r="B1" s="44" t="s">
        <v>95</v>
      </c>
      <c r="C1" s="44" t="s">
        <v>141</v>
      </c>
      <c r="D1" s="44" t="s">
        <v>142</v>
      </c>
      <c r="E1" s="44" t="s">
        <v>226</v>
      </c>
      <c r="F1" s="44" t="s">
        <v>143</v>
      </c>
    </row>
    <row r="2" spans="1:6" x14ac:dyDescent="0.35">
      <c r="A2" s="55" t="s">
        <v>145</v>
      </c>
      <c r="B2" s="49" t="s">
        <v>144</v>
      </c>
      <c r="C2" s="55" t="s">
        <v>224</v>
      </c>
      <c r="D2" s="55" t="s">
        <v>223</v>
      </c>
      <c r="E2" s="55" t="s">
        <v>227</v>
      </c>
      <c r="F2" s="56">
        <v>3.75</v>
      </c>
    </row>
    <row r="3" spans="1:6" x14ac:dyDescent="0.35">
      <c r="A3" s="55" t="s">
        <v>145</v>
      </c>
      <c r="B3" s="49" t="s">
        <v>144</v>
      </c>
      <c r="C3" s="55" t="s">
        <v>224</v>
      </c>
      <c r="D3" s="55" t="s">
        <v>225</v>
      </c>
      <c r="E3" s="55" t="s">
        <v>227</v>
      </c>
      <c r="F3" s="41">
        <v>6.21</v>
      </c>
    </row>
    <row r="4" spans="1:6" x14ac:dyDescent="0.35">
      <c r="A4" s="55" t="s">
        <v>145</v>
      </c>
      <c r="B4" s="49" t="s">
        <v>144</v>
      </c>
      <c r="C4" s="55" t="s">
        <v>224</v>
      </c>
      <c r="D4" s="55" t="s">
        <v>228</v>
      </c>
      <c r="E4" s="55" t="s">
        <v>227</v>
      </c>
      <c r="F4" s="41">
        <v>6.58</v>
      </c>
    </row>
    <row r="5" spans="1:6" x14ac:dyDescent="0.35">
      <c r="A5" s="55" t="s">
        <v>145</v>
      </c>
      <c r="B5" s="49" t="s">
        <v>144</v>
      </c>
      <c r="C5" s="55" t="s">
        <v>224</v>
      </c>
      <c r="D5" s="55" t="s">
        <v>229</v>
      </c>
      <c r="E5" s="55" t="s">
        <v>227</v>
      </c>
      <c r="F5" s="41">
        <v>8.41</v>
      </c>
    </row>
    <row r="6" spans="1:6" x14ac:dyDescent="0.35">
      <c r="A6" s="55" t="s">
        <v>145</v>
      </c>
      <c r="B6" s="49" t="s">
        <v>144</v>
      </c>
      <c r="C6" s="55" t="s">
        <v>224</v>
      </c>
      <c r="D6" s="55" t="s">
        <v>230</v>
      </c>
      <c r="E6" s="55" t="s">
        <v>227</v>
      </c>
      <c r="F6" s="41">
        <v>10.51</v>
      </c>
    </row>
    <row r="7" spans="1:6" x14ac:dyDescent="0.35">
      <c r="A7" s="55" t="s">
        <v>145</v>
      </c>
      <c r="B7" s="49" t="s">
        <v>144</v>
      </c>
      <c r="C7" s="55" t="s">
        <v>224</v>
      </c>
      <c r="D7" s="55" t="s">
        <v>231</v>
      </c>
      <c r="E7" s="55" t="s">
        <v>227</v>
      </c>
      <c r="F7" s="41">
        <v>7.69</v>
      </c>
    </row>
    <row r="8" spans="1:6" x14ac:dyDescent="0.35">
      <c r="A8" s="55" t="s">
        <v>145</v>
      </c>
      <c r="B8" s="49" t="s">
        <v>144</v>
      </c>
      <c r="C8" s="55" t="s">
        <v>224</v>
      </c>
      <c r="D8" s="55" t="s">
        <v>234</v>
      </c>
      <c r="E8" s="55" t="s">
        <v>232</v>
      </c>
      <c r="F8" s="41">
        <v>20.8</v>
      </c>
    </row>
    <row r="9" spans="1:6" x14ac:dyDescent="0.35">
      <c r="A9" s="55" t="s">
        <v>145</v>
      </c>
      <c r="B9" s="49" t="s">
        <v>144</v>
      </c>
      <c r="C9" s="55" t="s">
        <v>224</v>
      </c>
      <c r="D9" s="55" t="s">
        <v>241</v>
      </c>
      <c r="E9" s="55" t="s">
        <v>242</v>
      </c>
      <c r="F9" s="41">
        <f>19.5*3</f>
        <v>58.5</v>
      </c>
    </row>
    <row r="10" spans="1:6" x14ac:dyDescent="0.35">
      <c r="A10" s="55" t="s">
        <v>145</v>
      </c>
      <c r="B10" s="49" t="s">
        <v>144</v>
      </c>
      <c r="C10" s="55" t="s">
        <v>233</v>
      </c>
      <c r="D10" s="55" t="s">
        <v>235</v>
      </c>
      <c r="E10" s="55" t="s">
        <v>232</v>
      </c>
      <c r="F10" s="41">
        <v>40</v>
      </c>
    </row>
    <row r="11" spans="1:6" x14ac:dyDescent="0.35">
      <c r="A11" s="55" t="s">
        <v>145</v>
      </c>
      <c r="B11" s="49" t="s">
        <v>144</v>
      </c>
      <c r="C11" s="55" t="s">
        <v>233</v>
      </c>
      <c r="D11" s="55" t="s">
        <v>236</v>
      </c>
      <c r="E11" s="55" t="s">
        <v>232</v>
      </c>
      <c r="F11" s="41">
        <v>22</v>
      </c>
    </row>
    <row r="12" spans="1:6" x14ac:dyDescent="0.35">
      <c r="A12" s="55" t="s">
        <v>145</v>
      </c>
      <c r="B12" s="55" t="s">
        <v>144</v>
      </c>
      <c r="C12" s="55" t="s">
        <v>237</v>
      </c>
      <c r="D12" s="55" t="s">
        <v>238</v>
      </c>
      <c r="E12" s="55" t="s">
        <v>232</v>
      </c>
      <c r="F12" s="41">
        <v>20.84</v>
      </c>
    </row>
    <row r="13" spans="1:6" x14ac:dyDescent="0.35">
      <c r="A13" s="55" t="s">
        <v>145</v>
      </c>
      <c r="B13" s="55" t="s">
        <v>144</v>
      </c>
      <c r="C13" s="55" t="s">
        <v>239</v>
      </c>
      <c r="D13" s="55" t="s">
        <v>240</v>
      </c>
      <c r="E13" s="55" t="s">
        <v>232</v>
      </c>
      <c r="F13" s="41">
        <v>33.11</v>
      </c>
    </row>
    <row r="14" spans="1:6" x14ac:dyDescent="0.35">
      <c r="F14" s="41"/>
    </row>
    <row r="15" spans="1:6" x14ac:dyDescent="0.35">
      <c r="B15" s="46"/>
      <c r="C15" s="46"/>
      <c r="F15" s="41"/>
    </row>
    <row r="16" spans="1:6" x14ac:dyDescent="0.35">
      <c r="F16" s="41"/>
    </row>
    <row r="17" spans="1:6" x14ac:dyDescent="0.35">
      <c r="B17" s="46"/>
      <c r="C17" s="46"/>
      <c r="F17" s="41"/>
    </row>
    <row r="18" spans="1:6" x14ac:dyDescent="0.35">
      <c r="B18" s="46"/>
      <c r="C18" s="46"/>
      <c r="F18" s="41"/>
    </row>
    <row r="19" spans="1:6" x14ac:dyDescent="0.35">
      <c r="C19" s="46"/>
      <c r="F19" s="41"/>
    </row>
    <row r="20" spans="1:6" x14ac:dyDescent="0.35">
      <c r="F20" s="41"/>
    </row>
    <row r="21" spans="1:6" x14ac:dyDescent="0.35">
      <c r="B21" s="46"/>
      <c r="F21" s="41"/>
    </row>
    <row r="22" spans="1:6" x14ac:dyDescent="0.35">
      <c r="F22" s="41"/>
    </row>
    <row r="23" spans="1:6" x14ac:dyDescent="0.35">
      <c r="F23" s="41"/>
    </row>
    <row r="24" spans="1:6" x14ac:dyDescent="0.35">
      <c r="F24" s="41"/>
    </row>
    <row r="25" spans="1:6" x14ac:dyDescent="0.35">
      <c r="F25" s="41"/>
    </row>
    <row r="26" spans="1:6" x14ac:dyDescent="0.35">
      <c r="A26" s="45"/>
      <c r="B26" s="45"/>
      <c r="C26" s="45"/>
      <c r="D26" s="45"/>
      <c r="E26" s="45"/>
      <c r="F26" s="41"/>
    </row>
    <row r="27" spans="1:6" x14ac:dyDescent="0.35">
      <c r="F27" s="41"/>
    </row>
    <row r="28" spans="1:6" x14ac:dyDescent="0.35">
      <c r="A28" s="42"/>
      <c r="B28" s="42"/>
      <c r="C28" s="42"/>
      <c r="D28" s="42"/>
      <c r="E28" s="42"/>
      <c r="F28" s="43"/>
    </row>
    <row r="29" spans="1:6" x14ac:dyDescent="0.35">
      <c r="A29" s="42"/>
      <c r="B29" s="42"/>
      <c r="C29" s="42"/>
      <c r="D29" s="42"/>
      <c r="E29" s="42"/>
      <c r="F29" s="43"/>
    </row>
    <row r="30" spans="1:6" x14ac:dyDescent="0.35">
      <c r="A30" s="42"/>
      <c r="B30" s="42"/>
      <c r="C30" s="42"/>
      <c r="D30" s="42"/>
      <c r="E30" s="42"/>
      <c r="F30" s="43"/>
    </row>
    <row r="31" spans="1:6" x14ac:dyDescent="0.35">
      <c r="A31" s="42"/>
      <c r="B31" s="42"/>
      <c r="C31" s="42"/>
      <c r="D31" s="42"/>
      <c r="E31" s="42"/>
      <c r="F31" s="43"/>
    </row>
    <row r="32" spans="1:6" x14ac:dyDescent="0.35">
      <c r="A32" s="42"/>
      <c r="B32" s="42"/>
      <c r="C32" s="42"/>
      <c r="D32" s="42"/>
      <c r="E32" s="42"/>
      <c r="F32" s="43"/>
    </row>
    <row r="33" spans="1:6" x14ac:dyDescent="0.35">
      <c r="A33" s="42"/>
      <c r="B33" s="42"/>
      <c r="C33" s="42"/>
      <c r="D33" s="42"/>
      <c r="E33" s="42"/>
      <c r="F33" s="43"/>
    </row>
    <row r="34" spans="1:6" x14ac:dyDescent="0.35">
      <c r="A34" s="42"/>
      <c r="B34" s="42"/>
      <c r="C34" s="42"/>
      <c r="D34" s="42"/>
      <c r="E34" s="42"/>
      <c r="F34" s="43"/>
    </row>
    <row r="35" spans="1:6" x14ac:dyDescent="0.35">
      <c r="A35" s="42"/>
      <c r="F35" s="43"/>
    </row>
    <row r="36" spans="1:6" x14ac:dyDescent="0.35">
      <c r="A36" s="42"/>
      <c r="F36" s="41"/>
    </row>
    <row r="37" spans="1:6" x14ac:dyDescent="0.35">
      <c r="F37" s="41"/>
    </row>
    <row r="38" spans="1:6" x14ac:dyDescent="0.35">
      <c r="F38" s="41"/>
    </row>
    <row r="39" spans="1:6" x14ac:dyDescent="0.35">
      <c r="F39" s="41"/>
    </row>
    <row r="40" spans="1:6" x14ac:dyDescent="0.35">
      <c r="F40" s="41"/>
    </row>
    <row r="41" spans="1:6" x14ac:dyDescent="0.35">
      <c r="F41" s="41"/>
    </row>
    <row r="42" spans="1:6" x14ac:dyDescent="0.35">
      <c r="F42" s="41"/>
    </row>
    <row r="43" spans="1:6" x14ac:dyDescent="0.35">
      <c r="F43" s="41"/>
    </row>
    <row r="44" spans="1:6" x14ac:dyDescent="0.35">
      <c r="F44" s="41"/>
    </row>
    <row r="45" spans="1:6" x14ac:dyDescent="0.35">
      <c r="F45" s="41"/>
    </row>
    <row r="46" spans="1:6" x14ac:dyDescent="0.35">
      <c r="F46" s="41"/>
    </row>
    <row r="47" spans="1:6" x14ac:dyDescent="0.35">
      <c r="F47" s="41"/>
    </row>
    <row r="48" spans="1:6" x14ac:dyDescent="0.35">
      <c r="F48" s="41"/>
    </row>
    <row r="49" spans="6:6" x14ac:dyDescent="0.35">
      <c r="F49" s="41"/>
    </row>
    <row r="50" spans="6:6" x14ac:dyDescent="0.35">
      <c r="F50" s="41"/>
    </row>
    <row r="51" spans="6:6" x14ac:dyDescent="0.35">
      <c r="F51" s="41"/>
    </row>
    <row r="52" spans="6:6" x14ac:dyDescent="0.35">
      <c r="F52" s="41"/>
    </row>
    <row r="53" spans="6:6" x14ac:dyDescent="0.35">
      <c r="F53" s="41"/>
    </row>
    <row r="54" spans="6:6" x14ac:dyDescent="0.35">
      <c r="F54" s="41"/>
    </row>
    <row r="55" spans="6:6" x14ac:dyDescent="0.35">
      <c r="F55" s="41"/>
    </row>
    <row r="56" spans="6:6" x14ac:dyDescent="0.35">
      <c r="F56" s="41"/>
    </row>
    <row r="57" spans="6:6" x14ac:dyDescent="0.35">
      <c r="F57" s="41"/>
    </row>
    <row r="58" spans="6:6" x14ac:dyDescent="0.35">
      <c r="F58" s="41"/>
    </row>
    <row r="59" spans="6:6" x14ac:dyDescent="0.35">
      <c r="F59" s="41"/>
    </row>
    <row r="60" spans="6:6" x14ac:dyDescent="0.35">
      <c r="F60" s="41"/>
    </row>
    <row r="61" spans="6:6" x14ac:dyDescent="0.35">
      <c r="F61" s="41"/>
    </row>
    <row r="62" spans="6:6" x14ac:dyDescent="0.35">
      <c r="F62" s="41"/>
    </row>
    <row r="63" spans="6:6" x14ac:dyDescent="0.35">
      <c r="F63" s="41"/>
    </row>
    <row r="64" spans="6:6" x14ac:dyDescent="0.35">
      <c r="F64" s="41"/>
    </row>
    <row r="65" spans="6:6" x14ac:dyDescent="0.35">
      <c r="F65" s="41"/>
    </row>
    <row r="66" spans="6:6" x14ac:dyDescent="0.35">
      <c r="F66" s="41"/>
    </row>
    <row r="67" spans="6:6" x14ac:dyDescent="0.35">
      <c r="F67" s="41"/>
    </row>
    <row r="68" spans="6:6" x14ac:dyDescent="0.35">
      <c r="F68" s="41"/>
    </row>
    <row r="69" spans="6:6" x14ac:dyDescent="0.35">
      <c r="F69" s="41"/>
    </row>
    <row r="70" spans="6:6" x14ac:dyDescent="0.35">
      <c r="F70" s="41"/>
    </row>
    <row r="71" spans="6:6" x14ac:dyDescent="0.35">
      <c r="F71" s="41"/>
    </row>
    <row r="72" spans="6:6" x14ac:dyDescent="0.35">
      <c r="F72" s="41"/>
    </row>
    <row r="73" spans="6:6" x14ac:dyDescent="0.35">
      <c r="F73" s="41"/>
    </row>
    <row r="74" spans="6:6" x14ac:dyDescent="0.35">
      <c r="F74" s="41"/>
    </row>
    <row r="75" spans="6:6" x14ac:dyDescent="0.35">
      <c r="F75" s="41"/>
    </row>
    <row r="76" spans="6:6" x14ac:dyDescent="0.35">
      <c r="F76" s="41"/>
    </row>
    <row r="77" spans="6:6" x14ac:dyDescent="0.35">
      <c r="F77" s="41"/>
    </row>
    <row r="78" spans="6:6" x14ac:dyDescent="0.35">
      <c r="F78" s="41"/>
    </row>
    <row r="79" spans="6:6" x14ac:dyDescent="0.35">
      <c r="F79" s="41"/>
    </row>
    <row r="80" spans="6:6" x14ac:dyDescent="0.35">
      <c r="F80" s="41"/>
    </row>
    <row r="81" spans="6:6" x14ac:dyDescent="0.35">
      <c r="F81" s="41"/>
    </row>
    <row r="82" spans="6:6" x14ac:dyDescent="0.35">
      <c r="F82" s="41"/>
    </row>
    <row r="83" spans="6:6" x14ac:dyDescent="0.35">
      <c r="F83" s="41"/>
    </row>
    <row r="84" spans="6:6" x14ac:dyDescent="0.35">
      <c r="F84" s="41"/>
    </row>
    <row r="85" spans="6:6" x14ac:dyDescent="0.35">
      <c r="F85" s="41"/>
    </row>
    <row r="86" spans="6:6" x14ac:dyDescent="0.35">
      <c r="F86" s="4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12"/>
  <sheetViews>
    <sheetView workbookViewId="0">
      <selection activeCell="D7" sqref="D7"/>
    </sheetView>
  </sheetViews>
  <sheetFormatPr baseColWidth="10" defaultColWidth="10.81640625" defaultRowHeight="14.5" x14ac:dyDescent="0.35"/>
  <cols>
    <col min="1" max="1" width="25.7265625" bestFit="1" customWidth="1"/>
    <col min="2" max="2" width="10.81640625" style="37"/>
  </cols>
  <sheetData>
    <row r="1" spans="1:2" x14ac:dyDescent="0.35">
      <c r="A1" s="10" t="s">
        <v>128</v>
      </c>
      <c r="B1" s="37">
        <v>1926.37</v>
      </c>
    </row>
    <row r="2" spans="1:2" x14ac:dyDescent="0.35">
      <c r="A2" t="s">
        <v>127</v>
      </c>
      <c r="B2" s="37">
        <f>-442.3*2</f>
        <v>-884.6</v>
      </c>
    </row>
    <row r="3" spans="1:2" x14ac:dyDescent="0.35">
      <c r="A3" s="10" t="s">
        <v>129</v>
      </c>
      <c r="B3" s="37">
        <v>-564.41</v>
      </c>
    </row>
    <row r="4" spans="1:2" x14ac:dyDescent="0.35">
      <c r="A4" s="10" t="s">
        <v>130</v>
      </c>
      <c r="B4" s="37">
        <v>-566.35</v>
      </c>
    </row>
    <row r="5" spans="1:2" x14ac:dyDescent="0.35">
      <c r="A5" s="10" t="s">
        <v>136</v>
      </c>
      <c r="B5" s="37">
        <f>SUM(B2:B4)+B1</f>
        <v>-88.990000000000236</v>
      </c>
    </row>
    <row r="6" spans="1:2" x14ac:dyDescent="0.35">
      <c r="A6" s="7" t="s">
        <v>131</v>
      </c>
      <c r="B6" s="25">
        <v>-568.23</v>
      </c>
    </row>
    <row r="7" spans="1:2" x14ac:dyDescent="0.35">
      <c r="A7" s="7" t="s">
        <v>132</v>
      </c>
      <c r="B7" s="25">
        <v>-570.19000000000005</v>
      </c>
    </row>
    <row r="8" spans="1:2" x14ac:dyDescent="0.35">
      <c r="A8" s="7" t="s">
        <v>133</v>
      </c>
      <c r="B8" s="25">
        <f>-71.46</f>
        <v>-71.459999999999994</v>
      </c>
    </row>
    <row r="9" spans="1:2" x14ac:dyDescent="0.35">
      <c r="A9" s="7" t="s">
        <v>135</v>
      </c>
      <c r="B9" s="25">
        <v>-86.16</v>
      </c>
    </row>
    <row r="10" spans="1:2" x14ac:dyDescent="0.35">
      <c r="A10" s="7" t="s">
        <v>134</v>
      </c>
      <c r="B10" s="25">
        <v>-211.98</v>
      </c>
    </row>
    <row r="12" spans="1:2" x14ac:dyDescent="0.35">
      <c r="A12" s="7" t="s">
        <v>137</v>
      </c>
      <c r="B12" s="25">
        <f>SUM(B1:B10)</f>
        <v>-1686.0000000000005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28"/>
  <sheetViews>
    <sheetView topLeftCell="A4" workbookViewId="0">
      <selection activeCell="B18" sqref="B18"/>
    </sheetView>
  </sheetViews>
  <sheetFormatPr baseColWidth="10" defaultColWidth="8.7265625" defaultRowHeight="14.5" x14ac:dyDescent="0.35"/>
  <cols>
    <col min="1" max="1" width="33.81640625" customWidth="1"/>
    <col min="2" max="2" width="8" bestFit="1" customWidth="1"/>
  </cols>
  <sheetData>
    <row r="1" spans="1:2" x14ac:dyDescent="0.35">
      <c r="A1" s="10" t="s">
        <v>165</v>
      </c>
      <c r="B1" s="37">
        <f>B28*B21*5</f>
        <v>377.30580000000003</v>
      </c>
    </row>
    <row r="2" spans="1:2" x14ac:dyDescent="0.35">
      <c r="A2" s="10" t="s">
        <v>119</v>
      </c>
      <c r="B2" s="37">
        <f>600/12</f>
        <v>50</v>
      </c>
    </row>
    <row r="3" spans="1:2" x14ac:dyDescent="0.35">
      <c r="A3" s="10" t="s">
        <v>117</v>
      </c>
      <c r="B3" s="37">
        <v>145</v>
      </c>
    </row>
    <row r="4" spans="1:2" x14ac:dyDescent="0.35">
      <c r="A4" s="10" t="s">
        <v>118</v>
      </c>
      <c r="B4" s="37">
        <v>145</v>
      </c>
    </row>
    <row r="5" spans="1:2" x14ac:dyDescent="0.35">
      <c r="A5" s="10" t="s">
        <v>155</v>
      </c>
      <c r="B5" s="37">
        <v>86</v>
      </c>
    </row>
    <row r="6" spans="1:2" x14ac:dyDescent="0.35">
      <c r="A6" s="10" t="s">
        <v>156</v>
      </c>
      <c r="B6" s="37">
        <v>86</v>
      </c>
    </row>
    <row r="7" spans="1:2" x14ac:dyDescent="0.35">
      <c r="A7" s="10" t="s">
        <v>122</v>
      </c>
      <c r="B7" s="37">
        <f>250/12</f>
        <v>20.833333333333332</v>
      </c>
    </row>
    <row r="8" spans="1:2" x14ac:dyDescent="0.35">
      <c r="A8" s="10" t="s">
        <v>123</v>
      </c>
      <c r="B8" s="38">
        <v>50</v>
      </c>
    </row>
    <row r="9" spans="1:2" x14ac:dyDescent="0.35">
      <c r="A9" s="7" t="s">
        <v>1</v>
      </c>
      <c r="B9" s="39">
        <f>SUM(B1:B8)</f>
        <v>960.13913333333346</v>
      </c>
    </row>
    <row r="10" spans="1:2" x14ac:dyDescent="0.35">
      <c r="A10" s="10"/>
      <c r="B10" s="38"/>
    </row>
    <row r="12" spans="1:2" x14ac:dyDescent="0.35">
      <c r="A12" s="10" t="s">
        <v>120</v>
      </c>
      <c r="B12">
        <f>132*22</f>
        <v>2904</v>
      </c>
    </row>
    <row r="13" spans="1:2" x14ac:dyDescent="0.35">
      <c r="A13" s="10" t="s">
        <v>121</v>
      </c>
      <c r="B13" s="10">
        <f>132*22*12</f>
        <v>34848</v>
      </c>
    </row>
    <row r="14" spans="1:2" x14ac:dyDescent="0.35">
      <c r="A14" s="10" t="s">
        <v>157</v>
      </c>
      <c r="B14" s="38">
        <v>1100</v>
      </c>
    </row>
    <row r="15" spans="1:2" x14ac:dyDescent="0.35">
      <c r="A15" s="10" t="s">
        <v>124</v>
      </c>
      <c r="B15" s="38">
        <v>1300</v>
      </c>
    </row>
    <row r="17" spans="1:2" x14ac:dyDescent="0.35">
      <c r="A17" s="10" t="s">
        <v>125</v>
      </c>
      <c r="B17" s="38">
        <f>B14-B9</f>
        <v>139.86086666666654</v>
      </c>
    </row>
    <row r="18" spans="1:2" x14ac:dyDescent="0.35">
      <c r="A18" s="10" t="s">
        <v>126</v>
      </c>
      <c r="B18" s="38">
        <f>B15-B9</f>
        <v>339.86086666666654</v>
      </c>
    </row>
    <row r="21" spans="1:2" x14ac:dyDescent="0.35">
      <c r="A21" t="s">
        <v>158</v>
      </c>
      <c r="B21">
        <v>1.4390000000000001</v>
      </c>
    </row>
    <row r="22" spans="1:2" x14ac:dyDescent="0.35">
      <c r="A22" t="s">
        <v>159</v>
      </c>
      <c r="B22">
        <v>1.339</v>
      </c>
    </row>
    <row r="23" spans="1:2" x14ac:dyDescent="0.35">
      <c r="A23" t="s">
        <v>160</v>
      </c>
      <c r="B23">
        <v>56</v>
      </c>
    </row>
    <row r="24" spans="1:2" x14ac:dyDescent="0.35">
      <c r="A24" t="s">
        <v>161</v>
      </c>
      <c r="B24">
        <f>7.6/100</f>
        <v>7.5999999999999998E-2</v>
      </c>
    </row>
    <row r="26" spans="1:2" x14ac:dyDescent="0.35">
      <c r="A26" s="10" t="s">
        <v>163</v>
      </c>
      <c r="B26" s="10">
        <f>69*2*5</f>
        <v>690</v>
      </c>
    </row>
    <row r="27" spans="1:2" x14ac:dyDescent="0.35">
      <c r="A27" s="10" t="s">
        <v>162</v>
      </c>
      <c r="B27" s="47">
        <f>B24</f>
        <v>7.5999999999999998E-2</v>
      </c>
    </row>
    <row r="28" spans="1:2" x14ac:dyDescent="0.35">
      <c r="A28" s="10" t="s">
        <v>164</v>
      </c>
      <c r="B28" s="47">
        <f>B27*B26</f>
        <v>52.44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D37"/>
  <sheetViews>
    <sheetView topLeftCell="A13" workbookViewId="0">
      <selection activeCell="D23" sqref="D23"/>
    </sheetView>
  </sheetViews>
  <sheetFormatPr baseColWidth="10" defaultColWidth="10.7265625" defaultRowHeight="14.5" x14ac:dyDescent="0.35"/>
  <cols>
    <col min="1" max="1" width="20.26953125" bestFit="1" customWidth="1"/>
    <col min="2" max="2" width="26.7265625" customWidth="1"/>
    <col min="3" max="3" width="26.7265625" bestFit="1" customWidth="1"/>
    <col min="4" max="4" width="18.26953125" bestFit="1" customWidth="1"/>
  </cols>
  <sheetData>
    <row r="1" spans="1:4" x14ac:dyDescent="0.35">
      <c r="A1" s="15" t="s">
        <v>14</v>
      </c>
      <c r="B1" s="15" t="s">
        <v>63</v>
      </c>
      <c r="C1" t="s">
        <v>62</v>
      </c>
      <c r="D1" s="10" t="s">
        <v>64</v>
      </c>
    </row>
    <row r="2" spans="1:4" x14ac:dyDescent="0.35">
      <c r="A2" s="5">
        <v>44312</v>
      </c>
      <c r="B2" s="16">
        <v>44312</v>
      </c>
      <c r="C2">
        <v>1</v>
      </c>
    </row>
    <row r="3" spans="1:4" x14ac:dyDescent="0.35">
      <c r="A3" s="5">
        <v>44313</v>
      </c>
      <c r="B3" s="16">
        <v>44313</v>
      </c>
      <c r="C3">
        <v>0</v>
      </c>
    </row>
    <row r="4" spans="1:4" x14ac:dyDescent="0.35">
      <c r="A4" s="5">
        <v>44314</v>
      </c>
      <c r="B4" s="16">
        <v>44314</v>
      </c>
      <c r="C4">
        <v>1</v>
      </c>
    </row>
    <row r="5" spans="1:4" x14ac:dyDescent="0.35">
      <c r="A5" s="5">
        <v>44315</v>
      </c>
      <c r="B5" s="16">
        <v>44315</v>
      </c>
      <c r="C5">
        <v>1</v>
      </c>
    </row>
    <row r="6" spans="1:4" x14ac:dyDescent="0.35">
      <c r="A6" s="5">
        <v>44316</v>
      </c>
      <c r="B6" s="16">
        <v>44316</v>
      </c>
      <c r="C6">
        <v>1</v>
      </c>
    </row>
    <row r="7" spans="1:4" x14ac:dyDescent="0.35">
      <c r="A7" s="5">
        <v>44317</v>
      </c>
      <c r="B7" s="16">
        <v>44317</v>
      </c>
      <c r="C7">
        <v>1</v>
      </c>
    </row>
    <row r="8" spans="1:4" x14ac:dyDescent="0.35">
      <c r="A8" s="5">
        <v>44318</v>
      </c>
      <c r="B8" s="16">
        <v>44318</v>
      </c>
      <c r="C8">
        <v>1</v>
      </c>
    </row>
    <row r="9" spans="1:4" x14ac:dyDescent="0.35">
      <c r="A9" s="5">
        <v>44319</v>
      </c>
      <c r="B9" s="16">
        <v>44319</v>
      </c>
      <c r="C9">
        <v>1</v>
      </c>
    </row>
    <row r="10" spans="1:4" x14ac:dyDescent="0.35">
      <c r="A10" s="5">
        <v>44320</v>
      </c>
      <c r="B10" s="16">
        <v>44320</v>
      </c>
      <c r="C10">
        <v>0</v>
      </c>
    </row>
    <row r="11" spans="1:4" x14ac:dyDescent="0.35">
      <c r="A11" s="5">
        <v>44321</v>
      </c>
      <c r="B11" s="16">
        <v>44321</v>
      </c>
      <c r="C11">
        <v>1</v>
      </c>
    </row>
    <row r="12" spans="1:4" x14ac:dyDescent="0.35">
      <c r="A12" s="5">
        <v>44322</v>
      </c>
      <c r="B12" s="16">
        <v>44322</v>
      </c>
      <c r="C12">
        <v>0</v>
      </c>
    </row>
    <row r="13" spans="1:4" x14ac:dyDescent="0.35">
      <c r="A13" s="5">
        <v>44323</v>
      </c>
      <c r="B13" s="16">
        <v>44323</v>
      </c>
      <c r="C13">
        <v>1</v>
      </c>
    </row>
    <row r="14" spans="1:4" x14ac:dyDescent="0.35">
      <c r="A14" s="5">
        <v>44324</v>
      </c>
      <c r="B14" s="16">
        <v>44324</v>
      </c>
      <c r="C14">
        <v>1</v>
      </c>
    </row>
    <row r="15" spans="1:4" x14ac:dyDescent="0.35">
      <c r="A15" s="5">
        <v>44325</v>
      </c>
      <c r="B15" s="16">
        <v>44325</v>
      </c>
      <c r="C15">
        <v>1</v>
      </c>
    </row>
    <row r="16" spans="1:4" x14ac:dyDescent="0.35">
      <c r="A16" s="5">
        <v>44326</v>
      </c>
      <c r="B16" s="16">
        <v>44326</v>
      </c>
      <c r="C16">
        <v>1</v>
      </c>
      <c r="D16" s="10"/>
    </row>
    <row r="17" spans="1:4" x14ac:dyDescent="0.35">
      <c r="A17" s="5">
        <v>44327</v>
      </c>
      <c r="B17" s="16">
        <v>44327</v>
      </c>
      <c r="C17">
        <v>0</v>
      </c>
      <c r="D17" s="10"/>
    </row>
    <row r="18" spans="1:4" x14ac:dyDescent="0.35">
      <c r="A18" s="5">
        <v>44328</v>
      </c>
      <c r="B18" s="16">
        <v>44328</v>
      </c>
      <c r="C18">
        <v>1</v>
      </c>
    </row>
    <row r="19" spans="1:4" x14ac:dyDescent="0.35">
      <c r="A19" s="5">
        <v>44329</v>
      </c>
      <c r="B19" s="16">
        <v>44329</v>
      </c>
      <c r="C19">
        <v>0</v>
      </c>
    </row>
    <row r="20" spans="1:4" x14ac:dyDescent="0.35">
      <c r="A20" s="5">
        <v>44330</v>
      </c>
      <c r="B20" s="16">
        <v>44330</v>
      </c>
      <c r="C20">
        <v>1</v>
      </c>
    </row>
    <row r="21" spans="1:4" x14ac:dyDescent="0.35">
      <c r="A21" s="5">
        <v>44331</v>
      </c>
      <c r="B21" s="16">
        <v>44331</v>
      </c>
      <c r="C21">
        <v>1</v>
      </c>
    </row>
    <row r="22" spans="1:4" x14ac:dyDescent="0.35">
      <c r="A22" s="5">
        <v>44332</v>
      </c>
      <c r="B22" s="16">
        <v>44332</v>
      </c>
      <c r="C22">
        <v>1</v>
      </c>
    </row>
    <row r="23" spans="1:4" x14ac:dyDescent="0.35">
      <c r="A23" s="5">
        <v>44333</v>
      </c>
      <c r="B23" s="16">
        <v>44333</v>
      </c>
      <c r="C23">
        <v>1</v>
      </c>
    </row>
    <row r="24" spans="1:4" x14ac:dyDescent="0.35">
      <c r="A24" s="5">
        <v>44334</v>
      </c>
      <c r="B24" s="16">
        <v>44334</v>
      </c>
      <c r="C24">
        <v>0</v>
      </c>
      <c r="D24" s="10"/>
    </row>
    <row r="25" spans="1:4" x14ac:dyDescent="0.35">
      <c r="A25" s="5">
        <v>44335</v>
      </c>
      <c r="B25" s="16">
        <v>44335</v>
      </c>
      <c r="C25">
        <v>1</v>
      </c>
    </row>
    <row r="26" spans="1:4" x14ac:dyDescent="0.35">
      <c r="A26" s="5">
        <v>44336</v>
      </c>
      <c r="B26" s="16">
        <v>44336</v>
      </c>
      <c r="C26">
        <v>0</v>
      </c>
    </row>
    <row r="27" spans="1:4" x14ac:dyDescent="0.35">
      <c r="A27" s="5">
        <v>44337</v>
      </c>
      <c r="B27" s="16">
        <v>44337</v>
      </c>
      <c r="C27">
        <v>1</v>
      </c>
    </row>
    <row r="28" spans="1:4" x14ac:dyDescent="0.35">
      <c r="A28" s="5">
        <v>44338</v>
      </c>
      <c r="B28" s="16">
        <v>44338</v>
      </c>
      <c r="C28">
        <v>1</v>
      </c>
    </row>
    <row r="29" spans="1:4" x14ac:dyDescent="0.35">
      <c r="A29" s="5">
        <v>44339</v>
      </c>
      <c r="B29" s="16">
        <v>44339</v>
      </c>
      <c r="C29">
        <v>1</v>
      </c>
    </row>
    <row r="30" spans="1:4" x14ac:dyDescent="0.35">
      <c r="A30" s="5">
        <v>44340</v>
      </c>
      <c r="B30" s="16">
        <v>44340</v>
      </c>
      <c r="C30">
        <v>1</v>
      </c>
    </row>
    <row r="31" spans="1:4" x14ac:dyDescent="0.35">
      <c r="A31" s="5">
        <v>44341</v>
      </c>
      <c r="B31" s="16">
        <v>44341</v>
      </c>
      <c r="C31">
        <v>0</v>
      </c>
    </row>
    <row r="33" spans="2:3" x14ac:dyDescent="0.35">
      <c r="B33" s="7" t="s">
        <v>65</v>
      </c>
      <c r="C33" s="7">
        <f>SUM(Tabla7[Nº DE BARRAS])</f>
        <v>22</v>
      </c>
    </row>
    <row r="34" spans="2:3" x14ac:dyDescent="0.35">
      <c r="B34" s="7" t="s">
        <v>66</v>
      </c>
      <c r="C34" s="8">
        <v>1.51</v>
      </c>
    </row>
    <row r="35" spans="2:3" x14ac:dyDescent="0.35">
      <c r="B35" s="7" t="s">
        <v>67</v>
      </c>
      <c r="C35" s="8">
        <v>5</v>
      </c>
    </row>
    <row r="36" spans="2:3" x14ac:dyDescent="0.35">
      <c r="B36" s="7"/>
      <c r="C36" s="7"/>
    </row>
    <row r="37" spans="2:3" x14ac:dyDescent="0.35">
      <c r="B37" s="7" t="s">
        <v>1</v>
      </c>
      <c r="C37" s="8">
        <f>C33*C34+(5)+1.62</f>
        <v>39.839999999999996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M100"/>
  <sheetViews>
    <sheetView topLeftCell="A71" workbookViewId="0">
      <selection activeCell="A85" sqref="A85:G85"/>
    </sheetView>
  </sheetViews>
  <sheetFormatPr baseColWidth="10" defaultColWidth="14.453125" defaultRowHeight="15" customHeight="1" x14ac:dyDescent="0.35"/>
  <cols>
    <col min="1" max="1" width="27.7265625" customWidth="1"/>
    <col min="2" max="2" width="15.26953125" bestFit="1" customWidth="1"/>
    <col min="3" max="3" width="10.54296875" bestFit="1" customWidth="1"/>
    <col min="4" max="4" width="10.26953125" bestFit="1" customWidth="1"/>
    <col min="5" max="5" width="20.54296875" bestFit="1" customWidth="1"/>
    <col min="6" max="6" width="8.26953125" customWidth="1"/>
    <col min="7" max="7" width="10.26953125" bestFit="1" customWidth="1"/>
    <col min="8" max="8" width="13.26953125" customWidth="1"/>
    <col min="9" max="9" width="16.26953125" bestFit="1" customWidth="1"/>
    <col min="10" max="10" width="20" bestFit="1" customWidth="1"/>
    <col min="11" max="11" width="19.26953125" customWidth="1"/>
    <col min="12" max="12" width="25.7265625" customWidth="1"/>
    <col min="13" max="13" width="15.26953125" customWidth="1"/>
  </cols>
  <sheetData>
    <row r="1" spans="1:13" ht="14.5" x14ac:dyDescent="0.35">
      <c r="A1" s="4" t="s">
        <v>2</v>
      </c>
      <c r="B1" s="4" t="s">
        <v>3</v>
      </c>
      <c r="C1" s="4" t="s">
        <v>4</v>
      </c>
      <c r="D1" s="4" t="s">
        <v>1</v>
      </c>
      <c r="E1" s="14" t="s">
        <v>110</v>
      </c>
      <c r="F1" s="14" t="s">
        <v>0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14.5" x14ac:dyDescent="0.35">
      <c r="A2" s="4" t="s">
        <v>12</v>
      </c>
      <c r="B2" s="2">
        <v>661.17</v>
      </c>
      <c r="C2" s="4">
        <v>72</v>
      </c>
      <c r="D2" s="2">
        <f>B2*C2+3000</f>
        <v>50604.24</v>
      </c>
      <c r="E2" s="2">
        <f>Gastos_Lexus_Leasing!$B$2/1.21</f>
        <v>546.42148760330576</v>
      </c>
      <c r="F2" s="2">
        <f>Gastos_Lexus_Leasing!$B$2-Gastos_Lexus_Leasing!$E$2</f>
        <v>114.7485123966942</v>
      </c>
      <c r="G2" s="2">
        <f>F2*I16</f>
        <v>114.7485123966942</v>
      </c>
      <c r="H2" s="2">
        <f>Gastos_Lexus_Leasing!$E$2*I15</f>
        <v>546.42148760330576</v>
      </c>
      <c r="I2" s="2">
        <f>Gastos_Lexus_Leasing!$B2-Gastos_Lexus_Leasing!$G2-Gastos_Lexus_Leasing!$H2</f>
        <v>0</v>
      </c>
      <c r="J2" s="2">
        <f>G2*3</f>
        <v>344.24553719008259</v>
      </c>
      <c r="K2" s="2">
        <f>Gastos_Lexus_Leasing!$F2*3</f>
        <v>344.24553719008259</v>
      </c>
      <c r="L2" s="2">
        <f>Gastos_Lexus_Leasing!$H2*12</f>
        <v>6557.0578512396696</v>
      </c>
      <c r="M2" s="2">
        <f>Gastos_Lexus_Leasing!$D2-(Gastos_Lexus_Leasing!$L2*6)</f>
        <v>11261.892892561977</v>
      </c>
    </row>
    <row r="9" spans="1:13" ht="14.5" x14ac:dyDescent="0.35">
      <c r="A9" t="s">
        <v>13</v>
      </c>
    </row>
    <row r="12" spans="1:13" ht="14.5" x14ac:dyDescent="0.35">
      <c r="A12" t="s">
        <v>14</v>
      </c>
      <c r="B12" s="1" t="s">
        <v>15</v>
      </c>
      <c r="C12" t="s">
        <v>16</v>
      </c>
      <c r="D12" t="s">
        <v>0</v>
      </c>
      <c r="E12" t="s">
        <v>17</v>
      </c>
      <c r="F12" t="s">
        <v>18</v>
      </c>
      <c r="G12" t="s">
        <v>49</v>
      </c>
    </row>
    <row r="13" spans="1:13" ht="14.5" x14ac:dyDescent="0.35">
      <c r="A13" s="35">
        <v>43522</v>
      </c>
      <c r="B13" s="36">
        <v>2500</v>
      </c>
      <c r="C13" s="36">
        <f t="shared" ref="C13:C85" si="0">B13/1.21</f>
        <v>2066.1157024793388</v>
      </c>
      <c r="D13" s="36">
        <f t="shared" ref="D13:D85" si="1">C13*0.21</f>
        <v>433.88429752066111</v>
      </c>
      <c r="E13" s="36">
        <f>Gastos_Lexus_Leasing!$C13*$I$15</f>
        <v>2066.1157024793388</v>
      </c>
      <c r="F13" s="36">
        <f>Gastos_Lexus_Leasing!$D13*$I$16</f>
        <v>433.88429752066111</v>
      </c>
      <c r="G13" s="11">
        <v>43525</v>
      </c>
    </row>
    <row r="14" spans="1:13" ht="14.5" x14ac:dyDescent="0.35">
      <c r="A14" s="35">
        <v>43523</v>
      </c>
      <c r="B14" s="36">
        <v>500</v>
      </c>
      <c r="C14" s="36">
        <f t="shared" si="0"/>
        <v>413.22314049586777</v>
      </c>
      <c r="D14" s="36">
        <f t="shared" si="1"/>
        <v>86.776859504132233</v>
      </c>
      <c r="E14" s="36">
        <f>Gastos_Lexus_Leasing!$C14*$I$15</f>
        <v>413.22314049586777</v>
      </c>
      <c r="F14" s="36">
        <f>Gastos_Lexus_Leasing!$D14*$I$16</f>
        <v>86.776859504132233</v>
      </c>
      <c r="G14" s="11">
        <v>43525</v>
      </c>
    </row>
    <row r="15" spans="1:13" ht="14.5" x14ac:dyDescent="0.35">
      <c r="A15" s="35">
        <v>43550</v>
      </c>
      <c r="B15" s="36">
        <v>661.17</v>
      </c>
      <c r="C15" s="36">
        <f t="shared" si="0"/>
        <v>546.42148760330576</v>
      </c>
      <c r="D15" s="36">
        <f t="shared" si="1"/>
        <v>114.74851239669421</v>
      </c>
      <c r="E15" s="36">
        <f>Gastos_Lexus_Leasing!$C15*$I$15</f>
        <v>546.42148760330576</v>
      </c>
      <c r="F15" s="36">
        <f>Gastos_Lexus_Leasing!$D15*$I$16</f>
        <v>114.74851239669421</v>
      </c>
      <c r="G15" s="11">
        <v>43525</v>
      </c>
      <c r="H15" t="s">
        <v>19</v>
      </c>
      <c r="I15" s="6">
        <v>1</v>
      </c>
    </row>
    <row r="16" spans="1:13" ht="14.5" x14ac:dyDescent="0.35">
      <c r="A16" s="35">
        <v>43581</v>
      </c>
      <c r="B16" s="36">
        <v>661.17</v>
      </c>
      <c r="C16" s="36">
        <f t="shared" si="0"/>
        <v>546.42148760330576</v>
      </c>
      <c r="D16" s="36">
        <f t="shared" si="1"/>
        <v>114.74851239669421</v>
      </c>
      <c r="E16" s="36">
        <f>Gastos_Lexus_Leasing!$C16*$I$15</f>
        <v>546.42148760330576</v>
      </c>
      <c r="F16" s="36">
        <f>Gastos_Lexus_Leasing!$D16*$I$16</f>
        <v>114.74851239669421</v>
      </c>
      <c r="G16" s="11">
        <v>43556</v>
      </c>
      <c r="H16" t="s">
        <v>20</v>
      </c>
      <c r="I16" s="6">
        <v>1</v>
      </c>
    </row>
    <row r="17" spans="1:9" ht="14.5" x14ac:dyDescent="0.35">
      <c r="A17" s="35">
        <v>43611</v>
      </c>
      <c r="B17" s="36">
        <v>661.17</v>
      </c>
      <c r="C17" s="36">
        <f t="shared" si="0"/>
        <v>546.42148760330576</v>
      </c>
      <c r="D17" s="36">
        <f t="shared" si="1"/>
        <v>114.74851239669421</v>
      </c>
      <c r="E17" s="36">
        <f>Gastos_Lexus_Leasing!$C17*$I$15</f>
        <v>546.42148760330576</v>
      </c>
      <c r="F17" s="36">
        <f>Gastos_Lexus_Leasing!$D17*$I$16</f>
        <v>114.74851239669421</v>
      </c>
      <c r="G17" s="11">
        <v>43586</v>
      </c>
    </row>
    <row r="18" spans="1:9" ht="14.5" x14ac:dyDescent="0.35">
      <c r="A18" s="35">
        <v>43642</v>
      </c>
      <c r="B18" s="36">
        <v>661.17</v>
      </c>
      <c r="C18" s="36">
        <f t="shared" si="0"/>
        <v>546.42148760330576</v>
      </c>
      <c r="D18" s="36">
        <f t="shared" si="1"/>
        <v>114.74851239669421</v>
      </c>
      <c r="E18" s="36">
        <f>Gastos_Lexus_Leasing!$C18*$I$15</f>
        <v>546.42148760330576</v>
      </c>
      <c r="F18" s="36">
        <f>Gastos_Lexus_Leasing!$D18*$I$16</f>
        <v>114.74851239669421</v>
      </c>
      <c r="G18" s="11">
        <v>43617</v>
      </c>
      <c r="H18" t="s">
        <v>21</v>
      </c>
      <c r="I18" s="6">
        <v>1</v>
      </c>
    </row>
    <row r="19" spans="1:9" ht="14.5" x14ac:dyDescent="0.35">
      <c r="A19" s="35">
        <v>43672</v>
      </c>
      <c r="B19" s="36">
        <v>661.17</v>
      </c>
      <c r="C19" s="36">
        <f t="shared" si="0"/>
        <v>546.42148760330576</v>
      </c>
      <c r="D19" s="36">
        <f t="shared" si="1"/>
        <v>114.74851239669421</v>
      </c>
      <c r="E19" s="36">
        <f>Gastos_Lexus_Leasing!$C19*$I$15</f>
        <v>546.42148760330576</v>
      </c>
      <c r="F19" s="36">
        <f>Gastos_Lexus_Leasing!$D19*$I$16</f>
        <v>114.74851239669421</v>
      </c>
      <c r="G19" s="11">
        <v>43647</v>
      </c>
    </row>
    <row r="20" spans="1:9" ht="14.5" x14ac:dyDescent="0.35">
      <c r="A20" s="35">
        <v>43703</v>
      </c>
      <c r="B20" s="36">
        <v>661.17</v>
      </c>
      <c r="C20" s="36">
        <f t="shared" si="0"/>
        <v>546.42148760330576</v>
      </c>
      <c r="D20" s="36">
        <f t="shared" si="1"/>
        <v>114.74851239669421</v>
      </c>
      <c r="E20" s="36">
        <f>Gastos_Lexus_Leasing!$C20*$I$15</f>
        <v>546.42148760330576</v>
      </c>
      <c r="F20" s="36">
        <f>Gastos_Lexus_Leasing!$D20*$I$16</f>
        <v>114.74851239669421</v>
      </c>
      <c r="G20" s="11">
        <v>43678</v>
      </c>
    </row>
    <row r="21" spans="1:9" ht="15.75" customHeight="1" x14ac:dyDescent="0.35">
      <c r="A21" s="35">
        <v>43734</v>
      </c>
      <c r="B21" s="36">
        <v>661.17</v>
      </c>
      <c r="C21" s="36">
        <f t="shared" si="0"/>
        <v>546.42148760330576</v>
      </c>
      <c r="D21" s="36">
        <f t="shared" si="1"/>
        <v>114.74851239669421</v>
      </c>
      <c r="E21" s="36">
        <f>Gastos_Lexus_Leasing!$C21*$I$15</f>
        <v>546.42148760330576</v>
      </c>
      <c r="F21" s="36">
        <f>Gastos_Lexus_Leasing!$D21*$I$16</f>
        <v>114.74851239669421</v>
      </c>
      <c r="G21" s="11">
        <v>43709</v>
      </c>
    </row>
    <row r="22" spans="1:9" ht="15.75" customHeight="1" x14ac:dyDescent="0.35">
      <c r="A22" s="35">
        <v>43764</v>
      </c>
      <c r="B22" s="36">
        <v>661.17</v>
      </c>
      <c r="C22" s="36">
        <f t="shared" si="0"/>
        <v>546.42148760330576</v>
      </c>
      <c r="D22" s="36">
        <f t="shared" si="1"/>
        <v>114.74851239669421</v>
      </c>
      <c r="E22" s="36">
        <f>Gastos_Lexus_Leasing!$C22*$I$15</f>
        <v>546.42148760330576</v>
      </c>
      <c r="F22" s="36">
        <f>Gastos_Lexus_Leasing!$D22*$I$16</f>
        <v>114.74851239669421</v>
      </c>
      <c r="G22" s="11">
        <v>43739</v>
      </c>
    </row>
    <row r="23" spans="1:9" ht="15.75" customHeight="1" x14ac:dyDescent="0.35">
      <c r="A23" s="35">
        <v>43795</v>
      </c>
      <c r="B23" s="36">
        <v>661.17</v>
      </c>
      <c r="C23" s="36">
        <f t="shared" si="0"/>
        <v>546.42148760330576</v>
      </c>
      <c r="D23" s="36">
        <f t="shared" si="1"/>
        <v>114.74851239669421</v>
      </c>
      <c r="E23" s="36">
        <f>Gastos_Lexus_Leasing!$C23*$I$15</f>
        <v>546.42148760330576</v>
      </c>
      <c r="F23" s="36">
        <f>Gastos_Lexus_Leasing!$D23*$I$16</f>
        <v>114.74851239669421</v>
      </c>
      <c r="G23" s="11">
        <v>43770</v>
      </c>
    </row>
    <row r="24" spans="1:9" ht="15.75" customHeight="1" x14ac:dyDescent="0.35">
      <c r="A24" s="35">
        <v>43825</v>
      </c>
      <c r="B24" s="36">
        <v>661.17</v>
      </c>
      <c r="C24" s="36">
        <f t="shared" si="0"/>
        <v>546.42148760330576</v>
      </c>
      <c r="D24" s="36">
        <f t="shared" si="1"/>
        <v>114.74851239669421</v>
      </c>
      <c r="E24" s="36">
        <f>Gastos_Lexus_Leasing!$C24*$I$15</f>
        <v>546.42148760330576</v>
      </c>
      <c r="F24" s="36">
        <f>Gastos_Lexus_Leasing!$D24*$I$16</f>
        <v>114.74851239669421</v>
      </c>
      <c r="G24" s="11">
        <v>43800</v>
      </c>
    </row>
    <row r="25" spans="1:9" ht="15.75" customHeight="1" x14ac:dyDescent="0.35">
      <c r="A25" s="35">
        <v>43856</v>
      </c>
      <c r="B25" s="36">
        <v>661.17</v>
      </c>
      <c r="C25" s="36">
        <f t="shared" si="0"/>
        <v>546.42148760330576</v>
      </c>
      <c r="D25" s="36">
        <f t="shared" si="1"/>
        <v>114.74851239669421</v>
      </c>
      <c r="E25" s="36">
        <f>Gastos_Lexus_Leasing!$C25*$I$15</f>
        <v>546.42148760330576</v>
      </c>
      <c r="F25" s="36">
        <f>Gastos_Lexus_Leasing!$D25*$I$16</f>
        <v>114.74851239669421</v>
      </c>
      <c r="G25" s="11">
        <v>43831</v>
      </c>
    </row>
    <row r="26" spans="1:9" ht="15.75" customHeight="1" x14ac:dyDescent="0.35">
      <c r="A26" s="35">
        <v>43887</v>
      </c>
      <c r="B26" s="36">
        <v>661.17</v>
      </c>
      <c r="C26" s="36">
        <f t="shared" si="0"/>
        <v>546.42148760330576</v>
      </c>
      <c r="D26" s="36">
        <f t="shared" si="1"/>
        <v>114.74851239669421</v>
      </c>
      <c r="E26" s="36">
        <f>Gastos_Lexus_Leasing!$C26*$I$15</f>
        <v>546.42148760330576</v>
      </c>
      <c r="F26" s="36">
        <f>Gastos_Lexus_Leasing!$D26*$I$16</f>
        <v>114.74851239669421</v>
      </c>
      <c r="G26" s="11">
        <v>43862</v>
      </c>
    </row>
    <row r="27" spans="1:9" ht="15.75" customHeight="1" x14ac:dyDescent="0.35">
      <c r="A27" s="35">
        <v>43916</v>
      </c>
      <c r="B27" s="36">
        <v>661.17</v>
      </c>
      <c r="C27" s="36">
        <f t="shared" si="0"/>
        <v>546.42148760330576</v>
      </c>
      <c r="D27" s="36">
        <f t="shared" si="1"/>
        <v>114.74851239669421</v>
      </c>
      <c r="E27" s="36">
        <f>Gastos_Lexus_Leasing!$C27*$I$15</f>
        <v>546.42148760330576</v>
      </c>
      <c r="F27" s="36">
        <f>Gastos_Lexus_Leasing!$D27*$I$16</f>
        <v>114.74851239669421</v>
      </c>
      <c r="G27" s="11">
        <v>43891</v>
      </c>
    </row>
    <row r="28" spans="1:9" ht="15.75" customHeight="1" x14ac:dyDescent="0.35">
      <c r="A28" s="35">
        <v>43947</v>
      </c>
      <c r="B28" s="36">
        <v>661.17</v>
      </c>
      <c r="C28" s="36">
        <f t="shared" si="0"/>
        <v>546.42148760330576</v>
      </c>
      <c r="D28" s="36">
        <f t="shared" si="1"/>
        <v>114.74851239669421</v>
      </c>
      <c r="E28" s="36">
        <f>Gastos_Lexus_Leasing!$C28*$I$15</f>
        <v>546.42148760330576</v>
      </c>
      <c r="F28" s="36">
        <f>Gastos_Lexus_Leasing!$D28*$I$16</f>
        <v>114.74851239669421</v>
      </c>
      <c r="G28" s="11">
        <v>43922</v>
      </c>
    </row>
    <row r="29" spans="1:9" ht="15.75" customHeight="1" x14ac:dyDescent="0.35">
      <c r="A29" s="35">
        <v>43977</v>
      </c>
      <c r="B29" s="36">
        <v>661.17</v>
      </c>
      <c r="C29" s="36">
        <f t="shared" si="0"/>
        <v>546.42148760330576</v>
      </c>
      <c r="D29" s="36">
        <f t="shared" si="1"/>
        <v>114.74851239669421</v>
      </c>
      <c r="E29" s="36">
        <f>Gastos_Lexus_Leasing!$C29*$I$15</f>
        <v>546.42148760330576</v>
      </c>
      <c r="F29" s="36">
        <f>Gastos_Lexus_Leasing!$D29*$I$16</f>
        <v>114.74851239669421</v>
      </c>
      <c r="G29" s="11">
        <v>43952</v>
      </c>
    </row>
    <row r="30" spans="1:9" ht="15.75" customHeight="1" x14ac:dyDescent="0.35">
      <c r="A30" s="35">
        <v>44008</v>
      </c>
      <c r="B30" s="36">
        <v>661.17</v>
      </c>
      <c r="C30" s="36">
        <f t="shared" si="0"/>
        <v>546.42148760330576</v>
      </c>
      <c r="D30" s="36">
        <f t="shared" si="1"/>
        <v>114.74851239669421</v>
      </c>
      <c r="E30" s="36">
        <f>Gastos_Lexus_Leasing!$C30*$I$15</f>
        <v>546.42148760330576</v>
      </c>
      <c r="F30" s="36">
        <f>Gastos_Lexus_Leasing!$D30*$I$16</f>
        <v>114.74851239669421</v>
      </c>
      <c r="G30" s="11">
        <v>43983</v>
      </c>
    </row>
    <row r="31" spans="1:9" ht="15.75" customHeight="1" x14ac:dyDescent="0.35">
      <c r="A31" s="35">
        <v>44038</v>
      </c>
      <c r="B31" s="36">
        <v>661.17</v>
      </c>
      <c r="C31" s="36">
        <f t="shared" si="0"/>
        <v>546.42148760330576</v>
      </c>
      <c r="D31" s="36">
        <f t="shared" si="1"/>
        <v>114.74851239669421</v>
      </c>
      <c r="E31" s="36">
        <f>Gastos_Lexus_Leasing!$C31*$I$15</f>
        <v>546.42148760330576</v>
      </c>
      <c r="F31" s="36">
        <f>Gastos_Lexus_Leasing!$D31*$I$16</f>
        <v>114.74851239669421</v>
      </c>
      <c r="G31" s="11">
        <v>44013</v>
      </c>
    </row>
    <row r="32" spans="1:9" ht="15.75" customHeight="1" x14ac:dyDescent="0.35">
      <c r="A32" s="35">
        <v>44069</v>
      </c>
      <c r="B32" s="36">
        <v>661.17</v>
      </c>
      <c r="C32" s="36">
        <f t="shared" si="0"/>
        <v>546.42148760330576</v>
      </c>
      <c r="D32" s="36">
        <f t="shared" si="1"/>
        <v>114.74851239669421</v>
      </c>
      <c r="E32" s="36">
        <f>Gastos_Lexus_Leasing!$C32*$I$15</f>
        <v>546.42148760330576</v>
      </c>
      <c r="F32" s="36">
        <f>Gastos_Lexus_Leasing!$D32*$I$16</f>
        <v>114.74851239669421</v>
      </c>
      <c r="G32" s="11">
        <v>44044</v>
      </c>
    </row>
    <row r="33" spans="1:7" ht="15.75" customHeight="1" x14ac:dyDescent="0.35">
      <c r="A33" s="35">
        <v>44100</v>
      </c>
      <c r="B33" s="36">
        <v>661.17</v>
      </c>
      <c r="C33" s="36">
        <f t="shared" si="0"/>
        <v>546.42148760330576</v>
      </c>
      <c r="D33" s="36">
        <f t="shared" si="1"/>
        <v>114.74851239669421</v>
      </c>
      <c r="E33" s="36">
        <f>Gastos_Lexus_Leasing!$C33*$I$15</f>
        <v>546.42148760330576</v>
      </c>
      <c r="F33" s="36">
        <f>Gastos_Lexus_Leasing!$D33*$I$16</f>
        <v>114.74851239669421</v>
      </c>
      <c r="G33" s="11">
        <v>44075</v>
      </c>
    </row>
    <row r="34" spans="1:7" ht="15.75" customHeight="1" x14ac:dyDescent="0.35">
      <c r="A34" s="35">
        <v>44130</v>
      </c>
      <c r="B34" s="36">
        <v>661.17</v>
      </c>
      <c r="C34" s="36">
        <f t="shared" si="0"/>
        <v>546.42148760330576</v>
      </c>
      <c r="D34" s="36">
        <f t="shared" si="1"/>
        <v>114.74851239669421</v>
      </c>
      <c r="E34" s="36">
        <f>Gastos_Lexus_Leasing!$C34*$I$15</f>
        <v>546.42148760330576</v>
      </c>
      <c r="F34" s="36">
        <f>Gastos_Lexus_Leasing!$D34*$I$16</f>
        <v>114.74851239669421</v>
      </c>
      <c r="G34" s="11">
        <v>44105</v>
      </c>
    </row>
    <row r="35" spans="1:7" ht="15.75" customHeight="1" x14ac:dyDescent="0.35">
      <c r="A35" s="35">
        <v>44161</v>
      </c>
      <c r="B35" s="36">
        <v>661.17</v>
      </c>
      <c r="C35" s="36">
        <f t="shared" si="0"/>
        <v>546.42148760330576</v>
      </c>
      <c r="D35" s="36">
        <f t="shared" si="1"/>
        <v>114.74851239669421</v>
      </c>
      <c r="E35" s="36">
        <f>Gastos_Lexus_Leasing!$C35*$I$15</f>
        <v>546.42148760330576</v>
      </c>
      <c r="F35" s="36">
        <f>Gastos_Lexus_Leasing!$D35*$I$16</f>
        <v>114.74851239669421</v>
      </c>
      <c r="G35" s="11">
        <v>44136</v>
      </c>
    </row>
    <row r="36" spans="1:7" ht="15.75" customHeight="1" x14ac:dyDescent="0.35">
      <c r="A36" s="35">
        <v>44191</v>
      </c>
      <c r="B36" s="36">
        <v>661.17</v>
      </c>
      <c r="C36" s="36">
        <f t="shared" si="0"/>
        <v>546.42148760330576</v>
      </c>
      <c r="D36" s="36">
        <f t="shared" si="1"/>
        <v>114.74851239669421</v>
      </c>
      <c r="E36" s="36">
        <f>Gastos_Lexus_Leasing!$C36*$I$15</f>
        <v>546.42148760330576</v>
      </c>
      <c r="F36" s="36">
        <f>Gastos_Lexus_Leasing!$D36*$I$16</f>
        <v>114.74851239669421</v>
      </c>
      <c r="G36" s="11">
        <v>44166</v>
      </c>
    </row>
    <row r="37" spans="1:7" ht="15.75" customHeight="1" x14ac:dyDescent="0.35">
      <c r="A37" s="35">
        <v>44222</v>
      </c>
      <c r="B37" s="36">
        <v>661.17</v>
      </c>
      <c r="C37" s="36">
        <f t="shared" si="0"/>
        <v>546.42148760330576</v>
      </c>
      <c r="D37" s="36">
        <f t="shared" si="1"/>
        <v>114.74851239669421</v>
      </c>
      <c r="E37" s="36">
        <f>Gastos_Lexus_Leasing!$C37*$I$15</f>
        <v>546.42148760330576</v>
      </c>
      <c r="F37" s="36">
        <f>Gastos_Lexus_Leasing!$D37*$I$16</f>
        <v>114.74851239669421</v>
      </c>
      <c r="G37" s="11">
        <v>44197</v>
      </c>
    </row>
    <row r="38" spans="1:7" ht="15.75" customHeight="1" x14ac:dyDescent="0.35">
      <c r="A38" s="35">
        <v>44253</v>
      </c>
      <c r="B38" s="36">
        <v>661.17</v>
      </c>
      <c r="C38" s="36">
        <f t="shared" si="0"/>
        <v>546.42148760330576</v>
      </c>
      <c r="D38" s="36">
        <f t="shared" si="1"/>
        <v>114.74851239669421</v>
      </c>
      <c r="E38" s="36">
        <f>Gastos_Lexus_Leasing!$C38*$I$15</f>
        <v>546.42148760330576</v>
      </c>
      <c r="F38" s="36">
        <f>Gastos_Lexus_Leasing!$D38*$I$16</f>
        <v>114.74851239669421</v>
      </c>
      <c r="G38" s="11">
        <v>44228</v>
      </c>
    </row>
    <row r="39" spans="1:7" ht="15.75" customHeight="1" x14ac:dyDescent="0.35">
      <c r="A39" s="35">
        <v>44281</v>
      </c>
      <c r="B39" s="36">
        <v>661.17</v>
      </c>
      <c r="C39" s="36">
        <f t="shared" si="0"/>
        <v>546.42148760330576</v>
      </c>
      <c r="D39" s="36">
        <f t="shared" si="1"/>
        <v>114.74851239669421</v>
      </c>
      <c r="E39" s="36">
        <f>Gastos_Lexus_Leasing!$C39*$I$15</f>
        <v>546.42148760330576</v>
      </c>
      <c r="F39" s="36">
        <f>Gastos_Lexus_Leasing!$D39*$I$16</f>
        <v>114.74851239669421</v>
      </c>
      <c r="G39" s="11">
        <v>44256</v>
      </c>
    </row>
    <row r="40" spans="1:7" ht="15.75" customHeight="1" x14ac:dyDescent="0.35">
      <c r="A40" s="35">
        <v>44312</v>
      </c>
      <c r="B40" s="36">
        <v>661.17</v>
      </c>
      <c r="C40" s="36">
        <f t="shared" si="0"/>
        <v>546.42148760330576</v>
      </c>
      <c r="D40" s="36">
        <f t="shared" si="1"/>
        <v>114.74851239669421</v>
      </c>
      <c r="E40" s="36">
        <f>Gastos_Lexus_Leasing!$C40*$I$15</f>
        <v>546.42148760330576</v>
      </c>
      <c r="F40" s="36">
        <f>Gastos_Lexus_Leasing!$D40*$I$16</f>
        <v>114.74851239669421</v>
      </c>
      <c r="G40" s="11">
        <v>44287</v>
      </c>
    </row>
    <row r="41" spans="1:7" ht="15.75" customHeight="1" x14ac:dyDescent="0.35">
      <c r="A41" s="35">
        <v>44342</v>
      </c>
      <c r="B41" s="36">
        <v>661.17</v>
      </c>
      <c r="C41" s="36">
        <f t="shared" si="0"/>
        <v>546.42148760330576</v>
      </c>
      <c r="D41" s="36">
        <f t="shared" si="1"/>
        <v>114.74851239669421</v>
      </c>
      <c r="E41" s="36">
        <f>Gastos_Lexus_Leasing!$C41*$I$15</f>
        <v>546.42148760330576</v>
      </c>
      <c r="F41" s="36">
        <f>Gastos_Lexus_Leasing!$D41*$I$16</f>
        <v>114.74851239669421</v>
      </c>
      <c r="G41" s="11">
        <v>44317</v>
      </c>
    </row>
    <row r="42" spans="1:7" ht="15.75" customHeight="1" x14ac:dyDescent="0.35">
      <c r="A42" s="35">
        <v>44373</v>
      </c>
      <c r="B42" s="36">
        <v>661.17</v>
      </c>
      <c r="C42" s="36">
        <f t="shared" si="0"/>
        <v>546.42148760330576</v>
      </c>
      <c r="D42" s="36">
        <f t="shared" si="1"/>
        <v>114.74851239669421</v>
      </c>
      <c r="E42" s="36">
        <f>Gastos_Lexus_Leasing!$C42*$I$15</f>
        <v>546.42148760330576</v>
      </c>
      <c r="F42" s="36">
        <f>Gastos_Lexus_Leasing!$D42*$I$16</f>
        <v>114.74851239669421</v>
      </c>
      <c r="G42" s="11">
        <v>44348</v>
      </c>
    </row>
    <row r="43" spans="1:7" ht="15.75" customHeight="1" x14ac:dyDescent="0.35">
      <c r="A43" s="35">
        <v>44403</v>
      </c>
      <c r="B43" s="36">
        <v>661.17</v>
      </c>
      <c r="C43" s="36">
        <f t="shared" si="0"/>
        <v>546.42148760330576</v>
      </c>
      <c r="D43" s="36">
        <f t="shared" si="1"/>
        <v>114.74851239669421</v>
      </c>
      <c r="E43" s="36">
        <f>Gastos_Lexus_Leasing!$C43*$I$15</f>
        <v>546.42148760330576</v>
      </c>
      <c r="F43" s="36">
        <f>Gastos_Lexus_Leasing!$D43*$I$16</f>
        <v>114.74851239669421</v>
      </c>
      <c r="G43" s="11">
        <v>44378</v>
      </c>
    </row>
    <row r="44" spans="1:7" ht="15.75" customHeight="1" x14ac:dyDescent="0.35">
      <c r="A44" s="35">
        <v>44434</v>
      </c>
      <c r="B44" s="36">
        <v>661.17</v>
      </c>
      <c r="C44" s="36">
        <f t="shared" si="0"/>
        <v>546.42148760330576</v>
      </c>
      <c r="D44" s="36">
        <f t="shared" si="1"/>
        <v>114.74851239669421</v>
      </c>
      <c r="E44" s="36">
        <f>Gastos_Lexus_Leasing!$C44*$I$15</f>
        <v>546.42148760330576</v>
      </c>
      <c r="F44" s="36">
        <f>Gastos_Lexus_Leasing!$D44*$I$16</f>
        <v>114.74851239669421</v>
      </c>
      <c r="G44" s="11">
        <v>44409</v>
      </c>
    </row>
    <row r="45" spans="1:7" ht="15.75" customHeight="1" x14ac:dyDescent="0.35">
      <c r="A45" s="35">
        <v>44465</v>
      </c>
      <c r="B45" s="36">
        <v>661.17</v>
      </c>
      <c r="C45" s="36">
        <f t="shared" si="0"/>
        <v>546.42148760330576</v>
      </c>
      <c r="D45" s="36">
        <f t="shared" si="1"/>
        <v>114.74851239669421</v>
      </c>
      <c r="E45" s="36">
        <f>Gastos_Lexus_Leasing!$C45*$I$15</f>
        <v>546.42148760330576</v>
      </c>
      <c r="F45" s="36">
        <f>Gastos_Lexus_Leasing!$D45*$I$16</f>
        <v>114.74851239669421</v>
      </c>
      <c r="G45" s="11">
        <v>44440</v>
      </c>
    </row>
    <row r="46" spans="1:7" ht="15.75" customHeight="1" x14ac:dyDescent="0.35">
      <c r="A46" s="35">
        <v>44495</v>
      </c>
      <c r="B46" s="36">
        <v>661.17</v>
      </c>
      <c r="C46" s="36">
        <f t="shared" si="0"/>
        <v>546.42148760330576</v>
      </c>
      <c r="D46" s="36">
        <f t="shared" si="1"/>
        <v>114.74851239669421</v>
      </c>
      <c r="E46" s="36">
        <f>Gastos_Lexus_Leasing!$C46*$I$15</f>
        <v>546.42148760330576</v>
      </c>
      <c r="F46" s="36">
        <f>Gastos_Lexus_Leasing!$D46*$I$16</f>
        <v>114.74851239669421</v>
      </c>
      <c r="G46" s="11">
        <v>44470</v>
      </c>
    </row>
    <row r="47" spans="1:7" ht="15.75" customHeight="1" x14ac:dyDescent="0.35">
      <c r="A47" s="35">
        <v>44526</v>
      </c>
      <c r="B47" s="36">
        <v>661.17</v>
      </c>
      <c r="C47" s="36">
        <f t="shared" si="0"/>
        <v>546.42148760330576</v>
      </c>
      <c r="D47" s="36">
        <f t="shared" si="1"/>
        <v>114.74851239669421</v>
      </c>
      <c r="E47" s="36">
        <f>Gastos_Lexus_Leasing!$C47*$I$15</f>
        <v>546.42148760330576</v>
      </c>
      <c r="F47" s="36">
        <f>Gastos_Lexus_Leasing!$D47*$I$16</f>
        <v>114.74851239669421</v>
      </c>
      <c r="G47" s="11">
        <v>44501</v>
      </c>
    </row>
    <row r="48" spans="1:7" ht="15.75" customHeight="1" x14ac:dyDescent="0.35">
      <c r="A48" s="35">
        <v>44556</v>
      </c>
      <c r="B48" s="36">
        <v>661.17</v>
      </c>
      <c r="C48" s="36">
        <f t="shared" si="0"/>
        <v>546.42148760330576</v>
      </c>
      <c r="D48" s="36">
        <f t="shared" si="1"/>
        <v>114.74851239669421</v>
      </c>
      <c r="E48" s="36">
        <f>Gastos_Lexus_Leasing!$C48*$I$15</f>
        <v>546.42148760330576</v>
      </c>
      <c r="F48" s="36">
        <f>Gastos_Lexus_Leasing!$D48*$I$16</f>
        <v>114.74851239669421</v>
      </c>
      <c r="G48" s="11">
        <v>44531</v>
      </c>
    </row>
    <row r="49" spans="1:7" ht="15.75" customHeight="1" x14ac:dyDescent="0.35">
      <c r="A49" s="35">
        <v>44587</v>
      </c>
      <c r="B49" s="36">
        <v>661.17</v>
      </c>
      <c r="C49" s="36">
        <f t="shared" si="0"/>
        <v>546.42148760330576</v>
      </c>
      <c r="D49" s="36">
        <f t="shared" si="1"/>
        <v>114.74851239669421</v>
      </c>
      <c r="E49" s="36">
        <f>Gastos_Lexus_Leasing!$C49*$I$15</f>
        <v>546.42148760330576</v>
      </c>
      <c r="F49" s="36">
        <f>Gastos_Lexus_Leasing!$D49*$I$16</f>
        <v>114.74851239669421</v>
      </c>
      <c r="G49" s="11">
        <v>44562</v>
      </c>
    </row>
    <row r="50" spans="1:7" ht="15.75" customHeight="1" x14ac:dyDescent="0.35">
      <c r="A50" s="35">
        <v>44618</v>
      </c>
      <c r="B50" s="36">
        <v>661.17</v>
      </c>
      <c r="C50" s="36">
        <f t="shared" si="0"/>
        <v>546.42148760330576</v>
      </c>
      <c r="D50" s="36">
        <f t="shared" si="1"/>
        <v>114.74851239669421</v>
      </c>
      <c r="E50" s="36">
        <f>Gastos_Lexus_Leasing!$C50*$I$15</f>
        <v>546.42148760330576</v>
      </c>
      <c r="F50" s="36">
        <f>Gastos_Lexus_Leasing!$D50*$I$16</f>
        <v>114.74851239669421</v>
      </c>
      <c r="G50" s="11">
        <v>44593</v>
      </c>
    </row>
    <row r="51" spans="1:7" ht="15.75" customHeight="1" x14ac:dyDescent="0.35">
      <c r="A51" s="35">
        <v>44646</v>
      </c>
      <c r="B51" s="36">
        <v>661.17</v>
      </c>
      <c r="C51" s="36">
        <f t="shared" si="0"/>
        <v>546.42148760330576</v>
      </c>
      <c r="D51" s="36">
        <f t="shared" si="1"/>
        <v>114.74851239669421</v>
      </c>
      <c r="E51" s="36">
        <f>Gastos_Lexus_Leasing!$C51*$I$15</f>
        <v>546.42148760330576</v>
      </c>
      <c r="F51" s="36">
        <f>Gastos_Lexus_Leasing!$D51*$I$16</f>
        <v>114.74851239669421</v>
      </c>
      <c r="G51" s="11">
        <v>44621</v>
      </c>
    </row>
    <row r="52" spans="1:7" ht="15.75" customHeight="1" x14ac:dyDescent="0.35">
      <c r="A52" s="35">
        <v>44677</v>
      </c>
      <c r="B52" s="36">
        <v>661.17</v>
      </c>
      <c r="C52" s="36">
        <f t="shared" si="0"/>
        <v>546.42148760330576</v>
      </c>
      <c r="D52" s="36">
        <f t="shared" si="1"/>
        <v>114.74851239669421</v>
      </c>
      <c r="E52" s="36">
        <f>Gastos_Lexus_Leasing!$C52*$I$15</f>
        <v>546.42148760330576</v>
      </c>
      <c r="F52" s="36">
        <f>Gastos_Lexus_Leasing!$D52*$I$16</f>
        <v>114.74851239669421</v>
      </c>
      <c r="G52" s="11">
        <v>44652</v>
      </c>
    </row>
    <row r="53" spans="1:7" ht="15.75" customHeight="1" x14ac:dyDescent="0.35">
      <c r="A53" s="35">
        <v>44707</v>
      </c>
      <c r="B53" s="36">
        <v>661.17</v>
      </c>
      <c r="C53" s="36">
        <f t="shared" si="0"/>
        <v>546.42148760330576</v>
      </c>
      <c r="D53" s="36">
        <f t="shared" si="1"/>
        <v>114.74851239669421</v>
      </c>
      <c r="E53" s="36">
        <f>Gastos_Lexus_Leasing!$C53*$I$15</f>
        <v>546.42148760330576</v>
      </c>
      <c r="F53" s="36">
        <f>Gastos_Lexus_Leasing!$D53*$I$16</f>
        <v>114.74851239669421</v>
      </c>
      <c r="G53" s="11">
        <v>44682</v>
      </c>
    </row>
    <row r="54" spans="1:7" ht="15.75" customHeight="1" x14ac:dyDescent="0.35">
      <c r="A54" s="35">
        <v>44738</v>
      </c>
      <c r="B54" s="36">
        <v>661.17</v>
      </c>
      <c r="C54" s="36">
        <f t="shared" si="0"/>
        <v>546.42148760330576</v>
      </c>
      <c r="D54" s="36">
        <f t="shared" si="1"/>
        <v>114.74851239669421</v>
      </c>
      <c r="E54" s="36">
        <f>Gastos_Lexus_Leasing!$C54*$I$15</f>
        <v>546.42148760330576</v>
      </c>
      <c r="F54" s="36">
        <f>Gastos_Lexus_Leasing!$D54*$I$16</f>
        <v>114.74851239669421</v>
      </c>
      <c r="G54" s="11">
        <v>44713</v>
      </c>
    </row>
    <row r="55" spans="1:7" ht="15.75" customHeight="1" x14ac:dyDescent="0.35">
      <c r="A55" s="35">
        <v>44768</v>
      </c>
      <c r="B55" s="36">
        <v>661.17</v>
      </c>
      <c r="C55" s="36">
        <f t="shared" si="0"/>
        <v>546.42148760330576</v>
      </c>
      <c r="D55" s="36">
        <f t="shared" si="1"/>
        <v>114.74851239669421</v>
      </c>
      <c r="E55" s="36">
        <f>Gastos_Lexus_Leasing!$C55*$I$15</f>
        <v>546.42148760330576</v>
      </c>
      <c r="F55" s="36">
        <f>Gastos_Lexus_Leasing!$D55*$I$16</f>
        <v>114.74851239669421</v>
      </c>
      <c r="G55" s="11">
        <v>44743</v>
      </c>
    </row>
    <row r="56" spans="1:7" ht="15.75" customHeight="1" x14ac:dyDescent="0.35">
      <c r="A56" s="35">
        <v>44799</v>
      </c>
      <c r="B56" s="36">
        <v>661.17</v>
      </c>
      <c r="C56" s="36">
        <f t="shared" si="0"/>
        <v>546.42148760330576</v>
      </c>
      <c r="D56" s="36">
        <f t="shared" si="1"/>
        <v>114.74851239669421</v>
      </c>
      <c r="E56" s="36">
        <f>Gastos_Lexus_Leasing!$C56*$I$15</f>
        <v>546.42148760330576</v>
      </c>
      <c r="F56" s="36">
        <f>Gastos_Lexus_Leasing!$D56*$I$16</f>
        <v>114.74851239669421</v>
      </c>
      <c r="G56" s="11">
        <v>44774</v>
      </c>
    </row>
    <row r="57" spans="1:7" ht="15.75" customHeight="1" x14ac:dyDescent="0.35">
      <c r="A57" s="35">
        <v>44830</v>
      </c>
      <c r="B57" s="36">
        <v>661.17</v>
      </c>
      <c r="C57" s="36">
        <f t="shared" si="0"/>
        <v>546.42148760330576</v>
      </c>
      <c r="D57" s="36">
        <f t="shared" si="1"/>
        <v>114.74851239669421</v>
      </c>
      <c r="E57" s="36">
        <f>Gastos_Lexus_Leasing!$C57*$I$15</f>
        <v>546.42148760330576</v>
      </c>
      <c r="F57" s="36">
        <f>Gastos_Lexus_Leasing!$D57*$I$16</f>
        <v>114.74851239669421</v>
      </c>
      <c r="G57" s="11">
        <v>44805</v>
      </c>
    </row>
    <row r="58" spans="1:7" ht="15.75" customHeight="1" x14ac:dyDescent="0.35">
      <c r="A58" s="35">
        <v>44860</v>
      </c>
      <c r="B58" s="36">
        <v>661.17</v>
      </c>
      <c r="C58" s="36">
        <f t="shared" si="0"/>
        <v>546.42148760330576</v>
      </c>
      <c r="D58" s="36">
        <f t="shared" si="1"/>
        <v>114.74851239669421</v>
      </c>
      <c r="E58" s="36">
        <f>Gastos_Lexus_Leasing!$C58*$I$15</f>
        <v>546.42148760330576</v>
      </c>
      <c r="F58" s="36">
        <f>Gastos_Lexus_Leasing!$D58*$I$16</f>
        <v>114.74851239669421</v>
      </c>
      <c r="G58" s="11">
        <v>44835</v>
      </c>
    </row>
    <row r="59" spans="1:7" ht="15.75" customHeight="1" x14ac:dyDescent="0.35">
      <c r="A59" s="35">
        <v>44891</v>
      </c>
      <c r="B59" s="36">
        <v>661.17</v>
      </c>
      <c r="C59" s="36">
        <f t="shared" si="0"/>
        <v>546.42148760330576</v>
      </c>
      <c r="D59" s="36">
        <f t="shared" si="1"/>
        <v>114.74851239669421</v>
      </c>
      <c r="E59" s="36">
        <f>Gastos_Lexus_Leasing!$C59*$I$15</f>
        <v>546.42148760330576</v>
      </c>
      <c r="F59" s="36">
        <f>Gastos_Lexus_Leasing!$D59*$I$16</f>
        <v>114.74851239669421</v>
      </c>
      <c r="G59" s="11">
        <v>44866</v>
      </c>
    </row>
    <row r="60" spans="1:7" ht="15.75" customHeight="1" x14ac:dyDescent="0.35">
      <c r="A60" s="35">
        <v>44921</v>
      </c>
      <c r="B60" s="36">
        <v>661.17</v>
      </c>
      <c r="C60" s="36">
        <f t="shared" si="0"/>
        <v>546.42148760330576</v>
      </c>
      <c r="D60" s="36">
        <f t="shared" si="1"/>
        <v>114.74851239669421</v>
      </c>
      <c r="E60" s="36">
        <f>Gastos_Lexus_Leasing!$C60*$I$15</f>
        <v>546.42148760330576</v>
      </c>
      <c r="F60" s="36">
        <f>Gastos_Lexus_Leasing!$D60*$I$16</f>
        <v>114.74851239669421</v>
      </c>
      <c r="G60" s="11">
        <v>44896</v>
      </c>
    </row>
    <row r="61" spans="1:7" ht="15.75" customHeight="1" x14ac:dyDescent="0.35">
      <c r="A61" s="35">
        <v>44952</v>
      </c>
      <c r="B61" s="36">
        <v>661.17</v>
      </c>
      <c r="C61" s="36">
        <f t="shared" si="0"/>
        <v>546.42148760330576</v>
      </c>
      <c r="D61" s="36">
        <f t="shared" si="1"/>
        <v>114.74851239669421</v>
      </c>
      <c r="E61" s="36">
        <f>Gastos_Lexus_Leasing!$C61*$I$15</f>
        <v>546.42148760330576</v>
      </c>
      <c r="F61" s="36">
        <f>Gastos_Lexus_Leasing!$D61*$I$16</f>
        <v>114.74851239669421</v>
      </c>
      <c r="G61" s="11">
        <v>44927</v>
      </c>
    </row>
    <row r="62" spans="1:7" ht="15.75" customHeight="1" x14ac:dyDescent="0.35">
      <c r="A62" s="35">
        <v>44983</v>
      </c>
      <c r="B62" s="36">
        <v>661.17</v>
      </c>
      <c r="C62" s="36">
        <f t="shared" si="0"/>
        <v>546.42148760330576</v>
      </c>
      <c r="D62" s="36">
        <f t="shared" si="1"/>
        <v>114.74851239669421</v>
      </c>
      <c r="E62" s="36">
        <f>Gastos_Lexus_Leasing!$C62*$I$15</f>
        <v>546.42148760330576</v>
      </c>
      <c r="F62" s="36">
        <f>Gastos_Lexus_Leasing!$D62*$I$16</f>
        <v>114.74851239669421</v>
      </c>
      <c r="G62" s="11">
        <v>44958</v>
      </c>
    </row>
    <row r="63" spans="1:7" ht="15.75" customHeight="1" x14ac:dyDescent="0.35">
      <c r="A63" s="35">
        <v>45011</v>
      </c>
      <c r="B63" s="36">
        <v>661.17</v>
      </c>
      <c r="C63" s="36">
        <f t="shared" si="0"/>
        <v>546.42148760330576</v>
      </c>
      <c r="D63" s="36">
        <f t="shared" si="1"/>
        <v>114.74851239669421</v>
      </c>
      <c r="E63" s="36">
        <f>Gastos_Lexus_Leasing!$C63*$I$15</f>
        <v>546.42148760330576</v>
      </c>
      <c r="F63" s="36">
        <f>Gastos_Lexus_Leasing!$D63*$I$16</f>
        <v>114.74851239669421</v>
      </c>
      <c r="G63" s="11">
        <v>44986</v>
      </c>
    </row>
    <row r="64" spans="1:7" ht="15.75" customHeight="1" x14ac:dyDescent="0.35">
      <c r="A64" s="35">
        <v>45042</v>
      </c>
      <c r="B64" s="36">
        <v>661.17</v>
      </c>
      <c r="C64" s="36">
        <f t="shared" si="0"/>
        <v>546.42148760330576</v>
      </c>
      <c r="D64" s="36">
        <f t="shared" si="1"/>
        <v>114.74851239669421</v>
      </c>
      <c r="E64" s="36">
        <f>Gastos_Lexus_Leasing!$C64*$I$15</f>
        <v>546.42148760330576</v>
      </c>
      <c r="F64" s="36">
        <f>Gastos_Lexus_Leasing!$D64*$I$16</f>
        <v>114.74851239669421</v>
      </c>
      <c r="G64" s="11">
        <v>45017</v>
      </c>
    </row>
    <row r="65" spans="1:7" ht="15.75" customHeight="1" x14ac:dyDescent="0.35">
      <c r="A65" s="35">
        <v>45072</v>
      </c>
      <c r="B65" s="36">
        <v>661.17</v>
      </c>
      <c r="C65" s="36">
        <f t="shared" si="0"/>
        <v>546.42148760330576</v>
      </c>
      <c r="D65" s="36">
        <f t="shared" si="1"/>
        <v>114.74851239669421</v>
      </c>
      <c r="E65" s="36">
        <f>Gastos_Lexus_Leasing!$C65*$I$15</f>
        <v>546.42148760330576</v>
      </c>
      <c r="F65" s="36">
        <f>Gastos_Lexus_Leasing!$D65*$I$16</f>
        <v>114.74851239669421</v>
      </c>
      <c r="G65" s="11">
        <v>45047</v>
      </c>
    </row>
    <row r="66" spans="1:7" ht="15.75" customHeight="1" x14ac:dyDescent="0.35">
      <c r="A66" s="35">
        <v>45103</v>
      </c>
      <c r="B66" s="36">
        <v>661.17</v>
      </c>
      <c r="C66" s="36">
        <f t="shared" si="0"/>
        <v>546.42148760330576</v>
      </c>
      <c r="D66" s="36">
        <f t="shared" si="1"/>
        <v>114.74851239669421</v>
      </c>
      <c r="E66" s="36">
        <f>Gastos_Lexus_Leasing!$C66*$I$15</f>
        <v>546.42148760330576</v>
      </c>
      <c r="F66" s="36">
        <f>Gastos_Lexus_Leasing!$D66*$I$16</f>
        <v>114.74851239669421</v>
      </c>
      <c r="G66" s="11">
        <v>45078</v>
      </c>
    </row>
    <row r="67" spans="1:7" ht="15.75" customHeight="1" x14ac:dyDescent="0.35">
      <c r="A67" s="35">
        <v>45133</v>
      </c>
      <c r="B67" s="36">
        <v>661.17</v>
      </c>
      <c r="C67" s="36">
        <f t="shared" si="0"/>
        <v>546.42148760330576</v>
      </c>
      <c r="D67" s="36">
        <f t="shared" si="1"/>
        <v>114.74851239669421</v>
      </c>
      <c r="E67" s="36">
        <f>Gastos_Lexus_Leasing!$C67*$I$15</f>
        <v>546.42148760330576</v>
      </c>
      <c r="F67" s="36">
        <f>Gastos_Lexus_Leasing!$D67*$I$16</f>
        <v>114.74851239669421</v>
      </c>
      <c r="G67" s="11">
        <v>45108</v>
      </c>
    </row>
    <row r="68" spans="1:7" ht="15.75" customHeight="1" x14ac:dyDescent="0.35">
      <c r="A68" s="35">
        <v>45164</v>
      </c>
      <c r="B68" s="36">
        <v>661.17</v>
      </c>
      <c r="C68" s="36">
        <f t="shared" si="0"/>
        <v>546.42148760330576</v>
      </c>
      <c r="D68" s="36">
        <f t="shared" si="1"/>
        <v>114.74851239669421</v>
      </c>
      <c r="E68" s="36">
        <f>Gastos_Lexus_Leasing!$C68*$I$15</f>
        <v>546.42148760330576</v>
      </c>
      <c r="F68" s="36">
        <f>Gastos_Lexus_Leasing!$D68*$I$16</f>
        <v>114.74851239669421</v>
      </c>
      <c r="G68" s="11">
        <v>45139</v>
      </c>
    </row>
    <row r="69" spans="1:7" ht="15.75" customHeight="1" x14ac:dyDescent="0.35">
      <c r="A69" s="35">
        <v>45195</v>
      </c>
      <c r="B69" s="36">
        <v>661.17</v>
      </c>
      <c r="C69" s="36">
        <f t="shared" si="0"/>
        <v>546.42148760330576</v>
      </c>
      <c r="D69" s="36">
        <f t="shared" si="1"/>
        <v>114.74851239669421</v>
      </c>
      <c r="E69" s="36">
        <f>Gastos_Lexus_Leasing!$C69*$I$15</f>
        <v>546.42148760330576</v>
      </c>
      <c r="F69" s="36">
        <f>Gastos_Lexus_Leasing!$D69*$I$16</f>
        <v>114.74851239669421</v>
      </c>
      <c r="G69" s="11">
        <v>45170</v>
      </c>
    </row>
    <row r="70" spans="1:7" ht="15.75" customHeight="1" x14ac:dyDescent="0.35">
      <c r="A70" s="35">
        <v>45225</v>
      </c>
      <c r="B70" s="36">
        <v>661.17</v>
      </c>
      <c r="C70" s="36">
        <f t="shared" si="0"/>
        <v>546.42148760330576</v>
      </c>
      <c r="D70" s="36">
        <f t="shared" si="1"/>
        <v>114.74851239669421</v>
      </c>
      <c r="E70" s="36">
        <f>Gastos_Lexus_Leasing!$C70*$I$15</f>
        <v>546.42148760330576</v>
      </c>
      <c r="F70" s="36">
        <f>Gastos_Lexus_Leasing!$D70*$I$16</f>
        <v>114.74851239669421</v>
      </c>
      <c r="G70" s="11">
        <v>45200</v>
      </c>
    </row>
    <row r="71" spans="1:7" ht="15.75" customHeight="1" x14ac:dyDescent="0.35">
      <c r="A71" s="35">
        <v>45256</v>
      </c>
      <c r="B71" s="36">
        <v>661.17</v>
      </c>
      <c r="C71" s="36">
        <f t="shared" si="0"/>
        <v>546.42148760330576</v>
      </c>
      <c r="D71" s="36">
        <f t="shared" si="1"/>
        <v>114.74851239669421</v>
      </c>
      <c r="E71" s="36">
        <f>Gastos_Lexus_Leasing!$C71*$I$15</f>
        <v>546.42148760330576</v>
      </c>
      <c r="F71" s="36">
        <f>Gastos_Lexus_Leasing!$D71*$I$16</f>
        <v>114.74851239669421</v>
      </c>
      <c r="G71" s="11">
        <v>45231</v>
      </c>
    </row>
    <row r="72" spans="1:7" ht="15.75" customHeight="1" x14ac:dyDescent="0.35">
      <c r="A72" s="35">
        <v>45286</v>
      </c>
      <c r="B72" s="36">
        <v>661.17</v>
      </c>
      <c r="C72" s="36">
        <f t="shared" si="0"/>
        <v>546.42148760330576</v>
      </c>
      <c r="D72" s="36">
        <f t="shared" si="1"/>
        <v>114.74851239669421</v>
      </c>
      <c r="E72" s="36">
        <f>Gastos_Lexus_Leasing!$C72*$I$15</f>
        <v>546.42148760330576</v>
      </c>
      <c r="F72" s="36">
        <f>Gastos_Lexus_Leasing!$D72*$I$16</f>
        <v>114.74851239669421</v>
      </c>
      <c r="G72" s="11">
        <v>45261</v>
      </c>
    </row>
    <row r="73" spans="1:7" ht="15.75" customHeight="1" x14ac:dyDescent="0.35">
      <c r="A73" s="35">
        <v>45317</v>
      </c>
      <c r="B73" s="36">
        <v>661.17</v>
      </c>
      <c r="C73" s="36">
        <f t="shared" si="0"/>
        <v>546.42148760330576</v>
      </c>
      <c r="D73" s="36">
        <f t="shared" si="1"/>
        <v>114.74851239669421</v>
      </c>
      <c r="E73" s="36">
        <f>Gastos_Lexus_Leasing!$C73*$I$15</f>
        <v>546.42148760330576</v>
      </c>
      <c r="F73" s="36">
        <f>Gastos_Lexus_Leasing!$D73*$I$16</f>
        <v>114.74851239669421</v>
      </c>
      <c r="G73" s="11">
        <v>45292</v>
      </c>
    </row>
    <row r="74" spans="1:7" ht="15.75" customHeight="1" x14ac:dyDescent="0.35">
      <c r="A74" s="35">
        <v>45348</v>
      </c>
      <c r="B74" s="36">
        <v>661.17</v>
      </c>
      <c r="C74" s="36">
        <f t="shared" si="0"/>
        <v>546.42148760330576</v>
      </c>
      <c r="D74" s="36">
        <f t="shared" si="1"/>
        <v>114.74851239669421</v>
      </c>
      <c r="E74" s="36">
        <f>Gastos_Lexus_Leasing!$C74*$I$15</f>
        <v>546.42148760330576</v>
      </c>
      <c r="F74" s="36">
        <f>Gastos_Lexus_Leasing!$D74*$I$16</f>
        <v>114.74851239669421</v>
      </c>
      <c r="G74" s="11">
        <v>45323</v>
      </c>
    </row>
    <row r="75" spans="1:7" ht="15.75" customHeight="1" x14ac:dyDescent="0.35">
      <c r="A75" s="35">
        <v>45377</v>
      </c>
      <c r="B75" s="36">
        <v>661.17</v>
      </c>
      <c r="C75" s="36">
        <f t="shared" si="0"/>
        <v>546.42148760330576</v>
      </c>
      <c r="D75" s="36">
        <f t="shared" si="1"/>
        <v>114.74851239669421</v>
      </c>
      <c r="E75" s="36">
        <f>Gastos_Lexus_Leasing!$C75*$I$15</f>
        <v>546.42148760330576</v>
      </c>
      <c r="F75" s="36">
        <f>Gastos_Lexus_Leasing!$D75*$I$16</f>
        <v>114.74851239669421</v>
      </c>
      <c r="G75" s="11">
        <v>45352</v>
      </c>
    </row>
    <row r="76" spans="1:7" ht="15.75" customHeight="1" x14ac:dyDescent="0.35">
      <c r="A76" s="35">
        <v>45408</v>
      </c>
      <c r="B76" s="36">
        <v>661.17</v>
      </c>
      <c r="C76" s="36">
        <f t="shared" si="0"/>
        <v>546.42148760330576</v>
      </c>
      <c r="D76" s="36">
        <f t="shared" si="1"/>
        <v>114.74851239669421</v>
      </c>
      <c r="E76" s="36">
        <f>Gastos_Lexus_Leasing!$C76*$I$15</f>
        <v>546.42148760330576</v>
      </c>
      <c r="F76" s="36">
        <f>Gastos_Lexus_Leasing!$D76*$I$16</f>
        <v>114.74851239669421</v>
      </c>
      <c r="G76" s="11">
        <v>45383</v>
      </c>
    </row>
    <row r="77" spans="1:7" ht="15.75" customHeight="1" x14ac:dyDescent="0.35">
      <c r="A77" s="35">
        <v>45438</v>
      </c>
      <c r="B77" s="36">
        <v>661.17</v>
      </c>
      <c r="C77" s="36">
        <f t="shared" si="0"/>
        <v>546.42148760330576</v>
      </c>
      <c r="D77" s="36">
        <f t="shared" si="1"/>
        <v>114.74851239669421</v>
      </c>
      <c r="E77" s="36">
        <f>Gastos_Lexus_Leasing!$C77*$I$15</f>
        <v>546.42148760330576</v>
      </c>
      <c r="F77" s="36">
        <f>Gastos_Lexus_Leasing!$D77*$I$16</f>
        <v>114.74851239669421</v>
      </c>
      <c r="G77" s="11">
        <v>45413</v>
      </c>
    </row>
    <row r="78" spans="1:7" ht="15.75" customHeight="1" x14ac:dyDescent="0.35">
      <c r="A78" s="35">
        <v>45469</v>
      </c>
      <c r="B78" s="36">
        <v>661.17</v>
      </c>
      <c r="C78" s="36">
        <f t="shared" si="0"/>
        <v>546.42148760330576</v>
      </c>
      <c r="D78" s="36">
        <f t="shared" si="1"/>
        <v>114.74851239669421</v>
      </c>
      <c r="E78" s="36">
        <f>Gastos_Lexus_Leasing!$C78*$I$15</f>
        <v>546.42148760330576</v>
      </c>
      <c r="F78" s="36">
        <f>Gastos_Lexus_Leasing!$D78*$I$16</f>
        <v>114.74851239669421</v>
      </c>
      <c r="G78" s="11">
        <v>45444</v>
      </c>
    </row>
    <row r="79" spans="1:7" ht="15.75" customHeight="1" x14ac:dyDescent="0.35">
      <c r="A79" s="35">
        <v>45499</v>
      </c>
      <c r="B79" s="36">
        <v>661.17</v>
      </c>
      <c r="C79" s="36">
        <f t="shared" si="0"/>
        <v>546.42148760330576</v>
      </c>
      <c r="D79" s="36">
        <f t="shared" si="1"/>
        <v>114.74851239669421</v>
      </c>
      <c r="E79" s="36">
        <f>Gastos_Lexus_Leasing!$C79*$I$15</f>
        <v>546.42148760330576</v>
      </c>
      <c r="F79" s="36">
        <f>Gastos_Lexus_Leasing!$D79*$I$16</f>
        <v>114.74851239669421</v>
      </c>
      <c r="G79" s="11">
        <v>45474</v>
      </c>
    </row>
    <row r="80" spans="1:7" ht="15.75" customHeight="1" x14ac:dyDescent="0.35">
      <c r="A80" s="35">
        <v>45530</v>
      </c>
      <c r="B80" s="36">
        <v>661.17</v>
      </c>
      <c r="C80" s="36">
        <f t="shared" si="0"/>
        <v>546.42148760330576</v>
      </c>
      <c r="D80" s="36">
        <f t="shared" si="1"/>
        <v>114.74851239669421</v>
      </c>
      <c r="E80" s="36">
        <f>Gastos_Lexus_Leasing!$C80*$I$15</f>
        <v>546.42148760330576</v>
      </c>
      <c r="F80" s="36">
        <f>Gastos_Lexus_Leasing!$D80*$I$16</f>
        <v>114.74851239669421</v>
      </c>
      <c r="G80" s="11">
        <v>45505</v>
      </c>
    </row>
    <row r="81" spans="1:7" ht="15.75" customHeight="1" x14ac:dyDescent="0.35">
      <c r="A81" s="35">
        <v>45561</v>
      </c>
      <c r="B81" s="36">
        <v>661.17</v>
      </c>
      <c r="C81" s="36">
        <f t="shared" si="0"/>
        <v>546.42148760330576</v>
      </c>
      <c r="D81" s="36">
        <f t="shared" si="1"/>
        <v>114.74851239669421</v>
      </c>
      <c r="E81" s="36">
        <f>Gastos_Lexus_Leasing!$C81*$I$15</f>
        <v>546.42148760330576</v>
      </c>
      <c r="F81" s="36">
        <f>Gastos_Lexus_Leasing!$D81*$I$16</f>
        <v>114.74851239669421</v>
      </c>
      <c r="G81" s="11">
        <v>45536</v>
      </c>
    </row>
    <row r="82" spans="1:7" ht="15.75" customHeight="1" x14ac:dyDescent="0.35">
      <c r="A82" s="35">
        <v>45591</v>
      </c>
      <c r="B82" s="36">
        <v>661.17</v>
      </c>
      <c r="C82" s="36">
        <f t="shared" si="0"/>
        <v>546.42148760330576</v>
      </c>
      <c r="D82" s="36">
        <f t="shared" si="1"/>
        <v>114.74851239669421</v>
      </c>
      <c r="E82" s="36">
        <f>Gastos_Lexus_Leasing!$C82*$I$15</f>
        <v>546.42148760330576</v>
      </c>
      <c r="F82" s="36">
        <f>Gastos_Lexus_Leasing!$D82*$I$16</f>
        <v>114.74851239669421</v>
      </c>
      <c r="G82" s="11">
        <v>45566</v>
      </c>
    </row>
    <row r="83" spans="1:7" ht="15.75" customHeight="1" x14ac:dyDescent="0.35">
      <c r="A83" s="35">
        <v>45622</v>
      </c>
      <c r="B83" s="36">
        <v>661.17</v>
      </c>
      <c r="C83" s="36">
        <f t="shared" si="0"/>
        <v>546.42148760330576</v>
      </c>
      <c r="D83" s="36">
        <f t="shared" si="1"/>
        <v>114.74851239669421</v>
      </c>
      <c r="E83" s="36">
        <f>Gastos_Lexus_Leasing!$C83*$I$15</f>
        <v>546.42148760330576</v>
      </c>
      <c r="F83" s="36">
        <f>Gastos_Lexus_Leasing!$D83*$I$16</f>
        <v>114.74851239669421</v>
      </c>
      <c r="G83" s="11">
        <v>45597</v>
      </c>
    </row>
    <row r="84" spans="1:7" ht="15.75" customHeight="1" x14ac:dyDescent="0.35">
      <c r="A84" s="35">
        <v>45652</v>
      </c>
      <c r="B84" s="36">
        <v>661.17</v>
      </c>
      <c r="C84" s="36">
        <f t="shared" si="0"/>
        <v>546.42148760330576</v>
      </c>
      <c r="D84" s="36">
        <f t="shared" si="1"/>
        <v>114.74851239669421</v>
      </c>
      <c r="E84" s="36">
        <f>Gastos_Lexus_Leasing!$C84*$I$15</f>
        <v>546.42148760330576</v>
      </c>
      <c r="F84" s="36">
        <f>Gastos_Lexus_Leasing!$D84*$I$16</f>
        <v>114.74851239669421</v>
      </c>
      <c r="G84" s="11">
        <v>45627</v>
      </c>
    </row>
    <row r="85" spans="1:7" ht="15.75" customHeight="1" x14ac:dyDescent="0.35">
      <c r="A85" s="35">
        <v>45683</v>
      </c>
      <c r="B85" s="36">
        <v>661.17</v>
      </c>
      <c r="C85" s="36">
        <f t="shared" si="0"/>
        <v>546.42148760330576</v>
      </c>
      <c r="D85" s="36">
        <f t="shared" si="1"/>
        <v>114.74851239669421</v>
      </c>
      <c r="E85" s="36">
        <f>Gastos_Lexus_Leasing!$C85*$I$15</f>
        <v>546.42148760330576</v>
      </c>
      <c r="F85" s="36">
        <f>Gastos_Lexus_Leasing!$D85*$I$16</f>
        <v>114.74851239669421</v>
      </c>
      <c r="G85" s="11">
        <v>45658</v>
      </c>
    </row>
    <row r="86" spans="1:7" ht="15.75" customHeight="1" x14ac:dyDescent="0.35">
      <c r="B86" s="1"/>
    </row>
    <row r="87" spans="1:7" ht="15.75" customHeight="1" x14ac:dyDescent="0.35">
      <c r="A87" s="10" t="s">
        <v>49</v>
      </c>
      <c r="B87" s="1"/>
    </row>
    <row r="88" spans="1:7" ht="15.75" customHeight="1" x14ac:dyDescent="0.35">
      <c r="A88" s="7" t="s">
        <v>1</v>
      </c>
      <c r="B88" s="8">
        <f>SUM(B13:B85)</f>
        <v>49943.069999999912</v>
      </c>
      <c r="C88" s="8">
        <f>SUM(C13:C85)</f>
        <v>41275.264462809988</v>
      </c>
      <c r="D88" s="8">
        <f>SUM(D13:D85)</f>
        <v>8667.8055371900937</v>
      </c>
      <c r="E88" s="8">
        <f>B88*I18</f>
        <v>49943.069999999912</v>
      </c>
    </row>
    <row r="89" spans="1:7" ht="15.75" customHeight="1" x14ac:dyDescent="0.35"/>
    <row r="90" spans="1:7" ht="15.75" customHeight="1" x14ac:dyDescent="0.35">
      <c r="A90" s="7" t="s">
        <v>49</v>
      </c>
      <c r="B90" s="8">
        <f>SUM(B13:B84)</f>
        <v>49281.899999999914</v>
      </c>
    </row>
    <row r="91" spans="1:7" ht="15.75" customHeight="1" x14ac:dyDescent="0.35">
      <c r="A91" s="7" t="s">
        <v>116</v>
      </c>
      <c r="B91" s="25">
        <f>B88-B90</f>
        <v>661.16999999999825</v>
      </c>
    </row>
    <row r="92" spans="1:7" ht="15.75" customHeight="1" x14ac:dyDescent="0.35"/>
    <row r="93" spans="1:7" ht="15.75" customHeight="1" x14ac:dyDescent="0.35"/>
    <row r="94" spans="1:7" ht="15.75" customHeight="1" x14ac:dyDescent="0.35"/>
    <row r="95" spans="1:7" ht="15.75" customHeight="1" x14ac:dyDescent="0.35"/>
    <row r="96" spans="1:7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5" bottom="0.75" header="0" footer="0"/>
  <pageSetup paperSize="9" orientation="portrait" r:id="rId1"/>
  <ignoredErrors>
    <ignoredError sqref="B90" formulaRange="1"/>
  </ignoredErrors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K90"/>
  <sheetViews>
    <sheetView workbookViewId="0">
      <selection activeCell="B19" sqref="B19"/>
    </sheetView>
  </sheetViews>
  <sheetFormatPr baseColWidth="10" defaultColWidth="14.453125" defaultRowHeight="15" customHeight="1" x14ac:dyDescent="0.35"/>
  <cols>
    <col min="1" max="1" width="37.26953125" bestFit="1" customWidth="1"/>
    <col min="2" max="2" width="11.7265625" customWidth="1"/>
    <col min="3" max="3" width="9.26953125" style="1" customWidth="1"/>
    <col min="4" max="6" width="9.26953125" customWidth="1"/>
    <col min="7" max="7" width="26.54296875" customWidth="1"/>
    <col min="10" max="10" width="26.54296875" customWidth="1"/>
  </cols>
  <sheetData>
    <row r="1" spans="1:11" ht="14.5" x14ac:dyDescent="0.35">
      <c r="A1" t="s">
        <v>90</v>
      </c>
      <c r="B1" s="2">
        <f>286.15+2.84</f>
        <v>288.98999999999995</v>
      </c>
      <c r="H1" s="2"/>
      <c r="K1" s="2"/>
    </row>
    <row r="2" spans="1:11" ht="14.5" x14ac:dyDescent="0.35">
      <c r="A2" t="s">
        <v>22</v>
      </c>
      <c r="B2" s="2">
        <f>43.8*4</f>
        <v>175.2</v>
      </c>
      <c r="H2" s="3"/>
      <c r="K2" s="3"/>
    </row>
    <row r="3" spans="1:11" ht="14.5" x14ac:dyDescent="0.35">
      <c r="A3" t="s">
        <v>23</v>
      </c>
      <c r="B3" s="3">
        <v>37</v>
      </c>
      <c r="H3" s="3"/>
      <c r="K3" s="3"/>
    </row>
    <row r="4" spans="1:11" ht="14.5" x14ac:dyDescent="0.35">
      <c r="A4" t="s">
        <v>24</v>
      </c>
      <c r="B4" s="3">
        <v>0</v>
      </c>
      <c r="H4" s="3"/>
      <c r="K4" s="3"/>
    </row>
    <row r="5" spans="1:11" ht="14.5" x14ac:dyDescent="0.35">
      <c r="A5" t="s">
        <v>25</v>
      </c>
      <c r="B5" s="3">
        <v>0</v>
      </c>
      <c r="H5" s="3"/>
      <c r="K5" s="3"/>
    </row>
    <row r="6" spans="1:11" ht="14.5" x14ac:dyDescent="0.35">
      <c r="A6" t="s">
        <v>60</v>
      </c>
      <c r="B6" s="13"/>
      <c r="C6" s="1">
        <f>746.3/5</f>
        <v>149.26</v>
      </c>
      <c r="H6" s="3"/>
      <c r="K6" s="3"/>
    </row>
    <row r="7" spans="1:11" ht="14.5" x14ac:dyDescent="0.35">
      <c r="A7" t="s">
        <v>61</v>
      </c>
      <c r="B7" s="13"/>
      <c r="C7" s="1">
        <v>71.099999999999994</v>
      </c>
      <c r="H7" s="3"/>
      <c r="K7" s="3"/>
    </row>
    <row r="8" spans="1:11" ht="14.5" x14ac:dyDescent="0.35">
      <c r="A8" s="10"/>
      <c r="B8" s="13"/>
      <c r="H8" s="3"/>
      <c r="K8" s="3"/>
    </row>
    <row r="9" spans="1:11" ht="14.5" x14ac:dyDescent="0.35">
      <c r="B9" s="3"/>
      <c r="H9" s="3"/>
      <c r="K9" s="3"/>
    </row>
    <row r="11" spans="1:11" ht="14.5" x14ac:dyDescent="0.35">
      <c r="A11" s="7" t="s">
        <v>26</v>
      </c>
      <c r="B11" s="2">
        <f>SUM(B1:B6)</f>
        <v>501.18999999999994</v>
      </c>
      <c r="G11" s="7"/>
      <c r="H11" s="2"/>
      <c r="J11" s="7"/>
      <c r="K11" s="2"/>
    </row>
    <row r="12" spans="1:11" ht="14.5" x14ac:dyDescent="0.35">
      <c r="A12" s="7" t="s">
        <v>27</v>
      </c>
      <c r="B12" s="2">
        <f>B11*3</f>
        <v>1503.5699999999997</v>
      </c>
      <c r="G12" s="7"/>
      <c r="H12" s="2"/>
      <c r="J12" s="7"/>
      <c r="K12" s="2"/>
    </row>
    <row r="13" spans="1:11" ht="14.5" x14ac:dyDescent="0.35">
      <c r="A13" s="7" t="s">
        <v>96</v>
      </c>
      <c r="B13" s="2">
        <f>B2</f>
        <v>175.2</v>
      </c>
      <c r="G13" s="7"/>
      <c r="H13" s="2"/>
      <c r="J13" s="7"/>
      <c r="K13" s="2"/>
    </row>
    <row r="15" spans="1:11" ht="15.75" customHeight="1" x14ac:dyDescent="0.35"/>
    <row r="16" spans="1:11" ht="15.75" customHeight="1" x14ac:dyDescent="0.35">
      <c r="B16" s="2"/>
    </row>
    <row r="17" spans="1:2" ht="15.75" customHeight="1" x14ac:dyDescent="0.35"/>
    <row r="18" spans="1:2" ht="15.75" customHeight="1" x14ac:dyDescent="0.35">
      <c r="A18" s="7" t="s">
        <v>81</v>
      </c>
      <c r="B18" s="25">
        <v>70000</v>
      </c>
    </row>
    <row r="19" spans="1:2" ht="15.75" customHeight="1" x14ac:dyDescent="0.35">
      <c r="A19" s="7" t="s">
        <v>82</v>
      </c>
      <c r="B19" s="25">
        <v>48997.599999999999</v>
      </c>
    </row>
    <row r="20" spans="1:2" ht="15.75" customHeight="1" x14ac:dyDescent="0.35">
      <c r="A20" s="7" t="s">
        <v>88</v>
      </c>
      <c r="B20" s="25">
        <f>B19/12</f>
        <v>4083.1333333333332</v>
      </c>
    </row>
    <row r="21" spans="1:2" ht="15.75" customHeight="1" x14ac:dyDescent="0.35">
      <c r="A21" s="7" t="s">
        <v>83</v>
      </c>
      <c r="B21" s="25">
        <v>3465.8</v>
      </c>
    </row>
    <row r="22" spans="1:2" ht="15.75" customHeight="1" x14ac:dyDescent="0.35">
      <c r="A22" s="7" t="s">
        <v>84</v>
      </c>
      <c r="B22" s="25">
        <v>3704</v>
      </c>
    </row>
    <row r="23" spans="1:2" ht="15.75" customHeight="1" x14ac:dyDescent="0.35">
      <c r="A23" s="7" t="s">
        <v>85</v>
      </c>
      <c r="B23" s="25">
        <v>18144</v>
      </c>
    </row>
    <row r="24" spans="1:2" ht="15.75" customHeight="1" x14ac:dyDescent="0.35">
      <c r="A24" s="7" t="s">
        <v>86</v>
      </c>
      <c r="B24" s="25">
        <v>2858.4</v>
      </c>
    </row>
    <row r="25" spans="1:2" ht="15.75" customHeight="1" x14ac:dyDescent="0.35">
      <c r="A25" s="7" t="s">
        <v>87</v>
      </c>
      <c r="B25" s="26">
        <v>0.25919999999999999</v>
      </c>
    </row>
    <row r="26" spans="1:2" ht="15.75" customHeight="1" x14ac:dyDescent="0.35">
      <c r="A26" s="7" t="s">
        <v>89</v>
      </c>
      <c r="B26" s="25">
        <f>B19*0.06</f>
        <v>2939.8559999999998</v>
      </c>
    </row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</sheetData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Gastos_2025</vt:lpstr>
      <vt:lpstr>Allfunds</vt:lpstr>
      <vt:lpstr>Comparativa</vt:lpstr>
      <vt:lpstr>Regalitos</vt:lpstr>
      <vt:lpstr>Gastos multas 2020</vt:lpstr>
      <vt:lpstr>Gastos_Cris</vt:lpstr>
      <vt:lpstr>Pan</vt:lpstr>
      <vt:lpstr>Gastos_Lexus_Leasing</vt:lpstr>
      <vt:lpstr>Tablas</vt:lpstr>
      <vt:lpstr>Gastos_hipoteca_old</vt:lpstr>
    </vt:vector>
  </TitlesOfParts>
  <Company>NEORIS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Bordas Cartagena</dc:creator>
  <cp:lastModifiedBy>Carlos Bordas Cartagena</cp:lastModifiedBy>
  <dcterms:created xsi:type="dcterms:W3CDTF">2018-04-04T11:03:28Z</dcterms:created>
  <dcterms:modified xsi:type="dcterms:W3CDTF">2025-08-13T13:02:25Z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x335156@es.produban.com</vt:lpwstr>
  </property>
  <property fmtid="{D5CDD505-2E9C-101B-9397-08002B2CF9AE}" pid="5" name="MSIP_Label_41b88ec2-a72b-4523-9e84-0458a1764731_SetDate">
    <vt:lpwstr>2019-12-23T16:03:40.7031848Z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74cff65c-7648-4d6e-acd2-03221c0ac94e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